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9029"/>
  <workbookPr defaultThemeVersion="166925"/>
  <mc:AlternateContent xmlns:mc="http://schemas.openxmlformats.org/markup-compatibility/2006">
    <mc:Choice Requires="x15">
      <x15ac:absPath xmlns:x15ac="http://schemas.microsoft.com/office/spreadsheetml/2010/11/ac" url="Z:\SUBSPURB\M.DREN_VV_CARIAC_OBRAS\GALERIA CANAL GUARANHUNS\15 - MEDICOES\44ª Medição\"/>
    </mc:Choice>
  </mc:AlternateContent>
  <bookViews>
    <workbookView xWindow="0" yWindow="0" windowWidth="21570" windowHeight="7275" activeTab="2"/>
  </bookViews>
  <sheets>
    <sheet name="8 - EVOLUÇÃO FINANCEIRA" sheetId="4" r:id="rId1"/>
    <sheet name="10 - RESUMO" sheetId="1" r:id="rId2"/>
    <sheet name="11 - FINANCEIRO" sheetId="2" r:id="rId3"/>
    <sheet name="12 - CORPO" sheetId="3" r:id="rId4"/>
    <sheet name="ACOMPANHAMENTO" sheetId="8" r:id="rId5"/>
    <sheet name="CRONOGRAMA" sheetId="5" state="hidden" r:id="rId6"/>
    <sheet name="ITENS SEM SALDO" sheetId="6" state="hidden" r:id="rId7"/>
  </sheets>
  <externalReferences>
    <externalReference r:id="rId8"/>
    <externalReference r:id="rId9"/>
    <externalReference r:id="rId10"/>
  </externalReferences>
  <definedNames>
    <definedName name="\0" localSheetId="4">#REF!</definedName>
    <definedName name="\0">#REF!</definedName>
    <definedName name="\1" localSheetId="4">#REF!</definedName>
    <definedName name="\1">#REF!</definedName>
    <definedName name="\11" localSheetId="4">#REF!</definedName>
    <definedName name="\11">#REF!</definedName>
    <definedName name="\ates\z" localSheetId="1">#REF!</definedName>
    <definedName name="\ates\z" localSheetId="4">#REF!</definedName>
    <definedName name="\ates\z">#REF!</definedName>
    <definedName name="\C" localSheetId="4">#REF!</definedName>
    <definedName name="\C">#REF!</definedName>
    <definedName name="\D">#REF!</definedName>
    <definedName name="\f">#N/A</definedName>
    <definedName name="\G" localSheetId="4">#REF!</definedName>
    <definedName name="\G">#REF!</definedName>
    <definedName name="\I" localSheetId="4">#REF!</definedName>
    <definedName name="\I">#REF!</definedName>
    <definedName name="\M" localSheetId="4">#REF!</definedName>
    <definedName name="\M">#REF!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w" localSheetId="4">#REF!</definedName>
    <definedName name="\w">#REF!</definedName>
    <definedName name="\x" localSheetId="4">#REF!</definedName>
    <definedName name="\x">#REF!</definedName>
    <definedName name="\Y" localSheetId="4">#REF!</definedName>
    <definedName name="\Y">#REF!</definedName>
    <definedName name="_">#REF!</definedName>
    <definedName name="__________________BOR1">#REF!</definedName>
    <definedName name="______________BOR1">#REF!</definedName>
    <definedName name="_____________BOR1">#REF!</definedName>
    <definedName name="____________BOR1" localSheetId="4">#REF!</definedName>
    <definedName name="____________BOR1">#REF!</definedName>
    <definedName name="___________BOR1" localSheetId="4">#REF!</definedName>
    <definedName name="___________BOR1">#REF!</definedName>
    <definedName name="__________BOR1" localSheetId="4">#REF!</definedName>
    <definedName name="__________BOR1">#REF!</definedName>
    <definedName name="_________BOR1" localSheetId="4">#REF!</definedName>
    <definedName name="_________BOR1">#REF!</definedName>
    <definedName name="________BOR1" localSheetId="4">#REF!</definedName>
    <definedName name="________BOR1">#REF!</definedName>
    <definedName name="________NIL1" localSheetId="4">#REF!</definedName>
    <definedName name="________NIL1">#REF!</definedName>
    <definedName name="_______BOR1" localSheetId="4">#REF!</definedName>
    <definedName name="_______BOR1">#REF!</definedName>
    <definedName name="_______NIL1" localSheetId="4">#REF!</definedName>
    <definedName name="_______NIL1">#REF!</definedName>
    <definedName name="______BOR1" localSheetId="4">#REF!</definedName>
    <definedName name="______BOR1">#REF!</definedName>
    <definedName name="______NIL1" localSheetId="4">#REF!</definedName>
    <definedName name="______NIL1">#REF!</definedName>
    <definedName name="_____BOR1" localSheetId="4">#REF!</definedName>
    <definedName name="_____BOR1">#REF!</definedName>
    <definedName name="____BOR1" localSheetId="4">#REF!</definedName>
    <definedName name="____BOR1">#REF!</definedName>
    <definedName name="____NIL1" localSheetId="4">#REF!</definedName>
    <definedName name="____NIL1">#REF!</definedName>
    <definedName name="___BOR1" localSheetId="4">#REF!</definedName>
    <definedName name="___BOR1">#REF!</definedName>
    <definedName name="___NIL1" localSheetId="4">#REF!</definedName>
    <definedName name="___NIL1">#REF!</definedName>
    <definedName name="___R" localSheetId="4">#REF!</definedName>
    <definedName name="___R">#REF!</definedName>
    <definedName name="__123Graph_A" localSheetId="4" hidden="1">#REF!</definedName>
    <definedName name="__123Graph_A" hidden="1">#REF!</definedName>
    <definedName name="__123Graph_B" localSheetId="4" hidden="1">#REF!</definedName>
    <definedName name="__123Graph_B" hidden="1">#REF!</definedName>
    <definedName name="__123Graph_D" localSheetId="4" hidden="1">#REF!</definedName>
    <definedName name="__123Graph_D" hidden="1">#REF!</definedName>
    <definedName name="__123Graph_E" localSheetId="4" hidden="1">#REF!</definedName>
    <definedName name="__123Graph_E" hidden="1">#REF!</definedName>
    <definedName name="__123Graph_X" localSheetId="4" hidden="1">#REF!</definedName>
    <definedName name="__123Graph_X" hidden="1">#REF!</definedName>
    <definedName name="__BOR1" localSheetId="4">#REF!</definedName>
    <definedName name="__BOR1">#REF!</definedName>
    <definedName name="__MDO1" localSheetId="4">#REF!</definedName>
    <definedName name="__MDO1">#REF!</definedName>
    <definedName name="__MDO2" localSheetId="4">#REF!</definedName>
    <definedName name="__MDO2">#REF!</definedName>
    <definedName name="__NIL1">#REF!</definedName>
    <definedName name="__R">#REF!</definedName>
    <definedName name="_01" localSheetId="4">#REF!</definedName>
    <definedName name="_01">#REF!</definedName>
    <definedName name="_02" localSheetId="4">#REF!</definedName>
    <definedName name="_02">#REF!</definedName>
    <definedName name="_03" localSheetId="4">#REF!</definedName>
    <definedName name="_03">#REF!</definedName>
    <definedName name="_04" localSheetId="4">#REF!</definedName>
    <definedName name="_04">#REF!</definedName>
    <definedName name="_05" localSheetId="4">#REF!</definedName>
    <definedName name="_05">#REF!</definedName>
    <definedName name="_06" localSheetId="4">#REF!</definedName>
    <definedName name="_06">#REF!</definedName>
    <definedName name="_07" localSheetId="4">#REF!</definedName>
    <definedName name="_07">#REF!</definedName>
    <definedName name="_08" localSheetId="4">#REF!</definedName>
    <definedName name="_08">#REF!</definedName>
    <definedName name="_09" localSheetId="4">#REF!</definedName>
    <definedName name="_09">#REF!</definedName>
    <definedName name="_10" localSheetId="4">#REF!</definedName>
    <definedName name="_10">#REF!</definedName>
    <definedName name="_11" localSheetId="4">#REF!</definedName>
    <definedName name="_11">#REF!</definedName>
    <definedName name="_12" localSheetId="4">#REF!</definedName>
    <definedName name="_12">#REF!</definedName>
    <definedName name="_13" localSheetId="4">#REF!</definedName>
    <definedName name="_13">#REF!</definedName>
    <definedName name="_14" localSheetId="4">#REF!</definedName>
    <definedName name="_14">#REF!</definedName>
    <definedName name="_15" localSheetId="4">#REF!</definedName>
    <definedName name="_15">#REF!</definedName>
    <definedName name="_16" localSheetId="4">#REF!</definedName>
    <definedName name="_16">#REF!</definedName>
    <definedName name="_16.3___VEÍCULOS" localSheetId="4">#REF!</definedName>
    <definedName name="_16.3___VEÍCULOS">#REF!</definedName>
    <definedName name="_16.4___COMBÚSTIVEL" localSheetId="4">#REF!</definedName>
    <definedName name="_16.4___COMBÚSTIVEL">#REF!</definedName>
    <definedName name="_16.5___EQUIPAMENTOS_DE_ESCRITÓRIO" localSheetId="4">#REF!</definedName>
    <definedName name="_16.5___EQUIPAMENTOS_DE_ESCRITÓRIO">#REF!</definedName>
    <definedName name="_17" localSheetId="4">#REF!</definedName>
    <definedName name="_17">#REF!</definedName>
    <definedName name="_17.1_MENSALISTA" localSheetId="4">#REF!</definedName>
    <definedName name="_17.1_MENSALISTA">#REF!</definedName>
    <definedName name="_17.2___HORISTA" localSheetId="4">#REF!</definedName>
    <definedName name="_17.2___HORISTA">#REF!</definedName>
    <definedName name="_18" localSheetId="4">#REF!</definedName>
    <definedName name="_18">#REF!</definedName>
    <definedName name="_18___CANTEIRO___INSTALAÇÃO___MANUTENÇÃO" localSheetId="4">#REF!</definedName>
    <definedName name="_18___CANTEIRO___INSTALAÇÃO___MANUTENÇÃO">#REF!</definedName>
    <definedName name="_19" localSheetId="4">#REF!</definedName>
    <definedName name="_19">#REF!</definedName>
    <definedName name="_1Excel_BuiltIn_Print_Area_3_1" localSheetId="4">#REF!</definedName>
    <definedName name="_1Excel_BuiltIn_Print_Area_3_1">#REF!</definedName>
    <definedName name="_20" localSheetId="4">#REF!</definedName>
    <definedName name="_20">#REF!</definedName>
    <definedName name="_21" localSheetId="4">#REF!</definedName>
    <definedName name="_21">#REF!</definedName>
    <definedName name="_22" localSheetId="4">#REF!</definedName>
    <definedName name="_22">#REF!</definedName>
    <definedName name="_23" localSheetId="4">#REF!</definedName>
    <definedName name="_23">#REF!</definedName>
    <definedName name="_24" localSheetId="4">#REF!</definedName>
    <definedName name="_24">#REF!</definedName>
    <definedName name="_25" localSheetId="4">#REF!</definedName>
    <definedName name="_25">#REF!</definedName>
    <definedName name="_26" localSheetId="4">#REF!</definedName>
    <definedName name="_26">#REF!</definedName>
    <definedName name="_27" localSheetId="4">#REF!</definedName>
    <definedName name="_27">#REF!</definedName>
    <definedName name="_28" localSheetId="4">#REF!</definedName>
    <definedName name="_28">#REF!</definedName>
    <definedName name="_29" localSheetId="4">#REF!</definedName>
    <definedName name="_29">#REF!</definedName>
    <definedName name="_2Excel_BuiltIn_Print_Titles_1_1" localSheetId="4">#REF!,#REF!</definedName>
    <definedName name="_2Excel_BuiltIn_Print_Titles_1_1">#REF!,#REF!</definedName>
    <definedName name="_30" localSheetId="4">#REF!</definedName>
    <definedName name="_30">#REF!</definedName>
    <definedName name="_31" localSheetId="4">#REF!</definedName>
    <definedName name="_31">#REF!</definedName>
    <definedName name="_32" localSheetId="4">#REF!</definedName>
    <definedName name="_32">#REF!</definedName>
    <definedName name="_33" localSheetId="4">#REF!</definedName>
    <definedName name="_33">#REF!</definedName>
    <definedName name="_34" localSheetId="4">#REF!</definedName>
    <definedName name="_34">#REF!</definedName>
    <definedName name="_35" localSheetId="4">#REF!</definedName>
    <definedName name="_35">#REF!</definedName>
    <definedName name="_36" localSheetId="4">#REF!</definedName>
    <definedName name="_36">#REF!</definedName>
    <definedName name="_37" localSheetId="4">#REF!</definedName>
    <definedName name="_37">#REF!</definedName>
    <definedName name="_38" localSheetId="4">#REF!</definedName>
    <definedName name="_38">#REF!</definedName>
    <definedName name="_39" localSheetId="4">#REF!</definedName>
    <definedName name="_39">#REF!</definedName>
    <definedName name="_3Excel_BuiltIn_Print_Titles_1_1" localSheetId="4">#REF!,#REF!</definedName>
    <definedName name="_3Excel_BuiltIn_Print_Titles_1_1">#REF!,#REF!</definedName>
    <definedName name="_40" localSheetId="4">#REF!</definedName>
    <definedName name="_40">#REF!</definedName>
    <definedName name="_41" localSheetId="4">#REF!</definedName>
    <definedName name="_41">#REF!</definedName>
    <definedName name="_42" localSheetId="4">#REF!</definedName>
    <definedName name="_42">#REF!</definedName>
    <definedName name="_43" localSheetId="4">#REF!</definedName>
    <definedName name="_43">#REF!</definedName>
    <definedName name="_44" localSheetId="4">#REF!</definedName>
    <definedName name="_44">#REF!</definedName>
    <definedName name="_45" localSheetId="4">#REF!</definedName>
    <definedName name="_45">#REF!</definedName>
    <definedName name="_46" localSheetId="4">#REF!</definedName>
    <definedName name="_46">#REF!</definedName>
    <definedName name="_47" localSheetId="4">#REF!</definedName>
    <definedName name="_47">#REF!</definedName>
    <definedName name="_48" localSheetId="4">#REF!</definedName>
    <definedName name="_48">#REF!</definedName>
    <definedName name="_49" localSheetId="4">#REF!</definedName>
    <definedName name="_49">#REF!</definedName>
    <definedName name="_50" localSheetId="4">#REF!</definedName>
    <definedName name="_50">#REF!</definedName>
    <definedName name="_51" localSheetId="4">#REF!</definedName>
    <definedName name="_51">#REF!</definedName>
    <definedName name="_52" localSheetId="4">#REF!</definedName>
    <definedName name="_52">#REF!</definedName>
    <definedName name="_53" localSheetId="4">#REF!</definedName>
    <definedName name="_53">#REF!</definedName>
    <definedName name="_6Excel_BuiltIn_Print_Titles_2_1_1" localSheetId="4">(#REF!,#REF!)</definedName>
    <definedName name="_6Excel_BuiltIn_Print_Titles_2_1_1">(#REF!,#REF!)</definedName>
    <definedName name="_BOR1" localSheetId="4">#REF!</definedName>
    <definedName name="_BOR1">#REF!</definedName>
    <definedName name="_C" localSheetId="4">#REF!</definedName>
    <definedName name="_C">#REF!</definedName>
    <definedName name="_C_1" localSheetId="4">#REF!</definedName>
    <definedName name="_C_1">#REF!</definedName>
    <definedName name="_D" localSheetId="4">#REF!</definedName>
    <definedName name="_D">#REF!</definedName>
    <definedName name="_D_1" localSheetId="4">#REF!</definedName>
    <definedName name="_D_1">#REF!</definedName>
    <definedName name="_FCCEMED_" localSheetId="4">#REF!</definedName>
    <definedName name="_FCCEMED_">#REF!</definedName>
    <definedName name="_Fill" localSheetId="4" hidden="1">#REF!</definedName>
    <definedName name="_Fill" hidden="1">#REF!</definedName>
    <definedName name="_xlnm._FilterDatabase" localSheetId="1" hidden="1">'10 - RESUMO'!$A$14:$I$310</definedName>
    <definedName name="_xlnm._FilterDatabase" localSheetId="2" hidden="1">'11 - FINANCEIRO'!$A$14:$P$321</definedName>
    <definedName name="_xlnm._FilterDatabase" localSheetId="3" hidden="1">'12 - CORPO'!$A$12:$X$2264</definedName>
    <definedName name="_FOG50" localSheetId="4">#REF!</definedName>
    <definedName name="_FOG50">#REF!</definedName>
    <definedName name="_G" localSheetId="4">#REF!</definedName>
    <definedName name="_G">#REF!</definedName>
    <definedName name="_G_1" localSheetId="4">#REF!</definedName>
    <definedName name="_G_1">#REF!</definedName>
    <definedName name="_GOTO_D1_" localSheetId="4">#REF!</definedName>
    <definedName name="_GOTO_D1_">#REF!</definedName>
    <definedName name="_GOTO_E1_">#REF!</definedName>
    <definedName name="_GOTO_N1_">#REF!</definedName>
    <definedName name="_HOME__">#REF!</definedName>
    <definedName name="_I" localSheetId="4">#REF!</definedName>
    <definedName name="_I">#REF!</definedName>
    <definedName name="_I_1" localSheetId="4">#REF!</definedName>
    <definedName name="_I_1">#REF!</definedName>
    <definedName name="_Key1" localSheetId="4">#REF!</definedName>
    <definedName name="_Key1" hidden="1">#REF!</definedName>
    <definedName name="_M" localSheetId="4">#REF!</definedName>
    <definedName name="_M">#REF!</definedName>
    <definedName name="_M_1" localSheetId="4">#REF!</definedName>
    <definedName name="_M_1">#REF!</definedName>
    <definedName name="_MDO1" localSheetId="4">#REF!</definedName>
    <definedName name="_MDO1">#REF!</definedName>
    <definedName name="_MDO2" localSheetId="4">#REF!</definedName>
    <definedName name="_MDO2">#REF!</definedName>
    <definedName name="_MM" hidden="1">#REF!</definedName>
    <definedName name="_NIL1">#REF!</definedName>
    <definedName name="_Order1" hidden="1">255</definedName>
    <definedName name="_P" localSheetId="4">#REF!</definedName>
    <definedName name="_P">#REF!</definedName>
    <definedName name="_P_1" localSheetId="4">#REF!</definedName>
    <definedName name="_P_1">#REF!</definedName>
    <definedName name="_planilhapu" localSheetId="4">#REF!</definedName>
    <definedName name="_planilhapu">#REF!</definedName>
    <definedName name="_PPOS015Q_AGPQ_">#REF!</definedName>
    <definedName name="_PPOS015Q_AGPQ__6">#REF!</definedName>
    <definedName name="_PVC100">#REF!</definedName>
    <definedName name="_PVC150">#REF!</definedName>
    <definedName name="_PVC50">#REF!</definedName>
    <definedName name="_PVC75">#REF!</definedName>
    <definedName name="_QUAN" localSheetId="0" hidden="1">{#N/A,#N/A,FALSE,"MO (2)"}</definedName>
    <definedName name="_QUAN" localSheetId="4" hidden="1">{#N/A,#N/A,FALSE,"MO (2)"}</definedName>
    <definedName name="_QUAN" hidden="1">{#N/A,#N/A,FALSE,"MO (2)"}</definedName>
    <definedName name="_R" localSheetId="4">#REF!</definedName>
    <definedName name="_R">#REF!</definedName>
    <definedName name="_R_1" localSheetId="4">#REF!</definedName>
    <definedName name="_R_1">#REF!</definedName>
    <definedName name="_REA1.N10_" localSheetId="4">#REF!</definedName>
    <definedName name="_REA1.N10_">#REF!</definedName>
    <definedName name="_Regression_Int">1</definedName>
    <definedName name="_Sort" localSheetId="4">#REF!</definedName>
    <definedName name="_Sort" hidden="1">#REF!</definedName>
    <definedName name="_VBF1">#REF!</definedName>
    <definedName name="_VE1">#REF!</definedName>
    <definedName name="_VO1" localSheetId="4">#REF!</definedName>
    <definedName name="_VO1">#REF!</definedName>
    <definedName name="_VR1" localSheetId="4">#REF!</definedName>
    <definedName name="_VR1">#REF!</definedName>
    <definedName name="_WCS13_" localSheetId="4">#REF!</definedName>
    <definedName name="_WCS13_">#REF!</definedName>
    <definedName name="_WCS43_">#REF!</definedName>
    <definedName name="_WDCN1.S1_">#REF!</definedName>
    <definedName name="_WGZY_">#REF!</definedName>
    <definedName name="_WGZY__6">#REF!</definedName>
    <definedName name="_WICE1_">#REF!</definedName>
    <definedName name="_WIRA1.A8_">#REF!</definedName>
    <definedName name="_Y" localSheetId="4">#REF!</definedName>
    <definedName name="_Y">#REF!</definedName>
    <definedName name="_Y_1" localSheetId="4">#REF!</definedName>
    <definedName name="_Y_1">#REF!</definedName>
    <definedName name="A" localSheetId="1">#REF!</definedName>
    <definedName name="A" localSheetId="4">#REF!</definedName>
    <definedName name="A">#REF!</definedName>
    <definedName name="A__1" localSheetId="4">#REF!</definedName>
    <definedName name="A__1">#REF!</definedName>
    <definedName name="A__1_1" localSheetId="4">#REF!</definedName>
    <definedName name="A__1_1">#REF!</definedName>
    <definedName name="A__2" localSheetId="4">#REF!</definedName>
    <definedName name="A__2">#REF!</definedName>
    <definedName name="A__2_1" localSheetId="4">#REF!</definedName>
    <definedName name="A__2_1">#REF!</definedName>
    <definedName name="A__3" localSheetId="4">#REF!</definedName>
    <definedName name="A__3">#REF!</definedName>
    <definedName name="A__3_1" localSheetId="4">#REF!</definedName>
    <definedName name="A__3_1">#REF!</definedName>
    <definedName name="A__4" localSheetId="4">#REF!</definedName>
    <definedName name="A__4">#REF!</definedName>
    <definedName name="A__4_1" localSheetId="4">#REF!</definedName>
    <definedName name="A__4_1">#REF!</definedName>
    <definedName name="A__5" localSheetId="4">#REF!</definedName>
    <definedName name="A__5">#REF!</definedName>
    <definedName name="A__5_1" localSheetId="4">#REF!</definedName>
    <definedName name="A__5_1">#REF!</definedName>
    <definedName name="A__6" localSheetId="4">#REF!</definedName>
    <definedName name="A__6">#REF!</definedName>
    <definedName name="A__6_1" localSheetId="4">#REF!</definedName>
    <definedName name="A__6_1">#REF!</definedName>
    <definedName name="A_1" localSheetId="4">#REF!</definedName>
    <definedName name="A_1">#REF!</definedName>
    <definedName name="A_1_1" localSheetId="4">#REF!</definedName>
    <definedName name="A_1_1">#REF!</definedName>
    <definedName name="A_2" localSheetId="4">#REF!</definedName>
    <definedName name="A_2">#REF!</definedName>
    <definedName name="A_2_1" localSheetId="4">#REF!</definedName>
    <definedName name="A_2_1">#REF!</definedName>
    <definedName name="A_3" localSheetId="4">#REF!</definedName>
    <definedName name="A_3">#REF!</definedName>
    <definedName name="A_3_1" localSheetId="4">#REF!</definedName>
    <definedName name="A_3_1">#REF!</definedName>
    <definedName name="A_4" localSheetId="4">#REF!</definedName>
    <definedName name="A_4">#REF!</definedName>
    <definedName name="a1B16279" localSheetId="4">#REF!</definedName>
    <definedName name="a1B16279">#REF!</definedName>
    <definedName name="Aa" localSheetId="1">#REF!</definedName>
    <definedName name="Aa" localSheetId="4">#REF!</definedName>
    <definedName name="Aa">#REF!</definedName>
    <definedName name="AAA" localSheetId="4">#REF!</definedName>
    <definedName name="AAA">#REF!</definedName>
    <definedName name="AAAA" localSheetId="4">#REF!</definedName>
    <definedName name="AAAA">#REF!</definedName>
    <definedName name="aaaaa" localSheetId="4">#REF!</definedName>
    <definedName name="aaaaa">#REF!</definedName>
    <definedName name="aaaaaa2" localSheetId="4">#REF!,#REF!</definedName>
    <definedName name="aaaaaa2">#REF!,#REF!</definedName>
    <definedName name="AAAAAAAA" localSheetId="4">#REF!,#REF!</definedName>
    <definedName name="AAAAAAAA">#REF!,#REF!</definedName>
    <definedName name="aaaaaaaaaaa" localSheetId="4">#REF!,#REF!</definedName>
    <definedName name="aaaaaaaaaaa">#REF!,#REF!</definedName>
    <definedName name="AADÇE">#REF!</definedName>
    <definedName name="AB" localSheetId="4">#REF!</definedName>
    <definedName name="AB">#REF!</definedName>
    <definedName name="ABC" localSheetId="1">#REF!</definedName>
    <definedName name="ABC" localSheetId="4">#REF!</definedName>
    <definedName name="ABC">#REF!</definedName>
    <definedName name="Ac">#REF!</definedName>
    <definedName name="acha.coluna">#REF!</definedName>
    <definedName name="acha.dados">#REF!</definedName>
    <definedName name="acha.linha">#REF!</definedName>
    <definedName name="ACRESC.22">#REF!</definedName>
    <definedName name="Adut" hidden="1">#REF!</definedName>
    <definedName name="ADWEF" localSheetId="1">#REF!</definedName>
    <definedName name="ADWEF">#REF!</definedName>
    <definedName name="ADWEF_1" localSheetId="1">#REF!</definedName>
    <definedName name="ADWEF_1">#REF!</definedName>
    <definedName name="ADWEFF">#REF!</definedName>
    <definedName name="AF" localSheetId="4">#REF!</definedName>
    <definedName name="AF">#REF!</definedName>
    <definedName name="AJUDA" localSheetId="4">#REF!</definedName>
    <definedName name="AJUDA">#REF!</definedName>
    <definedName name="Ala" localSheetId="4">#REF!</definedName>
    <definedName name="Ala">#REF!</definedName>
    <definedName name="Alex" localSheetId="4">#REF!</definedName>
    <definedName name="Alex">#REF!</definedName>
    <definedName name="ALIAS" localSheetId="4">#REF!</definedName>
    <definedName name="ALIAS">#REF!</definedName>
    <definedName name="ANA" localSheetId="4">#REF!</definedName>
    <definedName name="ANA">#REF!</definedName>
    <definedName name="ANEXO_10_MATRIZ_DE_RESPONSABILIDADE" localSheetId="4">#REF!</definedName>
    <definedName name="ANEXO_10_MATRIZ_DE_RESPONSABILIDADE">#REF!</definedName>
    <definedName name="anexo_I" localSheetId="4">#REF!</definedName>
    <definedName name="anexo_I">#REF!</definedName>
    <definedName name="APARENTE">#REF!</definedName>
    <definedName name="area" localSheetId="4">#REF!</definedName>
    <definedName name="area">#REF!</definedName>
    <definedName name="_xlnm.Print_Area" localSheetId="1">'10 - RESUMO'!$B$1:$E$315</definedName>
    <definedName name="_xlnm.Print_Area" localSheetId="2">'11 - FINANCEIRO'!$A$2:$M$318</definedName>
    <definedName name="_xlnm.Print_Area" localSheetId="3">'12 - CORPO'!$B$1:$U$5012</definedName>
    <definedName name="_xlnm.Print_Area" localSheetId="0">'8 - EVOLUÇÃO FINANCEIRA'!$B$1:$O$59</definedName>
    <definedName name="_xlnm.Print_Area" localSheetId="4">ACOMPANHAMENTO!$A$1:$GD$66</definedName>
    <definedName name="_xlnm.Print_Area" localSheetId="5">CRONOGRAMA!$A$1:$EJ$33</definedName>
    <definedName name="_xlnm.Print_Area" localSheetId="6">'ITENS SEM SALDO'!$B$2:$F$21</definedName>
    <definedName name="_xlnm.Print_Area">#REF!</definedName>
    <definedName name="Área_impressão_IM" localSheetId="4">"$#REF!.$A$1:$H$39"</definedName>
    <definedName name="Área_impressão_IM">"$#REF!.$A$1:$H$39"</definedName>
    <definedName name="Área_impressão_IM_1">"$#REF!.$A$1:$H$39"</definedName>
    <definedName name="Área_impressão_IM_5">"$#REF!.$A$1:$H$39"</definedName>
    <definedName name="areia" localSheetId="4">#REF!</definedName>
    <definedName name="areia">#REF!</definedName>
    <definedName name="Arial">#REF!</definedName>
    <definedName name="arta" localSheetId="4">#REF!</definedName>
    <definedName name="arta">#REF!</definedName>
    <definedName name="as" localSheetId="1">#REF!</definedName>
    <definedName name="as">#REF!</definedName>
    <definedName name="asa">#REF!</definedName>
    <definedName name="ASDASDASD">#REF!</definedName>
    <definedName name="asdf" localSheetId="1">#REF!</definedName>
    <definedName name="asdf">#REF!</definedName>
    <definedName name="ASDSSS" localSheetId="1">#REF!</definedName>
    <definedName name="ASDSSS">#REF!</definedName>
    <definedName name="ASFALTO">#REF!</definedName>
    <definedName name="ASFALTO_1">#REF!</definedName>
    <definedName name="ASPECTO_ARQ" localSheetId="4">#REF!</definedName>
    <definedName name="ASPECTO_ARQ">#REF!</definedName>
    <definedName name="ATA_DE_REUNIÃO" localSheetId="4">#REF!</definedName>
    <definedName name="ATA_DE_REUNIÃO">#REF!</definedName>
    <definedName name="ATERRO" localSheetId="4">#REF!</definedName>
    <definedName name="ATERRO">#REF!</definedName>
    <definedName name="ATERRO_100">#REF!</definedName>
    <definedName name="AUXILIARES">#REF!</definedName>
    <definedName name="B" localSheetId="4">#REF!</definedName>
    <definedName name="B">#REF!</definedName>
    <definedName name="B_MEC" localSheetId="4">#REF!</definedName>
    <definedName name="B_MEC">#REF!</definedName>
    <definedName name="BANCO">#REF!</definedName>
    <definedName name="Banco_dados_IM">#REF!</definedName>
    <definedName name="_xlnm.Database">#REF!</definedName>
    <definedName name="BBB" localSheetId="4">#REF!</definedName>
    <definedName name="BBB">#REF!</definedName>
    <definedName name="BBBB" localSheetId="4">#REF!</definedName>
    <definedName name="BBBB">#REF!</definedName>
    <definedName name="BBBBBBB" localSheetId="4">#REF!</definedName>
    <definedName name="BBBBBBB">#REF!</definedName>
    <definedName name="BC">#REF!</definedName>
    <definedName name="BDD_01">#REF!</definedName>
    <definedName name="BDI">#REF!</definedName>
    <definedName name="BDIc">#REF!</definedName>
    <definedName name="BDIf">#REF!</definedName>
    <definedName name="BDTC100">#REF!</definedName>
    <definedName name="BF" localSheetId="4">#REF!</definedName>
    <definedName name="BF">#REF!</definedName>
    <definedName name="BF_1" localSheetId="4">#REF!</definedName>
    <definedName name="BF_1">#REF!</definedName>
    <definedName name="BG" localSheetId="4">#REF!</definedName>
    <definedName name="BG">#REF!</definedName>
    <definedName name="BLOCO" localSheetId="4">#REF!</definedName>
    <definedName name="BLOCO">#REF!</definedName>
    <definedName name="BLOCRET" localSheetId="4">#REF!</definedName>
    <definedName name="BLOCRET">#REF!</definedName>
    <definedName name="BLOCRET_1" localSheetId="4">#REF!</definedName>
    <definedName name="BLOCRET_1">#REF!</definedName>
    <definedName name="BRITAS">#REF!</definedName>
    <definedName name="BTTC1200">#REF!</definedName>
    <definedName name="BTTC12001" localSheetId="4">#REF!</definedName>
    <definedName name="BTTC12001">#REF!</definedName>
    <definedName name="BTTC1200ADASDS" localSheetId="1">#REF!</definedName>
    <definedName name="BTTC1200ADASDS" localSheetId="4">#REF!</definedName>
    <definedName name="BTTC1200ADASDS">#REF!</definedName>
    <definedName name="cadm" localSheetId="4">#REF!</definedName>
    <definedName name="cadm">#REF!</definedName>
    <definedName name="carlos" localSheetId="4">#REF!</definedName>
    <definedName name="carlos">#REF!</definedName>
    <definedName name="CASH_FLOW" localSheetId="4">#REF!</definedName>
    <definedName name="CASH_FLOW">#REF!</definedName>
    <definedName name="CBUQ" localSheetId="4">#REF!,#REF!</definedName>
    <definedName name="CBUQ">#REF!,#REF!</definedName>
    <definedName name="cbuq2" localSheetId="4">#REF!,#REF!</definedName>
    <definedName name="cbuq2">#REF!,#REF!</definedName>
    <definedName name="ccc" localSheetId="4">#REF!,#REF!</definedName>
    <definedName name="ccc">#REF!,#REF!</definedName>
    <definedName name="CCCCCCCCCCCCCCCC" localSheetId="1">#REF!</definedName>
    <definedName name="CCCCCCCCCCCCCCCC">#REF!</definedName>
    <definedName name="CCCCCCCCCCCCCCCCC" localSheetId="1">#REF!</definedName>
    <definedName name="CCCCCCCCCCCCCCCCC">#REF!</definedName>
    <definedName name="ciclopico" localSheetId="4">#REF!</definedName>
    <definedName name="ciclopico">#REF!</definedName>
    <definedName name="ciclopico_1" localSheetId="4">#REF!</definedName>
    <definedName name="ciclopico_1">#REF!</definedName>
    <definedName name="Cliente" localSheetId="4">#REF!</definedName>
    <definedName name="Cliente">#REF!</definedName>
    <definedName name="Código" localSheetId="4">#REF!</definedName>
    <definedName name="Código">#REF!</definedName>
    <definedName name="COMPLETO">#REF!</definedName>
    <definedName name="compo1">#REF!</definedName>
    <definedName name="COMPOSICAO01">#REF!</definedName>
    <definedName name="COMPOSIÇÃO01">#REF!</definedName>
    <definedName name="COMPOSICAO01_1">#REF!</definedName>
    <definedName name="COMPOSICAO02">#REF!</definedName>
    <definedName name="COMPOSICAO02_1">#REF!</definedName>
    <definedName name="Comprimento_Equivalente">#REF!</definedName>
    <definedName name="concciclo">#REF!</definedName>
    <definedName name="concreto">#REF!</definedName>
    <definedName name="CONDICOES_ACESSO" localSheetId="4">#REF!</definedName>
    <definedName name="CONDICOES_ACESSO">#REF!</definedName>
    <definedName name="Construtora" localSheetId="4">#REF!</definedName>
    <definedName name="Construtora">#REF!</definedName>
    <definedName name="contratada" localSheetId="4">#REF!</definedName>
    <definedName name="contratada">#REF!</definedName>
    <definedName name="CORTE">#REF!</definedName>
    <definedName name="COTA_GREIDE" localSheetId="4">#REF!</definedName>
    <definedName name="COTA_GREIDE">#REF!</definedName>
    <definedName name="CPU">#REF!,#REF!</definedName>
    <definedName name="CRG_01" localSheetId="4">#REF!</definedName>
    <definedName name="CRG_01">#REF!</definedName>
    <definedName name="critério" localSheetId="4">#REF!</definedName>
    <definedName name="critério">#REF!</definedName>
    <definedName name="critério1">#REF!</definedName>
    <definedName name="crono">#REF!</definedName>
    <definedName name="cronograma">#REF!</definedName>
    <definedName name="CSA">#REF!</definedName>
    <definedName name="CSA_1">#REF!</definedName>
    <definedName name="CSPP">#REF!</definedName>
    <definedName name="CSPP_1">#REF!</definedName>
    <definedName name="CUSTO_DE_COMBUSTÍVEL_E_LUFRIFICANTES">#REF!</definedName>
    <definedName name="CustoReal">#REF!</definedName>
    <definedName name="cx" localSheetId="0" hidden="1">{#N/A,#N/A,FALSE,"MO (2)"}</definedName>
    <definedName name="cx" localSheetId="4" hidden="1">{#N/A,#N/A,FALSE,"MO (2)"}</definedName>
    <definedName name="cx" hidden="1">{#N/A,#N/A,FALSE,"MO (2)"}</definedName>
    <definedName name="cx." localSheetId="0" hidden="1">{#N/A,#N/A,FALSE,"MO (2)"}</definedName>
    <definedName name="cx." localSheetId="4" hidden="1">{#N/A,#N/A,FALSE,"MO (2)"}</definedName>
    <definedName name="cx." hidden="1">{#N/A,#N/A,FALSE,"MO (2)"}</definedName>
    <definedName name="D">#REF!</definedName>
    <definedName name="daddf" localSheetId="4">#REF!</definedName>
    <definedName name="daddf">#REF!</definedName>
    <definedName name="DADOS" localSheetId="4">#REF!</definedName>
    <definedName name="DADOS">#REF!</definedName>
    <definedName name="DASDA">#REF!</definedName>
    <definedName name="dat">#REF!</definedName>
    <definedName name="DATA">#REF!</definedName>
    <definedName name="DATA_17">#REF!</definedName>
    <definedName name="DATA_8">#REF!</definedName>
    <definedName name="data1">#REF!</definedName>
    <definedName name="dataf">#REF!</definedName>
    <definedName name="DD">#REF!</definedName>
    <definedName name="DD_2">#REF!</definedName>
    <definedName name="DD_5">#REF!</definedName>
    <definedName name="DDF">#REF!</definedName>
    <definedName name="Decréscimos">#REF!</definedName>
    <definedName name="DEFOFO">#REF!</definedName>
    <definedName name="DEFOFO100">#REF!</definedName>
    <definedName name="DEFOFO150">#REF!</definedName>
    <definedName name="DEFOFO200">#REF!</definedName>
    <definedName name="DEFOFO250">#REF!</definedName>
    <definedName name="DEFOFO300">#REF!</definedName>
    <definedName name="DEMANDA" localSheetId="4">#REF!</definedName>
    <definedName name="DEMANDA">#REF!</definedName>
    <definedName name="DEMOLIÇÃO" localSheetId="4">#REF!</definedName>
    <definedName name="DEMOLIÇÃO">#REF!</definedName>
    <definedName name="DENSIDADE_HABITACIONAL" localSheetId="4">#REF!</definedName>
    <definedName name="DENSIDADE_HABITACIONAL">#REF!</definedName>
    <definedName name="DESEMPENHO" localSheetId="4">#REF!</definedName>
    <definedName name="DESEMPENHO">#REF!</definedName>
    <definedName name="DESTERRO" localSheetId="4">#REF!</definedName>
    <definedName name="DESTERRO">#REF!</definedName>
    <definedName name="df" localSheetId="4">#REF!</definedName>
    <definedName name="df">#REF!</definedName>
    <definedName name="dfdd">#REF!</definedName>
    <definedName name="DFGFGD">#REF!</definedName>
    <definedName name="DFH" localSheetId="4">#REF!</definedName>
    <definedName name="DFH">#REF!</definedName>
    <definedName name="DIAMETRO" localSheetId="4">#REF!</definedName>
    <definedName name="DIAMETRO">#REF!</definedName>
    <definedName name="DIS" localSheetId="4">#REF!</definedName>
    <definedName name="DIS">#REF!</definedName>
    <definedName name="DOC" localSheetId="4">#REF!</definedName>
    <definedName name="DOC">#REF!</definedName>
    <definedName name="dois" localSheetId="4">#REF!</definedName>
    <definedName name="dois">#REF!</definedName>
    <definedName name="dre" localSheetId="4">#REF!</definedName>
    <definedName name="dre">#REF!</definedName>
    <definedName name="DREN">#REF!</definedName>
    <definedName name="drenag">#REF!</definedName>
    <definedName name="DRENAGEM" localSheetId="1">#REF!</definedName>
    <definedName name="DRENAGEM">#REF!</definedName>
    <definedName name="DRENAGEM_17" localSheetId="1">#REF!</definedName>
    <definedName name="DRENAGEM_17">#REF!</definedName>
    <definedName name="DRENAGEM_8" localSheetId="1">#REF!</definedName>
    <definedName name="DRENAGEM_8">#REF!</definedName>
    <definedName name="DSDS">("$#REF!.$A$1:$H$65184~$#REF!.$A$1:$AMJ$14)))))))")</definedName>
    <definedName name="DUDU" localSheetId="4">#REF!</definedName>
    <definedName name="DUDU">#REF!</definedName>
    <definedName name="E" localSheetId="4">#REF!</definedName>
    <definedName name="E">#REF!</definedName>
    <definedName name="EDT" localSheetId="4">#REF!</definedName>
    <definedName name="EDT">#REF!</definedName>
    <definedName name="EE" localSheetId="4">#REF!</definedName>
    <definedName name="ee">#REF!</definedName>
    <definedName name="EEE" localSheetId="4">#REF!</definedName>
    <definedName name="EEE">#REF!</definedName>
    <definedName name="EEEEE" localSheetId="4">#REF!</definedName>
    <definedName name="EEEEE">#REF!</definedName>
    <definedName name="EEEEEEEEEEEEEEEEEE" localSheetId="4">#REF!</definedName>
    <definedName name="EEEEEEEEEEEEEEEEEE">#REF!</definedName>
    <definedName name="EFETIVO" localSheetId="4">#REF!</definedName>
    <definedName name="EFETIVO">#REF!</definedName>
    <definedName name="EMPRE">#REF!</definedName>
    <definedName name="eng">#REF!</definedName>
    <definedName name="Eng.º_Const">#REF!</definedName>
    <definedName name="Eng.º_Super">#REF!</definedName>
    <definedName name="EQUIPAMENTO">#REF!</definedName>
    <definedName name="ER" localSheetId="4">#REF!</definedName>
    <definedName name="ER">#REF!</definedName>
    <definedName name="ES" localSheetId="4">#REF!</definedName>
    <definedName name="ES">#REF!</definedName>
    <definedName name="Esc.3" localSheetId="4">#REF!</definedName>
    <definedName name="Esc.3">#REF!</definedName>
    <definedName name="ESQUADRIAS" localSheetId="4">#REF!</definedName>
    <definedName name="ESQUADRIAS">#REF!</definedName>
    <definedName name="ESTABILIDADE" localSheetId="4">#REF!</definedName>
    <definedName name="ESTABILIDADE">#REF!</definedName>
    <definedName name="ESTADO_CONSERVACAO" localSheetId="4">#REF!</definedName>
    <definedName name="ESTADO_CONSERVACAO">#REF!</definedName>
    <definedName name="ETAPA">[1]DADOS!$A$2:$A$3</definedName>
    <definedName name="eu" localSheetId="0" hidden="1">{#N/A,#N/A,FALSE,"MO (2)"}</definedName>
    <definedName name="eu" localSheetId="4" hidden="1">{#N/A,#N/A,FALSE,"MO (2)"}</definedName>
    <definedName name="eu" hidden="1">{#N/A,#N/A,FALSE,"MO (2)"}</definedName>
    <definedName name="Excel_BuiltIn__FilterDatabase_1" localSheetId="4">#REF!</definedName>
    <definedName name="Excel_BuiltIn__FilterDatabase_1">#REF!</definedName>
    <definedName name="Excel_BuiltIn__FilterDatabase_10" localSheetId="4">#REF!</definedName>
    <definedName name="Excel_BuiltIn__FilterDatabase_10">#REF!</definedName>
    <definedName name="Excel_BuiltIn__FilterDatabase_10_12" localSheetId="4">#REF!</definedName>
    <definedName name="Excel_BuiltIn__FilterDatabase_10_12">#REF!</definedName>
    <definedName name="Excel_BuiltIn__FilterDatabase_11">#REF!</definedName>
    <definedName name="Excel_BuiltIn__FilterDatabase_12">#REF!</definedName>
    <definedName name="Excel_BuiltIn__FilterDatabase_2">#REF!</definedName>
    <definedName name="Excel_BuiltIn__FilterDatabase_3">#REF!</definedName>
    <definedName name="Excel_BuiltIn__FilterDatabase_3_1">#REF!</definedName>
    <definedName name="Excel_BuiltIn__FilterDatabase_3_4">#REF!</definedName>
    <definedName name="Excel_BuiltIn__FilterDatabase_4">#REF!</definedName>
    <definedName name="Excel_BuiltIn__FilterDatabase_4_1" localSheetId="4">#REF!</definedName>
    <definedName name="Excel_BuiltIn__FilterDatabase_4_1">#REF!</definedName>
    <definedName name="Excel_BuiltIn__FilterDatabase_4_10" localSheetId="4">#REF!</definedName>
    <definedName name="Excel_BuiltIn__FilterDatabase_4_10">#REF!</definedName>
    <definedName name="Excel_BuiltIn__FilterDatabase_5" localSheetId="4">#REF!</definedName>
    <definedName name="Excel_BuiltIn__FilterDatabase_5">#REF!</definedName>
    <definedName name="Excel_BuiltIn__FilterDatabase_6" localSheetId="4">#REF!</definedName>
    <definedName name="Excel_BuiltIn__FilterDatabase_6">#REF!</definedName>
    <definedName name="Excel_BuiltIn__FilterDatabase_7">"$Terraplenagem.$#REF!$#REF!:$#REF!$#REF!"</definedName>
    <definedName name="Excel_BuiltIn__FilterDatabase_8">"$#REF!.$#REF!$#REF!:$#REF!$#REF!"</definedName>
    <definedName name="Excel_BuiltIn__FilterDatabase_9">"$#REF!.$#REF!$#REF!:$#REF!$#REF!"</definedName>
    <definedName name="Excel_BuiltIn_Database" localSheetId="4">#REF!</definedName>
    <definedName name="Excel_BuiltIn_Database">#REF!</definedName>
    <definedName name="Excel_BuiltIn_Database_1" localSheetId="4">#REF!</definedName>
    <definedName name="Excel_BuiltIn_Database_1">#REF!</definedName>
    <definedName name="Excel_BuiltIn_Database_6" localSheetId="4">#REF!</definedName>
    <definedName name="Excel_BuiltIn_Database_6">#REF!</definedName>
    <definedName name="Excel_BuiltIn_Print_Area">"$#REF!.$A$1:$F$145"</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_1">#REF!</definedName>
    <definedName name="Excel_BuiltIn_Print_Area_12_1_1">#REF!</definedName>
    <definedName name="Excel_BuiltIn_Print_Area_13_1">#REF!</definedName>
    <definedName name="Excel_BuiltIn_Print_Area_14_1">#REF!</definedName>
    <definedName name="Excel_BuiltIn_Print_Area_15">#REF!</definedName>
    <definedName name="Excel_BuiltIn_Print_Area_16">#REF!</definedName>
    <definedName name="Excel_BuiltIn_Print_Area_17">#REF!</definedName>
    <definedName name="Excel_BuiltIn_Print_Area_18">#REF!</definedName>
    <definedName name="Excel_BuiltIn_Print_Area_19">#REF!</definedName>
    <definedName name="Excel_BuiltIn_Print_Area_2_1">#REF!</definedName>
    <definedName name="Excel_BuiltIn_Print_Area_20">#REF!</definedName>
    <definedName name="Excel_BuiltIn_Print_Area_20_1">#REF!</definedName>
    <definedName name="Excel_BuiltIn_Print_Area_21">#REF!</definedName>
    <definedName name="Excel_BuiltIn_Print_Area_22">#REF!</definedName>
    <definedName name="Excel_BuiltIn_Print_Area_23">#REF!</definedName>
    <definedName name="Excel_BuiltIn_Print_Area_24">#REF!</definedName>
    <definedName name="Excel_BuiltIn_Print_Area_24_1">#REF!</definedName>
    <definedName name="Excel_BuiltIn_Print_Area_25">#REF!</definedName>
    <definedName name="Excel_BuiltIn_Print_Area_26">#REF!</definedName>
    <definedName name="Excel_BuiltIn_Print_Area_27">#REF!</definedName>
    <definedName name="Excel_BuiltIn_Print_Area_28">#REF!</definedName>
    <definedName name="Excel_BuiltIn_Print_Area_29">#REF!</definedName>
    <definedName name="Excel_BuiltIn_Print_Area_3">#REF!</definedName>
    <definedName name="Excel_BuiltIn_Print_Area_3_1">#REF!</definedName>
    <definedName name="Excel_BuiltIn_Print_Area_3_1_1">#REF!</definedName>
    <definedName name="Excel_BuiltIn_Print_Area_30">#REF!</definedName>
    <definedName name="Excel_BuiltIn_Print_Area_31">#REF!</definedName>
    <definedName name="Excel_BuiltIn_Print_Area_32">#REF!</definedName>
    <definedName name="Excel_BuiltIn_Print_Area_33">#REF!</definedName>
    <definedName name="Excel_BuiltIn_Print_Area_34">#REF!</definedName>
    <definedName name="Excel_BuiltIn_Print_Area_35">#REF!</definedName>
    <definedName name="Excel_BuiltIn_Print_Area_36">#REF!</definedName>
    <definedName name="Excel_BuiltIn_Print_Area_37">#REF!</definedName>
    <definedName name="Excel_BuiltIn_Print_Area_38">#REF!</definedName>
    <definedName name="Excel_BuiltIn_Print_Area_4">#REF!</definedName>
    <definedName name="Excel_BuiltIn_Print_Area_4_1">#REF!</definedName>
    <definedName name="Excel_BuiltIn_Print_Area_4_1_1">"$#REF!.$A$3:$BN$276"</definedName>
    <definedName name="Excel_BuiltIn_Print_Area_5">"$#REF!.$A$1:$H$302"</definedName>
    <definedName name="Excel_BuiltIn_Print_Area_5_1" localSheetId="1">#REF!</definedName>
    <definedName name="Excel_BuiltIn_Print_Area_5_1">#REF!</definedName>
    <definedName name="Excel_BuiltIn_Print_Area_5_1_1" localSheetId="1">#REF!</definedName>
    <definedName name="Excel_BuiltIn_Print_Area_5_1_1">#REF!</definedName>
    <definedName name="Excel_BuiltIn_Print_Area_5_1_1_1" localSheetId="1">#REF!</definedName>
    <definedName name="Excel_BuiltIn_Print_Area_5_1_1_1">#REF!</definedName>
    <definedName name="Excel_BuiltIn_Print_Area_6">"$#REF!.$A$1:$X$14"</definedName>
    <definedName name="Excel_BuiltIn_Print_Area_6_1" localSheetId="4">#REF!</definedName>
    <definedName name="Excel_BuiltIn_Print_Area_6_1">#REF!</definedName>
    <definedName name="Excel_BuiltIn_Print_Area_6_1_1" localSheetId="4">#REF!</definedName>
    <definedName name="Excel_BuiltIn_Print_Area_6_1_1">#REF!</definedName>
    <definedName name="Excel_BuiltIn_Print_Area_7">"$#REF!.$A$1:$G$30"</definedName>
    <definedName name="Excel_BuiltIn_Print_Area_7_1" localSheetId="4">#REF!</definedName>
    <definedName name="Excel_BuiltIn_Print_Area_7_1">#REF!</definedName>
    <definedName name="Excel_BuiltIn_Print_Area_7_1_1" localSheetId="4">#REF!</definedName>
    <definedName name="Excel_BuiltIn_Print_Area_7_1_1">#REF!</definedName>
    <definedName name="Excel_BuiltIn_Print_Area_8_1" localSheetId="4">#REF!</definedName>
    <definedName name="Excel_BuiltIn_Print_Area_8_1">#REF!</definedName>
    <definedName name="Excel_BuiltIn_Print_Area_9_1">#REF!</definedName>
    <definedName name="Excel_BuiltIn_Print_Area_9_1_1">#REF!</definedName>
    <definedName name="Excel_BuiltIn_Print_Titles_1" localSheetId="4">#REF!</definedName>
    <definedName name="Excel_BuiltIn_Print_Titles_1">#REF!</definedName>
    <definedName name="Excel_BuiltIn_Print_Titles_1_1" localSheetId="4">#REF!</definedName>
    <definedName name="Excel_BuiltIn_Print_Titles_1_1">#REF!</definedName>
    <definedName name="Excel_BuiltIn_Print_Titles_10">#REF!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#REF!</definedName>
    <definedName name="Excel_BuiltIn_Print_Titles_2">#REF!</definedName>
    <definedName name="Excel_BuiltIn_Print_Titles_2_1">#REF!</definedName>
    <definedName name="Excel_BuiltIn_Print_Titles_20">#REF!</definedName>
    <definedName name="Excel_BuiltIn_Print_Titles_21">#REF!</definedName>
    <definedName name="Excel_BuiltIn_Print_Titles_22">#REF!</definedName>
    <definedName name="Excel_BuiltIn_Print_Titles_23">#REF!</definedName>
    <definedName name="Excel_BuiltIn_Print_Titles_24">#REF!</definedName>
    <definedName name="Excel_BuiltIn_Print_Titles_25">#REF!</definedName>
    <definedName name="Excel_BuiltIn_Print_Titles_26">#REF!</definedName>
    <definedName name="Excel_BuiltIn_Print_Titles_27">#REF!</definedName>
    <definedName name="Excel_BuiltIn_Print_Titles_28">#REF!</definedName>
    <definedName name="Excel_BuiltIn_Print_Titles_29">#REF!</definedName>
    <definedName name="Excel_BuiltIn_Print_Titles_3">#REF!</definedName>
    <definedName name="Excel_BuiltIn_Print_Titles_3_1">#REF!</definedName>
    <definedName name="Excel_BuiltIn_Print_Titles_3_1_1">#REF!</definedName>
    <definedName name="Excel_BuiltIn_Print_Titles_30">#REF!</definedName>
    <definedName name="Excel_BuiltIn_Print_Titles_31">#REF!</definedName>
    <definedName name="Excel_BuiltIn_Print_Titles_32">#REF!</definedName>
    <definedName name="Excel_BuiltIn_Print_Titles_33">#REF!</definedName>
    <definedName name="Excel_BuiltIn_Print_Titles_34">#REF!</definedName>
    <definedName name="Excel_BuiltIn_Print_Titles_35">#REF!</definedName>
    <definedName name="Excel_BuiltIn_Print_Titles_36">#REF!</definedName>
    <definedName name="Excel_BuiltIn_Print_Titles_37">#REF!</definedName>
    <definedName name="Excel_BuiltIn_Print_Titles_38">#REF!</definedName>
    <definedName name="Excel_BuiltIn_Print_Titles_4">#REF!</definedName>
    <definedName name="Excel_BuiltIn_Print_Titles_4_1">#REF!</definedName>
    <definedName name="Excel_BuiltIn_Print_Titles_5">("$#REF!.$A$1:$H$65184~$#REF!.$A$1:$AMJ$14))))))))))))))))))))))")</definedName>
    <definedName name="Excel_BuiltIn_Print_Titles_5_1" localSheetId="4">#REF!</definedName>
    <definedName name="Excel_BuiltIn_Print_Titles_5_1">#REF!</definedName>
    <definedName name="Excel_BuiltIn_Print_Titles_5_1_1" localSheetId="4">#REF!</definedName>
    <definedName name="Excel_BuiltIn_Print_Titles_5_1_1">#REF!</definedName>
    <definedName name="Excel_BuiltIn_Print_Titles_6">("$#REF!.$A$1:$X$65206~$#REF!.$A$1:$AMJ$7))))))))))))))))))))))")</definedName>
    <definedName name="Excel_BuiltIn_Print_Titles_6_1" localSheetId="4">#REF!</definedName>
    <definedName name="Excel_BuiltIn_Print_Titles_6_1">#REF!</definedName>
    <definedName name="Excel_BuiltIn_Print_Titles_7" localSheetId="4">#REF!</definedName>
    <definedName name="Excel_BuiltIn_Print_Titles_7">#REF!</definedName>
    <definedName name="Excel_BuiltIn_Print_Titles_9" localSheetId="4">#REF!</definedName>
    <definedName name="Excel_BuiltIn_Print_Titles_9">#REF!</definedName>
    <definedName name="Excel_BuiltIn_Print_Titles_9_1">#REF!</definedName>
    <definedName name="Exist">#REF!</definedName>
    <definedName name="EXTENSÃO">#REF!</definedName>
    <definedName name="EXTENSÃO_1">#REF!</definedName>
    <definedName name="extred100" localSheetId="4">#REF!</definedName>
    <definedName name="extred100">#REF!</definedName>
    <definedName name="EXTREDE" localSheetId="4">#REF!</definedName>
    <definedName name="EXTREDE">#REF!</definedName>
    <definedName name="EXTREDE_1" localSheetId="4">#REF!</definedName>
    <definedName name="EXTREDE_1">#REF!</definedName>
    <definedName name="F" hidden="1">#REF!</definedName>
    <definedName name="FACILID_ESTACIONAMENTO" localSheetId="4">#REF!</definedName>
    <definedName name="FACILID_ESTACIONAMENTO">#REF!</definedName>
    <definedName name="FatSabadoOut" localSheetId="4">#REF!</definedName>
    <definedName name="FatSabadoOut">#REF!</definedName>
    <definedName name="FatSextaOut" localSheetId="4">#REF!</definedName>
    <definedName name="FatSextaOut">#REF!</definedName>
    <definedName name="fd" localSheetId="4">#REF!</definedName>
    <definedName name="fd">#REF!</definedName>
    <definedName name="FDEee" localSheetId="4">#REF!</definedName>
    <definedName name="FDEee">#REF!</definedName>
    <definedName name="FECHAMENTO_PAREDES" localSheetId="4">#REF!</definedName>
    <definedName name="FECHAMENTO_PAREDES">#REF!</definedName>
    <definedName name="ffdf" localSheetId="4">#REF!</definedName>
    <definedName name="ffdf">#REF!</definedName>
    <definedName name="FFFD" localSheetId="4">#REF!</definedName>
    <definedName name="FFFD">#REF!</definedName>
    <definedName name="fffff" localSheetId="0" hidden="1">{"'EI 060 02'!$A$1:$K$59"}</definedName>
    <definedName name="fffff" localSheetId="4" hidden="1">{"'EI 060 02'!$A$1:$K$59"}</definedName>
    <definedName name="fffff" hidden="1">{"'EI 060 02'!$A$1:$K$59"}</definedName>
    <definedName name="FGHFG">#REF!</definedName>
    <definedName name="FINALIDADE" localSheetId="4">#REF!</definedName>
    <definedName name="FINALIDADE">#REF!</definedName>
    <definedName name="FOFO" localSheetId="4">#REF!</definedName>
    <definedName name="FOFO">#REF!</definedName>
    <definedName name="FOFO150" localSheetId="4">#REF!</definedName>
    <definedName name="FOFO150">#REF!</definedName>
    <definedName name="FOFO200">#REF!</definedName>
    <definedName name="FOFO50">#REF!</definedName>
    <definedName name="FOFO75">#REF!</definedName>
    <definedName name="FOFO80">#REF!</definedName>
    <definedName name="FORMATO" localSheetId="4">#REF!</definedName>
    <definedName name="FORMATO">#REF!</definedName>
    <definedName name="Formula" localSheetId="4">#REF!</definedName>
    <definedName name="Formula">#REF!</definedName>
    <definedName name="Formula_1" localSheetId="4">#REF!</definedName>
    <definedName name="Formula_1">#REF!</definedName>
    <definedName name="Formula_10">#REF!</definedName>
    <definedName name="Formula_2">#REF!</definedName>
    <definedName name="Formula_3">#REF!</definedName>
    <definedName name="Formula_4">#REF!</definedName>
    <definedName name="Formula_5">#REF!</definedName>
    <definedName name="Formula_5_1">#REF!</definedName>
    <definedName name="Formula_6">#REF!</definedName>
    <definedName name="Fot" localSheetId="0" hidden="1">{"'EI 060 02'!$A$1:$K$59"}</definedName>
    <definedName name="Fot" localSheetId="4" hidden="1">{"'EI 060 02'!$A$1:$K$59"}</definedName>
    <definedName name="Fot" hidden="1">{"'EI 060 02'!$A$1:$K$59"}</definedName>
    <definedName name="FRD">#REF!</definedName>
    <definedName name="frtiop" localSheetId="4">#REF!</definedName>
    <definedName name="frtiop">#REF!</definedName>
    <definedName name="FUNDAMENTACAO_PRECISAO" localSheetId="4">#REF!</definedName>
    <definedName name="FUNDAMENTACAO_PRECISAO">#REF!</definedName>
    <definedName name="FxA">[2]Metodologia!$I$10</definedName>
    <definedName name="FxB">[2]Metodologia!$K$10</definedName>
    <definedName name="FxC">[2]Metodologia!$M$10</definedName>
    <definedName name="FxX">[2]Granulometria!$H$7</definedName>
    <definedName name="g" localSheetId="1">#REF!</definedName>
    <definedName name="g" localSheetId="4">#REF!</definedName>
    <definedName name="g">#REF!</definedName>
    <definedName name="GERAL" localSheetId="4">#REF!</definedName>
    <definedName name="GERAL">#REF!</definedName>
    <definedName name="gfdgh" localSheetId="1">#REF!</definedName>
    <definedName name="gfdgh" localSheetId="4">#REF!</definedName>
    <definedName name="gfdgh">#REF!</definedName>
    <definedName name="ggg" localSheetId="4">#REF!</definedName>
    <definedName name="ggg">#REF!</definedName>
    <definedName name="ghd" localSheetId="1">#REF!</definedName>
    <definedName name="ghd">#REF!</definedName>
    <definedName name="gil">#REF!</definedName>
    <definedName name="_xlnm.Recorder">#REF!</definedName>
    <definedName name="h" localSheetId="4">#REF!</definedName>
    <definedName name="h">#REF!</definedName>
    <definedName name="HABITABILIDADE" localSheetId="4">#REF!</definedName>
    <definedName name="HABITABILIDADE">#REF!</definedName>
    <definedName name="hd" localSheetId="4">#REF!</definedName>
    <definedName name="hd">#REF!</definedName>
    <definedName name="hh" localSheetId="4">#REF!</definedName>
    <definedName name="hh">#REF!</definedName>
    <definedName name="HHHHHHHHHHHHHHHHHHHHHH">#REF!</definedName>
    <definedName name="hnc">#REF!</definedName>
    <definedName name="HTML_CodePage" hidden="1">1252</definedName>
    <definedName name="HTML_Control" localSheetId="0" hidden="1">{"'EI 060 02'!$A$1:$K$59"}</definedName>
    <definedName name="HTML_Control" localSheetId="4"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localSheetId="4" hidden="1">FALSE</definedName>
    <definedName name="HTML_LineAfter" hidden="1">FALSE</definedName>
    <definedName name="HTML_LineBefore" localSheetId="4" hidden="1">FALSE</definedName>
    <definedName name="HTML_LineBefore" hidden="1">FALSE</definedName>
    <definedName name="HTML_Name" hidden="1">"Keyloir"</definedName>
    <definedName name="HTML_OBDlg2" localSheetId="4" hidden="1">TRUE</definedName>
    <definedName name="HTML_OBDlg2" hidden="1">TRUE</definedName>
    <definedName name="HTML_OBDlg4" localSheetId="4" hidden="1">TRUE</definedName>
    <definedName name="HTML_OBDlg4" hidden="1">TRUE</definedName>
    <definedName name="HTML_OS" hidden="1">0</definedName>
    <definedName name="HTML_PathFile" hidden="1">"C:\Meus documentos\EI 060-02.htm"</definedName>
    <definedName name="HTML_Title" hidden="1">"EI 060-02 Relatório"</definedName>
    <definedName name="hush" localSheetId="4">#REF!</definedName>
    <definedName name="hush">#REF!</definedName>
    <definedName name="I" localSheetId="4" hidden="1">#REF!</definedName>
    <definedName name="I" hidden="1">#REF!</definedName>
    <definedName name="il">#REF!</definedName>
    <definedName name="Im" localSheetId="4">#REF!</definedName>
    <definedName name="Im">#REF!</definedName>
    <definedName name="ImprBrit">#REF!</definedName>
    <definedName name="ImprBritA3">#REF!</definedName>
    <definedName name="impress">"$#REF!.$A$1:$O$42"</definedName>
    <definedName name="IMPRESSÃO" localSheetId="4">#REF!</definedName>
    <definedName name="IMPRESSÃO">#REF!</definedName>
    <definedName name="imprimação" localSheetId="4">#REF!,#REF!</definedName>
    <definedName name="imprimação">#REF!,#REF!</definedName>
    <definedName name="ImprRelA3">#REF!</definedName>
    <definedName name="ImprRelA4">#REF!</definedName>
    <definedName name="INCLINACAO" localSheetId="4">#REF!</definedName>
    <definedName name="INCLINACAO">#REF!</definedName>
    <definedName name="ind" localSheetId="4">#REF!</definedName>
    <definedName name="ind">#REF!</definedName>
    <definedName name="ÍND" localSheetId="4">#REF!</definedName>
    <definedName name="ÍND">#REF!</definedName>
    <definedName name="INDICE">#REF!</definedName>
    <definedName name="INDICE_10" localSheetId="4">#REF!</definedName>
    <definedName name="INDICE_10">#REF!</definedName>
    <definedName name="INDICE_13" localSheetId="4">#REF!</definedName>
    <definedName name="INDICE_13">#REF!</definedName>
    <definedName name="INDICE_16" localSheetId="1">#REF!</definedName>
    <definedName name="INDICE_16" localSheetId="4">#REF!</definedName>
    <definedName name="INDICE_16">#REF!</definedName>
    <definedName name="INDICE_17" localSheetId="1">#REF!</definedName>
    <definedName name="INDICE_17" localSheetId="4">#REF!</definedName>
    <definedName name="INDICE_17">#REF!</definedName>
    <definedName name="INDICE_2" localSheetId="1">#REF!</definedName>
    <definedName name="INDICE_2">#REF!</definedName>
    <definedName name="INDICE_5">#REF!</definedName>
    <definedName name="indice2">#REF!</definedName>
    <definedName name="InhaltsvezSUMMEN" localSheetId="4">#REF!</definedName>
    <definedName name="InhaltsvezSUMMEN">#REF!</definedName>
    <definedName name="INSS" localSheetId="4">#REF!</definedName>
    <definedName name="INSS">#REF!</definedName>
    <definedName name="INSUMOS" localSheetId="4">#REF!</definedName>
    <definedName name="INSUMOS">#REF!</definedName>
    <definedName name="intemizacao" localSheetId="4">#REF!</definedName>
    <definedName name="intemizacao">#REF!</definedName>
    <definedName name="Io" localSheetId="4">#REF!</definedName>
    <definedName name="Io">#REF!</definedName>
    <definedName name="ISS">#REF!</definedName>
    <definedName name="IT">#REF!</definedName>
    <definedName name="Item">"'file://Execucao/lobo 1/Renato Lobo/234 MBR/Planilhas/Vargem Grande.xls'#$'Planilha Original'.$A$2:'file://Execucao/lobo 1/Renato Lobo/234 MBR/Planilhas/Vargem Grande.xls'#$'Planilha Original'.$X$3277"</definedName>
    <definedName name="item1" localSheetId="4">#REF!</definedName>
    <definedName name="item1">#REF!</definedName>
    <definedName name="item1.1" localSheetId="4">#REF!</definedName>
    <definedName name="item1.1">#REF!</definedName>
    <definedName name="item1.2" localSheetId="4">#REF!</definedName>
    <definedName name="item1.2">#REF!</definedName>
    <definedName name="item1.3">#REF!</definedName>
    <definedName name="item1.4">#REF!</definedName>
    <definedName name="item1.5">#REF!</definedName>
    <definedName name="item1.6">#REF!</definedName>
    <definedName name="item10.1">#REF!</definedName>
    <definedName name="item10.10">#REF!</definedName>
    <definedName name="item10.11">#REF!</definedName>
    <definedName name="item10.12">#REF!</definedName>
    <definedName name="item10.13">#REF!</definedName>
    <definedName name="item10.14">#REF!</definedName>
    <definedName name="item10.15">#REF!</definedName>
    <definedName name="item10.16">#REF!</definedName>
    <definedName name="item10.17">#REF!</definedName>
    <definedName name="item10.18">#REF!</definedName>
    <definedName name="item10.19">#REF!</definedName>
    <definedName name="item10.2">#REF!</definedName>
    <definedName name="item10.3">#REF!</definedName>
    <definedName name="item10.4">#REF!</definedName>
    <definedName name="item10.5">#REF!</definedName>
    <definedName name="item10.6">#REF!</definedName>
    <definedName name="item10.7">#REF!</definedName>
    <definedName name="item10.8">#REF!</definedName>
    <definedName name="item10.9">#REF!</definedName>
    <definedName name="item11.1">#REF!</definedName>
    <definedName name="item11.10">#REF!</definedName>
    <definedName name="item11.11">#REF!</definedName>
    <definedName name="item11.12">#REF!</definedName>
    <definedName name="item11.13">#REF!</definedName>
    <definedName name="item11.14">#REF!</definedName>
    <definedName name="item11.15">#REF!</definedName>
    <definedName name="item11.16">#REF!</definedName>
    <definedName name="item11.17">#REF!</definedName>
    <definedName name="item11.18">#REF!</definedName>
    <definedName name="item11.19">#REF!</definedName>
    <definedName name="item11.2">#REF!</definedName>
    <definedName name="item11.20">#REF!</definedName>
    <definedName name="item11.21">#REF!</definedName>
    <definedName name="item11.22">#REF!</definedName>
    <definedName name="item11.23">#REF!</definedName>
    <definedName name="item11.24">#REF!</definedName>
    <definedName name="item11.25">#REF!</definedName>
    <definedName name="item11.26">#REF!</definedName>
    <definedName name="item11.27">#REF!</definedName>
    <definedName name="item11.28">#REF!</definedName>
    <definedName name="item11.3">#REF!</definedName>
    <definedName name="item11.4">#REF!</definedName>
    <definedName name="item11.5">#REF!</definedName>
    <definedName name="item11.6">#REF!</definedName>
    <definedName name="item11.7">#REF!</definedName>
    <definedName name="item11.8">#REF!</definedName>
    <definedName name="item11.9">#REF!</definedName>
    <definedName name="item12.0">#REF!</definedName>
    <definedName name="item12.1">#REF!</definedName>
    <definedName name="item12.10">#REF!</definedName>
    <definedName name="item12.11">#REF!</definedName>
    <definedName name="item12.12">#REF!</definedName>
    <definedName name="item12.13">#REF!</definedName>
    <definedName name="item12.14">#REF!</definedName>
    <definedName name="item12.15">#REF!</definedName>
    <definedName name="item12.16">#REF!</definedName>
    <definedName name="item12.17">#REF!</definedName>
    <definedName name="item12.18">#REF!</definedName>
    <definedName name="item12.19">#REF!</definedName>
    <definedName name="item12.2">#REF!</definedName>
    <definedName name="item12.20">#REF!</definedName>
    <definedName name="item12.21">#REF!</definedName>
    <definedName name="item12.22">#REF!</definedName>
    <definedName name="item12.23">#REF!</definedName>
    <definedName name="item12.24">#REF!</definedName>
    <definedName name="item12.25">#REF!</definedName>
    <definedName name="item12.26">#REF!</definedName>
    <definedName name="item12.27">#REF!</definedName>
    <definedName name="item12.3">#REF!</definedName>
    <definedName name="item12.4">#REF!</definedName>
    <definedName name="item12.5">#REF!</definedName>
    <definedName name="item12.6">#REF!</definedName>
    <definedName name="item12.7">#REF!</definedName>
    <definedName name="item12.8">#REF!</definedName>
    <definedName name="item12.9">#REF!</definedName>
    <definedName name="item13.1">#REF!</definedName>
    <definedName name="item13.10">#REF!</definedName>
    <definedName name="item13.11">#REF!</definedName>
    <definedName name="item13.12">#REF!</definedName>
    <definedName name="item13.13">#REF!</definedName>
    <definedName name="item13.2">#REF!</definedName>
    <definedName name="item13.3">#REF!</definedName>
    <definedName name="item13.4">#REF!</definedName>
    <definedName name="item13.5">#REF!</definedName>
    <definedName name="item13.6">#REF!</definedName>
    <definedName name="item13.7">#REF!</definedName>
    <definedName name="item13.8">#REF!</definedName>
    <definedName name="item13.9">#REF!</definedName>
    <definedName name="item14.1">#REF!</definedName>
    <definedName name="item14.2">#REF!</definedName>
    <definedName name="item14.3">#REF!</definedName>
    <definedName name="item14.4">#REF!</definedName>
    <definedName name="item14.5">#REF!</definedName>
    <definedName name="item14.6">#REF!</definedName>
    <definedName name="item15.1">#REF!</definedName>
    <definedName name="item15.10">#REF!</definedName>
    <definedName name="item15.11">#REF!</definedName>
    <definedName name="item15.12">#REF!</definedName>
    <definedName name="item15.13">#REF!</definedName>
    <definedName name="item15.2">#REF!</definedName>
    <definedName name="item15.3">#REF!</definedName>
    <definedName name="item15.4">#REF!</definedName>
    <definedName name="item15.5">#REF!</definedName>
    <definedName name="item15.6">#REF!</definedName>
    <definedName name="item15.7">#REF!</definedName>
    <definedName name="item15.8">#REF!</definedName>
    <definedName name="item15.9">#REF!</definedName>
    <definedName name="item2.1">#REF!</definedName>
    <definedName name="item2.10">#REF!</definedName>
    <definedName name="item2.11">#REF!</definedName>
    <definedName name="item2.12">#REF!</definedName>
    <definedName name="item2.13">#REF!</definedName>
    <definedName name="item2.14">#REF!</definedName>
    <definedName name="item2.15">#REF!</definedName>
    <definedName name="item2.16">#REF!</definedName>
    <definedName name="item2.17">#REF!</definedName>
    <definedName name="item2.18">#REF!</definedName>
    <definedName name="item2.19">#REF!</definedName>
    <definedName name="item2.2">#REF!</definedName>
    <definedName name="item2.20">#REF!</definedName>
    <definedName name="item2.21">#REF!</definedName>
    <definedName name="item2.22">#REF!</definedName>
    <definedName name="item2.23">#REF!</definedName>
    <definedName name="item2.24">#REF!</definedName>
    <definedName name="item2.25">#REF!</definedName>
    <definedName name="item2.26">#REF!</definedName>
    <definedName name="item2.27">#REF!</definedName>
    <definedName name="item2.3">#REF!</definedName>
    <definedName name="item2.4">#REF!</definedName>
    <definedName name="item2.5">#REF!</definedName>
    <definedName name="item2.6">#REF!</definedName>
    <definedName name="item2.7">#REF!</definedName>
    <definedName name="item2.8">#REF!</definedName>
    <definedName name="item2.9">#REF!</definedName>
    <definedName name="item3.1">#REF!</definedName>
    <definedName name="item3.2">#REF!</definedName>
    <definedName name="item3.3">#REF!</definedName>
    <definedName name="item4.1">#REF!</definedName>
    <definedName name="item4.2">#REF!</definedName>
    <definedName name="item4.3">#REF!</definedName>
    <definedName name="item4.4">#REF!</definedName>
    <definedName name="item4.5">#REF!</definedName>
    <definedName name="item4.6">#REF!</definedName>
    <definedName name="item4.7">#REF!</definedName>
    <definedName name="item5.1">#REF!</definedName>
    <definedName name="item5.2">#REF!</definedName>
    <definedName name="item5.3">#REF!</definedName>
    <definedName name="item5.4">#REF!</definedName>
    <definedName name="item5.5">#REF!</definedName>
    <definedName name="item5.6">#REF!</definedName>
    <definedName name="item5.7">#REF!</definedName>
    <definedName name="item6.1">#REF!</definedName>
    <definedName name="item6.2">#REF!</definedName>
    <definedName name="item6.3">#REF!</definedName>
    <definedName name="item6.4">#REF!</definedName>
    <definedName name="item6.5">#REF!</definedName>
    <definedName name="item7.1">#REF!</definedName>
    <definedName name="item7.10">#REF!</definedName>
    <definedName name="item7.11">#REF!</definedName>
    <definedName name="item7.12">#REF!</definedName>
    <definedName name="item7.13">#REF!</definedName>
    <definedName name="item7.14">#REF!</definedName>
    <definedName name="item7.15">#REF!</definedName>
    <definedName name="item7.16">#REF!</definedName>
    <definedName name="item7.17">#REF!</definedName>
    <definedName name="item7.18">#REF!</definedName>
    <definedName name="item7.19">#REF!</definedName>
    <definedName name="item7.2">#REF!</definedName>
    <definedName name="item7.3">#REF!</definedName>
    <definedName name="item7.4">#REF!</definedName>
    <definedName name="item7.5">#REF!</definedName>
    <definedName name="item7.6">#REF!</definedName>
    <definedName name="item7.7">#REF!</definedName>
    <definedName name="item7.8">#REF!</definedName>
    <definedName name="item7.9">#REF!</definedName>
    <definedName name="item8.1">#REF!</definedName>
    <definedName name="item8.2">#REF!</definedName>
    <definedName name="item8.3">#REF!</definedName>
    <definedName name="item8.4">#REF!</definedName>
    <definedName name="item8.5">#REF!</definedName>
    <definedName name="item8.6">#REF!</definedName>
    <definedName name="item9.1">#REF!</definedName>
    <definedName name="item9.2">#REF!</definedName>
    <definedName name="item9.3">#REF!</definedName>
    <definedName name="item9.4">#REF!</definedName>
    <definedName name="item9.5">#REF!</definedName>
    <definedName name="item9.6">#REF!</definedName>
    <definedName name="item9.7">#REF!</definedName>
    <definedName name="item9.8">#REF!</definedName>
    <definedName name="item9.9">#REF!</definedName>
    <definedName name="itm10.2">#REF!</definedName>
    <definedName name="iu" localSheetId="4">#REF!</definedName>
    <definedName name="iu">#REF!</definedName>
    <definedName name="jbgihwqgbib" localSheetId="4">#REF!</definedName>
    <definedName name="jbgihwqgbib">#REF!</definedName>
    <definedName name="Jd" localSheetId="4">#REF!</definedName>
    <definedName name="Jd">#REF!</definedName>
    <definedName name="JESUS" localSheetId="4">#REF!</definedName>
    <definedName name="JESUS">#REF!</definedName>
    <definedName name="jj" localSheetId="4">#REF!</definedName>
    <definedName name="jj">#REF!</definedName>
    <definedName name="Jm" localSheetId="4">#REF!</definedName>
    <definedName name="Jm">#REF!</definedName>
    <definedName name="JR_PAGE_ANCHOR_0_1">#REF!</definedName>
    <definedName name="juuhyyebjs14">#REF!</definedName>
    <definedName name="jygfvsujj_jhs">#REF!</definedName>
    <definedName name="k" localSheetId="4">#REF!</definedName>
    <definedName name="k">#REF!</definedName>
    <definedName name="kg" localSheetId="4">#REF!</definedName>
    <definedName name="kg">#REF!</definedName>
    <definedName name="khgu" localSheetId="1">#REF!</definedName>
    <definedName name="khgu" localSheetId="4">#REF!</definedName>
    <definedName name="khgu">#REF!</definedName>
    <definedName name="kj" localSheetId="1">#REF!</definedName>
    <definedName name="kj" localSheetId="4">#REF!</definedName>
    <definedName name="kj">#REF!</definedName>
    <definedName name="kjh" localSheetId="1">#REF!</definedName>
    <definedName name="kjh">#REF!</definedName>
    <definedName name="KKKK" localSheetId="4">#REF!,#REF!</definedName>
    <definedName name="KKKK">#REF!,#REF!</definedName>
    <definedName name="kkkk2" localSheetId="4">#REF!,#REF!</definedName>
    <definedName name="kkkk2">#REF!,#REF!</definedName>
    <definedName name="kkkkkkk" localSheetId="4">#REF!</definedName>
    <definedName name="kkkkkkk">#REF!</definedName>
    <definedName name="kkkkkkkk3" localSheetId="4">#REF!,#REF!</definedName>
    <definedName name="kkkkkkkk3">#REF!,#REF!</definedName>
    <definedName name="kl" localSheetId="4">#REF!</definedName>
    <definedName name="kl">#REF!</definedName>
    <definedName name="klkl" localSheetId="4">#REF!</definedName>
    <definedName name="klkl">#REF!</definedName>
    <definedName name="KPAV" localSheetId="4">#REF!</definedName>
    <definedName name="KPAV">#REF!</definedName>
    <definedName name="kpavi">#REF!</definedName>
    <definedName name="kpavim">#REF!</definedName>
    <definedName name="kpavime">#REF!</definedName>
    <definedName name="ksye_isuhuh_hsydgs">#REF!</definedName>
    <definedName name="KTER">#REF!</definedName>
    <definedName name="kterr">#REF!</definedName>
    <definedName name="kterra">#REF!</definedName>
    <definedName name="kterrap">#REF!</definedName>
    <definedName name="kterraple">#REF!</definedName>
    <definedName name="kudyud">#REF!</definedName>
    <definedName name="l_">#REF!</definedName>
    <definedName name="la" localSheetId="4">#REF!</definedName>
    <definedName name="la">#REF!</definedName>
    <definedName name="Lado2" localSheetId="4">#REF!</definedName>
    <definedName name="Lado2">#REF!</definedName>
    <definedName name="Laranjeiras" localSheetId="4">#REF!,#REF!</definedName>
    <definedName name="Laranjeiras">#REF!,#REF!</definedName>
    <definedName name="LEO" localSheetId="4">#REF!</definedName>
    <definedName name="LEO">#REF!</definedName>
    <definedName name="LIQUIDEZ" localSheetId="4">#REF!</definedName>
    <definedName name="LIQUIDEZ">#REF!</definedName>
    <definedName name="lista" localSheetId="4">#REF!</definedName>
    <definedName name="lista">#REF!</definedName>
    <definedName name="lista.coluna">#REF!</definedName>
    <definedName name="lista.linha">#REF!</definedName>
    <definedName name="ljh">#REF!</definedName>
    <definedName name="LLLLL" localSheetId="4">#REF!,#REF!</definedName>
    <definedName name="LLLLL">#REF!,#REF!</definedName>
    <definedName name="Local" localSheetId="4">#REF!</definedName>
    <definedName name="Local">#REF!</definedName>
    <definedName name="LOP" localSheetId="4">(#REF!,#REF!)</definedName>
    <definedName name="LOP">(#REF!,#REF!)</definedName>
    <definedName name="Lucro" localSheetId="4">#REF!</definedName>
    <definedName name="Lucro">#REF!</definedName>
    <definedName name="m" localSheetId="4">#REF!</definedName>
    <definedName name="m">#REF!</definedName>
    <definedName name="MAR" localSheetId="4">#REF!</definedName>
    <definedName name="MAR">#REF!</definedName>
    <definedName name="MATRIZ_DE_RESPONSABILIDADE" localSheetId="4">#REF!</definedName>
    <definedName name="MATRIZ_DE_RESPONSABILIDADE">#REF!</definedName>
    <definedName name="MCOD02.020.0010" localSheetId="4">#REF!</definedName>
    <definedName name="MCOD02.020.0010">#REF!</definedName>
    <definedName name="MCOD02.020.0010_1" localSheetId="4">#REF!</definedName>
    <definedName name="MCOD02.020.0010_1">#REF!</definedName>
    <definedName name="MCOD02.020.0070" localSheetId="4">#REF!</definedName>
    <definedName name="MCOD02.020.0070">#REF!</definedName>
    <definedName name="MCOD02.020.0070_1" localSheetId="4">#REF!</definedName>
    <definedName name="MCOD02.020.0070_1">#REF!</definedName>
    <definedName name="MCOD02.030.0090" localSheetId="4">#REF!</definedName>
    <definedName name="MCOD02.030.0090">#REF!</definedName>
    <definedName name="MCOD02.030.0090_1" localSheetId="4">#REF!</definedName>
    <definedName name="MCOD02.030.0090_1">#REF!</definedName>
    <definedName name="MCOD02.030.0100" localSheetId="4">#REF!</definedName>
    <definedName name="MCOD02.030.0100">#REF!</definedName>
    <definedName name="MCOD02.030.0100_1" localSheetId="4">#REF!</definedName>
    <definedName name="MCOD02.030.0100_1">#REF!</definedName>
    <definedName name="MCOD02.040.0200" localSheetId="4">#REF!</definedName>
    <definedName name="MCOD02.040.0200">#REF!</definedName>
    <definedName name="MCOD02.040.0200_1" localSheetId="4">#REF!</definedName>
    <definedName name="MCOD02.040.0200_1">#REF!</definedName>
    <definedName name="MCOD02.040.0280" localSheetId="4">#REF!</definedName>
    <definedName name="MCOD02.040.0280">#REF!</definedName>
    <definedName name="MCOD02.040.0280_1" localSheetId="4">#REF!</definedName>
    <definedName name="MCOD02.040.0280_1">#REF!</definedName>
    <definedName name="MCOD02.040.0921" localSheetId="4">#REF!</definedName>
    <definedName name="MCOD02.040.0921">#REF!</definedName>
    <definedName name="MCOD02.040.0921_1" localSheetId="4">#REF!</definedName>
    <definedName name="MCOD02.040.0921_1">#REF!</definedName>
    <definedName name="MCOD02.040.1055" localSheetId="4">#REF!</definedName>
    <definedName name="MCOD02.040.1055">#REF!</definedName>
    <definedName name="MCOD02.040.1055_1" localSheetId="4">#REF!</definedName>
    <definedName name="MCOD02.040.1055_1">#REF!</definedName>
    <definedName name="MCOD02.040.1060" localSheetId="4">#REF!</definedName>
    <definedName name="MCOD02.040.1060">#REF!</definedName>
    <definedName name="MCOD02.040.1060_1" localSheetId="4">#REF!</definedName>
    <definedName name="MCOD02.040.1060_1">#REF!</definedName>
    <definedName name="MCOD02.040.3790" localSheetId="4">#REF!</definedName>
    <definedName name="MCOD02.040.3790">#REF!</definedName>
    <definedName name="MCOD02.040.3790_1" localSheetId="4">#REF!</definedName>
    <definedName name="MCOD02.040.3790_1">#REF!</definedName>
    <definedName name="MCOD02.040.3800" localSheetId="4">#REF!</definedName>
    <definedName name="MCOD02.040.3800">#REF!</definedName>
    <definedName name="MCOD02.040.3800_1" localSheetId="4">#REF!</definedName>
    <definedName name="MCOD02.040.3800_1">#REF!</definedName>
    <definedName name="MCOD02.040.3810" localSheetId="4">#REF!</definedName>
    <definedName name="MCOD02.040.3810">#REF!</definedName>
    <definedName name="MCOD02.040.3810_1" localSheetId="4">#REF!</definedName>
    <definedName name="MCOD02.040.3810_1">#REF!</definedName>
    <definedName name="MCOD02.040.4510" localSheetId="4">#REF!</definedName>
    <definedName name="MCOD02.040.4510">#REF!</definedName>
    <definedName name="MCOD02.040.4510_1" localSheetId="4">#REF!</definedName>
    <definedName name="MCOD02.040.4510_1">#REF!</definedName>
    <definedName name="MCOD02.040.4520" localSheetId="4">#REF!</definedName>
    <definedName name="MCOD02.040.4520">#REF!</definedName>
    <definedName name="MCOD02.040.4520_1" localSheetId="4">#REF!</definedName>
    <definedName name="MCOD02.040.4520_1">#REF!</definedName>
    <definedName name="MCOD02.040.4550" localSheetId="4">#REF!</definedName>
    <definedName name="MCOD02.040.4550">#REF!</definedName>
    <definedName name="MCOD02.040.4550_1" localSheetId="4">#REF!</definedName>
    <definedName name="MCOD02.040.4550_1">#REF!</definedName>
    <definedName name="MCOD02.040.4620" localSheetId="4">#REF!</definedName>
    <definedName name="MCOD02.040.4620">#REF!</definedName>
    <definedName name="MCOD02.040.4620_1" localSheetId="4">#REF!</definedName>
    <definedName name="MCOD02.040.4620_1">#REF!</definedName>
    <definedName name="MCOD02.040.4630" localSheetId="4">#REF!</definedName>
    <definedName name="MCOD02.040.4630">#REF!</definedName>
    <definedName name="MCOD02.040.4630_1" localSheetId="4">#REF!</definedName>
    <definedName name="MCOD02.040.4630_1">#REF!</definedName>
    <definedName name="MCOD02.040.4636" localSheetId="4">#REF!</definedName>
    <definedName name="MCOD02.040.4636">#REF!</definedName>
    <definedName name="MCOD02.040.4636_1" localSheetId="4">#REF!</definedName>
    <definedName name="MCOD02.040.4636_1">#REF!</definedName>
    <definedName name="MCOD02.040.4690" localSheetId="4">#REF!</definedName>
    <definedName name="MCOD02.040.4690">#REF!</definedName>
    <definedName name="MCOD02.040.4690_1" localSheetId="4">#REF!</definedName>
    <definedName name="MCOD02.040.4690_1">#REF!</definedName>
    <definedName name="MCOD02.040.7402" localSheetId="4">#REF!</definedName>
    <definedName name="MCOD02.040.7402">#REF!</definedName>
    <definedName name="MCOD02.040.7402_1" localSheetId="4">#REF!</definedName>
    <definedName name="MCOD02.040.7402_1">#REF!</definedName>
    <definedName name="MCOD02.040.9800" localSheetId="4">#REF!</definedName>
    <definedName name="MCOD02.040.9800">#REF!</definedName>
    <definedName name="MCOD02.040.9800_1" localSheetId="4">#REF!</definedName>
    <definedName name="MCOD02.040.9800_1">#REF!</definedName>
    <definedName name="MCOD02.040.9802" localSheetId="4">#REF!</definedName>
    <definedName name="MCOD02.040.9802">#REF!</definedName>
    <definedName name="MCOD02.040.9802_1" localSheetId="4">#REF!</definedName>
    <definedName name="MCOD02.040.9802_1">#REF!</definedName>
    <definedName name="MCOD02.040.9804" localSheetId="4">#REF!</definedName>
    <definedName name="MCOD02.040.9804">#REF!</definedName>
    <definedName name="MCOD02.040.9804_1" localSheetId="4">#REF!</definedName>
    <definedName name="MCOD02.040.9804_1">#REF!</definedName>
    <definedName name="MCOD02.110.0014" localSheetId="4">#REF!</definedName>
    <definedName name="MCOD02.110.0014">#REF!</definedName>
    <definedName name="MCOD02.110.0014_1" localSheetId="4">#REF!</definedName>
    <definedName name="MCOD02.110.0014_1">#REF!</definedName>
    <definedName name="MCOD02.110.0054" localSheetId="4">#REF!</definedName>
    <definedName name="MCOD02.110.0054">#REF!</definedName>
    <definedName name="MCOD02.110.0054_1" localSheetId="4">#REF!</definedName>
    <definedName name="MCOD02.110.0054_1">#REF!</definedName>
    <definedName name="MCOD02.110.0066" localSheetId="4">#REF!</definedName>
    <definedName name="MCOD02.110.0066">#REF!</definedName>
    <definedName name="MCOD02.110.0066_1" localSheetId="4">#REF!</definedName>
    <definedName name="MCOD02.110.0066_1">#REF!</definedName>
    <definedName name="MCOD02.110.0094" localSheetId="4">#REF!</definedName>
    <definedName name="MCOD02.110.0094">#REF!</definedName>
    <definedName name="MCOD02.110.0094_1" localSheetId="4">#REF!</definedName>
    <definedName name="MCOD02.110.0094_1">#REF!</definedName>
    <definedName name="MCOD02.110.0106" localSheetId="4">#REF!</definedName>
    <definedName name="MCOD02.110.0106">#REF!</definedName>
    <definedName name="MCOD02.110.0106_1" localSheetId="4">#REF!</definedName>
    <definedName name="MCOD02.110.0106_1">#REF!</definedName>
    <definedName name="MCOD02.110.0110" localSheetId="4">#REF!</definedName>
    <definedName name="MCOD02.110.0110">#REF!</definedName>
    <definedName name="MCOD02.110.0110_1" localSheetId="4">#REF!</definedName>
    <definedName name="MCOD02.110.0110_1">#REF!</definedName>
    <definedName name="MCOD02.110.0134" localSheetId="4">#REF!</definedName>
    <definedName name="MCOD02.110.0134">#REF!</definedName>
    <definedName name="MCOD02.110.0134_1" localSheetId="4">#REF!</definedName>
    <definedName name="MCOD02.110.0134_1">#REF!</definedName>
    <definedName name="MCOD02.110.0146" localSheetId="4">#REF!</definedName>
    <definedName name="MCOD02.110.0146">#REF!</definedName>
    <definedName name="MCOD02.110.0146_1" localSheetId="4">#REF!</definedName>
    <definedName name="MCOD02.110.0146_1">#REF!</definedName>
    <definedName name="MCOD02.110.0150" localSheetId="4">#REF!</definedName>
    <definedName name="MCOD02.110.0150">#REF!</definedName>
    <definedName name="MCOD02.110.0150_1" localSheetId="4">#REF!</definedName>
    <definedName name="MCOD02.110.0150_1">#REF!</definedName>
    <definedName name="MCOD02.110.0610" localSheetId="4">#REF!</definedName>
    <definedName name="MCOD02.110.0610">#REF!</definedName>
    <definedName name="MCOD02.110.0610_1" localSheetId="4">#REF!</definedName>
    <definedName name="MCOD02.110.0610_1">#REF!</definedName>
    <definedName name="MCOD02.110.0620" localSheetId="4">#REF!</definedName>
    <definedName name="MCOD02.110.0620">#REF!</definedName>
    <definedName name="MCOD02.110.0620_1" localSheetId="4">#REF!</definedName>
    <definedName name="MCOD02.110.0620_1">#REF!</definedName>
    <definedName name="MCOD02.110.0734" localSheetId="4">#REF!</definedName>
    <definedName name="MCOD02.110.0734">#REF!</definedName>
    <definedName name="MCOD02.110.0734_1" localSheetId="4">#REF!</definedName>
    <definedName name="MCOD02.110.0734_1">#REF!</definedName>
    <definedName name="MCOD02.110.0738" localSheetId="4">#REF!</definedName>
    <definedName name="MCOD02.110.0738">#REF!</definedName>
    <definedName name="MCOD02.110.0738_1" localSheetId="4">#REF!</definedName>
    <definedName name="MCOD02.110.0738_1">#REF!</definedName>
    <definedName name="MCOD02.110.0750" localSheetId="4">#REF!</definedName>
    <definedName name="MCOD02.110.0750">#REF!</definedName>
    <definedName name="MCOD02.110.0750_1" localSheetId="4">#REF!</definedName>
    <definedName name="MCOD02.110.0750_1">#REF!</definedName>
    <definedName name="MCOD02.110.1014" localSheetId="4">#REF!</definedName>
    <definedName name="MCOD02.110.1014">#REF!</definedName>
    <definedName name="MCOD02.110.1014_1" localSheetId="4">#REF!</definedName>
    <definedName name="MCOD02.110.1014_1">#REF!</definedName>
    <definedName name="MCOD02.110.1020" localSheetId="4">#REF!</definedName>
    <definedName name="MCOD02.110.1020">#REF!</definedName>
    <definedName name="MCOD02.110.1020_1" localSheetId="4">#REF!</definedName>
    <definedName name="MCOD02.110.1020_1">#REF!</definedName>
    <definedName name="MCOD02.110.1164" localSheetId="4">#REF!</definedName>
    <definedName name="MCOD02.110.1164">#REF!</definedName>
    <definedName name="MCOD02.110.1164_1" localSheetId="4">#REF!</definedName>
    <definedName name="MCOD02.110.1164_1">#REF!</definedName>
    <definedName name="MCOD02.110.1166" localSheetId="4">#REF!</definedName>
    <definedName name="MCOD02.110.1166">#REF!</definedName>
    <definedName name="MCOD02.110.1166_1" localSheetId="4">#REF!</definedName>
    <definedName name="MCOD02.110.1166_1">#REF!</definedName>
    <definedName name="MCOD02.110.1420" localSheetId="4">#REF!</definedName>
    <definedName name="MCOD02.110.1420">#REF!</definedName>
    <definedName name="MCOD02.110.1420_1" localSheetId="4">#REF!</definedName>
    <definedName name="MCOD02.110.1420_1">#REF!</definedName>
    <definedName name="MCOD02.110.1426" localSheetId="4">#REF!</definedName>
    <definedName name="MCOD02.110.1426">#REF!</definedName>
    <definedName name="MCOD02.110.1426_1" localSheetId="4">#REF!</definedName>
    <definedName name="MCOD02.110.1426_1">#REF!</definedName>
    <definedName name="MCOD02.110.1654" localSheetId="4">#REF!</definedName>
    <definedName name="MCOD02.110.1654">#REF!</definedName>
    <definedName name="MCOD02.110.1654_1" localSheetId="4">#REF!</definedName>
    <definedName name="MCOD02.110.1654_1">#REF!</definedName>
    <definedName name="MCOD02.110.1880" localSheetId="4">#REF!</definedName>
    <definedName name="MCOD02.110.1880">#REF!</definedName>
    <definedName name="MCOD02.110.1880_1" localSheetId="4">#REF!</definedName>
    <definedName name="MCOD02.110.1880_1">#REF!</definedName>
    <definedName name="MCOD02.110.1974" localSheetId="4">#REF!</definedName>
    <definedName name="MCOD02.110.1974">#REF!</definedName>
    <definedName name="MCOD02.110.1974_1" localSheetId="4">#REF!</definedName>
    <definedName name="MCOD02.110.1974_1">#REF!</definedName>
    <definedName name="MCOD02.110.1996" localSheetId="4">#REF!</definedName>
    <definedName name="MCOD02.110.1996">#REF!</definedName>
    <definedName name="MCOD02.110.1996_1" localSheetId="4">#REF!</definedName>
    <definedName name="MCOD02.110.1996_1">#REF!</definedName>
    <definedName name="MCOD02.110.2012" localSheetId="4">#REF!</definedName>
    <definedName name="MCOD02.110.2012">#REF!</definedName>
    <definedName name="MCOD02.110.2012_1" localSheetId="4">#REF!</definedName>
    <definedName name="MCOD02.110.2012_1">#REF!</definedName>
    <definedName name="MCOD02.110.2016" localSheetId="4">#REF!</definedName>
    <definedName name="MCOD02.110.2016">#REF!</definedName>
    <definedName name="MCOD02.110.2016_1" localSheetId="4">#REF!</definedName>
    <definedName name="MCOD02.110.2016_1">#REF!</definedName>
    <definedName name="MCOD02.110.2024" localSheetId="4">#REF!</definedName>
    <definedName name="MCOD02.110.2024">#REF!</definedName>
    <definedName name="MCOD02.110.2024_1" localSheetId="4">#REF!</definedName>
    <definedName name="MCOD02.110.2024_1">#REF!</definedName>
    <definedName name="MCOD02.110.2026" localSheetId="4">#REF!</definedName>
    <definedName name="MCOD02.110.2026">#REF!</definedName>
    <definedName name="MCOD02.110.2026_1" localSheetId="4">#REF!</definedName>
    <definedName name="MCOD02.110.2026_1">#REF!</definedName>
    <definedName name="MCOD02.110.2310" localSheetId="4">#REF!</definedName>
    <definedName name="MCOD02.110.2310">#REF!</definedName>
    <definedName name="MCOD02.110.2310_1" localSheetId="4">#REF!</definedName>
    <definedName name="MCOD02.110.2310_1">#REF!</definedName>
    <definedName name="MCOD02.110.2480" localSheetId="4">#REF!</definedName>
    <definedName name="MCOD02.110.2480">#REF!</definedName>
    <definedName name="MCOD02.110.2480_1" localSheetId="4">#REF!</definedName>
    <definedName name="MCOD02.110.2480_1">#REF!</definedName>
    <definedName name="MCOD02.110.2798" localSheetId="4">#REF!</definedName>
    <definedName name="MCOD02.110.2798">#REF!</definedName>
    <definedName name="MCOD02.110.2798_1" localSheetId="4">#REF!</definedName>
    <definedName name="MCOD02.110.2798_1">#REF!</definedName>
    <definedName name="MCOD02.110.2806" localSheetId="4">#REF!</definedName>
    <definedName name="MCOD02.110.2806">#REF!</definedName>
    <definedName name="MCOD02.110.2806_1" localSheetId="4">#REF!</definedName>
    <definedName name="MCOD02.110.2806_1">#REF!</definedName>
    <definedName name="MCOD02.110.2868" localSheetId="4">#REF!</definedName>
    <definedName name="MCOD02.110.2868">#REF!</definedName>
    <definedName name="MCOD02.110.2868_1" localSheetId="4">#REF!</definedName>
    <definedName name="MCOD02.110.2868_1">#REF!</definedName>
    <definedName name="MCOD02.110.3856" localSheetId="4">#REF!</definedName>
    <definedName name="MCOD02.110.3856">#REF!</definedName>
    <definedName name="MCOD02.110.3856_1" localSheetId="4">#REF!</definedName>
    <definedName name="MCOD02.110.3856_1">#REF!</definedName>
    <definedName name="MCOD02.110.3908" localSheetId="4">#REF!</definedName>
    <definedName name="MCOD02.110.3908">#REF!</definedName>
    <definedName name="MCOD02.110.3908_1" localSheetId="4">#REF!</definedName>
    <definedName name="MCOD02.110.3908_1">#REF!</definedName>
    <definedName name="MCOD02.110.3926" localSheetId="4">#REF!</definedName>
    <definedName name="MCOD02.110.3926">#REF!</definedName>
    <definedName name="MCOD02.110.3926_1" localSheetId="4">#REF!</definedName>
    <definedName name="MCOD02.110.3926_1">#REF!</definedName>
    <definedName name="MCOD02.110.4288" localSheetId="4">#REF!</definedName>
    <definedName name="MCOD02.110.4288">#REF!</definedName>
    <definedName name="MCOD02.110.4288_1" localSheetId="4">#REF!</definedName>
    <definedName name="MCOD02.110.4288_1">#REF!</definedName>
    <definedName name="MCOD02.110.4296" localSheetId="4">#REF!</definedName>
    <definedName name="MCOD02.110.4296">#REF!</definedName>
    <definedName name="MCOD02.110.4296_1" localSheetId="4">#REF!</definedName>
    <definedName name="MCOD02.110.4296_1">#REF!</definedName>
    <definedName name="MCOD02.110.4308" localSheetId="4">#REF!</definedName>
    <definedName name="MCOD02.110.4308">#REF!</definedName>
    <definedName name="MCOD02.110.4308_1" localSheetId="4">#REF!</definedName>
    <definedName name="MCOD02.110.4308_1">#REF!</definedName>
    <definedName name="MCOD02.110.4312" localSheetId="4">#REF!</definedName>
    <definedName name="MCOD02.110.4312">#REF!</definedName>
    <definedName name="MCOD02.110.4312_1" localSheetId="4">#REF!</definedName>
    <definedName name="MCOD02.110.4312_1">#REF!</definedName>
    <definedName name="MCOD02.110.4320" localSheetId="4">#REF!</definedName>
    <definedName name="MCOD02.110.4320">#REF!</definedName>
    <definedName name="MCOD02.110.4320_1" localSheetId="4">#REF!</definedName>
    <definedName name="MCOD02.110.4320_1">#REF!</definedName>
    <definedName name="MCOD02.110.4780" localSheetId="4">#REF!</definedName>
    <definedName name="MCOD02.110.4780">#REF!</definedName>
    <definedName name="MCOD02.110.4780_1" localSheetId="4">#REF!</definedName>
    <definedName name="MCOD02.110.4780_1">#REF!</definedName>
    <definedName name="MCOD02.120.0050" localSheetId="4">#REF!</definedName>
    <definedName name="MCOD02.120.0050">#REF!</definedName>
    <definedName name="MCOD02.120.0050_1" localSheetId="4">#REF!</definedName>
    <definedName name="MCOD02.120.0050_1">#REF!</definedName>
    <definedName name="MCOD02.120.0060" localSheetId="4">#REF!</definedName>
    <definedName name="MCOD02.120.0060">#REF!</definedName>
    <definedName name="MCOD02.120.0060_1" localSheetId="4">#REF!</definedName>
    <definedName name="MCOD02.120.0060_1">#REF!</definedName>
    <definedName name="MCOD02.120.0140" localSheetId="4">#REF!</definedName>
    <definedName name="MCOD02.120.0140">#REF!</definedName>
    <definedName name="MCOD02.120.0140_1" localSheetId="4">#REF!</definedName>
    <definedName name="MCOD02.120.0140_1">#REF!</definedName>
    <definedName name="MCOD02.130.0070" localSheetId="4">#REF!</definedName>
    <definedName name="MCOD02.130.0070">#REF!</definedName>
    <definedName name="MCOD02.130.0070_1" localSheetId="4">#REF!</definedName>
    <definedName name="MCOD02.130.0070_1">#REF!</definedName>
    <definedName name="MCOD02.130.0080" localSheetId="4">#REF!</definedName>
    <definedName name="MCOD02.130.0080">#REF!</definedName>
    <definedName name="MCOD02.130.0080_1" localSheetId="4">#REF!</definedName>
    <definedName name="MCOD02.130.0080_1">#REF!</definedName>
    <definedName name="MCOD02.130.0100" localSheetId="4">#REF!</definedName>
    <definedName name="MCOD02.130.0100">#REF!</definedName>
    <definedName name="MCOD02.130.0100_1" localSheetId="4">#REF!</definedName>
    <definedName name="MCOD02.130.0100_1">#REF!</definedName>
    <definedName name="MCOD02.140.0030" localSheetId="4">#REF!</definedName>
    <definedName name="MCOD02.140.0030">#REF!</definedName>
    <definedName name="MCOD02.140.0030_1" localSheetId="4">#REF!</definedName>
    <definedName name="MCOD02.140.0030_1">#REF!</definedName>
    <definedName name="MCOD02.140.0080" localSheetId="4">#REF!</definedName>
    <definedName name="MCOD02.140.0080">#REF!</definedName>
    <definedName name="MCOD02.140.0080_1" localSheetId="4">#REF!</definedName>
    <definedName name="MCOD02.140.0080_1">#REF!</definedName>
    <definedName name="MCOD02.140.0090" localSheetId="4">#REF!</definedName>
    <definedName name="MCOD02.140.0090">#REF!</definedName>
    <definedName name="MCOD02.140.0090_1" localSheetId="4">#REF!</definedName>
    <definedName name="MCOD02.140.0090_1">#REF!</definedName>
    <definedName name="MCOD02.160.0010" localSheetId="4">#REF!</definedName>
    <definedName name="MCOD02.160.0010">#REF!</definedName>
    <definedName name="MCOD02.160.0010_1" localSheetId="4">#REF!</definedName>
    <definedName name="MCOD02.160.0010_1">#REF!</definedName>
    <definedName name="MCOD02.160.0110" localSheetId="4">#REF!</definedName>
    <definedName name="MCOD02.160.0110">#REF!</definedName>
    <definedName name="MCOD02.160.0110_1" localSheetId="4">#REF!</definedName>
    <definedName name="MCOD02.160.0110_1">#REF!</definedName>
    <definedName name="MCOD02.180.0010" localSheetId="4">#REF!</definedName>
    <definedName name="MCOD02.180.0010">#REF!</definedName>
    <definedName name="MCOD02.180.0010_1" localSheetId="4">#REF!</definedName>
    <definedName name="MCOD02.180.0010_1">#REF!</definedName>
    <definedName name="MCOD02.210.0020" localSheetId="4">#REF!</definedName>
    <definedName name="MCOD02.210.0020">#REF!</definedName>
    <definedName name="MCOD02.210.0020_1" localSheetId="4">#REF!</definedName>
    <definedName name="MCOD02.210.0020_1">#REF!</definedName>
    <definedName name="MCOD02.210.0030" localSheetId="4">#REF!</definedName>
    <definedName name="MCOD02.210.0030">#REF!</definedName>
    <definedName name="MCOD02.210.0030_1" localSheetId="4">#REF!</definedName>
    <definedName name="MCOD02.210.0030_1">#REF!</definedName>
    <definedName name="MCOD02.210.0090" localSheetId="4">#REF!</definedName>
    <definedName name="MCOD02.210.0090">#REF!</definedName>
    <definedName name="MCOD02.210.0090_1" localSheetId="4">#REF!</definedName>
    <definedName name="MCOD02.210.0090_1">#REF!</definedName>
    <definedName name="MCOD02.210.0110" localSheetId="4">#REF!</definedName>
    <definedName name="MCOD02.210.0110">#REF!</definedName>
    <definedName name="MCOD02.210.0110_1" localSheetId="4">#REF!</definedName>
    <definedName name="MCOD02.210.0110_1">#REF!</definedName>
    <definedName name="MCOD02.210.0310" localSheetId="4">#REF!</definedName>
    <definedName name="MCOD02.210.0310">#REF!</definedName>
    <definedName name="MCOD02.210.0310_1" localSheetId="4">#REF!</definedName>
    <definedName name="MCOD02.210.0310_1">#REF!</definedName>
    <definedName name="MCOD02.210.0340" localSheetId="4">#REF!</definedName>
    <definedName name="MCOD02.210.0340">#REF!</definedName>
    <definedName name="MCOD02.210.0340_1" localSheetId="4">#REF!</definedName>
    <definedName name="MCOD02.210.0340_1">#REF!</definedName>
    <definedName name="MCOD02.210.0350" localSheetId="4">#REF!</definedName>
    <definedName name="MCOD02.210.0350">#REF!</definedName>
    <definedName name="MCOD02.210.0350_1" localSheetId="4">#REF!</definedName>
    <definedName name="MCOD02.210.0350_1">#REF!</definedName>
    <definedName name="MCOD02.210.0360" localSheetId="4">#REF!</definedName>
    <definedName name="MCOD02.210.0360">#REF!</definedName>
    <definedName name="MCOD02.210.0360_1" localSheetId="4">#REF!</definedName>
    <definedName name="MCOD02.210.0360_1">#REF!</definedName>
    <definedName name="MCOD02.210.0370" localSheetId="4">#REF!</definedName>
    <definedName name="MCOD02.210.0370">#REF!</definedName>
    <definedName name="MCOD02.210.0370_1" localSheetId="4">#REF!</definedName>
    <definedName name="MCOD02.210.0370_1">#REF!</definedName>
    <definedName name="MCOD02.210.0380" localSheetId="4">#REF!</definedName>
    <definedName name="MCOD02.210.0380">#REF!</definedName>
    <definedName name="MCOD02.210.0380_1" localSheetId="4">#REF!</definedName>
    <definedName name="MCOD02.210.0380_1">#REF!</definedName>
    <definedName name="MCOD02.210.1620" localSheetId="4">#REF!</definedName>
    <definedName name="MCOD02.210.1620">#REF!</definedName>
    <definedName name="MCOD02.210.1620_1" localSheetId="4">#REF!</definedName>
    <definedName name="MCOD02.210.1620_1">#REF!</definedName>
    <definedName name="MCOD02.210.1625" localSheetId="4">#REF!</definedName>
    <definedName name="MCOD02.210.1625">#REF!</definedName>
    <definedName name="MCOD02.210.1625_1" localSheetId="4">#REF!</definedName>
    <definedName name="MCOD02.210.1625_1">#REF!</definedName>
    <definedName name="MCOD02.210.1635" localSheetId="4">#REF!</definedName>
    <definedName name="MCOD02.210.1635">#REF!</definedName>
    <definedName name="MCOD02.210.1635_1" localSheetId="4">#REF!</definedName>
    <definedName name="MCOD02.210.1635_1">#REF!</definedName>
    <definedName name="MCOD02.210.1637" localSheetId="4">#REF!</definedName>
    <definedName name="MCOD02.210.1637">#REF!</definedName>
    <definedName name="MCOD02.210.1637_1" localSheetId="4">#REF!</definedName>
    <definedName name="MCOD02.210.1637_1">#REF!</definedName>
    <definedName name="MCOD03.020.0020" localSheetId="4">#REF!</definedName>
    <definedName name="MCOD03.020.0020">#REF!</definedName>
    <definedName name="MCOD03.020.0020_1" localSheetId="4">#REF!</definedName>
    <definedName name="MCOD03.020.0020_1">#REF!</definedName>
    <definedName name="MCOD05.150.0830" localSheetId="4">#REF!</definedName>
    <definedName name="MCOD05.150.0830">#REF!</definedName>
    <definedName name="MCOD05.150.0830_1" localSheetId="4">#REF!</definedName>
    <definedName name="MCOD05.150.0830_1">#REF!</definedName>
    <definedName name="MCOD05.150.0840" localSheetId="4">#REF!</definedName>
    <definedName name="MCOD05.150.0840">#REF!</definedName>
    <definedName name="MCOD05.150.0840_1" localSheetId="4">#REF!</definedName>
    <definedName name="MCOD05.150.0840_1">#REF!</definedName>
    <definedName name="MCODCOTADO01" localSheetId="4">#REF!</definedName>
    <definedName name="MCODCOTADO01">#REF!</definedName>
    <definedName name="MCODCOTADO01_1" localSheetId="4">#REF!</definedName>
    <definedName name="MCODCOTADO01_1">#REF!</definedName>
    <definedName name="MCODCOTADO02" localSheetId="4">#REF!</definedName>
    <definedName name="MCODCOTADO02">#REF!</definedName>
    <definedName name="MCODCOTADO02_1" localSheetId="4">#REF!</definedName>
    <definedName name="MCODCOTADO02_1">#REF!</definedName>
    <definedName name="MCODCOTADO03" localSheetId="4">#REF!</definedName>
    <definedName name="MCODCOTADO03">#REF!</definedName>
    <definedName name="MCODCOTADO03_1" localSheetId="4">#REF!</definedName>
    <definedName name="MCODCOTADO03_1">#REF!</definedName>
    <definedName name="MCODCOTADO04" localSheetId="4">#REF!</definedName>
    <definedName name="MCODCOTADO04">#REF!</definedName>
    <definedName name="MCODCOTADO04_1" localSheetId="4">#REF!</definedName>
    <definedName name="MCODCOTADO04_1">#REF!</definedName>
    <definedName name="medição" localSheetId="4">#REF!</definedName>
    <definedName name="medição">#REF!</definedName>
    <definedName name="memoria" localSheetId="4">#REF!</definedName>
    <definedName name="MEMORIA">#REF!</definedName>
    <definedName name="MES" localSheetId="4">#REF!</definedName>
    <definedName name="MES">#REF!</definedName>
    <definedName name="METODOLOGIA" localSheetId="4">#REF!</definedName>
    <definedName name="METODOLOGIA">#REF!</definedName>
    <definedName name="MmExcelLinker_CBF3F7D5_5F0E_4EA5_B59F_34028F0F12D2" localSheetId="4">#REF!</definedName>
    <definedName name="MmExcelLinker_CBF3F7D5_5F0E_4EA5_B59F_34028F0F12D2">#REF!</definedName>
    <definedName name="mmm" localSheetId="4">#REF!</definedName>
    <definedName name="mmm">#REF!</definedName>
    <definedName name="MMMMMM" localSheetId="4">#REF!</definedName>
    <definedName name="MMMMMM">#REF!</definedName>
    <definedName name="MTOT02.020.0010" localSheetId="4">#REF!</definedName>
    <definedName name="MTOT02.020.0010">#REF!</definedName>
    <definedName name="MTOT02.020.0010_1" localSheetId="4">#REF!</definedName>
    <definedName name="MTOT02.020.0010_1">#REF!</definedName>
    <definedName name="MTOT02.020.0070" localSheetId="4">#REF!</definedName>
    <definedName name="MTOT02.020.0070">#REF!</definedName>
    <definedName name="MTOT02.020.0070_1" localSheetId="4">#REF!</definedName>
    <definedName name="MTOT02.020.0070_1">#REF!</definedName>
    <definedName name="MTOT02.030.0090" localSheetId="4">#REF!</definedName>
    <definedName name="MTOT02.030.0090">#REF!</definedName>
    <definedName name="MTOT02.030.0090_1" localSheetId="4">#REF!</definedName>
    <definedName name="MTOT02.030.0090_1">#REF!</definedName>
    <definedName name="MTOT02.030.0100" localSheetId="4">#REF!</definedName>
    <definedName name="MTOT02.030.0100">#REF!</definedName>
    <definedName name="MTOT02.030.0100_1" localSheetId="4">#REF!</definedName>
    <definedName name="MTOT02.030.0100_1">#REF!</definedName>
    <definedName name="MTOT02.040.0200" localSheetId="4">#REF!</definedName>
    <definedName name="MTOT02.040.0200">#REF!</definedName>
    <definedName name="MTOT02.040.0200_1" localSheetId="4">#REF!</definedName>
    <definedName name="MTOT02.040.0200_1">#REF!</definedName>
    <definedName name="MTOT02.040.0280" localSheetId="4">#REF!</definedName>
    <definedName name="MTOT02.040.0280">#REF!</definedName>
    <definedName name="MTOT02.040.0280_1" localSheetId="4">#REF!</definedName>
    <definedName name="MTOT02.040.0280_1">#REF!</definedName>
    <definedName name="MTOT02.040.0921" localSheetId="4">#REF!</definedName>
    <definedName name="MTOT02.040.0921">#REF!</definedName>
    <definedName name="MTOT02.040.0921_1" localSheetId="4">#REF!</definedName>
    <definedName name="MTOT02.040.0921_1">#REF!</definedName>
    <definedName name="MTOT02.040.1055" localSheetId="4">#REF!</definedName>
    <definedName name="MTOT02.040.1055">#REF!</definedName>
    <definedName name="MTOT02.040.1055_1" localSheetId="4">#REF!</definedName>
    <definedName name="MTOT02.040.1055_1">#REF!</definedName>
    <definedName name="MTOT02.040.1060" localSheetId="4">#REF!</definedName>
    <definedName name="MTOT02.040.1060">#REF!</definedName>
    <definedName name="MTOT02.040.1060_1" localSheetId="4">#REF!</definedName>
    <definedName name="MTOT02.040.1060_1">#REF!</definedName>
    <definedName name="MTOT02.040.3790" localSheetId="4">#REF!</definedName>
    <definedName name="MTOT02.040.3790">#REF!</definedName>
    <definedName name="MTOT02.040.3790_1" localSheetId="4">#REF!</definedName>
    <definedName name="MTOT02.040.3790_1">#REF!</definedName>
    <definedName name="MTOT02.040.3800" localSheetId="4">#REF!</definedName>
    <definedName name="MTOT02.040.3800">#REF!</definedName>
    <definedName name="MTOT02.040.3800_1" localSheetId="4">#REF!</definedName>
    <definedName name="MTOT02.040.3800_1">#REF!</definedName>
    <definedName name="MTOT02.040.3810" localSheetId="4">#REF!</definedName>
    <definedName name="MTOT02.040.3810">#REF!</definedName>
    <definedName name="MTOT02.040.3810_1" localSheetId="4">#REF!</definedName>
    <definedName name="MTOT02.040.3810_1">#REF!</definedName>
    <definedName name="MTOT02.040.4510" localSheetId="4">#REF!</definedName>
    <definedName name="MTOT02.040.4510">#REF!</definedName>
    <definedName name="MTOT02.040.4510_1" localSheetId="4">#REF!</definedName>
    <definedName name="MTOT02.040.4510_1">#REF!</definedName>
    <definedName name="MTOT02.040.4520" localSheetId="4">#REF!</definedName>
    <definedName name="MTOT02.040.4520">#REF!</definedName>
    <definedName name="MTOT02.040.4520_1" localSheetId="4">#REF!</definedName>
    <definedName name="MTOT02.040.4520_1">#REF!</definedName>
    <definedName name="MTOT02.040.4550" localSheetId="4">#REF!</definedName>
    <definedName name="MTOT02.040.4550">#REF!</definedName>
    <definedName name="MTOT02.040.4550_1" localSheetId="4">#REF!</definedName>
    <definedName name="MTOT02.040.4550_1">#REF!</definedName>
    <definedName name="MTOT02.040.4620" localSheetId="4">#REF!</definedName>
    <definedName name="MTOT02.040.4620">#REF!</definedName>
    <definedName name="MTOT02.040.4620_1" localSheetId="4">#REF!</definedName>
    <definedName name="MTOT02.040.4620_1">#REF!</definedName>
    <definedName name="MTOT02.040.4630" localSheetId="4">#REF!</definedName>
    <definedName name="MTOT02.040.4630">#REF!</definedName>
    <definedName name="MTOT02.040.4630_1" localSheetId="4">#REF!</definedName>
    <definedName name="MTOT02.040.4630_1">#REF!</definedName>
    <definedName name="MTOT02.040.4636" localSheetId="4">#REF!</definedName>
    <definedName name="MTOT02.040.4636">#REF!</definedName>
    <definedName name="MTOT02.040.4636_1" localSheetId="4">#REF!</definedName>
    <definedName name="MTOT02.040.4636_1">#REF!</definedName>
    <definedName name="MTOT02.040.4690" localSheetId="4">#REF!</definedName>
    <definedName name="MTOT02.040.4690">#REF!</definedName>
    <definedName name="MTOT02.040.4690_1" localSheetId="4">#REF!</definedName>
    <definedName name="MTOT02.040.4690_1">#REF!</definedName>
    <definedName name="MTOT02.040.7402" localSheetId="4">#REF!</definedName>
    <definedName name="MTOT02.040.7402">#REF!</definedName>
    <definedName name="MTOT02.040.7402_1" localSheetId="4">#REF!</definedName>
    <definedName name="MTOT02.040.7402_1">#REF!</definedName>
    <definedName name="MTOT02.040.9800" localSheetId="4">#REF!</definedName>
    <definedName name="MTOT02.040.9800">#REF!</definedName>
    <definedName name="MTOT02.040.9800_1" localSheetId="4">#REF!</definedName>
    <definedName name="MTOT02.040.9800_1">#REF!</definedName>
    <definedName name="MTOT02.040.9802" localSheetId="4">#REF!</definedName>
    <definedName name="MTOT02.040.9802">#REF!</definedName>
    <definedName name="MTOT02.040.9802_1" localSheetId="4">#REF!</definedName>
    <definedName name="MTOT02.040.9802_1">#REF!</definedName>
    <definedName name="MTOT02.040.9804" localSheetId="4">#REF!</definedName>
    <definedName name="MTOT02.040.9804">#REF!</definedName>
    <definedName name="MTOT02.040.9804_1" localSheetId="4">#REF!</definedName>
    <definedName name="MTOT02.040.9804_1">#REF!</definedName>
    <definedName name="MTOT02.110.0014" localSheetId="4">#REF!</definedName>
    <definedName name="MTOT02.110.0014">#REF!</definedName>
    <definedName name="MTOT02.110.0014_1" localSheetId="4">#REF!</definedName>
    <definedName name="MTOT02.110.0014_1">#REF!</definedName>
    <definedName name="MTOT02.110.0054" localSheetId="4">#REF!</definedName>
    <definedName name="MTOT02.110.0054">#REF!</definedName>
    <definedName name="MTOT02.110.0054_1" localSheetId="4">#REF!</definedName>
    <definedName name="MTOT02.110.0054_1">#REF!</definedName>
    <definedName name="MTOT02.110.0066" localSheetId="4">#REF!</definedName>
    <definedName name="MTOT02.110.0066">#REF!</definedName>
    <definedName name="MTOT02.110.0066_1" localSheetId="4">#REF!</definedName>
    <definedName name="MTOT02.110.0066_1">#REF!</definedName>
    <definedName name="MTOT02.110.0094" localSheetId="4">#REF!</definedName>
    <definedName name="MTOT02.110.0094">#REF!</definedName>
    <definedName name="MTOT02.110.0094_1" localSheetId="4">#REF!</definedName>
    <definedName name="MTOT02.110.0094_1">#REF!</definedName>
    <definedName name="MTOT02.110.0106" localSheetId="4">#REF!</definedName>
    <definedName name="MTOT02.110.0106">#REF!</definedName>
    <definedName name="MTOT02.110.0106_1" localSheetId="4">#REF!</definedName>
    <definedName name="MTOT02.110.0106_1">#REF!</definedName>
    <definedName name="MTOT02.110.0110" localSheetId="4">#REF!</definedName>
    <definedName name="MTOT02.110.0110">#REF!</definedName>
    <definedName name="MTOT02.110.0110_1" localSheetId="4">#REF!</definedName>
    <definedName name="MTOT02.110.0110_1">#REF!</definedName>
    <definedName name="MTOT02.110.0134" localSheetId="4">#REF!</definedName>
    <definedName name="MTOT02.110.0134">#REF!</definedName>
    <definedName name="MTOT02.110.0134_1" localSheetId="4">#REF!</definedName>
    <definedName name="MTOT02.110.0134_1">#REF!</definedName>
    <definedName name="MTOT02.110.0146" localSheetId="4">#REF!</definedName>
    <definedName name="MTOT02.110.0146">#REF!</definedName>
    <definedName name="MTOT02.110.0146_1" localSheetId="4">#REF!</definedName>
    <definedName name="MTOT02.110.0146_1">#REF!</definedName>
    <definedName name="MTOT02.110.0150" localSheetId="4">#REF!</definedName>
    <definedName name="MTOT02.110.0150">#REF!</definedName>
    <definedName name="MTOT02.110.0150_1" localSheetId="4">#REF!</definedName>
    <definedName name="MTOT02.110.0150_1">#REF!</definedName>
    <definedName name="MTOT02.110.0610" localSheetId="4">#REF!</definedName>
    <definedName name="MTOT02.110.0610">#REF!</definedName>
    <definedName name="MTOT02.110.0610_1" localSheetId="4">#REF!</definedName>
    <definedName name="MTOT02.110.0610_1">#REF!</definedName>
    <definedName name="MTOT02.110.0620" localSheetId="4">#REF!</definedName>
    <definedName name="MTOT02.110.0620">#REF!</definedName>
    <definedName name="MTOT02.110.0620_1" localSheetId="4">#REF!</definedName>
    <definedName name="MTOT02.110.0620_1">#REF!</definedName>
    <definedName name="MTOT02.110.0734" localSheetId="4">#REF!</definedName>
    <definedName name="MTOT02.110.0734">#REF!</definedName>
    <definedName name="MTOT02.110.0734_1" localSheetId="4">#REF!</definedName>
    <definedName name="MTOT02.110.0734_1">#REF!</definedName>
    <definedName name="MTOT02.110.0738" localSheetId="4">#REF!</definedName>
    <definedName name="MTOT02.110.0738">#REF!</definedName>
    <definedName name="MTOT02.110.0738_1" localSheetId="4">#REF!</definedName>
    <definedName name="MTOT02.110.0738_1">#REF!</definedName>
    <definedName name="MTOT02.110.0750" localSheetId="4">#REF!</definedName>
    <definedName name="MTOT02.110.0750">#REF!</definedName>
    <definedName name="MTOT02.110.0750_1" localSheetId="4">#REF!</definedName>
    <definedName name="MTOT02.110.0750_1">#REF!</definedName>
    <definedName name="MTOT02.110.1014" localSheetId="4">#REF!</definedName>
    <definedName name="MTOT02.110.1014">#REF!</definedName>
    <definedName name="MTOT02.110.1014_1" localSheetId="4">#REF!</definedName>
    <definedName name="MTOT02.110.1014_1">#REF!</definedName>
    <definedName name="MTOT02.110.1020" localSheetId="4">#REF!</definedName>
    <definedName name="MTOT02.110.1020">#REF!</definedName>
    <definedName name="MTOT02.110.1020_1" localSheetId="4">#REF!</definedName>
    <definedName name="MTOT02.110.1020_1">#REF!</definedName>
    <definedName name="MTOT02.110.1164" localSheetId="4">#REF!</definedName>
    <definedName name="MTOT02.110.1164">#REF!</definedName>
    <definedName name="MTOT02.110.1164_1" localSheetId="4">#REF!</definedName>
    <definedName name="MTOT02.110.1164_1">#REF!</definedName>
    <definedName name="MTOT02.110.1166" localSheetId="4">#REF!</definedName>
    <definedName name="MTOT02.110.1166">#REF!</definedName>
    <definedName name="MTOT02.110.1166_1" localSheetId="4">#REF!</definedName>
    <definedName name="MTOT02.110.1166_1">#REF!</definedName>
    <definedName name="MTOT02.110.1420" localSheetId="4">#REF!</definedName>
    <definedName name="MTOT02.110.1420">#REF!</definedName>
    <definedName name="MTOT02.110.1420_1" localSheetId="4">#REF!</definedName>
    <definedName name="MTOT02.110.1420_1">#REF!</definedName>
    <definedName name="MTOT02.110.1426" localSheetId="4">#REF!</definedName>
    <definedName name="MTOT02.110.1426">#REF!</definedName>
    <definedName name="MTOT02.110.1426_1" localSheetId="4">#REF!</definedName>
    <definedName name="MTOT02.110.1426_1">#REF!</definedName>
    <definedName name="MTOT02.110.1654" localSheetId="4">#REF!</definedName>
    <definedName name="MTOT02.110.1654">#REF!</definedName>
    <definedName name="MTOT02.110.1654_1" localSheetId="4">#REF!</definedName>
    <definedName name="MTOT02.110.1654_1">#REF!</definedName>
    <definedName name="MTOT02.110.1880" localSheetId="4">#REF!</definedName>
    <definedName name="MTOT02.110.1880">#REF!</definedName>
    <definedName name="MTOT02.110.1880_1" localSheetId="4">#REF!</definedName>
    <definedName name="MTOT02.110.1880_1">#REF!</definedName>
    <definedName name="MTOT02.110.1974" localSheetId="4">#REF!</definedName>
    <definedName name="MTOT02.110.1974">#REF!</definedName>
    <definedName name="MTOT02.110.1974_1" localSheetId="4">#REF!</definedName>
    <definedName name="MTOT02.110.1974_1">#REF!</definedName>
    <definedName name="MTOT02.110.1996" localSheetId="4">#REF!</definedName>
    <definedName name="MTOT02.110.1996">#REF!</definedName>
    <definedName name="MTOT02.110.1996_1" localSheetId="4">#REF!</definedName>
    <definedName name="MTOT02.110.1996_1">#REF!</definedName>
    <definedName name="MTOT02.110.2012" localSheetId="4">#REF!</definedName>
    <definedName name="MTOT02.110.2012">#REF!</definedName>
    <definedName name="MTOT02.110.2012_1" localSheetId="4">#REF!</definedName>
    <definedName name="MTOT02.110.2012_1">#REF!</definedName>
    <definedName name="MTOT02.110.2016" localSheetId="4">#REF!</definedName>
    <definedName name="MTOT02.110.2016">#REF!</definedName>
    <definedName name="MTOT02.110.2016_1" localSheetId="4">#REF!</definedName>
    <definedName name="MTOT02.110.2016_1">#REF!</definedName>
    <definedName name="MTOT02.110.2024" localSheetId="4">#REF!</definedName>
    <definedName name="MTOT02.110.2024">#REF!</definedName>
    <definedName name="MTOT02.110.2024_1" localSheetId="4">#REF!</definedName>
    <definedName name="MTOT02.110.2024_1">#REF!</definedName>
    <definedName name="MTOT02.110.2026" localSheetId="4">#REF!</definedName>
    <definedName name="MTOT02.110.2026">#REF!</definedName>
    <definedName name="MTOT02.110.2026_1" localSheetId="4">#REF!</definedName>
    <definedName name="MTOT02.110.2026_1">#REF!</definedName>
    <definedName name="MTOT02.110.2310" localSheetId="4">#REF!</definedName>
    <definedName name="MTOT02.110.2310">#REF!</definedName>
    <definedName name="MTOT02.110.2310_1" localSheetId="4">#REF!</definedName>
    <definedName name="MTOT02.110.2310_1">#REF!</definedName>
    <definedName name="MTOT02.110.2480" localSheetId="4">#REF!</definedName>
    <definedName name="MTOT02.110.2480">#REF!</definedName>
    <definedName name="MTOT02.110.2480_1" localSheetId="4">#REF!</definedName>
    <definedName name="MTOT02.110.2480_1">#REF!</definedName>
    <definedName name="MTOT02.110.2798" localSheetId="4">#REF!</definedName>
    <definedName name="MTOT02.110.2798">#REF!</definedName>
    <definedName name="MTOT02.110.2798_1" localSheetId="4">#REF!</definedName>
    <definedName name="MTOT02.110.2798_1">#REF!</definedName>
    <definedName name="MTOT02.110.2806" localSheetId="4">#REF!</definedName>
    <definedName name="MTOT02.110.2806">#REF!</definedName>
    <definedName name="MTOT02.110.2806_1" localSheetId="4">#REF!</definedName>
    <definedName name="MTOT02.110.2806_1">#REF!</definedName>
    <definedName name="MTOT02.110.2868" localSheetId="4">#REF!</definedName>
    <definedName name="MTOT02.110.2868">#REF!</definedName>
    <definedName name="MTOT02.110.2868_1" localSheetId="4">#REF!</definedName>
    <definedName name="MTOT02.110.2868_1">#REF!</definedName>
    <definedName name="MTOT02.110.3856" localSheetId="4">#REF!</definedName>
    <definedName name="MTOT02.110.3856">#REF!</definedName>
    <definedName name="MTOT02.110.3856_1" localSheetId="4">#REF!</definedName>
    <definedName name="MTOT02.110.3856_1">#REF!</definedName>
    <definedName name="MTOT02.110.3908" localSheetId="4">#REF!</definedName>
    <definedName name="MTOT02.110.3908">#REF!</definedName>
    <definedName name="MTOT02.110.3908_1" localSheetId="4">#REF!</definedName>
    <definedName name="MTOT02.110.3908_1">#REF!</definedName>
    <definedName name="MTOT02.110.3926" localSheetId="4">#REF!</definedName>
    <definedName name="MTOT02.110.3926">#REF!</definedName>
    <definedName name="MTOT02.110.3926_1" localSheetId="4">#REF!</definedName>
    <definedName name="MTOT02.110.3926_1">#REF!</definedName>
    <definedName name="MTOT02.110.4288" localSheetId="4">#REF!</definedName>
    <definedName name="MTOT02.110.4288">#REF!</definedName>
    <definedName name="MTOT02.110.4288_1" localSheetId="4">#REF!</definedName>
    <definedName name="MTOT02.110.4288_1">#REF!</definedName>
    <definedName name="MTOT02.110.4296" localSheetId="4">#REF!</definedName>
    <definedName name="MTOT02.110.4296">#REF!</definedName>
    <definedName name="MTOT02.110.4296_1" localSheetId="4">#REF!</definedName>
    <definedName name="MTOT02.110.4296_1">#REF!</definedName>
    <definedName name="MTOT02.110.4308" localSheetId="4">#REF!</definedName>
    <definedName name="MTOT02.110.4308">#REF!</definedName>
    <definedName name="MTOT02.110.4308_1" localSheetId="4">#REF!</definedName>
    <definedName name="MTOT02.110.4308_1">#REF!</definedName>
    <definedName name="MTOT02.110.4312" localSheetId="4">#REF!</definedName>
    <definedName name="MTOT02.110.4312">#REF!</definedName>
    <definedName name="MTOT02.110.4312_1" localSheetId="4">#REF!</definedName>
    <definedName name="MTOT02.110.4312_1">#REF!</definedName>
    <definedName name="MTOT02.110.4320" localSheetId="4">#REF!</definedName>
    <definedName name="MTOT02.110.4320">#REF!</definedName>
    <definedName name="MTOT02.110.4320_1" localSheetId="4">#REF!</definedName>
    <definedName name="MTOT02.110.4320_1">#REF!</definedName>
    <definedName name="MTOT02.110.4780" localSheetId="4">#REF!</definedName>
    <definedName name="MTOT02.110.4780">#REF!</definedName>
    <definedName name="MTOT02.110.4780_1" localSheetId="4">#REF!</definedName>
    <definedName name="MTOT02.110.4780_1">#REF!</definedName>
    <definedName name="MTOT02.110.610" localSheetId="4">#REF!</definedName>
    <definedName name="MTOT02.110.610">#REF!</definedName>
    <definedName name="MTOT02.110.610_1" localSheetId="4">#REF!</definedName>
    <definedName name="MTOT02.110.610_1">#REF!</definedName>
    <definedName name="MTOT02.120.0050" localSheetId="4">#REF!</definedName>
    <definedName name="MTOT02.120.0050">#REF!</definedName>
    <definedName name="MTOT02.120.0050_1" localSheetId="4">#REF!</definedName>
    <definedName name="MTOT02.120.0050_1">#REF!</definedName>
    <definedName name="MTOT02.120.0060" localSheetId="4">#REF!</definedName>
    <definedName name="MTOT02.120.0060">#REF!</definedName>
    <definedName name="MTOT02.120.0060_1" localSheetId="4">#REF!</definedName>
    <definedName name="MTOT02.120.0060_1">#REF!</definedName>
    <definedName name="MTOT02.120.0140" localSheetId="4">#REF!</definedName>
    <definedName name="MTOT02.120.0140">#REF!</definedName>
    <definedName name="MTOT02.120.0140_1" localSheetId="4">#REF!</definedName>
    <definedName name="MTOT02.120.0140_1">#REF!</definedName>
    <definedName name="MTOT02.130.0070" localSheetId="4">#REF!</definedName>
    <definedName name="MTOT02.130.0070">#REF!</definedName>
    <definedName name="MTOT02.130.0070_1" localSheetId="4">#REF!</definedName>
    <definedName name="MTOT02.130.0070_1">#REF!</definedName>
    <definedName name="MTOT02.130.0080" localSheetId="4">#REF!</definedName>
    <definedName name="MTOT02.130.0080">#REF!</definedName>
    <definedName name="MTOT02.130.0080_1" localSheetId="4">#REF!</definedName>
    <definedName name="MTOT02.130.0080_1">#REF!</definedName>
    <definedName name="MTOT02.130.0100" localSheetId="4">#REF!</definedName>
    <definedName name="MTOT02.130.0100">#REF!</definedName>
    <definedName name="MTOT02.130.0100_1" localSheetId="4">#REF!</definedName>
    <definedName name="MTOT02.130.0100_1">#REF!</definedName>
    <definedName name="MTOT02.140.0030" localSheetId="4">#REF!</definedName>
    <definedName name="MTOT02.140.0030">#REF!</definedName>
    <definedName name="MTOT02.140.0030_1" localSheetId="4">#REF!</definedName>
    <definedName name="MTOT02.140.0030_1">#REF!</definedName>
    <definedName name="MTOT02.140.0080" localSheetId="4">#REF!</definedName>
    <definedName name="MTOT02.140.0080">#REF!</definedName>
    <definedName name="MTOT02.140.0080_1" localSheetId="4">#REF!</definedName>
    <definedName name="MTOT02.140.0080_1">#REF!</definedName>
    <definedName name="MTOT02.140.0090" localSheetId="4">#REF!</definedName>
    <definedName name="MTOT02.140.0090">#REF!</definedName>
    <definedName name="MTOT02.140.0090_1" localSheetId="4">#REF!</definedName>
    <definedName name="MTOT02.140.0090_1">#REF!</definedName>
    <definedName name="MTOT02.160.0010" localSheetId="4">#REF!</definedName>
    <definedName name="MTOT02.160.0010">#REF!</definedName>
    <definedName name="MTOT02.160.0010_1" localSheetId="4">#REF!</definedName>
    <definedName name="MTOT02.160.0010_1">#REF!</definedName>
    <definedName name="MTOT02.160.0110" localSheetId="4">#REF!</definedName>
    <definedName name="MTOT02.160.0110">#REF!</definedName>
    <definedName name="MTOT02.160.0110_1" localSheetId="4">#REF!</definedName>
    <definedName name="MTOT02.160.0110_1">#REF!</definedName>
    <definedName name="MTOT02.180.0010" localSheetId="4">#REF!</definedName>
    <definedName name="MTOT02.180.0010">#REF!</definedName>
    <definedName name="MTOT02.180.0010_1" localSheetId="4">#REF!</definedName>
    <definedName name="MTOT02.180.0010_1">#REF!</definedName>
    <definedName name="MTOT02.210.0020" localSheetId="4">#REF!</definedName>
    <definedName name="MTOT02.210.0020">#REF!</definedName>
    <definedName name="MTOT02.210.0020_1" localSheetId="4">#REF!</definedName>
    <definedName name="MTOT02.210.0020_1">#REF!</definedName>
    <definedName name="MTOT02.210.0030" localSheetId="4">#REF!</definedName>
    <definedName name="MTOT02.210.0030">#REF!</definedName>
    <definedName name="MTOT02.210.0030_1" localSheetId="4">#REF!</definedName>
    <definedName name="MTOT02.210.0030_1">#REF!</definedName>
    <definedName name="MTOT02.210.0090" localSheetId="4">#REF!</definedName>
    <definedName name="MTOT02.210.0090">#REF!</definedName>
    <definedName name="MTOT02.210.0090_1" localSheetId="4">#REF!</definedName>
    <definedName name="MTOT02.210.0090_1">#REF!</definedName>
    <definedName name="MTOT02.210.0110" localSheetId="4">#REF!</definedName>
    <definedName name="MTOT02.210.0110">#REF!</definedName>
    <definedName name="MTOT02.210.0110_1" localSheetId="4">#REF!</definedName>
    <definedName name="MTOT02.210.0110_1">#REF!</definedName>
    <definedName name="MTOT02.210.0310" localSheetId="4">#REF!</definedName>
    <definedName name="MTOT02.210.0310">#REF!</definedName>
    <definedName name="MTOT02.210.0310_1" localSheetId="4">#REF!</definedName>
    <definedName name="MTOT02.210.0310_1">#REF!</definedName>
    <definedName name="MTOT02.210.0340" localSheetId="4">#REF!</definedName>
    <definedName name="MTOT02.210.0340">#REF!</definedName>
    <definedName name="MTOT02.210.0340_1" localSheetId="4">#REF!</definedName>
    <definedName name="MTOT02.210.0340_1">#REF!</definedName>
    <definedName name="MTOT02.210.0350" localSheetId="4">#REF!</definedName>
    <definedName name="MTOT02.210.0350">#REF!</definedName>
    <definedName name="MTOT02.210.0350_1" localSheetId="4">#REF!</definedName>
    <definedName name="MTOT02.210.0350_1">#REF!</definedName>
    <definedName name="MTOT02.210.0360" localSheetId="4">#REF!</definedName>
    <definedName name="MTOT02.210.0360">#REF!</definedName>
    <definedName name="MTOT02.210.0360_1" localSheetId="4">#REF!</definedName>
    <definedName name="MTOT02.210.0360_1">#REF!</definedName>
    <definedName name="MTOT02.210.0370" localSheetId="4">#REF!</definedName>
    <definedName name="MTOT02.210.0370">#REF!</definedName>
    <definedName name="MTOT02.210.0370_1" localSheetId="4">#REF!</definedName>
    <definedName name="MTOT02.210.0370_1">#REF!</definedName>
    <definedName name="MTOT02.210.0380" localSheetId="4">#REF!</definedName>
    <definedName name="MTOT02.210.0380">#REF!</definedName>
    <definedName name="MTOT02.210.0380_1" localSheetId="4">#REF!</definedName>
    <definedName name="MTOT02.210.0380_1">#REF!</definedName>
    <definedName name="MTOT02.210.1620" localSheetId="4">#REF!</definedName>
    <definedName name="MTOT02.210.1620">#REF!</definedName>
    <definedName name="MTOT02.210.1620_1" localSheetId="4">#REF!</definedName>
    <definedName name="MTOT02.210.1620_1">#REF!</definedName>
    <definedName name="MTOT02.210.1625" localSheetId="4">#REF!</definedName>
    <definedName name="MTOT02.210.1625">#REF!</definedName>
    <definedName name="MTOT02.210.1625_1" localSheetId="4">#REF!</definedName>
    <definedName name="MTOT02.210.1625_1">#REF!</definedName>
    <definedName name="MTOT02.210.1635" localSheetId="4">#REF!</definedName>
    <definedName name="MTOT02.210.1635">#REF!</definedName>
    <definedName name="MTOT02.210.1635_1" localSheetId="4">#REF!</definedName>
    <definedName name="MTOT02.210.1635_1">#REF!</definedName>
    <definedName name="MTOT02.210.1637" localSheetId="4">#REF!</definedName>
    <definedName name="MTOT02.210.1637">#REF!</definedName>
    <definedName name="MTOT02.210.1637_1" localSheetId="4">#REF!</definedName>
    <definedName name="MTOT02.210.1637_1">#REF!</definedName>
    <definedName name="MTOT02.2140." localSheetId="4">#REF!</definedName>
    <definedName name="MTOT02.2140.">#REF!</definedName>
    <definedName name="MTOT02.2140._1" localSheetId="4">#REF!</definedName>
    <definedName name="MTOT02.2140._1">#REF!</definedName>
    <definedName name="MTOT03.020.0020" localSheetId="4">#REF!</definedName>
    <definedName name="MTOT03.020.0020">#REF!</definedName>
    <definedName name="MTOT03.020.0020_1" localSheetId="4">#REF!</definedName>
    <definedName name="MTOT03.020.0020_1">#REF!</definedName>
    <definedName name="MTOT05.150.0830" localSheetId="4">#REF!</definedName>
    <definedName name="MTOT05.150.0830">#REF!</definedName>
    <definedName name="MTOT05.150.0830_1" localSheetId="4">#REF!</definedName>
    <definedName name="MTOT05.150.0830_1">#REF!</definedName>
    <definedName name="MTOT05.150.0840" localSheetId="4">#REF!</definedName>
    <definedName name="MTOT05.150.0840">#REF!</definedName>
    <definedName name="MTOT05.150.0840_1" localSheetId="4">#REF!</definedName>
    <definedName name="MTOT05.150.0840_1">#REF!</definedName>
    <definedName name="MTOTCOTADO01" localSheetId="4">#REF!</definedName>
    <definedName name="MTOTCOTADO01">#REF!</definedName>
    <definedName name="MTOTCOTADO01_1" localSheetId="4">#REF!</definedName>
    <definedName name="MTOTCOTADO01_1">#REF!</definedName>
    <definedName name="MTOTCOTADO02" localSheetId="4">#REF!</definedName>
    <definedName name="MTOTCOTADO02">#REF!</definedName>
    <definedName name="MTOTCOTADO02_1" localSheetId="4">#REF!</definedName>
    <definedName name="MTOTCOTADO02_1">#REF!</definedName>
    <definedName name="MTOTCOTADO03" localSheetId="4">#REF!</definedName>
    <definedName name="MTOTCOTADO03">#REF!</definedName>
    <definedName name="MTOTCOTADO03_1" localSheetId="4">#REF!</definedName>
    <definedName name="MTOTCOTADO03_1">#REF!</definedName>
    <definedName name="MTOTCOTADO04" localSheetId="4">#REF!</definedName>
    <definedName name="MTOTCOTADO04">#REF!</definedName>
    <definedName name="MTOTCOTADO04_1" localSheetId="4">#REF!</definedName>
    <definedName name="MTOTCOTADO04_1">#REF!</definedName>
    <definedName name="MTOTCOTADO05" localSheetId="4">#REF!</definedName>
    <definedName name="MTOTCOTADO05">#REF!</definedName>
    <definedName name="MTOTCOTADO05_1" localSheetId="4">#REF!</definedName>
    <definedName name="MTOTCOTADO05_1">#REF!</definedName>
    <definedName name="MTOTCOTADO21" localSheetId="4">#REF!</definedName>
    <definedName name="MTOTCOTADO21">#REF!</definedName>
    <definedName name="MTOTCOTADO21_1" localSheetId="4">#REF!</definedName>
    <definedName name="MTOTCOTADO21_1">#REF!</definedName>
    <definedName name="MTOTVERBA" localSheetId="4">#REF!</definedName>
    <definedName name="MTOTVERBA">#REF!</definedName>
    <definedName name="MTOTVERBA_1" localSheetId="4">#REF!</definedName>
    <definedName name="MTOTVERBA_1">#REF!</definedName>
    <definedName name="MULT" localSheetId="4">#REF!</definedName>
    <definedName name="MULT">#REF!</definedName>
    <definedName name="MULT_2" localSheetId="4">#REF!</definedName>
    <definedName name="MULT_2">#REF!</definedName>
    <definedName name="N" localSheetId="1">#REF!</definedName>
    <definedName name="N" localSheetId="4">#REF!</definedName>
    <definedName name="N">#REF!</definedName>
    <definedName name="N__EPC" localSheetId="4">#REF!</definedName>
    <definedName name="N__EPC">#REF!</definedName>
    <definedName name="nb" localSheetId="0" hidden="1">{#N/A,#N/A,FALSE,"MO (2)"}</definedName>
    <definedName name="nb" localSheetId="4" hidden="1">{#N/A,#N/A,FALSE,"MO (2)"}</definedName>
    <definedName name="nb" hidden="1">{#N/A,#N/A,FALSE,"MO (2)"}</definedName>
    <definedName name="nil" localSheetId="4">#REF!</definedName>
    <definedName name="nil">#REF!</definedName>
    <definedName name="NN" localSheetId="4">#REF!</definedName>
    <definedName name="NN">#REF!</definedName>
    <definedName name="NOME">#N/A</definedName>
    <definedName name="NOME1" localSheetId="4">#REF!</definedName>
    <definedName name="NOME1">#REF!</definedName>
    <definedName name="NOME1_6" localSheetId="4">#REF!</definedName>
    <definedName name="NOME1_6">#REF!</definedName>
    <definedName name="Novo" localSheetId="4">#REF!</definedName>
    <definedName name="Novo">#REF!</definedName>
    <definedName name="OBJETIVO" localSheetId="4">#REF!</definedName>
    <definedName name="OBJETIVO">#REF!</definedName>
    <definedName name="OBRA" localSheetId="4">#REF!</definedName>
    <definedName name="OBRA">#REF!</definedName>
    <definedName name="OCUPACAO" localSheetId="4">#REF!</definedName>
    <definedName name="OCUPACAO">#REF!</definedName>
    <definedName name="OFERTAS" localSheetId="4">#REF!</definedName>
    <definedName name="OFERTAS">#REF!</definedName>
    <definedName name="oh" localSheetId="1">#REF!</definedName>
    <definedName name="oh" localSheetId="4">#REF!</definedName>
    <definedName name="oh">#REF!</definedName>
    <definedName name="Ok" localSheetId="4">#REF!</definedName>
    <definedName name="Ok">#REF!</definedName>
    <definedName name="onde" localSheetId="4">#REF!</definedName>
    <definedName name="onde">#REF!</definedName>
    <definedName name="opções" localSheetId="4">#REF!</definedName>
    <definedName name="opções">#REF!</definedName>
    <definedName name="Orçamento" localSheetId="4">#REF!</definedName>
    <definedName name="Orçamento">#REF!</definedName>
    <definedName name="Orçamento_Básico" localSheetId="4">#REF!</definedName>
    <definedName name="Orçamento_Básico">#REF!</definedName>
    <definedName name="orig">#REF!</definedName>
    <definedName name="p">#REF!</definedName>
    <definedName name="PADRAO_ACABAMENTO" localSheetId="4">#REF!</definedName>
    <definedName name="PADRAO_ACABAMENTO">#REF!</definedName>
    <definedName name="PADRAO_CONST_PREDOM" localSheetId="4">#REF!</definedName>
    <definedName name="PADRAO_CONST_PREDOM">#REF!</definedName>
    <definedName name="PARALELO" localSheetId="4">#REF!</definedName>
    <definedName name="PARALELO">#REF!</definedName>
    <definedName name="PARALELO_1" localSheetId="4">#REF!</definedName>
    <definedName name="PARALELO_1">#REF!</definedName>
    <definedName name="Parcial">#REF!</definedName>
    <definedName name="PassaExtenso">"#NAME!PassaExtenso"</definedName>
    <definedName name="PASSARELAS" localSheetId="4">#REF!</definedName>
    <definedName name="PASSARELAS">#REF!</definedName>
    <definedName name="PAULO" localSheetId="1">#REF!</definedName>
    <definedName name="PAULO" localSheetId="4">#REF!</definedName>
    <definedName name="PAULO">#REF!</definedName>
    <definedName name="pav">#REF!</definedName>
    <definedName name="PAVIM" localSheetId="1">#REF!</definedName>
    <definedName name="PAVIM">#REF!</definedName>
    <definedName name="PAVIM_17" localSheetId="1">#REF!</definedName>
    <definedName name="PAVIM_17">#REF!</definedName>
    <definedName name="PAVIM_8">#REF!</definedName>
    <definedName name="pavimen">#REF!</definedName>
    <definedName name="paviment">#REF!</definedName>
    <definedName name="pelicano" localSheetId="4">#REF!,#REF!</definedName>
    <definedName name="pelicano">#REF!,#REF!</definedName>
    <definedName name="pEZZIN" localSheetId="4">#REF!</definedName>
    <definedName name="pEZZIN">#REF!</definedName>
    <definedName name="pinheiros" localSheetId="4">#REF!,#REF!</definedName>
    <definedName name="pinheiros">#REF!,#REF!</definedName>
    <definedName name="PISOS" localSheetId="4">#REF!</definedName>
    <definedName name="PISOS">#REF!</definedName>
    <definedName name="pl" localSheetId="4">#REF!,#REF!</definedName>
    <definedName name="pl">#REF!,#REF!</definedName>
    <definedName name="Plan" localSheetId="4">#REF!</definedName>
    <definedName name="Plan">#REF!</definedName>
    <definedName name="PLANILHA" localSheetId="4">#REF!</definedName>
    <definedName name="PLANILHA">#REF!</definedName>
    <definedName name="POOO" localSheetId="4">#REF!</definedName>
    <definedName name="POOO">#REF!</definedName>
    <definedName name="POSICAO" localSheetId="4">#REF!</definedName>
    <definedName name="POSICAO">#REF!</definedName>
    <definedName name="ppppppp">#REF!</definedName>
    <definedName name="PREÇO" localSheetId="4">("$#REF!.$A$1:$H$65198~$#REF!.$A$1:$AMJ$14)))))))")</definedName>
    <definedName name="PREÇO">("$#REF!.$A$1:$H$65198~$#REF!.$A$1:$AMJ$14)))))))")</definedName>
    <definedName name="Print_Area_MI" localSheetId="4">#REF!</definedName>
    <definedName name="PRINT_AREA_MI">#REF!</definedName>
    <definedName name="PRINT_TITLES_MI" localSheetId="4">#REF!</definedName>
    <definedName name="PRINT_TITLES_MI">#REF!</definedName>
    <definedName name="PROFISSIONAIS" localSheetId="4">#REF!</definedName>
    <definedName name="PROFISSIONAIS">#REF!</definedName>
    <definedName name="PROJETO" localSheetId="4">#REF!</definedName>
    <definedName name="PROJETO">#REF!</definedName>
    <definedName name="putzjngirla" localSheetId="4">#REF!</definedName>
    <definedName name="putzjngirla">#REF!</definedName>
    <definedName name="Q" localSheetId="4">#REF!</definedName>
    <definedName name="Q">#REF!</definedName>
    <definedName name="QQ" localSheetId="4">#REF!</definedName>
    <definedName name="QQ">#REF!</definedName>
    <definedName name="Quadra" localSheetId="0" hidden="1">{#N/A,#N/A,FALSE,"MO (2)"}</definedName>
    <definedName name="Quadra" localSheetId="4" hidden="1">{#N/A,#N/A,FALSE,"MO (2)"}</definedName>
    <definedName name="Quadra" hidden="1">{#N/A,#N/A,FALSE,"MO (2)"}</definedName>
    <definedName name="quant">#REF!</definedName>
    <definedName name="Quant." localSheetId="4">#REF!</definedName>
    <definedName name="Quant.">#REF!</definedName>
    <definedName name="quant1">#REF!</definedName>
    <definedName name="Quantidades" localSheetId="0" hidden="1">{#N/A,#N/A,FALSE,"MO (2)"}</definedName>
    <definedName name="Quantidades" localSheetId="4" hidden="1">{#N/A,#N/A,FALSE,"MO (2)"}</definedName>
    <definedName name="Quantidades" hidden="1">{#N/A,#N/A,FALSE,"MO (2)"}</definedName>
    <definedName name="quebGYmkknd" localSheetId="4">#REF!</definedName>
    <definedName name="quebGYmkknd">#REF!</definedName>
    <definedName name="QUELI" localSheetId="4">#REF!</definedName>
    <definedName name="QUELI">#REF!</definedName>
    <definedName name="qwer" localSheetId="4">#REF!</definedName>
    <definedName name="qwer">#REF!</definedName>
    <definedName name="RAH">#REF!</definedName>
    <definedName name="RAH_1">#REF!</definedName>
    <definedName name="RE">#REF!</definedName>
    <definedName name="REATERRO">#REF!</definedName>
    <definedName name="REATERRO_DE_VALAS_COMPACTADO_MECANICAMENTE">#REF!</definedName>
    <definedName name="rec" localSheetId="4">#REF!,#REF!</definedName>
    <definedName name="rec">#REF!,#REF!</definedName>
    <definedName name="REC.ATE." localSheetId="4">#REF!</definedName>
    <definedName name="REC.ATE.">#REF!</definedName>
    <definedName name="recuper" localSheetId="4">#REF!,#REF!</definedName>
    <definedName name="recuper">#REF!,#REF!</definedName>
    <definedName name="REFORMA" localSheetId="4">#REF!</definedName>
    <definedName name="REFORMA">#REF!</definedName>
    <definedName name="REGISTRO" localSheetId="4">#REF!</definedName>
    <definedName name="REGISTRO">#REF!</definedName>
    <definedName name="rere" localSheetId="4">#REF!</definedName>
    <definedName name="rere">#REF!</definedName>
    <definedName name="RES">#REF!</definedName>
    <definedName name="RESTRICOES" localSheetId="4">#REF!</definedName>
    <definedName name="RESTRICOES">#REF!</definedName>
    <definedName name="rfv" localSheetId="4">#REF!</definedName>
    <definedName name="rfv">#REF!</definedName>
    <definedName name="rfv_1" localSheetId="4">#REF!</definedName>
    <definedName name="rfv_1">#REF!</definedName>
    <definedName name="rocha">#REF!</definedName>
    <definedName name="rpa">#REF!</definedName>
    <definedName name="rpa_1">#REF!</definedName>
    <definedName name="rpb">#REF!</definedName>
    <definedName name="rpb_1">#REF!</definedName>
    <definedName name="rpp">#REF!</definedName>
    <definedName name="rpp_1">#REF!</definedName>
    <definedName name="rr">#REF!</definedName>
    <definedName name="rrrrrrr">#REF!</definedName>
    <definedName name="rwgnkd">#REF!</definedName>
    <definedName name="s">#REF!</definedName>
    <definedName name="saconhyuu5977962">#REF!</definedName>
    <definedName name="SAD">#REF!</definedName>
    <definedName name="SCO">#REF!</definedName>
    <definedName name="SCOD02.010.0020">#REF!</definedName>
    <definedName name="SCOD02.010.0020_1">#REF!</definedName>
    <definedName name="SCOD02.010.0050" localSheetId="4">#REF!</definedName>
    <definedName name="SCOD02.010.0050">#REF!</definedName>
    <definedName name="SCOD02.010.0050_1" localSheetId="4">#REF!</definedName>
    <definedName name="SCOD02.010.0050_1">#REF!</definedName>
    <definedName name="SCOD02.010.0065" localSheetId="4">#REF!</definedName>
    <definedName name="SCOD02.010.0065">#REF!</definedName>
    <definedName name="SCOD02.010.0065_1" localSheetId="4">#REF!</definedName>
    <definedName name="SCOD02.010.0065_1">#REF!</definedName>
    <definedName name="SCOD02.010.0130" localSheetId="4">#REF!</definedName>
    <definedName name="SCOD02.010.0130">#REF!</definedName>
    <definedName name="SCOD02.010.0130_1" localSheetId="4">#REF!</definedName>
    <definedName name="SCOD02.010.0130_1">#REF!</definedName>
    <definedName name="SCOD03.010.0020" localSheetId="4">#REF!</definedName>
    <definedName name="SCOD03.010.0020">#REF!</definedName>
    <definedName name="SCOD03.010.0020_1" localSheetId="4">#REF!</definedName>
    <definedName name="SCOD03.010.0020_1">#REF!</definedName>
    <definedName name="SCOD03.010.0025" localSheetId="4">#REF!</definedName>
    <definedName name="SCOD03.010.0025">#REF!</definedName>
    <definedName name="SCOD03.010.0025_1" localSheetId="4">#REF!</definedName>
    <definedName name="SCOD03.010.0025_1">#REF!</definedName>
    <definedName name="SCOD03.010.0040" localSheetId="4">#REF!</definedName>
    <definedName name="SCOD03.010.0040">#REF!</definedName>
    <definedName name="SCOD03.010.0040_1" localSheetId="4">#REF!</definedName>
    <definedName name="SCOD03.010.0040_1">#REF!</definedName>
    <definedName name="SCOD03.010.0050" localSheetId="4">#REF!</definedName>
    <definedName name="SCOD03.010.0050">#REF!</definedName>
    <definedName name="SCOD03.010.0050_1" localSheetId="4">#REF!</definedName>
    <definedName name="SCOD03.010.0050_1">#REF!</definedName>
    <definedName name="SCOD03.010.0100" localSheetId="4">#REF!</definedName>
    <definedName name="SCOD03.010.0100">#REF!</definedName>
    <definedName name="SCOD03.010.0100_1" localSheetId="4">#REF!</definedName>
    <definedName name="SCOD03.010.0100_1">#REF!</definedName>
    <definedName name="SCOD03.010.0180" localSheetId="4">#REF!</definedName>
    <definedName name="SCOD03.010.0180">#REF!</definedName>
    <definedName name="SCOD03.010.0180_1" localSheetId="4">#REF!</definedName>
    <definedName name="SCOD03.010.0180_1">#REF!</definedName>
    <definedName name="SCOD03.010.0200" localSheetId="4">#REF!</definedName>
    <definedName name="SCOD03.010.0200">#REF!</definedName>
    <definedName name="SCOD03.010.0200_1" localSheetId="4">#REF!</definedName>
    <definedName name="SCOD03.010.0200_1">#REF!</definedName>
    <definedName name="SCOD04.010.0010" localSheetId="4">#REF!</definedName>
    <definedName name="SCOD04.010.0010">#REF!</definedName>
    <definedName name="SCOD04.010.0010_1" localSheetId="4">#REF!</definedName>
    <definedName name="SCOD04.010.0010_1">#REF!</definedName>
    <definedName name="SCOD04.010.0040" localSheetId="4">#REF!</definedName>
    <definedName name="SCOD04.010.0040">#REF!</definedName>
    <definedName name="SCOD04.010.0040_1" localSheetId="4">#REF!</definedName>
    <definedName name="SCOD04.010.0040_1">#REF!</definedName>
    <definedName name="SCOD04.010.0070" localSheetId="4">#REF!</definedName>
    <definedName name="SCOD04.010.0070">#REF!</definedName>
    <definedName name="SCOD04.010.0070_1" localSheetId="4">#REF!</definedName>
    <definedName name="SCOD04.010.0070_1">#REF!</definedName>
    <definedName name="SCOD04.010.0150" localSheetId="4">#REF!</definedName>
    <definedName name="SCOD04.010.0150">#REF!</definedName>
    <definedName name="SCOD04.010.0150_1" localSheetId="4">#REF!</definedName>
    <definedName name="SCOD04.010.0150_1">#REF!</definedName>
    <definedName name="SCOD04.010.0190" localSheetId="4">#REF!</definedName>
    <definedName name="SCOD04.010.0190">#REF!</definedName>
    <definedName name="SCOD04.010.0190_1" localSheetId="4">#REF!</definedName>
    <definedName name="SCOD04.010.0190_1">#REF!</definedName>
    <definedName name="SCOD04.010.0200" localSheetId="4">#REF!</definedName>
    <definedName name="SCOD04.010.0200">#REF!</definedName>
    <definedName name="SCOD04.010.0200_1" localSheetId="4">#REF!</definedName>
    <definedName name="SCOD04.010.0200_1">#REF!</definedName>
    <definedName name="SCOD04.010.0320" localSheetId="4">#REF!</definedName>
    <definedName name="SCOD04.010.0320">#REF!</definedName>
    <definedName name="SCOD04.010.0320_1" localSheetId="4">#REF!</definedName>
    <definedName name="SCOD04.010.0320_1">#REF!</definedName>
    <definedName name="SCOD04.010.0330" localSheetId="4">#REF!</definedName>
    <definedName name="SCOD04.010.0330">#REF!</definedName>
    <definedName name="SCOD04.010.0330_1" localSheetId="4">#REF!</definedName>
    <definedName name="SCOD04.010.0330_1">#REF!</definedName>
    <definedName name="SCOD04.010.0371" localSheetId="4">#REF!</definedName>
    <definedName name="SCOD04.010.0371">#REF!</definedName>
    <definedName name="SCOD04.010.0371_1" localSheetId="4">#REF!</definedName>
    <definedName name="SCOD04.010.0371_1">#REF!</definedName>
    <definedName name="SCOD04.010.0375" localSheetId="4">#REF!</definedName>
    <definedName name="SCOD04.010.0375">#REF!</definedName>
    <definedName name="SCOD04.010.0375_1" localSheetId="4">#REF!</definedName>
    <definedName name="SCOD04.010.0375_1">#REF!</definedName>
    <definedName name="SCOD04.010.0395" localSheetId="4">#REF!</definedName>
    <definedName name="SCOD04.010.0395">#REF!</definedName>
    <definedName name="SCOD04.010.0395_1" localSheetId="4">#REF!</definedName>
    <definedName name="SCOD04.010.0395_1">#REF!</definedName>
    <definedName name="SCOD04.010.0420" localSheetId="4">#REF!</definedName>
    <definedName name="SCOD04.010.0420">#REF!</definedName>
    <definedName name="SCOD04.010.0420_1" localSheetId="4">#REF!</definedName>
    <definedName name="SCOD04.010.0420_1">#REF!</definedName>
    <definedName name="SCOD04.010.0430" localSheetId="4">#REF!</definedName>
    <definedName name="SCOD04.010.0430">#REF!</definedName>
    <definedName name="SCOD04.010.0430_1" localSheetId="4">#REF!</definedName>
    <definedName name="SCOD04.010.0430_1">#REF!</definedName>
    <definedName name="SCOD05.010.0020" localSheetId="4">#REF!</definedName>
    <definedName name="SCOD05.010.0020">#REF!</definedName>
    <definedName name="SCOD05.010.0020_1" localSheetId="4">#REF!</definedName>
    <definedName name="SCOD05.010.0020_1">#REF!</definedName>
    <definedName name="SCOD08.010.0010" localSheetId="4">#REF!</definedName>
    <definedName name="SCOD08.010.0010">#REF!</definedName>
    <definedName name="SCOD08.010.0010_1" localSheetId="4">#REF!</definedName>
    <definedName name="SCOD08.010.0010_1">#REF!</definedName>
    <definedName name="SCOD08.010.0040" localSheetId="4">#REF!</definedName>
    <definedName name="SCOD08.010.0040">#REF!</definedName>
    <definedName name="SCOD08.010.0040_1" localSheetId="4">#REF!</definedName>
    <definedName name="SCOD08.010.0040_1">#REF!</definedName>
    <definedName name="SCOD08.010.0060" localSheetId="4">#REF!</definedName>
    <definedName name="SCOD08.010.0060">#REF!</definedName>
    <definedName name="SCOD08.010.0060_1" localSheetId="4">#REF!</definedName>
    <definedName name="SCOD08.010.0060_1">#REF!</definedName>
    <definedName name="SCOD08.010.0130" localSheetId="4">#REF!</definedName>
    <definedName name="SCOD08.010.0130">#REF!</definedName>
    <definedName name="SCOD08.010.0130_1" localSheetId="4">#REF!</definedName>
    <definedName name="SCOD08.010.0130_1">#REF!</definedName>
    <definedName name="SCOD08.010.0135" localSheetId="4">#REF!</definedName>
    <definedName name="SCOD08.010.0135">#REF!</definedName>
    <definedName name="SCOD08.010.0135_1" localSheetId="4">#REF!</definedName>
    <definedName name="SCOD08.010.0135_1">#REF!</definedName>
    <definedName name="SCOD08.010.0270" localSheetId="4">#REF!</definedName>
    <definedName name="SCOD08.010.0270">#REF!</definedName>
    <definedName name="SCOD08.010.0270_1" localSheetId="4">#REF!</definedName>
    <definedName name="SCOD08.010.0270_1">#REF!</definedName>
    <definedName name="SCOD09.010.0060" localSheetId="4">#REF!</definedName>
    <definedName name="SCOD09.010.0060">#REF!</definedName>
    <definedName name="SCOD09.010.0060_1" localSheetId="4">#REF!</definedName>
    <definedName name="SCOD09.010.0060_1">#REF!</definedName>
    <definedName name="SCOD09.010.0240" localSheetId="4">#REF!</definedName>
    <definedName name="SCOD09.010.0240">#REF!</definedName>
    <definedName name="SCOD09.010.0240_1" localSheetId="4">#REF!</definedName>
    <definedName name="SCOD09.010.0240_1">#REF!</definedName>
    <definedName name="SCOD09.010.0430" localSheetId="4">#REF!</definedName>
    <definedName name="SCOD09.010.0430">#REF!</definedName>
    <definedName name="SCOD09.010.0430_1" localSheetId="4">#REF!</definedName>
    <definedName name="SCOD09.010.0430_1">#REF!</definedName>
    <definedName name="SCOD09.010.0470" localSheetId="4">#REF!</definedName>
    <definedName name="SCOD09.010.0470">#REF!</definedName>
    <definedName name="SCOD09.010.0470_1" localSheetId="4">#REF!</definedName>
    <definedName name="SCOD09.010.0470_1">#REF!</definedName>
    <definedName name="SCOD09.010.0700" localSheetId="4">#REF!</definedName>
    <definedName name="SCOD09.010.0700">#REF!</definedName>
    <definedName name="SCOD09.010.0700_1" localSheetId="4">#REF!</definedName>
    <definedName name="SCOD09.010.0700_1">#REF!</definedName>
    <definedName name="SCOD10.010.0140" localSheetId="4">#REF!</definedName>
    <definedName name="SCOD10.010.0140">#REF!</definedName>
    <definedName name="SCOD10.010.0140_1" localSheetId="4">#REF!</definedName>
    <definedName name="SCOD10.010.0140_1">#REF!</definedName>
    <definedName name="SCOD10.010.0180" localSheetId="4">#REF!</definedName>
    <definedName name="SCOD10.010.0180">#REF!</definedName>
    <definedName name="SCOD10.010.0180_1" localSheetId="4">#REF!</definedName>
    <definedName name="SCOD10.010.0180_1">#REF!</definedName>
    <definedName name="SCOD10.010.0270" localSheetId="4">#REF!</definedName>
    <definedName name="SCOD10.010.0270">#REF!</definedName>
    <definedName name="SCOD10.010.0270_1" localSheetId="4">#REF!</definedName>
    <definedName name="SCOD10.010.0270_1">#REF!</definedName>
    <definedName name="SCOD10.010.0280" localSheetId="4">#REF!</definedName>
    <definedName name="SCOD10.010.0280">#REF!</definedName>
    <definedName name="SCOD10.010.0280_1" localSheetId="4">#REF!</definedName>
    <definedName name="SCOD10.010.0280_1">#REF!</definedName>
    <definedName name="SCOD10.010.0298" localSheetId="4">#REF!</definedName>
    <definedName name="SCOD10.010.0298">#REF!</definedName>
    <definedName name="SCOD10.010.0298_1" localSheetId="4">#REF!</definedName>
    <definedName name="SCOD10.010.0298_1">#REF!</definedName>
    <definedName name="SCOD10.010.0307" localSheetId="4">#REF!</definedName>
    <definedName name="SCOD10.010.0307">#REF!</definedName>
    <definedName name="SCOD10.010.0307_1" localSheetId="4">#REF!</definedName>
    <definedName name="SCOD10.010.0307_1">#REF!</definedName>
    <definedName name="SCOD10.010.0308" localSheetId="4">#REF!</definedName>
    <definedName name="SCOD10.010.0308">#REF!</definedName>
    <definedName name="SCOD10.010.0308_1" localSheetId="4">#REF!</definedName>
    <definedName name="SCOD10.010.0308_1">#REF!</definedName>
    <definedName name="SCOD10.010.0310" localSheetId="4">#REF!</definedName>
    <definedName name="SCOD10.010.0310">#REF!</definedName>
    <definedName name="SCOD10.010.0310_1" localSheetId="4">#REF!</definedName>
    <definedName name="SCOD10.010.0310_1">#REF!</definedName>
    <definedName name="SCOD10.010.0330" localSheetId="4">#REF!</definedName>
    <definedName name="SCOD10.010.0330">#REF!</definedName>
    <definedName name="SCOD10.010.0330_1" localSheetId="4">#REF!</definedName>
    <definedName name="SCOD10.010.0330_1">#REF!</definedName>
    <definedName name="SCOD10.010.0333" localSheetId="4">#REF!</definedName>
    <definedName name="SCOD10.010.0333">#REF!</definedName>
    <definedName name="SCOD10.010.0333_1" localSheetId="4">#REF!</definedName>
    <definedName name="SCOD10.010.0333_1">#REF!</definedName>
    <definedName name="SCOD10.010.0380" localSheetId="4">#REF!</definedName>
    <definedName name="SCOD10.010.0380">#REF!</definedName>
    <definedName name="SCOD10.010.0380_1" localSheetId="4">#REF!</definedName>
    <definedName name="SCOD10.010.0380_1">#REF!</definedName>
    <definedName name="SCOD10.010.0400" localSheetId="4">#REF!</definedName>
    <definedName name="SCOD10.010.0400">#REF!</definedName>
    <definedName name="SCOD10.010.0400_1" localSheetId="4">#REF!</definedName>
    <definedName name="SCOD10.010.0400_1">#REF!</definedName>
    <definedName name="SCOD10.010.0431" localSheetId="4">#REF!</definedName>
    <definedName name="SCOD10.010.0431">#REF!</definedName>
    <definedName name="SCOD10.010.0431_1" localSheetId="4">#REF!</definedName>
    <definedName name="SCOD10.010.0431_1">#REF!</definedName>
    <definedName name="SCOD10.010.1110" localSheetId="4">#REF!</definedName>
    <definedName name="SCOD10.010.1110">#REF!</definedName>
    <definedName name="SCOD10.010.1110_1" localSheetId="4">#REF!</definedName>
    <definedName name="SCOD10.010.1110_1">#REF!</definedName>
    <definedName name="SCOD12.010.0010" localSheetId="4">#REF!</definedName>
    <definedName name="SCOD12.010.0010">#REF!</definedName>
    <definedName name="SCOD12.010.0010_1" localSheetId="4">#REF!</definedName>
    <definedName name="SCOD12.010.0010_1">#REF!</definedName>
    <definedName name="SCOD12.010.0060" localSheetId="4">#REF!</definedName>
    <definedName name="SCOD12.010.0060">#REF!</definedName>
    <definedName name="SCOD12.010.0060_1" localSheetId="4">#REF!</definedName>
    <definedName name="SCOD12.010.0060_1">#REF!</definedName>
    <definedName name="SCOD12.010.0210" localSheetId="4">#REF!</definedName>
    <definedName name="SCOD12.010.0210">#REF!</definedName>
    <definedName name="SCOD12.010.0210_1" localSheetId="4">#REF!</definedName>
    <definedName name="SCOD12.010.0210_1">#REF!</definedName>
    <definedName name="SCOD12.010.0360" localSheetId="4">#REF!</definedName>
    <definedName name="SCOD12.010.0360">#REF!</definedName>
    <definedName name="SCOD12.010.0360_1" localSheetId="4">#REF!</definedName>
    <definedName name="SCOD12.010.0360_1">#REF!</definedName>
    <definedName name="SCOD12.010.0550" localSheetId="4">#REF!</definedName>
    <definedName name="SCOD12.010.0550">#REF!</definedName>
    <definedName name="SCOD12.010.0550_1" localSheetId="4">#REF!</definedName>
    <definedName name="SCOD12.010.0550_1">#REF!</definedName>
    <definedName name="SCOD13.010.0030" localSheetId="4">#REF!</definedName>
    <definedName name="SCOD13.010.0030">#REF!</definedName>
    <definedName name="SCOD13.010.0030_1" localSheetId="4">#REF!</definedName>
    <definedName name="SCOD13.010.0030_1">#REF!</definedName>
    <definedName name="SCOD13.010.0090" localSheetId="4">#REF!</definedName>
    <definedName name="SCOD13.010.0090">#REF!</definedName>
    <definedName name="SCOD13.010.0090_1" localSheetId="4">#REF!</definedName>
    <definedName name="SCOD13.010.0090_1">#REF!</definedName>
    <definedName name="SCOD13.010.0100" localSheetId="4">#REF!</definedName>
    <definedName name="SCOD13.010.0100">#REF!</definedName>
    <definedName name="SCOD13.010.0100_1" localSheetId="4">#REF!</definedName>
    <definedName name="SCOD13.010.0100_1">#REF!</definedName>
    <definedName name="SCOD13.010.0110" localSheetId="4">#REF!</definedName>
    <definedName name="SCOD13.010.0110">#REF!</definedName>
    <definedName name="SCOD13.010.0110_1" localSheetId="4">#REF!</definedName>
    <definedName name="SCOD13.010.0110_1">#REF!</definedName>
    <definedName name="SCOD13.010.1200" localSheetId="4">#REF!</definedName>
    <definedName name="SCOD13.010.1200">#REF!</definedName>
    <definedName name="SCOD13.010.1200_1" localSheetId="4">#REF!</definedName>
    <definedName name="SCOD13.010.1200_1">#REF!</definedName>
    <definedName name="SCOD15.010.0010" localSheetId="4">#REF!</definedName>
    <definedName name="SCOD15.010.0010">#REF!</definedName>
    <definedName name="SCOD15.010.0010_1" localSheetId="4">#REF!</definedName>
    <definedName name="SCOD15.010.0010_1">#REF!</definedName>
    <definedName name="SCOD15.010.0055" localSheetId="4">#REF!</definedName>
    <definedName name="SCOD15.010.0055">#REF!</definedName>
    <definedName name="SCOD15.010.0055_1" localSheetId="4">#REF!</definedName>
    <definedName name="SCOD15.010.0055_1">#REF!</definedName>
    <definedName name="SCOD15.010.0140" localSheetId="4">#REF!</definedName>
    <definedName name="SCOD15.010.0140">#REF!</definedName>
    <definedName name="SCOD15.010.0140_1" localSheetId="4">#REF!</definedName>
    <definedName name="SCOD15.010.0140_1">#REF!</definedName>
    <definedName name="SCOD15.010.0181" localSheetId="4">#REF!</definedName>
    <definedName name="SCOD15.010.0181">#REF!</definedName>
    <definedName name="SCOD15.010.0181_1" localSheetId="4">#REF!</definedName>
    <definedName name="SCOD15.010.0181_1">#REF!</definedName>
    <definedName name="SCOD15.010.0270" localSheetId="4">#REF!</definedName>
    <definedName name="SCOD15.010.0270">#REF!</definedName>
    <definedName name="SCOD15.010.0270_1" localSheetId="4">#REF!</definedName>
    <definedName name="SCOD15.010.0270_1">#REF!</definedName>
    <definedName name="SCOD15.010.0280" localSheetId="4">#REF!</definedName>
    <definedName name="SCOD15.010.0280">#REF!</definedName>
    <definedName name="SCOD15.010.0280_1" localSheetId="4">#REF!</definedName>
    <definedName name="SCOD15.010.0280_1">#REF!</definedName>
    <definedName name="SCOD15.010.0290" localSheetId="4">#REF!</definedName>
    <definedName name="SCOD15.010.0290">#REF!</definedName>
    <definedName name="SCOD15.010.0290_1" localSheetId="4">#REF!</definedName>
    <definedName name="SCOD15.010.0290_1">#REF!</definedName>
    <definedName name="SCOD16.010.0010" localSheetId="4">#REF!</definedName>
    <definedName name="SCOD16.010.0010">#REF!</definedName>
    <definedName name="SCOD16.010.0010_1" localSheetId="4">#REF!</definedName>
    <definedName name="SCOD16.010.0010_1">#REF!</definedName>
    <definedName name="SCOD16.010.0060" localSheetId="4">#REF!</definedName>
    <definedName name="SCOD16.010.0060">#REF!</definedName>
    <definedName name="SCOD16.010.0060_1" localSheetId="4">#REF!</definedName>
    <definedName name="SCOD16.010.0060_1">#REF!</definedName>
    <definedName name="SCOD16.010.0110" localSheetId="4">#REF!</definedName>
    <definedName name="SCOD16.010.0110">#REF!</definedName>
    <definedName name="SCOD16.010.0110_1" localSheetId="4">#REF!</definedName>
    <definedName name="SCOD16.010.0110_1">#REF!</definedName>
    <definedName name="SCOD16.010.0120" localSheetId="4">#REF!</definedName>
    <definedName name="SCOD16.010.0120">#REF!</definedName>
    <definedName name="SCOD16.010.0120_1" localSheetId="4">#REF!</definedName>
    <definedName name="SCOD16.010.0120_1">#REF!</definedName>
    <definedName name="SCOD16.010.0170" localSheetId="4">#REF!</definedName>
    <definedName name="SCOD16.010.0170">#REF!</definedName>
    <definedName name="SCOD16.010.0170_1" localSheetId="4">#REF!</definedName>
    <definedName name="SCOD16.010.0170_1">#REF!</definedName>
    <definedName name="SCOD17.010.0080" localSheetId="4">#REF!</definedName>
    <definedName name="SCOD17.010.0080">#REF!</definedName>
    <definedName name="SCOD17.010.0080_1" localSheetId="4">#REF!</definedName>
    <definedName name="SCOD17.010.0080_1">#REF!</definedName>
    <definedName name="SCOD17.010.0100" localSheetId="4">#REF!</definedName>
    <definedName name="SCOD17.010.0100">#REF!</definedName>
    <definedName name="SCOD17.010.0100_1" localSheetId="4">#REF!</definedName>
    <definedName name="SCOD17.010.0100_1">#REF!</definedName>
    <definedName name="SCOD17.010.0150" localSheetId="4">#REF!</definedName>
    <definedName name="SCOD17.010.0150">#REF!</definedName>
    <definedName name="SCOD17.010.0150_1" localSheetId="4">#REF!</definedName>
    <definedName name="SCOD17.010.0150_1">#REF!</definedName>
    <definedName name="SCOD17.010.0290" localSheetId="4">#REF!</definedName>
    <definedName name="SCOD17.010.0290">#REF!</definedName>
    <definedName name="SCOD17.010.0290_1" localSheetId="4">#REF!</definedName>
    <definedName name="SCOD17.010.0290_1">#REF!</definedName>
    <definedName name="SCOD17.010.0390" localSheetId="4">#REF!</definedName>
    <definedName name="SCOD17.010.0390">#REF!</definedName>
    <definedName name="SCOD17.010.0390_1" localSheetId="4">#REF!</definedName>
    <definedName name="SCOD17.010.0390_1">#REF!</definedName>
    <definedName name="SCOD17.010.0436" localSheetId="4">#REF!</definedName>
    <definedName name="SCOD17.010.0436">#REF!</definedName>
    <definedName name="SCOD17.010.0436_1" localSheetId="4">#REF!</definedName>
    <definedName name="SCOD17.010.0436_1">#REF!</definedName>
    <definedName name="SCOD17.010.0437" localSheetId="4">#REF!</definedName>
    <definedName name="SCOD17.010.0437">#REF!</definedName>
    <definedName name="SCOD17.010.0437_1" localSheetId="4">#REF!</definedName>
    <definedName name="SCOD17.010.0437_1">#REF!</definedName>
    <definedName name="SCOD17.010.0602" localSheetId="4">#REF!</definedName>
    <definedName name="SCOD17.010.0602">#REF!</definedName>
    <definedName name="SCOD17.010.0602_1" localSheetId="4">#REF!</definedName>
    <definedName name="SCOD17.010.0602_1">#REF!</definedName>
    <definedName name="SCODCOMPOSIÇÃO01" localSheetId="4">#REF!</definedName>
    <definedName name="SCODCOMPOSIÇÃO01">#REF!</definedName>
    <definedName name="SCODCOMPOSIÇÃO01A" localSheetId="4">#REF!</definedName>
    <definedName name="SCODCOMPOSIÇÃO01A">#REF!</definedName>
    <definedName name="SCODCOMPOSIÇÃO02" localSheetId="4">#REF!</definedName>
    <definedName name="SCODCOMPOSIÇÃO02">#REF!</definedName>
    <definedName name="SCODCOTADO01" localSheetId="4">#REF!</definedName>
    <definedName name="SCODCOTADO01">#REF!</definedName>
    <definedName name="SCODCOTADO01_1" localSheetId="4">#REF!</definedName>
    <definedName name="SCODCOTADO01_1">#REF!</definedName>
    <definedName name="SCODCOTADO02" localSheetId="4">#REF!</definedName>
    <definedName name="SCODCOTADO02">#REF!</definedName>
    <definedName name="SCODCOTADO02_1" localSheetId="4">#REF!</definedName>
    <definedName name="SCODCOTADO02_1">#REF!</definedName>
    <definedName name="SCODCOTADO03" localSheetId="4">#REF!</definedName>
    <definedName name="SCODCOTADO03">#REF!</definedName>
    <definedName name="SCODCOTADO03_1" localSheetId="4">#REF!</definedName>
    <definedName name="SCODCOTADO03_1">#REF!</definedName>
    <definedName name="SCODCOTADO04" localSheetId="4">#REF!</definedName>
    <definedName name="SCODCOTADO04">#REF!</definedName>
    <definedName name="SCODCOTADO04_1" localSheetId="4">#REF!</definedName>
    <definedName name="SCODCOTADO04_1">#REF!</definedName>
    <definedName name="SCODCOTADO05" localSheetId="4">#REF!</definedName>
    <definedName name="SCODCOTADO05">#REF!</definedName>
    <definedName name="SCODCOTADO05_1" localSheetId="4">#REF!</definedName>
    <definedName name="SCODCOTADO05_1">#REF!</definedName>
    <definedName name="SCODCOTADO06" localSheetId="4">#REF!</definedName>
    <definedName name="SCODCOTADO06">#REF!</definedName>
    <definedName name="SCODCOTADO06_1" localSheetId="4">#REF!</definedName>
    <definedName name="SCODCOTADO06_1">#REF!</definedName>
    <definedName name="SCODVERBA01" localSheetId="4">#REF!</definedName>
    <definedName name="SCODVERBA01">#REF!</definedName>
    <definedName name="SCODVERBA01_1" localSheetId="4">#REF!</definedName>
    <definedName name="SCODVERBA01_1">#REF!</definedName>
    <definedName name="SCOMPOS01" localSheetId="4">#REF!</definedName>
    <definedName name="SCOMPOS01">#REF!</definedName>
    <definedName name="SCOMPOS01_1" localSheetId="4">#REF!</definedName>
    <definedName name="SCOMPOS01_1">#REF!</definedName>
    <definedName name="sdaa" localSheetId="4">#REF!</definedName>
    <definedName name="sdaa">#REF!</definedName>
    <definedName name="SEM" localSheetId="4">#REF!</definedName>
    <definedName name="SEM">#REF!</definedName>
    <definedName name="SEMANAS" localSheetId="4">#REF!</definedName>
    <definedName name="SEMANAS">#REF!</definedName>
    <definedName name="SERVIX" localSheetId="4">#REF!</definedName>
    <definedName name="SERVIX">#REF!</definedName>
    <definedName name="SERVIX_17" localSheetId="4">#REF!</definedName>
    <definedName name="SERVIX_17">#REF!</definedName>
    <definedName name="SERVIX_8" localSheetId="4">#REF!</definedName>
    <definedName name="SERVIX_8">#REF!</definedName>
    <definedName name="sh" localSheetId="1">#REF!</definedName>
    <definedName name="sh" localSheetId="4">#REF!</definedName>
    <definedName name="sh">#REF!</definedName>
    <definedName name="SISTEMA_ESTRUTURAL" localSheetId="4">#REF!</definedName>
    <definedName name="SISTEMA_ESTRUTURAL">#REF!</definedName>
    <definedName name="SITUACAO" localSheetId="4">#REF!</definedName>
    <definedName name="SITUACAO">#REF!</definedName>
    <definedName name="SS" localSheetId="1">#REF!</definedName>
    <definedName name="SS" localSheetId="4">#REF!</definedName>
    <definedName name="SS">#REF!</definedName>
    <definedName name="SSS" localSheetId="4">#REF!</definedName>
    <definedName name="SSS">#REF!</definedName>
    <definedName name="sssss" localSheetId="4">#REF!</definedName>
    <definedName name="sssss">#REF!</definedName>
    <definedName name="STOT01.010.0020" localSheetId="4">#REF!</definedName>
    <definedName name="STOT01.010.0020">#REF!</definedName>
    <definedName name="STOT01.010.0020_1" localSheetId="4">#REF!</definedName>
    <definedName name="STOT01.010.0020_1">#REF!</definedName>
    <definedName name="STOT01.050.0040" localSheetId="4">#REF!</definedName>
    <definedName name="STOT01.050.0040">#REF!</definedName>
    <definedName name="STOT01.050.0040_1" localSheetId="4">#REF!</definedName>
    <definedName name="STOT01.050.0040_1">#REF!</definedName>
    <definedName name="STOT01.110.0010" localSheetId="4">#REF!</definedName>
    <definedName name="STOT01.110.0010">#REF!</definedName>
    <definedName name="STOT01.110.0010_1" localSheetId="4">#REF!</definedName>
    <definedName name="STOT01.110.0010_1">#REF!</definedName>
    <definedName name="STOT01.110.0295" localSheetId="4">#REF!</definedName>
    <definedName name="STOT01.110.0295">#REF!</definedName>
    <definedName name="STOT01.110.0295_1" localSheetId="4">#REF!</definedName>
    <definedName name="STOT01.110.0295_1">#REF!</definedName>
    <definedName name="STOT01.110.0720" localSheetId="4">#REF!</definedName>
    <definedName name="STOT01.110.0720">#REF!</definedName>
    <definedName name="STOT01.110.0720_1" localSheetId="4">#REF!</definedName>
    <definedName name="STOT01.110.0720_1">#REF!</definedName>
    <definedName name="STOT01.120.O22O" localSheetId="4">#REF!</definedName>
    <definedName name="STOT01.120.O22O">#REF!</definedName>
    <definedName name="STOT01.120.O22O_1" localSheetId="4">#REF!</definedName>
    <definedName name="STOT01.120.O22O_1">#REF!</definedName>
    <definedName name="STOT01.150.0130" localSheetId="4">#REF!</definedName>
    <definedName name="STOT01.150.0130">#REF!</definedName>
    <definedName name="STOT01.150.0190" localSheetId="4">#REF!</definedName>
    <definedName name="STOT01.150.0190">#REF!</definedName>
    <definedName name="STOT01.150.0190_1" localSheetId="4">#REF!</definedName>
    <definedName name="STOT01.150.0190_1">#REF!</definedName>
    <definedName name="STOT01.250.0020" localSheetId="4">#REF!</definedName>
    <definedName name="STOT01.250.0020">#REF!</definedName>
    <definedName name="STOT01.250.0020_1" localSheetId="4">#REF!</definedName>
    <definedName name="STOT01.250.0020_1">#REF!</definedName>
    <definedName name="STOT01.250.0040" localSheetId="4">#REF!</definedName>
    <definedName name="STOT01.250.0040">#REF!</definedName>
    <definedName name="STOT01.250.0040_1" localSheetId="4">#REF!</definedName>
    <definedName name="STOT01.250.0040_1">#REF!</definedName>
    <definedName name="STOT01.250.0340" localSheetId="4">#REF!</definedName>
    <definedName name="STOT01.250.0340">#REF!</definedName>
    <definedName name="STOT01.250.0340_1" localSheetId="4">#REF!</definedName>
    <definedName name="STOT01.250.0340_1">#REF!</definedName>
    <definedName name="STOT01.2500040" localSheetId="4">#REF!</definedName>
    <definedName name="STOT01.2500040">#REF!</definedName>
    <definedName name="STOT01.2500040_1" localSheetId="4">#REF!</definedName>
    <definedName name="STOT01.2500040_1">#REF!</definedName>
    <definedName name="STOT02.010.0020" localSheetId="4">#REF!</definedName>
    <definedName name="STOT02.010.0020">#REF!</definedName>
    <definedName name="STOT02.010.0020_1" localSheetId="4">#REF!</definedName>
    <definedName name="STOT02.010.0020_1">#REF!</definedName>
    <definedName name="STOT02.010.0030" localSheetId="4">#REF!</definedName>
    <definedName name="STOT02.010.0030">#REF!</definedName>
    <definedName name="STOT02.010.0030_1" localSheetId="4">#REF!</definedName>
    <definedName name="STOT02.010.0030_1">#REF!</definedName>
    <definedName name="STOT02.010.0050" localSheetId="4">#REF!</definedName>
    <definedName name="STOT02.010.0050">#REF!</definedName>
    <definedName name="STOT02.010.0050_1" localSheetId="4">#REF!</definedName>
    <definedName name="STOT02.010.0050_1">#REF!</definedName>
    <definedName name="STOT02.010.0060" localSheetId="4">#REF!</definedName>
    <definedName name="STOT02.010.0060">#REF!</definedName>
    <definedName name="STOT02.010.0060_1" localSheetId="4">#REF!</definedName>
    <definedName name="STOT02.010.0060_1">#REF!</definedName>
    <definedName name="STOT02.010.0065" localSheetId="4">#REF!</definedName>
    <definedName name="STOT02.010.0065">#REF!</definedName>
    <definedName name="STOT02.010.0065_1" localSheetId="4">#REF!</definedName>
    <definedName name="STOT02.010.0065_1">#REF!</definedName>
    <definedName name="STOT02.010.0080" localSheetId="4">#REF!</definedName>
    <definedName name="STOT02.010.0080">#REF!</definedName>
    <definedName name="STOT02.010.0080_1" localSheetId="4">#REF!</definedName>
    <definedName name="STOT02.010.0080_1">#REF!</definedName>
    <definedName name="STOT02.010.0090" localSheetId="4">#REF!</definedName>
    <definedName name="STOT02.010.0090">#REF!</definedName>
    <definedName name="STOT02.010.0090_1" localSheetId="4">#REF!</definedName>
    <definedName name="STOT02.010.0090_1">#REF!</definedName>
    <definedName name="STOT02.010.0130" localSheetId="4">#REF!</definedName>
    <definedName name="STOT02.010.0130">#REF!</definedName>
    <definedName name="STOT02.010.0130_1" localSheetId="4">#REF!</definedName>
    <definedName name="STOT02.010.0130_1">#REF!</definedName>
    <definedName name="STOT02.010.0140" localSheetId="4">#REF!</definedName>
    <definedName name="STOT02.010.0140">#REF!</definedName>
    <definedName name="STOT02.010.0140_1" localSheetId="4">#REF!</definedName>
    <definedName name="STOT02.010.0140_1">#REF!</definedName>
    <definedName name="STOT02.010.0150" localSheetId="4">#REF!</definedName>
    <definedName name="STOT02.010.0150">#REF!</definedName>
    <definedName name="STOT02.010.0150_1" localSheetId="4">#REF!</definedName>
    <definedName name="STOT02.010.0150_1">#REF!</definedName>
    <definedName name="STOT02.020.0020" localSheetId="4">#REF!</definedName>
    <definedName name="STOT02.020.0020">#REF!</definedName>
    <definedName name="STOT02.020.0020_1" localSheetId="4">#REF!</definedName>
    <definedName name="STOT02.020.0020_1">#REF!</definedName>
    <definedName name="STOT02.040.0320" localSheetId="4">#REF!</definedName>
    <definedName name="STOT02.040.0320">#REF!</definedName>
    <definedName name="STOT02.040.0320_1" localSheetId="4">#REF!</definedName>
    <definedName name="STOT02.040.0320_1">#REF!</definedName>
    <definedName name="STOT02.040.3910" localSheetId="4">#REF!</definedName>
    <definedName name="STOT02.040.3910">#REF!</definedName>
    <definedName name="STOT02.040.3910_1" localSheetId="4">#REF!</definedName>
    <definedName name="STOT02.040.3910_1">#REF!</definedName>
    <definedName name="STOT02.040.3930" localSheetId="4">#REF!</definedName>
    <definedName name="STOT02.040.3930">#REF!</definedName>
    <definedName name="STOT02.040.3930_1" localSheetId="4">#REF!</definedName>
    <definedName name="STOT02.040.3930_1">#REF!</definedName>
    <definedName name="STOT02.040.7438" localSheetId="4">#REF!</definedName>
    <definedName name="STOT02.040.7438">#REF!</definedName>
    <definedName name="STOT02.040.7438_1" localSheetId="4">#REF!</definedName>
    <definedName name="STOT02.040.7438_1">#REF!</definedName>
    <definedName name="STOT02.110.0136" localSheetId="4">#REF!</definedName>
    <definedName name="STOT02.110.0136">#REF!</definedName>
    <definedName name="STOT02.110.0136_1" localSheetId="4">#REF!</definedName>
    <definedName name="STOT02.110.0136_1">#REF!</definedName>
    <definedName name="STOT02.110.0736" localSheetId="4">#REF!</definedName>
    <definedName name="STOT02.110.0736">#REF!</definedName>
    <definedName name="STOT02.110.0736_1" localSheetId="4">#REF!</definedName>
    <definedName name="STOT02.110.0736_1">#REF!</definedName>
    <definedName name="STOT02.110.1866" localSheetId="4">#REF!</definedName>
    <definedName name="STOT02.110.1866">#REF!</definedName>
    <definedName name="STOT02.110.1866_1" localSheetId="4">#REF!</definedName>
    <definedName name="STOT02.110.1866_1">#REF!</definedName>
    <definedName name="STOT02.110.2021" localSheetId="4">#REF!</definedName>
    <definedName name="STOT02.110.2021">#REF!</definedName>
    <definedName name="STOT02.110.2021_1" localSheetId="4">#REF!</definedName>
    <definedName name="STOT02.110.2021_1">#REF!</definedName>
    <definedName name="STOT02.110.2070" localSheetId="4">#REF!</definedName>
    <definedName name="STOT02.110.2070">#REF!</definedName>
    <definedName name="STOT02.110.2070_1" localSheetId="4">#REF!</definedName>
    <definedName name="STOT02.110.2070_1">#REF!</definedName>
    <definedName name="STOT02.110.2284" localSheetId="4">#REF!</definedName>
    <definedName name="STOT02.110.2284">#REF!</definedName>
    <definedName name="STOT02.110.2284_1" localSheetId="4">#REF!</definedName>
    <definedName name="STOT02.110.2284_1">#REF!</definedName>
    <definedName name="STOT02.110.2758" localSheetId="4">#REF!</definedName>
    <definedName name="STOT02.110.2758">#REF!</definedName>
    <definedName name="STOT02.110.2758_1" localSheetId="4">#REF!</definedName>
    <definedName name="STOT02.110.2758_1">#REF!</definedName>
    <definedName name="STOT02.110.3862" localSheetId="4">#REF!</definedName>
    <definedName name="STOT02.110.3862">#REF!</definedName>
    <definedName name="STOT02.110.3862_1" localSheetId="4">#REF!</definedName>
    <definedName name="STOT02.110.3862_1">#REF!</definedName>
    <definedName name="STOT02.110.3868" localSheetId="4">#REF!</definedName>
    <definedName name="STOT02.110.3868">#REF!</definedName>
    <definedName name="STOT02.110.3926" localSheetId="4">#REF!</definedName>
    <definedName name="STOT02.110.3926">#REF!</definedName>
    <definedName name="STOT02.110.3926_1" localSheetId="4">#REF!</definedName>
    <definedName name="STOT02.110.3926_1">#REF!</definedName>
    <definedName name="STOT02.110.4292" localSheetId="4">#REF!</definedName>
    <definedName name="STOT02.110.4292">#REF!</definedName>
    <definedName name="STOT02.110.4292_1" localSheetId="4">#REF!</definedName>
    <definedName name="STOT02.110.4292_1">#REF!</definedName>
    <definedName name="STOT02.110.4760" localSheetId="4">#REF!</definedName>
    <definedName name="STOT02.110.4760">#REF!</definedName>
    <definedName name="STOT02.110.4760_1" localSheetId="4">#REF!</definedName>
    <definedName name="STOT02.110.4760_1">#REF!</definedName>
    <definedName name="STOT02.120.0010" localSheetId="4">#REF!</definedName>
    <definedName name="STOT02.120.0010">#REF!</definedName>
    <definedName name="STOT02.120.0010_1" localSheetId="4">#REF!</definedName>
    <definedName name="STOT02.120.0010_1">#REF!</definedName>
    <definedName name="STOT02.120.0040" localSheetId="4">#REF!</definedName>
    <definedName name="STOT02.120.0040">#REF!</definedName>
    <definedName name="STOT02.120.0040_1" localSheetId="4">#REF!</definedName>
    <definedName name="STOT02.120.0040_1">#REF!</definedName>
    <definedName name="STOT02.140.0040" localSheetId="4">#REF!</definedName>
    <definedName name="STOT02.140.0040">#REF!</definedName>
    <definedName name="STOT02.140.0040_1" localSheetId="4">#REF!</definedName>
    <definedName name="STOT02.140.0040_1">#REF!</definedName>
    <definedName name="STOT02.160.0010" localSheetId="4">#REF!</definedName>
    <definedName name="STOT02.160.0010">#REF!</definedName>
    <definedName name="STOT02.160.0010_1" localSheetId="4">#REF!</definedName>
    <definedName name="STOT02.160.0010_1">#REF!</definedName>
    <definedName name="STOT02.160.0075" localSheetId="4">#REF!</definedName>
    <definedName name="STOT02.160.0075">#REF!</definedName>
    <definedName name="STOT02.160.0075_1" localSheetId="4">#REF!</definedName>
    <definedName name="STOT02.160.0075_1">#REF!</definedName>
    <definedName name="STOT02.210.0030" localSheetId="4">#REF!</definedName>
    <definedName name="STOT02.210.0030">#REF!</definedName>
    <definedName name="STOT02.210.0030_1" localSheetId="4">#REF!</definedName>
    <definedName name="STOT02.210.0030_1">#REF!</definedName>
    <definedName name="STOT02.210.0110" localSheetId="4">#REF!</definedName>
    <definedName name="STOT02.210.0110">#REF!</definedName>
    <definedName name="STOT02.210.0110_1" localSheetId="4">#REF!</definedName>
    <definedName name="STOT02.210.0110_1">#REF!</definedName>
    <definedName name="STOT02.210.0290" localSheetId="4">#REF!</definedName>
    <definedName name="STOT02.210.0290">#REF!</definedName>
    <definedName name="STOT02.210.0290_1" localSheetId="4">#REF!</definedName>
    <definedName name="STOT02.210.0290_1">#REF!</definedName>
    <definedName name="STOT02.210.0320" localSheetId="4">#REF!</definedName>
    <definedName name="STOT02.210.0320">#REF!</definedName>
    <definedName name="STOT02.210.0320_1" localSheetId="4">#REF!</definedName>
    <definedName name="STOT02.210.0320_1">#REF!</definedName>
    <definedName name="STOT03.010.0020" localSheetId="4">#REF!</definedName>
    <definedName name="STOT03.010.0020">#REF!</definedName>
    <definedName name="STOT03.010.0020_1" localSheetId="4">#REF!</definedName>
    <definedName name="STOT03.010.0020_1">#REF!</definedName>
    <definedName name="STOT03.010.0025" localSheetId="4">#REF!</definedName>
    <definedName name="STOT03.010.0025">#REF!</definedName>
    <definedName name="STOT03.010.0025_1" localSheetId="4">#REF!</definedName>
    <definedName name="STOT03.010.0025_1">#REF!</definedName>
    <definedName name="STOT03.010.0040" localSheetId="4">#REF!</definedName>
    <definedName name="STOT03.010.0040">#REF!</definedName>
    <definedName name="STOT03.010.0040_1" localSheetId="4">#REF!</definedName>
    <definedName name="STOT03.010.0040_1">#REF!</definedName>
    <definedName name="STOT03.010.0050" localSheetId="4">#REF!</definedName>
    <definedName name="STOT03.010.0050">#REF!</definedName>
    <definedName name="STOT03.010.0050_1" localSheetId="4">#REF!</definedName>
    <definedName name="STOT03.010.0050_1">#REF!</definedName>
    <definedName name="STOT03.010.0100" localSheetId="4">#REF!</definedName>
    <definedName name="STOT03.010.0100">#REF!</definedName>
    <definedName name="STOT03.010.0100_1" localSheetId="4">#REF!</definedName>
    <definedName name="STOT03.010.0100_1">#REF!</definedName>
    <definedName name="STOT03.010.0140" localSheetId="4">#REF!</definedName>
    <definedName name="STOT03.010.0140">#REF!</definedName>
    <definedName name="STOT03.010.0140_1" localSheetId="4">#REF!</definedName>
    <definedName name="STOT03.010.0140_1">#REF!</definedName>
    <definedName name="STOT03.010.0160" localSheetId="4">#REF!</definedName>
    <definedName name="STOT03.010.0160">#REF!</definedName>
    <definedName name="STOT03.010.0160_1" localSheetId="4">#REF!</definedName>
    <definedName name="STOT03.010.0160_1">#REF!</definedName>
    <definedName name="STOT03.010.0170" localSheetId="4">#REF!</definedName>
    <definedName name="STOT03.010.0170">#REF!</definedName>
    <definedName name="STOT03.010.0170_1" localSheetId="4">#REF!</definedName>
    <definedName name="STOT03.010.0170_1">#REF!</definedName>
    <definedName name="STOT03.010.0180" localSheetId="4">#REF!</definedName>
    <definedName name="STOT03.010.0180">#REF!</definedName>
    <definedName name="STOT03.010.0180_1" localSheetId="4">#REF!</definedName>
    <definedName name="STOT03.010.0180_1">#REF!</definedName>
    <definedName name="STOT03.010.0190" localSheetId="4">#REF!</definedName>
    <definedName name="STOT03.010.0190">#REF!</definedName>
    <definedName name="STOT03.010.0190_1" localSheetId="4">#REF!</definedName>
    <definedName name="STOT03.010.0190_1">#REF!</definedName>
    <definedName name="STOT03.010.0200" localSheetId="4">#REF!</definedName>
    <definedName name="STOT03.010.0200">#REF!</definedName>
    <definedName name="STOT03.010.0200_1" localSheetId="4">#REF!</definedName>
    <definedName name="STOT03.010.0200_1">#REF!</definedName>
    <definedName name="STOT04.010.0010" localSheetId="4">#REF!</definedName>
    <definedName name="STOT04.010.0010">#REF!</definedName>
    <definedName name="STOT04.010.0010_1" localSheetId="4">#REF!</definedName>
    <definedName name="STOT04.010.0010_1">#REF!</definedName>
    <definedName name="STOT04.010.0040" localSheetId="4">#REF!</definedName>
    <definedName name="STOT04.010.0040">#REF!</definedName>
    <definedName name="STOT04.010.0040_1" localSheetId="4">#REF!</definedName>
    <definedName name="STOT04.010.0040_1">#REF!</definedName>
    <definedName name="STOT04.010.0070" localSheetId="4">#REF!</definedName>
    <definedName name="STOT04.010.0070">#REF!</definedName>
    <definedName name="STOT04.010.0070_1" localSheetId="4">#REF!</definedName>
    <definedName name="STOT04.010.0070_1">#REF!</definedName>
    <definedName name="STOT04.010.0150" localSheetId="4">#REF!</definedName>
    <definedName name="STOT04.010.0150">#REF!</definedName>
    <definedName name="STOT04.010.0150_1" localSheetId="4">#REF!</definedName>
    <definedName name="STOT04.010.0150_1">#REF!</definedName>
    <definedName name="STOT04.010.0190" localSheetId="4">#REF!</definedName>
    <definedName name="STOT04.010.0190">#REF!</definedName>
    <definedName name="STOT04.010.0190_1" localSheetId="4">#REF!</definedName>
    <definedName name="STOT04.010.0190_1">#REF!</definedName>
    <definedName name="STOT04.010.0200" localSheetId="4">#REF!</definedName>
    <definedName name="STOT04.010.0200">#REF!</definedName>
    <definedName name="STOT04.010.0200_1" localSheetId="4">#REF!</definedName>
    <definedName name="STOT04.010.0200_1">#REF!</definedName>
    <definedName name="STOT04.010.0290" localSheetId="4">#REF!</definedName>
    <definedName name="STOT04.010.0290">#REF!</definedName>
    <definedName name="STOT04.010.0290_1" localSheetId="4">#REF!</definedName>
    <definedName name="STOT04.010.0290_1">#REF!</definedName>
    <definedName name="STOT04.010.0320" localSheetId="4">#REF!</definedName>
    <definedName name="STOT04.010.0320">#REF!</definedName>
    <definedName name="STOT04.010.0320_1" localSheetId="4">#REF!</definedName>
    <definedName name="STOT04.010.0320_1">#REF!</definedName>
    <definedName name="stot04.010.0330" localSheetId="4">#REF!</definedName>
    <definedName name="stot04.010.0330">#REF!</definedName>
    <definedName name="STOT04.010.0330_1" localSheetId="4">#REF!</definedName>
    <definedName name="STOT04.010.0330_1">#REF!</definedName>
    <definedName name="STOT04.010.0371" localSheetId="4">#REF!</definedName>
    <definedName name="STOT04.010.0371">#REF!</definedName>
    <definedName name="STOT04.010.0371_1" localSheetId="4">#REF!</definedName>
    <definedName name="STOT04.010.0371_1">#REF!</definedName>
    <definedName name="STOT04.010.0375" localSheetId="4">#REF!</definedName>
    <definedName name="STOT04.010.0375">#REF!</definedName>
    <definedName name="STOT04.010.0375_1" localSheetId="4">#REF!</definedName>
    <definedName name="STOT04.010.0375_1">#REF!</definedName>
    <definedName name="STOT04.010.0395" localSheetId="4">#REF!</definedName>
    <definedName name="STOT04.010.0395">#REF!</definedName>
    <definedName name="STOT04.010.0395_1" localSheetId="4">#REF!</definedName>
    <definedName name="STOT04.010.0395_1">#REF!</definedName>
    <definedName name="STOT04.010.0420" localSheetId="4">#REF!</definedName>
    <definedName name="STOT04.010.0420">#REF!</definedName>
    <definedName name="STOT04.010.0420_1" localSheetId="4">#REF!</definedName>
    <definedName name="STOT04.010.0420_1">#REF!</definedName>
    <definedName name="STOT04.010.0430" localSheetId="4">#REF!</definedName>
    <definedName name="STOT04.010.0430">#REF!</definedName>
    <definedName name="STOT04.010.0430_1" localSheetId="4">#REF!</definedName>
    <definedName name="STOT04.010.0430_1">#REF!</definedName>
    <definedName name="STOT05.010.0020" localSheetId="4">#REF!</definedName>
    <definedName name="STOT05.010.0020">#REF!</definedName>
    <definedName name="STOT05.010.0020_1" localSheetId="4">#REF!</definedName>
    <definedName name="STOT05.010.0020_1">#REF!</definedName>
    <definedName name="STOT05.110.0005" localSheetId="4">#REF!</definedName>
    <definedName name="STOT05.110.0005">#REF!</definedName>
    <definedName name="STOT05.110.0005_1" localSheetId="4">#REF!</definedName>
    <definedName name="STOT05.110.0005_1">#REF!</definedName>
    <definedName name="STOT05.110.0420" localSheetId="4">#REF!</definedName>
    <definedName name="STOT05.110.0420">#REF!</definedName>
    <definedName name="STOT05.110.0420_1" localSheetId="4">#REF!</definedName>
    <definedName name="STOT05.110.0420_1">#REF!</definedName>
    <definedName name="STOT05.110.1300" localSheetId="4">#REF!</definedName>
    <definedName name="STOT05.110.1300">#REF!</definedName>
    <definedName name="STOT05.110.1300_1" localSheetId="4">#REF!</definedName>
    <definedName name="STOT05.110.1300_1">#REF!</definedName>
    <definedName name="STOT05.110.1565" localSheetId="4">#REF!</definedName>
    <definedName name="STOT05.110.1565">#REF!</definedName>
    <definedName name="STOT05.110.1565_1" localSheetId="4">#REF!</definedName>
    <definedName name="STOT05.110.1565_1">#REF!</definedName>
    <definedName name="STOT05.110.1590" localSheetId="4">#REF!</definedName>
    <definedName name="STOT05.110.1590">#REF!</definedName>
    <definedName name="STOT05.110.1590_1" localSheetId="4">#REF!</definedName>
    <definedName name="STOT05.110.1590_1">#REF!</definedName>
    <definedName name="STOT05.110.1620" localSheetId="4">#REF!</definedName>
    <definedName name="STOT05.110.1620">#REF!</definedName>
    <definedName name="STOT05.120.0060" localSheetId="4">#REF!</definedName>
    <definedName name="STOT05.120.0060">#REF!</definedName>
    <definedName name="STOT05.120.0060_1" localSheetId="4">#REF!</definedName>
    <definedName name="STOT05.120.0060_1">#REF!</definedName>
    <definedName name="STOT06.010.0010" localSheetId="4">#REF!</definedName>
    <definedName name="STOT06.010.0010">#REF!</definedName>
    <definedName name="STOT06.010.0010_1" localSheetId="4">#REF!</definedName>
    <definedName name="STOT06.010.0010_1">#REF!</definedName>
    <definedName name="STOT08.010.0010" localSheetId="4">#REF!</definedName>
    <definedName name="STOT08.010.0010">#REF!</definedName>
    <definedName name="STOT08.010.0010_1" localSheetId="4">#REF!</definedName>
    <definedName name="STOT08.010.0010_1">#REF!</definedName>
    <definedName name="STOT08.010.0040" localSheetId="4">#REF!</definedName>
    <definedName name="STOT08.010.0040">#REF!</definedName>
    <definedName name="STOT08.010.0040_1" localSheetId="4">#REF!</definedName>
    <definedName name="STOT08.010.0040_1">#REF!</definedName>
    <definedName name="STOT08.010.0060" localSheetId="4">#REF!</definedName>
    <definedName name="STOT08.010.0060">#REF!</definedName>
    <definedName name="STOT08.010.0060_1" localSheetId="4">#REF!</definedName>
    <definedName name="STOT08.010.0060_1">#REF!</definedName>
    <definedName name="STOT08.010.0120" localSheetId="4">#REF!</definedName>
    <definedName name="STOT08.010.0120">#REF!</definedName>
    <definedName name="STOT08.010.0120_1" localSheetId="4">#REF!</definedName>
    <definedName name="STOT08.010.0120_1">#REF!</definedName>
    <definedName name="STOT08.010.0130" localSheetId="4">#REF!</definedName>
    <definedName name="STOT08.010.0130">#REF!</definedName>
    <definedName name="STOT08.010.0130_1" localSheetId="4">#REF!</definedName>
    <definedName name="STOT08.010.0130_1">#REF!</definedName>
    <definedName name="STOT08.010.0135" localSheetId="4">#REF!</definedName>
    <definedName name="STOT08.010.0135">#REF!</definedName>
    <definedName name="STOT08.010.0135_1" localSheetId="4">#REF!</definedName>
    <definedName name="STOT08.010.0135_1">#REF!</definedName>
    <definedName name="STOT08.010.0190" localSheetId="4">#REF!</definedName>
    <definedName name="STOT08.010.0190">#REF!</definedName>
    <definedName name="STOT08.010.0190_1" localSheetId="4">#REF!</definedName>
    <definedName name="STOT08.010.0190_1">#REF!</definedName>
    <definedName name="STOT08.010.0270" localSheetId="4">#REF!</definedName>
    <definedName name="STOT08.010.0270">#REF!</definedName>
    <definedName name="STOT08.010.0270_1" localSheetId="4">#REF!</definedName>
    <definedName name="STOT08.010.0270_1">#REF!</definedName>
    <definedName name="STOT080.010.0350" localSheetId="4">#REF!</definedName>
    <definedName name="STOT080.010.0350">#REF!</definedName>
    <definedName name="STOT080.010.0350_1" localSheetId="4">#REF!</definedName>
    <definedName name="STOT080.010.0350_1">#REF!</definedName>
    <definedName name="STOT09.010.0060" localSheetId="4">#REF!</definedName>
    <definedName name="STOT09.010.0060">#REF!</definedName>
    <definedName name="STOT09.010.0060_1" localSheetId="4">#REF!</definedName>
    <definedName name="STOT09.010.0060_1">#REF!</definedName>
    <definedName name="STOT09.010.0070" localSheetId="4">#REF!</definedName>
    <definedName name="STOT09.010.0070">#REF!</definedName>
    <definedName name="STOT09.010.0070_1" localSheetId="4">#REF!</definedName>
    <definedName name="STOT09.010.0070_1">#REF!</definedName>
    <definedName name="STOT09.010.0240" localSheetId="4">#REF!</definedName>
    <definedName name="STOT09.010.0240">#REF!</definedName>
    <definedName name="STOT09.010.0240_1" localSheetId="4">#REF!</definedName>
    <definedName name="STOT09.010.0240_1">#REF!</definedName>
    <definedName name="STOT09.010.0380" localSheetId="4">#REF!</definedName>
    <definedName name="STOT09.010.0380">#REF!</definedName>
    <definedName name="STOT09.010.0380_1" localSheetId="4">#REF!</definedName>
    <definedName name="STOT09.010.0380_1">#REF!</definedName>
    <definedName name="STOT09.010.0430" localSheetId="4">#REF!</definedName>
    <definedName name="STOT09.010.0430">#REF!</definedName>
    <definedName name="STOT09.010.0430_1" localSheetId="4">#REF!</definedName>
    <definedName name="STOT09.010.0430_1">#REF!</definedName>
    <definedName name="STOT09.010.0470" localSheetId="4">#REF!</definedName>
    <definedName name="STOT09.010.0470">#REF!</definedName>
    <definedName name="STOT09.010.0470_1" localSheetId="4">#REF!</definedName>
    <definedName name="STOT09.010.0470_1">#REF!</definedName>
    <definedName name="STOT09.010.0700" localSheetId="4">#REF!</definedName>
    <definedName name="STOT09.010.0700">#REF!</definedName>
    <definedName name="STOT09.010.0700_1" localSheetId="4">#REF!</definedName>
    <definedName name="STOT09.010.0700_1">#REF!</definedName>
    <definedName name="STOT10.010.0140" localSheetId="4">#REF!</definedName>
    <definedName name="STOT10.010.0140">#REF!</definedName>
    <definedName name="STOT10.010.0140_1" localSheetId="4">#REF!</definedName>
    <definedName name="STOT10.010.0140_1">#REF!</definedName>
    <definedName name="STOT10.010.0150" localSheetId="4">#REF!</definedName>
    <definedName name="STOT10.010.0150">#REF!</definedName>
    <definedName name="STOT10.010.0150_1" localSheetId="4">#REF!</definedName>
    <definedName name="STOT10.010.0150_1">#REF!</definedName>
    <definedName name="STOT10.010.0180" localSheetId="4">#REF!</definedName>
    <definedName name="STOT10.010.0180">#REF!</definedName>
    <definedName name="STOT10.010.0180_1" localSheetId="4">#REF!</definedName>
    <definedName name="STOT10.010.0180_1">#REF!</definedName>
    <definedName name="STOT10.010.0270" localSheetId="4">#REF!</definedName>
    <definedName name="STOT10.010.0270">#REF!</definedName>
    <definedName name="STOT10.010.0270_1" localSheetId="4">#REF!</definedName>
    <definedName name="STOT10.010.0270_1">#REF!</definedName>
    <definedName name="STOT10.010.0280" localSheetId="4">#REF!</definedName>
    <definedName name="STOT10.010.0280">#REF!</definedName>
    <definedName name="STOT10.010.0280_1" localSheetId="4">#REF!</definedName>
    <definedName name="STOT10.010.0280_1">#REF!</definedName>
    <definedName name="STOT10.010.0290" localSheetId="4">#REF!</definedName>
    <definedName name="STOT10.010.0290">#REF!</definedName>
    <definedName name="STOT10.010.0290_1" localSheetId="4">#REF!</definedName>
    <definedName name="STOT10.010.0290_1">#REF!</definedName>
    <definedName name="STOT10.010.0298" localSheetId="4">#REF!</definedName>
    <definedName name="STOT10.010.0298">#REF!</definedName>
    <definedName name="STOT10.010.0298_1" localSheetId="4">#REF!</definedName>
    <definedName name="STOT10.010.0298_1">#REF!</definedName>
    <definedName name="STOT10.010.0307" localSheetId="4">#REF!</definedName>
    <definedName name="STOT10.010.0307">#REF!</definedName>
    <definedName name="STOT10.010.0307_1" localSheetId="4">#REF!</definedName>
    <definedName name="STOT10.010.0307_1">#REF!</definedName>
    <definedName name="STOT10.010.0308" localSheetId="4">#REF!</definedName>
    <definedName name="STOT10.010.0308">#REF!</definedName>
    <definedName name="STOT10.010.0308_1" localSheetId="4">#REF!</definedName>
    <definedName name="STOT10.010.0308_1">#REF!</definedName>
    <definedName name="STOT10.010.0310" localSheetId="4">#REF!</definedName>
    <definedName name="STOT10.010.0310">#REF!</definedName>
    <definedName name="STOT10.010.0310_1" localSheetId="4">#REF!</definedName>
    <definedName name="STOT10.010.0310_1">#REF!</definedName>
    <definedName name="STOT10.010.0330" localSheetId="4">#REF!</definedName>
    <definedName name="STOT10.010.0330">#REF!</definedName>
    <definedName name="STOT10.010.0330_1" localSheetId="4">#REF!</definedName>
    <definedName name="STOT10.010.0330_1">#REF!</definedName>
    <definedName name="STOT10.010.0333" localSheetId="4">#REF!</definedName>
    <definedName name="STOT10.010.0333">#REF!</definedName>
    <definedName name="STOT10.010.0333_1" localSheetId="4">#REF!</definedName>
    <definedName name="STOT10.010.0333_1">#REF!</definedName>
    <definedName name="STOT10.010.0350" localSheetId="4">#REF!</definedName>
    <definedName name="STOT10.010.0350">#REF!</definedName>
    <definedName name="STOT10.010.0350_1" localSheetId="4">#REF!</definedName>
    <definedName name="STOT10.010.0350_1">#REF!</definedName>
    <definedName name="STOT10.010.0380" localSheetId="4">#REF!</definedName>
    <definedName name="STOT10.010.0380">#REF!</definedName>
    <definedName name="STOT10.010.0380_1" localSheetId="4">#REF!</definedName>
    <definedName name="STOT10.010.0380_1">#REF!</definedName>
    <definedName name="STOT10.010.0400" localSheetId="4">#REF!</definedName>
    <definedName name="STOT10.010.0400">#REF!</definedName>
    <definedName name="STOT10.010.0400_1" localSheetId="4">#REF!</definedName>
    <definedName name="STOT10.010.0400_1">#REF!</definedName>
    <definedName name="STOT10.010.0431" localSheetId="4">#REF!</definedName>
    <definedName name="STOT10.010.0431">#REF!</definedName>
    <definedName name="STOT10.010.0431_1" localSheetId="4">#REF!</definedName>
    <definedName name="STOT10.010.0431_1">#REF!</definedName>
    <definedName name="STOT10.010.1100" localSheetId="4">#REF!</definedName>
    <definedName name="STOT10.010.1100">#REF!</definedName>
    <definedName name="STOT10.010.1100_1" localSheetId="4">#REF!</definedName>
    <definedName name="STOT10.010.1100_1">#REF!</definedName>
    <definedName name="STOT10.010.1110" localSheetId="4">#REF!</definedName>
    <definedName name="STOT10.010.1110">#REF!</definedName>
    <definedName name="STOT10.010.1110_1" localSheetId="4">#REF!</definedName>
    <definedName name="STOT10.010.1110_1">#REF!</definedName>
    <definedName name="STOT12.010.0010" localSheetId="4">#REF!</definedName>
    <definedName name="STOT12.010.0010">#REF!</definedName>
    <definedName name="STOT12.010.0010_1" localSheetId="4">#REF!</definedName>
    <definedName name="STOT12.010.0010_1">#REF!</definedName>
    <definedName name="STOT12.010.0050" localSheetId="4">#REF!</definedName>
    <definedName name="STOT12.010.0050">#REF!</definedName>
    <definedName name="STOT12.010.0050_1" localSheetId="4">#REF!</definedName>
    <definedName name="STOT12.010.0050_1">#REF!</definedName>
    <definedName name="STOT12.010.0060" localSheetId="4">#REF!</definedName>
    <definedName name="STOT12.010.0060">#REF!</definedName>
    <definedName name="STOT12.010.0060_1" localSheetId="4">#REF!</definedName>
    <definedName name="STOT12.010.0060_1">#REF!</definedName>
    <definedName name="STOT12.010.0210" localSheetId="4">#REF!</definedName>
    <definedName name="STOT12.010.0210">#REF!</definedName>
    <definedName name="STOT12.010.0210_1" localSheetId="4">#REF!</definedName>
    <definedName name="STOT12.010.0210_1">#REF!</definedName>
    <definedName name="STOT12.010.0300" localSheetId="4">#REF!</definedName>
    <definedName name="STOT12.010.0300">#REF!</definedName>
    <definedName name="STOT12.010.0300_1" localSheetId="4">#REF!</definedName>
    <definedName name="STOT12.010.0300_1">#REF!</definedName>
    <definedName name="STOT12.010.0340" localSheetId="4">#REF!</definedName>
    <definedName name="STOT12.010.0340">#REF!</definedName>
    <definedName name="STOT12.010.0340_1" localSheetId="4">#REF!</definedName>
    <definedName name="STOT12.010.0340_1">#REF!</definedName>
    <definedName name="STOT12.010.0360" localSheetId="4">#REF!</definedName>
    <definedName name="STOT12.010.0360">#REF!</definedName>
    <definedName name="STOT12.010.0360_1" localSheetId="4">#REF!</definedName>
    <definedName name="STOT12.010.0360_1">#REF!</definedName>
    <definedName name="STOT12.010.0550" localSheetId="4">#REF!</definedName>
    <definedName name="STOT12.010.0550">#REF!</definedName>
    <definedName name="STOT12.010.0550_1" localSheetId="4">#REF!</definedName>
    <definedName name="STOT12.010.0550_1">#REF!</definedName>
    <definedName name="STOT13.010.0030" localSheetId="4">#REF!</definedName>
    <definedName name="STOT13.010.0030">#REF!</definedName>
    <definedName name="STOT13.010.0030_1" localSheetId="4">#REF!</definedName>
    <definedName name="STOT13.010.0030_1">#REF!</definedName>
    <definedName name="STOT13.010.0040" localSheetId="4">#REF!</definedName>
    <definedName name="STOT13.010.0040">#REF!</definedName>
    <definedName name="STOT13.010.0040_1" localSheetId="4">#REF!</definedName>
    <definedName name="STOT13.010.0040_1">#REF!</definedName>
    <definedName name="STOT13.010.0090" localSheetId="4">#REF!</definedName>
    <definedName name="STOT13.010.0090">#REF!</definedName>
    <definedName name="STOT13.010.0090_1" localSheetId="4">#REF!</definedName>
    <definedName name="STOT13.010.0090_1">#REF!</definedName>
    <definedName name="STOT13.010.0100" localSheetId="4">#REF!</definedName>
    <definedName name="STOT13.010.0100">#REF!</definedName>
    <definedName name="STOT13.010.0100_1" localSheetId="4">#REF!</definedName>
    <definedName name="STOT13.010.0100_1">#REF!</definedName>
    <definedName name="STOT13.010.0110" localSheetId="4">#REF!</definedName>
    <definedName name="STOT13.010.0110">#REF!</definedName>
    <definedName name="STOT13.010.0110_1" localSheetId="4">#REF!</definedName>
    <definedName name="STOT13.010.0110_1">#REF!</definedName>
    <definedName name="STOT13.010.0350" localSheetId="4">#REF!</definedName>
    <definedName name="STOT13.010.0350">#REF!</definedName>
    <definedName name="STOT13.010.0350_1" localSheetId="4">#REF!</definedName>
    <definedName name="STOT13.010.0350_1">#REF!</definedName>
    <definedName name="STOT13.010.0360" localSheetId="4">#REF!</definedName>
    <definedName name="STOT13.010.0360">#REF!</definedName>
    <definedName name="STOT13.010.0360_1" localSheetId="4">#REF!</definedName>
    <definedName name="STOT13.010.0360_1">#REF!</definedName>
    <definedName name="STOT13.010.0380" localSheetId="4">#REF!</definedName>
    <definedName name="STOT13.010.0380">#REF!</definedName>
    <definedName name="STOT13.010.0380_1" localSheetId="4">#REF!</definedName>
    <definedName name="STOT13.010.0380_1">#REF!</definedName>
    <definedName name="STOT13.010.0410" localSheetId="4">#REF!</definedName>
    <definedName name="STOT13.010.0410">#REF!</definedName>
    <definedName name="STOT13.010.0410_1" localSheetId="4">#REF!</definedName>
    <definedName name="STOT13.010.0410_1">#REF!</definedName>
    <definedName name="STOT13.010.0860" localSheetId="4">#REF!</definedName>
    <definedName name="STOT13.010.0860">#REF!</definedName>
    <definedName name="STOT13.010.0860_1" localSheetId="4">#REF!</definedName>
    <definedName name="STOT13.010.0860_1">#REF!</definedName>
    <definedName name="STOT13.010.0880" localSheetId="4">#REF!</definedName>
    <definedName name="STOT13.010.0880">#REF!</definedName>
    <definedName name="STOT13.010.0880_1" localSheetId="4">#REF!</definedName>
    <definedName name="STOT13.010.0880_1">#REF!</definedName>
    <definedName name="STOT13.010.1200" localSheetId="4">#REF!</definedName>
    <definedName name="STOT13.010.1200">#REF!</definedName>
    <definedName name="STOT13.010.1200_1" localSheetId="4">#REF!</definedName>
    <definedName name="STOT13.010.1200_1">#REF!</definedName>
    <definedName name="STOT15.010.0010" localSheetId="4">#REF!</definedName>
    <definedName name="STOT15.010.0010">#REF!</definedName>
    <definedName name="STOT15.010.0010_1" localSheetId="4">#REF!</definedName>
    <definedName name="STOT15.010.0010_1">#REF!</definedName>
    <definedName name="STOT15.010.0040" localSheetId="4">#REF!</definedName>
    <definedName name="STOT15.010.0040">#REF!</definedName>
    <definedName name="STOT15.010.0040_1" localSheetId="4">#REF!</definedName>
    <definedName name="STOT15.010.0040_1">#REF!</definedName>
    <definedName name="STOT15.010.0055" localSheetId="4">#REF!</definedName>
    <definedName name="STOT15.010.0055">#REF!</definedName>
    <definedName name="STOT15.010.0055_1" localSheetId="4">#REF!</definedName>
    <definedName name="STOT15.010.0055_1">#REF!</definedName>
    <definedName name="STOT15.010.0140" localSheetId="4">#REF!</definedName>
    <definedName name="STOT15.010.0140">#REF!</definedName>
    <definedName name="STOT15.010.0140_1" localSheetId="4">#REF!</definedName>
    <definedName name="STOT15.010.0140_1">#REF!</definedName>
    <definedName name="STOT15.010.0181" localSheetId="4">#REF!</definedName>
    <definedName name="STOT15.010.0181">#REF!</definedName>
    <definedName name="STOT15.010.0181_1" localSheetId="4">#REF!</definedName>
    <definedName name="STOT15.010.0181_1">#REF!</definedName>
    <definedName name="STOT15.010.0270" localSheetId="4">#REF!</definedName>
    <definedName name="STOT15.010.0270">#REF!</definedName>
    <definedName name="STOT15.010.0270_1" localSheetId="4">#REF!</definedName>
    <definedName name="STOT15.010.0270_1">#REF!</definedName>
    <definedName name="STOT15.010.0280" localSheetId="4">#REF!</definedName>
    <definedName name="STOT15.010.0280">#REF!</definedName>
    <definedName name="STOT15.010.0280_1" localSheetId="4">#REF!</definedName>
    <definedName name="STOT15.010.0280_1">#REF!</definedName>
    <definedName name="STOT15.010.0290" localSheetId="4">#REF!</definedName>
    <definedName name="STOT15.010.0290">#REF!</definedName>
    <definedName name="STOT15.010.0290_1" localSheetId="4">#REF!</definedName>
    <definedName name="STOT15.010.0290_1">#REF!</definedName>
    <definedName name="stot16.010.0000" localSheetId="4">#REF!</definedName>
    <definedName name="stot16.010.0000">#REF!</definedName>
    <definedName name="STOT16.010.0010" localSheetId="4">#REF!</definedName>
    <definedName name="STOT16.010.0010">#REF!</definedName>
    <definedName name="STOT16.010.0010_1" localSheetId="4">#REF!</definedName>
    <definedName name="STOT16.010.0010_1">#REF!</definedName>
    <definedName name="STOT16.010.0060" localSheetId="4">#REF!</definedName>
    <definedName name="STOT16.010.0060">#REF!</definedName>
    <definedName name="STOT16.010.0060_1" localSheetId="4">#REF!</definedName>
    <definedName name="STOT16.010.0060_1">#REF!</definedName>
    <definedName name="stot16.010.0061" localSheetId="4">#REF!</definedName>
    <definedName name="stot16.010.0061">#REF!</definedName>
    <definedName name="STOT16.010.0110" localSheetId="4">#REF!</definedName>
    <definedName name="STOT16.010.0110">#REF!</definedName>
    <definedName name="STOT16.010.0110_1" localSheetId="4">#REF!</definedName>
    <definedName name="STOT16.010.0110_1">#REF!</definedName>
    <definedName name="STOT16.010.0120" localSheetId="4">#REF!</definedName>
    <definedName name="STOT16.010.0120">#REF!</definedName>
    <definedName name="STOT16.010.0120_1" localSheetId="4">#REF!</definedName>
    <definedName name="STOT16.010.0120_1">#REF!</definedName>
    <definedName name="STOT16.010.0150" localSheetId="4">#REF!</definedName>
    <definedName name="STOT16.010.0150">#REF!</definedName>
    <definedName name="STOT16.010.0150_1" localSheetId="4">#REF!</definedName>
    <definedName name="STOT16.010.0150_1">#REF!</definedName>
    <definedName name="STOT16.010.0170" localSheetId="4">#REF!</definedName>
    <definedName name="STOT16.010.0170">#REF!</definedName>
    <definedName name="STOT16.010.0170_1" localSheetId="4">#REF!</definedName>
    <definedName name="STOT16.010.0170_1">#REF!</definedName>
    <definedName name="STOT17.010.0080" localSheetId="4">#REF!</definedName>
    <definedName name="STOT17.010.0080">#REF!</definedName>
    <definedName name="STOT17.010.0080_1" localSheetId="4">#REF!</definedName>
    <definedName name="STOT17.010.0080_1">#REF!</definedName>
    <definedName name="STOT17.010.0100" localSheetId="4">#REF!</definedName>
    <definedName name="STOT17.010.0100">#REF!</definedName>
    <definedName name="STOT17.010.0100_1" localSheetId="4">#REF!</definedName>
    <definedName name="STOT17.010.0100_1">#REF!</definedName>
    <definedName name="STOT17.010.0120" localSheetId="4">#REF!</definedName>
    <definedName name="STOT17.010.0120">#REF!</definedName>
    <definedName name="STOT17.010.0120_1" localSheetId="4">#REF!</definedName>
    <definedName name="STOT17.010.0120_1">#REF!</definedName>
    <definedName name="STOT17.010.0150" localSheetId="4">#REF!</definedName>
    <definedName name="STOT17.010.0150">#REF!</definedName>
    <definedName name="STOT17.010.0150_1" localSheetId="4">#REF!</definedName>
    <definedName name="STOT17.010.0150_1">#REF!</definedName>
    <definedName name="STOT17.010.0290" localSheetId="4">#REF!</definedName>
    <definedName name="STOT17.010.0290">#REF!</definedName>
    <definedName name="STOT17.010.0290_1" localSheetId="4">#REF!</definedName>
    <definedName name="STOT17.010.0290_1">#REF!</definedName>
    <definedName name="STOT17.010.0350" localSheetId="4">#REF!</definedName>
    <definedName name="STOT17.010.0350">#REF!</definedName>
    <definedName name="STOT17.010.0350_1" localSheetId="4">#REF!</definedName>
    <definedName name="STOT17.010.0350_1">#REF!</definedName>
    <definedName name="STOT17.010.0390" localSheetId="4">#REF!</definedName>
    <definedName name="STOT17.010.0390">#REF!</definedName>
    <definedName name="STOT17.010.0390_1" localSheetId="4">#REF!</definedName>
    <definedName name="STOT17.010.0390_1">#REF!</definedName>
    <definedName name="STOT17.010.0437" localSheetId="4">#REF!</definedName>
    <definedName name="STOT17.010.0437">#REF!</definedName>
    <definedName name="STOT17.010.0437_1" localSheetId="4">#REF!</definedName>
    <definedName name="STOT17.010.0437_1">#REF!</definedName>
    <definedName name="STOT17.010.0602" localSheetId="4">#REF!</definedName>
    <definedName name="STOT17.010.0602">#REF!</definedName>
    <definedName name="STOT17.010.0602_1" localSheetId="4">#REF!</definedName>
    <definedName name="STOT17.010.0602_1">#REF!</definedName>
    <definedName name="STOTCOMPOS01" localSheetId="4">#REF!</definedName>
    <definedName name="STOTCOMPOS01">#REF!</definedName>
    <definedName name="STOTCOMPOS01_1" localSheetId="4">#REF!</definedName>
    <definedName name="STOTCOMPOS01_1">#REF!</definedName>
    <definedName name="Super" localSheetId="4">#REF!</definedName>
    <definedName name="Super">#REF!</definedName>
    <definedName name="SUPERFICIE" localSheetId="4">#REF!</definedName>
    <definedName name="SUPERFICIE">#REF!</definedName>
    <definedName name="sxrhysxdd" localSheetId="1">#REF!</definedName>
    <definedName name="sxrhysxdd" localSheetId="4">#REF!</definedName>
    <definedName name="sxrhysxdd">#REF!</definedName>
    <definedName name="T" localSheetId="4">#REF!</definedName>
    <definedName name="T">#REF!</definedName>
    <definedName name="tab" localSheetId="4">#REF!</definedName>
    <definedName name="tab">#REF!</definedName>
    <definedName name="tabela" localSheetId="4">#REF!</definedName>
    <definedName name="Tabela">#REF!</definedName>
    <definedName name="Tabela_1" localSheetId="4">#REF!</definedName>
    <definedName name="Tabela_1">#REF!</definedName>
    <definedName name="Tabela_1_6">#REF!</definedName>
    <definedName name="Tabela_10">#REF!</definedName>
    <definedName name="Tabela_2">#REF!</definedName>
    <definedName name="Tabela_3">#REF!</definedName>
    <definedName name="Tabela_4">#REF!</definedName>
    <definedName name="Tabela_5">#REF!</definedName>
    <definedName name="Tabela_5_1">#REF!</definedName>
    <definedName name="Tabela_6">#REF!</definedName>
    <definedName name="tabela1">#REF!</definedName>
    <definedName name="TableName">"Dummy"</definedName>
    <definedName name="TABREC" localSheetId="4">#REF!</definedName>
    <definedName name="TABREC">#REF!</definedName>
    <definedName name="teca1" localSheetId="4">#REF!,#REF!</definedName>
    <definedName name="teca1">#REF!,#REF!</definedName>
    <definedName name="tecn" localSheetId="4">#REF!</definedName>
    <definedName name="tecn">#REF!</definedName>
    <definedName name="tecni" localSheetId="4">#REF!</definedName>
    <definedName name="tecni">#REF!</definedName>
    <definedName name="tecnic" localSheetId="4">#REF!</definedName>
    <definedName name="tecnic">#REF!</definedName>
    <definedName name="TECNICA">#REF!</definedName>
    <definedName name="TECNICA_17">#REF!</definedName>
    <definedName name="TECNICA_8">#REF!</definedName>
    <definedName name="tera" localSheetId="4">#REF!,#REF!</definedName>
    <definedName name="tera">#REF!,#REF!</definedName>
    <definedName name="terdvvd" localSheetId="4">#REF!</definedName>
    <definedName name="terdvvd">#REF!</definedName>
    <definedName name="TERRA" localSheetId="4">#REF!</definedName>
    <definedName name="TERRA">#REF!</definedName>
    <definedName name="TERRA_1" localSheetId="4">#REF!</definedName>
    <definedName name="TERRA_1">#REF!</definedName>
    <definedName name="TERRAPL">#REF!</definedName>
    <definedName name="TERRAPL_17">#REF!</definedName>
    <definedName name="TERRAPL_8">#REF!</definedName>
    <definedName name="terraple">#REF!</definedName>
    <definedName name="terraplen">#REF!</definedName>
    <definedName name="terraplenagem">#REF!</definedName>
    <definedName name="TEST" localSheetId="4">#REF!</definedName>
    <definedName name="TEST">#REF!</definedName>
    <definedName name="teste" localSheetId="4">#REF!</definedName>
    <definedName name="teste">#REF!</definedName>
    <definedName name="teste_teste_aggs" localSheetId="4">#REF!</definedName>
    <definedName name="teste_teste_aggs">#REF!</definedName>
    <definedName name="TETOS" localSheetId="4">#REF!</definedName>
    <definedName name="TETOS">#REF!</definedName>
    <definedName name="thdfa" localSheetId="4">#REF!</definedName>
    <definedName name="thdfa">#REF!</definedName>
    <definedName name="TIPO" localSheetId="4">#REF!</definedName>
    <definedName name="TIPO">#REF!</definedName>
    <definedName name="_xlnm.Print_Titles" localSheetId="1">'10 - RESUMO'!$1:$14</definedName>
    <definedName name="_xlnm.Print_Titles" localSheetId="2">'11 - FINANCEIRO'!$2:$14</definedName>
    <definedName name="_xlnm.Print_Titles" localSheetId="3">'12 - CORPO'!$1:$12</definedName>
    <definedName name="_xlnm.Print_Titles" localSheetId="0">'8 - EVOLUÇÃO FINANCEIRA'!$8:$9</definedName>
    <definedName name="_xlnm.Print_Titles" localSheetId="4">#REF!</definedName>
    <definedName name="_xlnm.Print_Titles">#REF!</definedName>
    <definedName name="tot" localSheetId="4">#REF!</definedName>
    <definedName name="tot">#REF!</definedName>
    <definedName name="TOTAL" localSheetId="1">#REF!</definedName>
    <definedName name="TOTAL">#REF!</definedName>
    <definedName name="TOTAL_17" localSheetId="1">#REF!</definedName>
    <definedName name="TOTAL_17">#REF!</definedName>
    <definedName name="TOTAL_8" localSheetId="1">#REF!</definedName>
    <definedName name="TOTAL_8">#REF!</definedName>
    <definedName name="totalg">#REF!</definedName>
    <definedName name="totalissimo">#REF!</definedName>
    <definedName name="TOTALMATERIAL">#REF!</definedName>
    <definedName name="TOTALMATERIAL_1">#REF!</definedName>
    <definedName name="TOTALSERVIÇO" localSheetId="4">#REF!</definedName>
    <definedName name="TOTALSERVIÇO">#REF!</definedName>
    <definedName name="TOTALSERVIÇO_1" localSheetId="4">#REF!</definedName>
    <definedName name="TOTALSERVIÇO_1">#REF!</definedName>
    <definedName name="totaltotal" localSheetId="4">#REF!</definedName>
    <definedName name="totaltotal">#REF!</definedName>
    <definedName name="TOTFASE" localSheetId="4">#REF!</definedName>
    <definedName name="TOTFASE">#REF!</definedName>
    <definedName name="TOTFASE_1" localSheetId="4">#REF!</definedName>
    <definedName name="TOTFASE_1">#REF!</definedName>
    <definedName name="TOTFASE_5" localSheetId="4">#REF!</definedName>
    <definedName name="TOTFASE_5">#REF!</definedName>
    <definedName name="TOTFASE_6" localSheetId="4">#REF!</definedName>
    <definedName name="TOTFASE_6">#REF!</definedName>
    <definedName name="trdjgfxj" localSheetId="4">#REF!</definedName>
    <definedName name="trdjgfxj">#REF!</definedName>
    <definedName name="troca" localSheetId="4">#REF!</definedName>
    <definedName name="troca">#REF!</definedName>
    <definedName name="trocaee">#REF!</definedName>
    <definedName name="trocarrrr">#REF!</definedName>
    <definedName name="tudo">"$#REF!.$A$7:$G$67"</definedName>
    <definedName name="TxCresc" localSheetId="4">#REF!</definedName>
    <definedName name="TxCresc">#REF!</definedName>
    <definedName name="um" localSheetId="4">#REF!</definedName>
    <definedName name="um">#REF!</definedName>
    <definedName name="Unit." localSheetId="4">#REF!</definedName>
    <definedName name="Unit.">#REF!</definedName>
    <definedName name="USO" localSheetId="4">#REF!</definedName>
    <definedName name="USO">#REF!</definedName>
    <definedName name="VAA" localSheetId="4">#REF!</definedName>
    <definedName name="VAA">#REF!</definedName>
    <definedName name="VAA_1">#REF!</definedName>
    <definedName name="VALOR_ADITIVO">#REF!</definedName>
    <definedName name="valor_adtidivo">#REF!</definedName>
    <definedName name="valor_cont">#REF!</definedName>
    <definedName name="valor_contr">#REF!</definedName>
    <definedName name="VALOR_CONTRATO">#REF!</definedName>
    <definedName name="VALOR_UNIT_ADOTADO" localSheetId="4">#REF!</definedName>
    <definedName name="VALOR_UNIT_ADOTADO">#REF!</definedName>
    <definedName name="valoraditi" localSheetId="4">#REF!</definedName>
    <definedName name="valoraditi">#REF!</definedName>
    <definedName name="valoraditivo" localSheetId="4">#REF!</definedName>
    <definedName name="valoraditivo">#REF!</definedName>
    <definedName name="valorcon">#REF!</definedName>
    <definedName name="valorcontrato">#REF!</definedName>
    <definedName name="Valores">#REF!</definedName>
    <definedName name="VALORES_VALORES_Listar">#REF!</definedName>
    <definedName name="VAT" localSheetId="4">#REF!</definedName>
    <definedName name="VAT">#REF!</definedName>
    <definedName name="VAT_1" localSheetId="4">#REF!</definedName>
    <definedName name="VAT_1">#REF!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BF">#REF!</definedName>
    <definedName name="VBF_1">#REF!</definedName>
    <definedName name="ve">#REF!</definedName>
    <definedName name="ve_1">#REF!</definedName>
    <definedName name="VE1_1">#REF!</definedName>
    <definedName name="VEC">#REF!</definedName>
    <definedName name="VELOCIDADE" localSheetId="4">#REF!</definedName>
    <definedName name="VELOCIDADE">#REF!</definedName>
    <definedName name="VENT_ILUM.NATURAL" localSheetId="4">#REF!</definedName>
    <definedName name="VENT_ILUM.NATURAL">#REF!</definedName>
    <definedName name="VICIOS" localSheetId="4">#REF!</definedName>
    <definedName name="VICIOS">#REF!</definedName>
    <definedName name="VO" localSheetId="4">#REF!</definedName>
    <definedName name="VO">#REF!</definedName>
    <definedName name="VO_1" localSheetId="4">#REF!</definedName>
    <definedName name="VO_1">#REF!</definedName>
    <definedName name="VO1_1" localSheetId="4">#REF!</definedName>
    <definedName name="VO1_1">#REF!</definedName>
    <definedName name="VOC" localSheetId="4">#REF!</definedName>
    <definedName name="VOC">#REF!</definedName>
    <definedName name="Vol_Estrutural" localSheetId="4">#REF!</definedName>
    <definedName name="Vol_Estrutural">#REF!</definedName>
    <definedName name="Vol_Estrutural_1" localSheetId="4">#REF!</definedName>
    <definedName name="Vol_Estrutural_1">#REF!</definedName>
    <definedName name="VOLCON" localSheetId="4">#REF!</definedName>
    <definedName name="VOLCON">#REF!</definedName>
    <definedName name="VOLCON_1" localSheetId="4">#REF!</definedName>
    <definedName name="VOLCON_1">#REF!</definedName>
    <definedName name="VOLCONC" localSheetId="4">#REF!</definedName>
    <definedName name="VOLCONC">#REF!</definedName>
    <definedName name="VOLCONC_1" localSheetId="4">#REF!</definedName>
    <definedName name="VOLCONC_1">#REF!</definedName>
    <definedName name="Volume" localSheetId="4">#REF!</definedName>
    <definedName name="Volume">#REF!</definedName>
    <definedName name="vr" localSheetId="4">#REF!</definedName>
    <definedName name="vr">#REF!</definedName>
    <definedName name="VR_1">#REF!</definedName>
    <definedName name="VRC">#REF!</definedName>
    <definedName name="VTE" localSheetId="4">#REF!</definedName>
    <definedName name="VTE">#REF!</definedName>
    <definedName name="VTE_1" localSheetId="4">#REF!</definedName>
    <definedName name="VTE_1">#REF!</definedName>
    <definedName name="wrn.mo2." localSheetId="0" hidden="1">{#N/A,#N/A,FALSE,"MO (2)"}</definedName>
    <definedName name="wrn.mo2." localSheetId="4" hidden="1">{#N/A,#N/A,FALSE,"MO (2)"}</definedName>
    <definedName name="wrn.mo2." hidden="1">{#N/A,#N/A,FALSE,"MO (2)"}</definedName>
    <definedName name="wrn.mo3." localSheetId="0" hidden="1">{#N/A,#N/A,FALSE,"MO (2)"}</definedName>
    <definedName name="wrn.mo3." localSheetId="4" hidden="1">{#N/A,#N/A,FALSE,"MO (2)"}</definedName>
    <definedName name="wrn.mo3." hidden="1">{#N/A,#N/A,FALSE,"MO (2)"}</definedName>
    <definedName name="wrn.PENDENCIAS." localSheetId="0" hidden="1">{#N/A,#N/A,FALSE,"GERAL";#N/A,#N/A,FALSE,"012-96";#N/A,#N/A,FALSE,"018-96";#N/A,#N/A,FALSE,"027-96";#N/A,#N/A,FALSE,"059-96";#N/A,#N/A,FALSE,"076-96";#N/A,#N/A,FALSE,"019-97";#N/A,#N/A,FALSE,"021-97";#N/A,#N/A,FALSE,"022-97";#N/A,#N/A,FALSE,"028-97"}</definedName>
    <definedName name="wrn.PENDENCIAS." localSheetId="4"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localSheetId="0" hidden="1">{#N/A,#N/A,FALSE,"EAP";#N/A,#N/A,FALSE,"CURVA AV.FÍSICO";#N/A,#N/A,FALSE,"CURVA AV.FINANC."}</definedName>
    <definedName name="wrn.RELAT_EAP." localSheetId="4" hidden="1">{#N/A,#N/A,FALSE,"EAP";#N/A,#N/A,FALSE,"CURVA AV.FÍSICO";#N/A,#N/A,FALSE,"CURVA AV.FINANC."}</definedName>
    <definedName name="wrn.RELAT_EAP." hidden="1">{#N/A,#N/A,FALSE,"EAP";#N/A,#N/A,FALSE,"CURVA AV.FÍSICO";#N/A,#N/A,FALSE,"CURVA AV.FINANC."}</definedName>
    <definedName name="ww" localSheetId="4">#REF!</definedName>
    <definedName name="ww">#REF!</definedName>
    <definedName name="WWWW" localSheetId="4">#REF!</definedName>
    <definedName name="WWWW">#REF!</definedName>
    <definedName name="X" localSheetId="4">("$#REF!.$A$1:$H$65204~$#REF!.$A$1:$AMJ$14)))))))")</definedName>
    <definedName name="X">("$#REF!.$A$1:$H$65204~$#REF!.$A$1:$AMJ$14)))))))")</definedName>
    <definedName name="xcvbn" localSheetId="4">#REF!</definedName>
    <definedName name="xcvbn">#REF!</definedName>
    <definedName name="xdhsd" localSheetId="4">#REF!</definedName>
    <definedName name="xdhsd">#REF!</definedName>
    <definedName name="XFXGFT" localSheetId="4">#REF!</definedName>
    <definedName name="XFXGFT">#REF!</definedName>
    <definedName name="XS">("$#REF!.$A$1:$H$65207~$#REF!.$A$1:$AMJ$14)))))))")</definedName>
    <definedName name="XSS">("$#REF!.$A$1:$H$65204~$#REF!.$A$1:$AMJ$14)))))))")</definedName>
    <definedName name="xx" localSheetId="4">#REF!,#REF!</definedName>
    <definedName name="xx">#REF!,#REF!</definedName>
    <definedName name="XXX2" localSheetId="4">#REF!,#REF!</definedName>
    <definedName name="XXX2">#REF!,#REF!</definedName>
    <definedName name="xxxxx" localSheetId="4">#REF!,#REF!</definedName>
    <definedName name="xxxxx">#REF!,#REF!</definedName>
    <definedName name="xxxxxxx">#REF!,#REF!</definedName>
    <definedName name="xxxxxxxxx">#REF!,#REF!</definedName>
    <definedName name="xzdhd" localSheetId="4">#REF!</definedName>
    <definedName name="xzdhd">#REF!</definedName>
    <definedName name="ygfnjj" localSheetId="4">#REF!</definedName>
    <definedName name="ygfnjj">#REF!</definedName>
    <definedName name="Z" localSheetId="4">#REF!</definedName>
    <definedName name="Z">#REF!</definedName>
    <definedName name="ZA">#REF!</definedName>
    <definedName name="zb">[2]Metodologia!$M$6</definedName>
    <definedName name="zp">[2]Metodologia!$M$7</definedName>
    <definedName name="zs">[2]Metodologia!$M$8</definedName>
    <definedName name="ZZZZZB2" localSheetId="4">#REF!,#REF!</definedName>
    <definedName name="ZZZZZB2">#REF!,#REF!</definedName>
    <definedName name="zzzzzzz" localSheetId="4">#REF!,#REF!</definedName>
    <definedName name="zzzzzzz">#REF!,#REF!</definedName>
    <definedName name="ZZZZZZZZZZ2" localSheetId="4">#REF!,#REF!</definedName>
    <definedName name="ZZZZZZZZZZ2">#REF!,#REF!</definedName>
    <definedName name="ZZZZZZZZZZZ">#REF!,#REF!</definedName>
    <definedName name="ZZZZZZZZZZZZZZZZZZZZZZZZ">#REF!,#REF!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18" i="2" l="1"/>
  <c r="F30" i="8" l="1"/>
  <c r="F310" i="1"/>
  <c r="F309" i="1"/>
  <c r="F308" i="1"/>
  <c r="F307" i="1"/>
  <c r="F306" i="1"/>
  <c r="B306" i="1"/>
  <c r="C306" i="1"/>
  <c r="E306" i="1"/>
  <c r="B307" i="1"/>
  <c r="C307" i="1"/>
  <c r="E307" i="1"/>
  <c r="B308" i="1"/>
  <c r="C308" i="1"/>
  <c r="E308" i="1"/>
  <c r="B309" i="1"/>
  <c r="C309" i="1"/>
  <c r="E309" i="1"/>
  <c r="B310" i="1"/>
  <c r="C310" i="1"/>
  <c r="E310" i="1"/>
  <c r="R3832" i="3"/>
  <c r="O4578" i="3" l="1"/>
  <c r="X4574" i="3"/>
  <c r="X4575" i="3"/>
  <c r="X4576" i="3"/>
  <c r="X4577" i="3"/>
  <c r="X4578" i="3"/>
  <c r="X4579" i="3"/>
  <c r="X4580" i="3"/>
  <c r="X4581" i="3"/>
  <c r="X4582" i="3"/>
  <c r="X4583" i="3"/>
  <c r="R4578" i="3"/>
  <c r="K4578" i="3"/>
  <c r="R4583" i="3"/>
  <c r="W4575" i="3"/>
  <c r="W4576" i="3"/>
  <c r="W4574" i="3"/>
  <c r="W4577" i="3"/>
  <c r="W4579" i="3"/>
  <c r="W4580" i="3"/>
  <c r="W4578" i="3"/>
  <c r="W4581" i="3"/>
  <c r="W4582" i="3"/>
  <c r="W4583" i="3"/>
  <c r="K4583" i="3" l="1"/>
  <c r="R4993" i="3" l="1"/>
  <c r="X4584" i="3"/>
  <c r="X4585" i="3"/>
  <c r="X4586" i="3"/>
  <c r="X4587" i="3"/>
  <c r="X4588" i="3"/>
  <c r="R4210" i="3"/>
  <c r="R4209" i="3"/>
  <c r="R4208" i="3"/>
  <c r="R4205" i="3"/>
  <c r="R4204" i="3"/>
  <c r="R4203" i="3"/>
  <c r="L4721" i="3"/>
  <c r="N4721" i="3" s="1"/>
  <c r="K4721" i="3"/>
  <c r="R4721" i="3" s="1"/>
  <c r="X4718" i="3"/>
  <c r="X4719" i="3"/>
  <c r="X4720" i="3"/>
  <c r="X4721" i="3"/>
  <c r="X4722" i="3"/>
  <c r="X4723" i="3"/>
  <c r="X4724" i="3"/>
  <c r="X4725" i="3"/>
  <c r="X4726" i="3"/>
  <c r="X4727" i="3"/>
  <c r="X4728" i="3"/>
  <c r="X4729" i="3"/>
  <c r="X4730" i="3"/>
  <c r="X4731" i="3"/>
  <c r="K4687" i="3"/>
  <c r="R4687" i="3" s="1"/>
  <c r="K4686" i="3"/>
  <c r="R4686" i="3" s="1"/>
  <c r="K4685" i="3"/>
  <c r="R4685" i="3" s="1"/>
  <c r="K4684" i="3"/>
  <c r="R4684" i="3" s="1"/>
  <c r="K4683" i="3"/>
  <c r="R4683" i="3" s="1"/>
  <c r="X4678" i="3"/>
  <c r="X4679" i="3"/>
  <c r="X4680" i="3"/>
  <c r="X4681" i="3"/>
  <c r="X4682" i="3"/>
  <c r="X4683" i="3"/>
  <c r="X4684" i="3"/>
  <c r="X4685" i="3"/>
  <c r="X4686" i="3"/>
  <c r="X4687" i="3"/>
  <c r="X4688" i="3"/>
  <c r="X4689" i="3"/>
  <c r="X4690" i="3"/>
  <c r="X4691" i="3"/>
  <c r="K4677" i="3"/>
  <c r="R4677" i="3" s="1"/>
  <c r="K4676" i="3"/>
  <c r="R4676" i="3" s="1"/>
  <c r="K4675" i="3"/>
  <c r="R4675" i="3" s="1"/>
  <c r="K4674" i="3"/>
  <c r="R4674" i="3" s="1"/>
  <c r="K4673" i="3"/>
  <c r="R4673" i="3" s="1"/>
  <c r="X4666" i="3"/>
  <c r="X4667" i="3"/>
  <c r="X4668" i="3"/>
  <c r="X4669" i="3"/>
  <c r="X4670" i="3"/>
  <c r="X4671" i="3"/>
  <c r="X4672" i="3"/>
  <c r="X4673" i="3"/>
  <c r="X4674" i="3"/>
  <c r="X4675" i="3"/>
  <c r="X4676" i="3"/>
  <c r="X4677" i="3"/>
  <c r="X4692" i="3"/>
  <c r="K4642" i="3"/>
  <c r="R4642" i="3" s="1"/>
  <c r="K4641" i="3"/>
  <c r="R4641" i="3" s="1"/>
  <c r="X4638" i="3"/>
  <c r="X4639" i="3"/>
  <c r="X4640" i="3"/>
  <c r="X4641" i="3"/>
  <c r="X4642" i="3"/>
  <c r="X4643" i="3"/>
  <c r="X4644" i="3"/>
  <c r="X4645" i="3"/>
  <c r="X4646" i="3"/>
  <c r="X4647" i="3"/>
  <c r="X4648" i="3"/>
  <c r="X4649" i="3"/>
  <c r="X4650" i="3"/>
  <c r="X4651" i="3"/>
  <c r="X4652" i="3"/>
  <c r="K4647" i="3"/>
  <c r="R4647" i="3" s="1"/>
  <c r="P4639" i="3"/>
  <c r="K4639" i="3"/>
  <c r="R4639" i="3" s="1"/>
  <c r="K4638" i="3"/>
  <c r="R4638" i="3" s="1"/>
  <c r="X4614" i="3"/>
  <c r="X4615" i="3"/>
  <c r="X4616" i="3"/>
  <c r="X4617" i="3"/>
  <c r="X4618" i="3"/>
  <c r="X4619" i="3"/>
  <c r="X4620" i="3"/>
  <c r="X4621" i="3"/>
  <c r="X4622" i="3"/>
  <c r="X4623" i="3"/>
  <c r="X4624" i="3"/>
  <c r="X4625" i="3"/>
  <c r="X4626" i="3"/>
  <c r="X4627" i="3"/>
  <c r="X4628" i="3"/>
  <c r="X4629" i="3"/>
  <c r="X4630" i="3"/>
  <c r="X4631" i="3"/>
  <c r="X4632" i="3"/>
  <c r="X4633" i="3"/>
  <c r="X4634" i="3"/>
  <c r="X4635" i="3"/>
  <c r="X4636" i="3"/>
  <c r="X4637" i="3"/>
  <c r="N3940" i="3"/>
  <c r="O3940" i="3" s="1"/>
  <c r="R3940" i="3" s="1"/>
  <c r="X3927" i="3"/>
  <c r="X3928" i="3"/>
  <c r="X3929" i="3"/>
  <c r="X3930" i="3"/>
  <c r="X3931" i="3"/>
  <c r="X3932" i="3"/>
  <c r="X3933" i="3"/>
  <c r="X3934" i="3"/>
  <c r="X3935" i="3"/>
  <c r="X3936" i="3"/>
  <c r="X3937" i="3"/>
  <c r="X3938" i="3"/>
  <c r="X3939" i="3"/>
  <c r="X3940" i="3"/>
  <c r="X3941" i="3"/>
  <c r="X3942" i="3"/>
  <c r="X3943" i="3"/>
  <c r="X3944" i="3"/>
  <c r="X3945" i="3"/>
  <c r="X3946" i="3"/>
  <c r="X1794" i="3"/>
  <c r="X1795" i="3"/>
  <c r="X1796" i="3"/>
  <c r="X1797" i="3"/>
  <c r="X1798" i="3"/>
  <c r="X1799" i="3"/>
  <c r="X1800" i="3"/>
  <c r="X1801" i="3"/>
  <c r="X1802" i="3"/>
  <c r="X1803" i="3"/>
  <c r="X1804" i="3"/>
  <c r="X1805" i="3"/>
  <c r="X1806" i="3"/>
  <c r="X1807" i="3"/>
  <c r="X1808" i="3"/>
  <c r="X1809" i="3"/>
  <c r="X1810" i="3"/>
  <c r="X1811" i="3"/>
  <c r="X1812" i="3"/>
  <c r="X1813" i="3"/>
  <c r="X1814" i="3"/>
  <c r="X1815" i="3"/>
  <c r="N1802" i="3"/>
  <c r="R1802" i="3" s="1"/>
  <c r="K1802" i="3"/>
  <c r="N1801" i="3"/>
  <c r="R1801" i="3" s="1"/>
  <c r="K1801" i="3"/>
  <c r="N1800" i="3"/>
  <c r="R1800" i="3" s="1"/>
  <c r="K1800" i="3"/>
  <c r="R1808" i="3"/>
  <c r="K1808" i="3"/>
  <c r="R1807" i="3"/>
  <c r="K1807" i="3"/>
  <c r="R1806" i="3"/>
  <c r="K1806" i="3"/>
  <c r="W4722" i="3"/>
  <c r="W3943" i="3"/>
  <c r="W1806" i="3"/>
  <c r="W4728" i="3"/>
  <c r="W4678" i="3"/>
  <c r="W1804" i="3"/>
  <c r="W4586" i="3"/>
  <c r="W1801" i="3"/>
  <c r="W4721" i="3"/>
  <c r="W1802" i="3"/>
  <c r="W1812" i="3"/>
  <c r="W4725" i="3"/>
  <c r="W4724" i="3"/>
  <c r="W4649" i="3"/>
  <c r="W3941" i="3"/>
  <c r="W4585" i="3"/>
  <c r="W1800" i="3"/>
  <c r="W3939" i="3"/>
  <c r="W4640" i="3"/>
  <c r="W4615" i="3"/>
  <c r="W1805" i="3"/>
  <c r="W3942" i="3"/>
  <c r="W1811" i="3"/>
  <c r="W4730" i="3"/>
  <c r="W4723" i="3"/>
  <c r="W4648" i="3"/>
  <c r="W3929" i="3"/>
  <c r="W4729" i="3"/>
  <c r="W4614" i="3"/>
  <c r="W4584" i="3"/>
  <c r="W4726" i="3"/>
  <c r="W1808" i="3"/>
  <c r="W4727" i="3"/>
  <c r="W4689" i="3"/>
  <c r="W4679" i="3"/>
  <c r="W4731" i="3"/>
  <c r="W4688" i="3"/>
  <c r="W1807" i="3"/>
  <c r="N1803" i="3" l="1"/>
  <c r="X4975" i="3" l="1"/>
  <c r="X4976" i="3"/>
  <c r="X4977" i="3"/>
  <c r="X4978" i="3"/>
  <c r="X4979" i="3"/>
  <c r="X4980" i="3"/>
  <c r="X4981" i="3"/>
  <c r="X4982" i="3"/>
  <c r="X4983" i="3"/>
  <c r="X4984" i="3"/>
  <c r="X4985" i="3"/>
  <c r="X4986" i="3"/>
  <c r="X4987" i="3"/>
  <c r="X4988" i="3"/>
  <c r="X4989" i="3"/>
  <c r="X4990" i="3"/>
  <c r="X4991" i="3"/>
  <c r="X4992" i="3"/>
  <c r="X4993" i="3"/>
  <c r="X4994" i="3"/>
  <c r="X4995" i="3"/>
  <c r="X4996" i="3"/>
  <c r="X4997" i="3"/>
  <c r="X4998" i="3"/>
  <c r="X4999" i="3"/>
  <c r="X5000" i="3"/>
  <c r="X5001" i="3"/>
  <c r="X5002" i="3"/>
  <c r="W4982" i="3"/>
  <c r="W4975" i="3"/>
  <c r="W4997" i="3"/>
  <c r="W4996" i="3"/>
  <c r="W4991" i="3"/>
  <c r="W4993" i="3"/>
  <c r="W4992" i="3"/>
  <c r="W4995" i="3"/>
  <c r="W4999" i="3"/>
  <c r="W4998" i="3"/>
  <c r="W4981" i="3"/>
  <c r="W4990" i="3"/>
  <c r="W4994" i="3"/>
  <c r="X4930" i="3" l="1"/>
  <c r="X4931" i="3"/>
  <c r="X4932" i="3"/>
  <c r="X4933" i="3"/>
  <c r="X4934" i="3"/>
  <c r="X4935" i="3"/>
  <c r="X4936" i="3"/>
  <c r="X4937" i="3"/>
  <c r="X4938" i="3"/>
  <c r="X4939" i="3"/>
  <c r="X4940" i="3"/>
  <c r="X4941" i="3"/>
  <c r="X4942" i="3"/>
  <c r="W4936" i="3"/>
  <c r="W4930" i="3"/>
  <c r="W4939" i="3"/>
  <c r="W4937" i="3"/>
  <c r="W4938" i="3"/>
  <c r="W4932" i="3"/>
  <c r="W4942" i="3"/>
  <c r="W4933" i="3"/>
  <c r="W4935" i="3"/>
  <c r="W4934" i="3"/>
  <c r="W4941" i="3"/>
  <c r="W4931" i="3"/>
  <c r="W4940" i="3"/>
  <c r="X4196" i="3" l="1"/>
  <c r="X4197" i="3"/>
  <c r="X4198" i="3"/>
  <c r="X4199" i="3"/>
  <c r="X4200" i="3"/>
  <c r="X4201" i="3"/>
  <c r="X4202" i="3"/>
  <c r="X4203" i="3"/>
  <c r="X4204" i="3"/>
  <c r="X4205" i="3"/>
  <c r="X4206" i="3"/>
  <c r="X4207" i="3"/>
  <c r="X4208" i="3"/>
  <c r="X4209" i="3"/>
  <c r="X4210" i="3"/>
  <c r="X4211" i="3"/>
  <c r="X4212" i="3"/>
  <c r="X4213" i="3"/>
  <c r="X4214" i="3"/>
  <c r="X4215" i="3"/>
  <c r="X4145" i="3"/>
  <c r="X4146" i="3"/>
  <c r="X4147" i="3"/>
  <c r="X4148" i="3"/>
  <c r="X4149" i="3"/>
  <c r="X4150" i="3"/>
  <c r="X4151" i="3"/>
  <c r="X4152" i="3"/>
  <c r="X4153" i="3"/>
  <c r="X4154" i="3"/>
  <c r="X4155" i="3"/>
  <c r="X4156" i="3"/>
  <c r="X4157" i="3"/>
  <c r="X4158" i="3"/>
  <c r="X4084" i="3"/>
  <c r="X4085" i="3"/>
  <c r="X4086" i="3"/>
  <c r="X4087" i="3"/>
  <c r="X4088" i="3"/>
  <c r="X4089" i="3"/>
  <c r="X4090" i="3"/>
  <c r="X4091" i="3"/>
  <c r="X4092" i="3"/>
  <c r="X4093" i="3"/>
  <c r="X4094" i="3"/>
  <c r="X4095" i="3"/>
  <c r="X4096" i="3"/>
  <c r="X4097" i="3"/>
  <c r="X4098" i="3"/>
  <c r="X4099" i="3"/>
  <c r="X4100" i="3"/>
  <c r="X4101" i="3"/>
  <c r="X4102" i="3"/>
  <c r="X4103" i="3"/>
  <c r="X4104" i="3"/>
  <c r="X4105" i="3"/>
  <c r="X4106" i="3"/>
  <c r="X4107" i="3"/>
  <c r="X4108" i="3"/>
  <c r="X4109" i="3"/>
  <c r="X4110" i="3"/>
  <c r="X4111" i="3"/>
  <c r="X4112" i="3"/>
  <c r="X4113" i="3"/>
  <c r="X4114" i="3"/>
  <c r="X4115" i="3"/>
  <c r="X4116" i="3"/>
  <c r="X4117" i="3"/>
  <c r="X4118" i="3"/>
  <c r="X4119" i="3"/>
  <c r="X4120" i="3"/>
  <c r="X4121" i="3"/>
  <c r="X4122" i="3"/>
  <c r="X4123" i="3"/>
  <c r="X4124" i="3"/>
  <c r="X4125" i="3"/>
  <c r="X4126" i="3"/>
  <c r="X4127" i="3"/>
  <c r="X4128" i="3"/>
  <c r="X4129" i="3"/>
  <c r="X4130" i="3"/>
  <c r="X4131" i="3"/>
  <c r="X4132" i="3"/>
  <c r="X4133" i="3"/>
  <c r="X4134" i="3"/>
  <c r="X4135" i="3"/>
  <c r="X4136" i="3"/>
  <c r="X4137" i="3"/>
  <c r="X4138" i="3"/>
  <c r="X4139" i="3"/>
  <c r="X4140" i="3"/>
  <c r="X4141" i="3"/>
  <c r="X4142" i="3"/>
  <c r="X4143" i="3"/>
  <c r="X4144" i="3"/>
  <c r="X4159" i="3"/>
  <c r="X4160" i="3"/>
  <c r="X4161" i="3"/>
  <c r="X4162" i="3"/>
  <c r="X4163" i="3"/>
  <c r="X4164" i="3"/>
  <c r="X4165" i="3"/>
  <c r="X4166" i="3"/>
  <c r="X4167" i="3"/>
  <c r="X4168" i="3"/>
  <c r="X4169" i="3"/>
  <c r="X4170" i="3"/>
  <c r="X4171" i="3"/>
  <c r="X4172" i="3"/>
  <c r="X4173" i="3"/>
  <c r="X4174" i="3"/>
  <c r="X4175" i="3"/>
  <c r="X4176" i="3"/>
  <c r="X4177" i="3"/>
  <c r="X4178" i="3"/>
  <c r="X4179" i="3"/>
  <c r="X4180" i="3"/>
  <c r="X4181" i="3"/>
  <c r="X4182" i="3"/>
  <c r="X4183" i="3"/>
  <c r="X4184" i="3"/>
  <c r="X4185" i="3"/>
  <c r="X4186" i="3"/>
  <c r="X4187" i="3"/>
  <c r="X4188" i="3"/>
  <c r="X4189" i="3"/>
  <c r="X4190" i="3"/>
  <c r="X4191" i="3"/>
  <c r="X4192" i="3"/>
  <c r="X4193" i="3"/>
  <c r="X4194" i="3"/>
  <c r="X4195" i="3"/>
  <c r="R2420" i="3"/>
  <c r="K1747" i="3"/>
  <c r="R1747" i="3" s="1"/>
  <c r="N1746" i="3"/>
  <c r="O1746" i="3" s="1"/>
  <c r="R1746" i="3" s="1"/>
  <c r="K1746" i="3"/>
  <c r="K1676" i="3"/>
  <c r="R1676" i="3" s="1"/>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K1607" i="3"/>
  <c r="R1607" i="3" s="1"/>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R1605" i="3"/>
  <c r="K1605" i="3"/>
  <c r="W4177" i="3"/>
  <c r="W4160" i="3"/>
  <c r="W4153" i="3"/>
  <c r="W1561" i="3"/>
  <c r="W1584" i="3"/>
  <c r="W4126" i="3"/>
  <c r="W4125" i="3"/>
  <c r="W4191" i="3"/>
  <c r="W4197" i="3"/>
  <c r="W4203" i="3"/>
  <c r="W4156" i="3"/>
  <c r="W4187" i="3"/>
  <c r="W4202" i="3"/>
  <c r="W4181" i="3"/>
  <c r="W1607" i="3"/>
  <c r="W4186" i="3"/>
  <c r="W4196" i="3"/>
  <c r="W4208" i="3"/>
  <c r="W4210" i="3"/>
  <c r="W4205" i="3"/>
  <c r="W4172" i="3"/>
  <c r="W4207" i="3"/>
  <c r="W4209" i="3"/>
  <c r="W1589" i="3"/>
  <c r="W4211" i="3"/>
  <c r="W4192" i="3"/>
  <c r="W4201" i="3"/>
  <c r="W4159" i="3"/>
  <c r="W4157" i="3"/>
  <c r="W4154" i="3"/>
  <c r="W4166" i="3"/>
  <c r="W1614" i="3"/>
  <c r="W4171" i="3"/>
  <c r="W1611" i="3"/>
  <c r="W4176" i="3"/>
  <c r="W4152" i="3"/>
  <c r="W4158" i="3"/>
  <c r="W4151" i="3"/>
  <c r="W1583" i="3"/>
  <c r="W4206" i="3"/>
  <c r="W1681" i="3"/>
  <c r="W4204" i="3"/>
  <c r="W1682" i="3"/>
  <c r="W1606" i="3"/>
  <c r="W4182" i="3"/>
  <c r="W1575" i="3"/>
  <c r="W4155" i="3"/>
  <c r="W4161" i="3"/>
  <c r="W1613" i="3"/>
  <c r="W4212" i="3"/>
  <c r="W4167" i="3"/>
  <c r="W1605" i="3"/>
  <c r="W1565" i="3"/>
  <c r="N1747" i="3" l="1"/>
  <c r="O1747" i="3"/>
  <c r="R1582" i="3" l="1"/>
  <c r="K1582" i="3"/>
  <c r="W1582" i="3"/>
  <c r="X4943" i="3" l="1"/>
  <c r="J4882" i="3"/>
  <c r="X4881" i="3"/>
  <c r="X4882" i="3"/>
  <c r="X4883" i="3"/>
  <c r="X4884" i="3"/>
  <c r="X4885" i="3"/>
  <c r="N4858" i="3"/>
  <c r="K4858" i="3"/>
  <c r="N4857" i="3"/>
  <c r="K4857" i="3"/>
  <c r="N4856" i="3"/>
  <c r="K4856" i="3"/>
  <c r="N4855" i="3"/>
  <c r="K4855" i="3"/>
  <c r="N4854" i="3"/>
  <c r="K4854" i="3"/>
  <c r="N4853" i="3"/>
  <c r="K4853" i="3"/>
  <c r="N4852" i="3"/>
  <c r="K4852" i="3"/>
  <c r="N4851" i="3"/>
  <c r="K4851" i="3"/>
  <c r="N4850" i="3"/>
  <c r="K4850" i="3"/>
  <c r="N4849" i="3"/>
  <c r="K4849" i="3"/>
  <c r="N4848" i="3"/>
  <c r="K4848" i="3"/>
  <c r="N4847" i="3"/>
  <c r="K4847" i="3"/>
  <c r="N4846" i="3"/>
  <c r="K4846" i="3"/>
  <c r="N4845" i="3"/>
  <c r="K4845" i="3"/>
  <c r="X4843" i="3"/>
  <c r="X4844" i="3"/>
  <c r="X4845" i="3"/>
  <c r="X4846" i="3"/>
  <c r="X4847" i="3"/>
  <c r="X4848" i="3"/>
  <c r="X4849" i="3"/>
  <c r="X4850" i="3"/>
  <c r="X4851" i="3"/>
  <c r="X4852" i="3"/>
  <c r="X4853" i="3"/>
  <c r="X4854" i="3"/>
  <c r="X4855" i="3"/>
  <c r="X4856" i="3"/>
  <c r="X4857" i="3"/>
  <c r="X4858" i="3"/>
  <c r="X4859" i="3"/>
  <c r="X4860" i="3"/>
  <c r="X4861" i="3"/>
  <c r="N4818" i="3"/>
  <c r="K4818" i="3"/>
  <c r="N4817" i="3"/>
  <c r="K4817" i="3"/>
  <c r="N4816" i="3"/>
  <c r="K4816" i="3"/>
  <c r="N4815" i="3"/>
  <c r="K4815" i="3"/>
  <c r="N4814" i="3"/>
  <c r="K4814" i="3"/>
  <c r="N4813" i="3"/>
  <c r="K4813" i="3"/>
  <c r="N4812" i="3"/>
  <c r="K4812" i="3"/>
  <c r="N4811" i="3"/>
  <c r="K4811" i="3"/>
  <c r="N4810" i="3"/>
  <c r="K4810" i="3"/>
  <c r="N4809" i="3"/>
  <c r="K4809" i="3"/>
  <c r="N4808" i="3"/>
  <c r="K4808" i="3"/>
  <c r="N4807" i="3"/>
  <c r="K4807" i="3"/>
  <c r="N4806" i="3"/>
  <c r="K4806" i="3"/>
  <c r="N4805" i="3"/>
  <c r="K4805" i="3"/>
  <c r="X4801" i="3"/>
  <c r="X4802" i="3"/>
  <c r="X4803" i="3"/>
  <c r="X4804" i="3"/>
  <c r="X4805" i="3"/>
  <c r="X4806" i="3"/>
  <c r="X4807" i="3"/>
  <c r="X4808" i="3"/>
  <c r="X4809" i="3"/>
  <c r="X4810" i="3"/>
  <c r="X4811" i="3"/>
  <c r="X4812" i="3"/>
  <c r="X4813" i="3"/>
  <c r="X4814" i="3"/>
  <c r="X4815" i="3"/>
  <c r="X4816" i="3"/>
  <c r="X4817" i="3"/>
  <c r="X4818" i="3"/>
  <c r="X4819" i="3"/>
  <c r="X4820" i="3"/>
  <c r="X4821" i="3"/>
  <c r="X4822" i="3"/>
  <c r="R4597" i="3"/>
  <c r="K4597" i="3"/>
  <c r="R4596" i="3"/>
  <c r="K4596" i="3"/>
  <c r="X4596" i="3"/>
  <c r="X4597" i="3"/>
  <c r="X4598" i="3"/>
  <c r="X4599" i="3"/>
  <c r="X4600" i="3"/>
  <c r="X4601" i="3"/>
  <c r="K4548" i="3"/>
  <c r="R4548" i="3" s="1"/>
  <c r="X4546" i="3"/>
  <c r="X4547" i="3"/>
  <c r="X4548" i="3"/>
  <c r="X4549" i="3"/>
  <c r="X4550" i="3"/>
  <c r="X4551" i="3"/>
  <c r="X4552" i="3"/>
  <c r="J4533" i="3"/>
  <c r="X4532" i="3"/>
  <c r="X4533" i="3"/>
  <c r="X4534" i="3"/>
  <c r="X4535" i="3"/>
  <c r="J4480" i="3"/>
  <c r="J4479" i="3"/>
  <c r="X4477" i="3"/>
  <c r="X4478" i="3"/>
  <c r="X4479" i="3"/>
  <c r="X4480" i="3"/>
  <c r="X4481" i="3"/>
  <c r="X4482" i="3"/>
  <c r="J4419" i="3"/>
  <c r="J4418" i="3"/>
  <c r="X4415" i="3"/>
  <c r="X4416" i="3"/>
  <c r="X4417" i="3"/>
  <c r="X4418" i="3"/>
  <c r="X4419" i="3"/>
  <c r="X4420" i="3"/>
  <c r="X4421" i="3"/>
  <c r="X4422" i="3"/>
  <c r="X4423" i="3"/>
  <c r="J4359" i="3"/>
  <c r="J4307" i="3"/>
  <c r="X4302" i="3"/>
  <c r="X4303" i="3"/>
  <c r="X4304" i="3"/>
  <c r="X4305" i="3"/>
  <c r="X4306" i="3"/>
  <c r="X4307" i="3"/>
  <c r="X4308" i="3"/>
  <c r="X4309" i="3"/>
  <c r="X4310" i="3"/>
  <c r="K4242" i="3"/>
  <c r="R4242" i="3" s="1"/>
  <c r="X4239" i="3"/>
  <c r="X4240" i="3"/>
  <c r="X4241" i="3"/>
  <c r="X4242" i="3"/>
  <c r="X4243" i="3"/>
  <c r="X4244" i="3"/>
  <c r="X4245" i="3"/>
  <c r="X4246" i="3"/>
  <c r="X4247" i="3"/>
  <c r="X4070" i="3"/>
  <c r="X4071" i="3"/>
  <c r="X4072" i="3"/>
  <c r="X4073" i="3"/>
  <c r="X4074" i="3"/>
  <c r="X4075" i="3"/>
  <c r="X4076" i="3"/>
  <c r="X4077" i="3"/>
  <c r="X4078" i="3"/>
  <c r="X4079" i="3"/>
  <c r="R4048" i="3"/>
  <c r="X4046" i="3"/>
  <c r="X4047" i="3"/>
  <c r="X4048" i="3"/>
  <c r="X4049" i="3"/>
  <c r="X4050" i="3"/>
  <c r="X4051" i="3"/>
  <c r="X4052" i="3"/>
  <c r="X4053" i="3"/>
  <c r="J3994" i="3"/>
  <c r="X3991" i="3"/>
  <c r="X3992" i="3"/>
  <c r="X3993" i="3"/>
  <c r="X3994" i="3"/>
  <c r="X3995" i="3"/>
  <c r="X3996" i="3"/>
  <c r="X3997" i="3"/>
  <c r="X3998" i="3"/>
  <c r="K3889" i="3"/>
  <c r="R3889" i="3" s="1"/>
  <c r="K3828" i="3"/>
  <c r="N3828" i="3" s="1"/>
  <c r="R3828" i="3" s="1"/>
  <c r="P3754" i="3"/>
  <c r="R3754" i="3" s="1"/>
  <c r="K3754" i="3"/>
  <c r="P3753" i="3"/>
  <c r="R3753" i="3" s="1"/>
  <c r="K3753" i="3"/>
  <c r="X3748" i="3"/>
  <c r="X3749" i="3"/>
  <c r="X3750" i="3"/>
  <c r="X3751" i="3"/>
  <c r="X3752" i="3"/>
  <c r="X3753" i="3"/>
  <c r="X3754" i="3"/>
  <c r="X3755" i="3"/>
  <c r="X3756" i="3"/>
  <c r="X3701" i="3"/>
  <c r="X3702" i="3"/>
  <c r="X3703" i="3"/>
  <c r="X3704" i="3"/>
  <c r="X3705" i="3"/>
  <c r="X3706" i="3"/>
  <c r="X3707" i="3"/>
  <c r="K3705" i="3"/>
  <c r="R3705" i="3" s="1"/>
  <c r="K3704" i="3"/>
  <c r="R3704" i="3" s="1"/>
  <c r="X3379" i="3"/>
  <c r="X3380" i="3"/>
  <c r="X3381" i="3"/>
  <c r="X3382" i="3"/>
  <c r="X3383" i="3"/>
  <c r="X2870" i="3"/>
  <c r="X2871" i="3"/>
  <c r="X2872" i="3"/>
  <c r="X2873" i="3"/>
  <c r="K2633" i="3"/>
  <c r="O2633" i="3" s="1"/>
  <c r="R2633" i="3" s="1"/>
  <c r="K2344" i="3"/>
  <c r="R2344" i="3" s="1"/>
  <c r="X2340" i="3"/>
  <c r="X2341" i="3"/>
  <c r="X2342" i="3"/>
  <c r="X2343" i="3"/>
  <c r="X2344" i="3"/>
  <c r="X2345" i="3"/>
  <c r="X2346" i="3"/>
  <c r="X2347" i="3"/>
  <c r="N2319" i="3"/>
  <c r="R2319" i="3" s="1"/>
  <c r="K2319" i="3"/>
  <c r="X2318" i="3"/>
  <c r="X2319" i="3"/>
  <c r="X2320" i="3"/>
  <c r="X2321" i="3"/>
  <c r="X2322" i="3"/>
  <c r="X2323" i="3"/>
  <c r="K2306" i="3"/>
  <c r="K2282" i="3"/>
  <c r="R2282" i="3" s="1"/>
  <c r="K2281" i="3"/>
  <c r="R2281" i="3" s="1"/>
  <c r="X2280" i="3"/>
  <c r="X2281" i="3"/>
  <c r="X2282" i="3"/>
  <c r="X2283" i="3"/>
  <c r="X2284" i="3"/>
  <c r="X2285" i="3"/>
  <c r="X2286" i="3"/>
  <c r="X2235" i="3"/>
  <c r="X2236" i="3"/>
  <c r="X2237" i="3"/>
  <c r="X2238" i="3"/>
  <c r="X2239" i="3"/>
  <c r="X2240" i="3"/>
  <c r="X2241" i="3"/>
  <c r="X2242" i="3"/>
  <c r="X2243" i="3"/>
  <c r="X2244" i="3"/>
  <c r="X2245" i="3"/>
  <c r="X2246" i="3"/>
  <c r="X2247" i="3"/>
  <c r="K2242" i="3"/>
  <c r="R2242" i="3" s="1"/>
  <c r="K2241" i="3"/>
  <c r="R2241" i="3" s="1"/>
  <c r="K1912" i="3"/>
  <c r="R1803" i="3"/>
  <c r="K1803" i="3"/>
  <c r="W4420" i="3"/>
  <c r="W2284" i="3"/>
  <c r="W2283" i="3"/>
  <c r="W2346" i="3"/>
  <c r="W4245" i="3"/>
  <c r="W2870" i="3"/>
  <c r="W4244" i="3"/>
  <c r="W4479" i="3"/>
  <c r="W3994" i="3"/>
  <c r="W4242" i="3"/>
  <c r="W4533" i="3"/>
  <c r="W2872" i="3"/>
  <c r="W2321" i="3"/>
  <c r="W3379" i="3"/>
  <c r="W4535" i="3"/>
  <c r="W4482" i="3"/>
  <c r="W4549" i="3"/>
  <c r="W4883" i="3"/>
  <c r="W3755" i="3"/>
  <c r="W3704" i="3"/>
  <c r="W4599" i="3"/>
  <c r="W4421" i="3"/>
  <c r="W4534" i="3"/>
  <c r="W4048" i="3"/>
  <c r="W4418" i="3"/>
  <c r="W4309" i="3"/>
  <c r="W3754" i="3"/>
  <c r="W4882" i="3"/>
  <c r="W2281" i="3"/>
  <c r="W3753" i="3"/>
  <c r="W4548" i="3"/>
  <c r="W4419" i="3"/>
  <c r="W4819" i="3"/>
  <c r="W4596" i="3"/>
  <c r="W4884" i="3"/>
  <c r="W2345" i="3"/>
  <c r="W2347" i="3"/>
  <c r="W4243" i="3"/>
  <c r="W3705" i="3"/>
  <c r="W3382" i="3"/>
  <c r="W3997" i="3"/>
  <c r="W2285" i="3"/>
  <c r="W3381" i="3"/>
  <c r="W4049" i="3"/>
  <c r="W3380" i="3"/>
  <c r="W2282" i="3"/>
  <c r="W3995" i="3"/>
  <c r="W1803" i="3"/>
  <c r="W4860" i="3"/>
  <c r="W4050" i="3"/>
  <c r="W4598" i="3"/>
  <c r="W4481" i="3"/>
  <c r="W4308" i="3"/>
  <c r="W4078" i="3"/>
  <c r="W4597" i="3"/>
  <c r="W4885" i="3"/>
  <c r="W2871" i="3"/>
  <c r="W4820" i="3"/>
  <c r="W4480" i="3"/>
  <c r="W3996" i="3"/>
  <c r="W2344" i="3"/>
  <c r="W4077" i="3"/>
  <c r="W2320" i="3"/>
  <c r="W4051" i="3"/>
  <c r="W2319" i="3"/>
  <c r="W4859" i="3"/>
  <c r="W4550" i="3"/>
  <c r="R4849" i="3" l="1"/>
  <c r="R4858" i="3"/>
  <c r="R4846" i="3"/>
  <c r="R4847" i="3"/>
  <c r="R4848" i="3"/>
  <c r="R4850" i="3"/>
  <c r="R4851" i="3"/>
  <c r="R4852" i="3"/>
  <c r="R4853" i="3"/>
  <c r="R4854" i="3"/>
  <c r="R4855" i="3"/>
  <c r="R4856" i="3"/>
  <c r="R4857" i="3"/>
  <c r="R4845" i="3"/>
  <c r="R4809" i="3"/>
  <c r="R4805" i="3"/>
  <c r="R4818" i="3"/>
  <c r="R4807" i="3"/>
  <c r="R4806" i="3"/>
  <c r="R4808" i="3"/>
  <c r="R4810" i="3"/>
  <c r="R4811" i="3"/>
  <c r="R4812" i="3"/>
  <c r="R4813" i="3"/>
  <c r="R4814" i="3"/>
  <c r="R4815" i="3"/>
  <c r="R4816" i="3"/>
  <c r="R4817" i="3"/>
  <c r="W4849" i="3"/>
  <c r="W4847" i="3"/>
  <c r="W4852" i="3"/>
  <c r="W4807" i="3"/>
  <c r="W4850" i="3"/>
  <c r="W4853" i="3"/>
  <c r="W4806" i="3"/>
  <c r="W4814" i="3"/>
  <c r="W4816" i="3"/>
  <c r="W4846" i="3"/>
  <c r="W4857" i="3"/>
  <c r="W4809" i="3"/>
  <c r="W4811" i="3"/>
  <c r="W4808" i="3"/>
  <c r="W4845" i="3"/>
  <c r="W4805" i="3"/>
  <c r="W4815" i="3"/>
  <c r="W4817" i="3"/>
  <c r="W4851" i="3"/>
  <c r="W4856" i="3"/>
  <c r="W4810" i="3"/>
  <c r="W4858" i="3"/>
  <c r="W4812" i="3"/>
  <c r="W4848" i="3"/>
  <c r="W4855" i="3"/>
  <c r="W4813" i="3"/>
  <c r="W4818" i="3"/>
  <c r="W4854" i="3"/>
  <c r="K1704" i="3" l="1"/>
  <c r="O1704" i="3" s="1"/>
  <c r="X163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92" i="3"/>
  <c r="X1493" i="3"/>
  <c r="X1494" i="3"/>
  <c r="X1495" i="3"/>
  <c r="X1496" i="3"/>
  <c r="X1497" i="3"/>
  <c r="X1498" i="3"/>
  <c r="X1499" i="3"/>
  <c r="X1500" i="3"/>
  <c r="X1501" i="3"/>
  <c r="K1497" i="3"/>
  <c r="R1497" i="3" s="1"/>
  <c r="K1495" i="3"/>
  <c r="R1495" i="3" s="1"/>
  <c r="K1467" i="3"/>
  <c r="R1467" i="3" s="1"/>
  <c r="K1445" i="3"/>
  <c r="R1445" i="3" s="1"/>
  <c r="K1429" i="3"/>
  <c r="R1429" i="3" s="1"/>
  <c r="K1397" i="3"/>
  <c r="R1397" i="3" s="1"/>
  <c r="X1425" i="3"/>
  <c r="X1426" i="3"/>
  <c r="X1427" i="3"/>
  <c r="X1428" i="3"/>
  <c r="X1429" i="3"/>
  <c r="X1430" i="3"/>
  <c r="X1431" i="3"/>
  <c r="X1432" i="3"/>
  <c r="X1433" i="3"/>
  <c r="X1394" i="3"/>
  <c r="X1395" i="3"/>
  <c r="X1396" i="3"/>
  <c r="X1397" i="3"/>
  <c r="X1398" i="3"/>
  <c r="X1399" i="3"/>
  <c r="X1400" i="3"/>
  <c r="L1379" i="3"/>
  <c r="K1379" i="3"/>
  <c r="K1357" i="3"/>
  <c r="R1357" i="3" s="1"/>
  <c r="X1374" i="3"/>
  <c r="X1375" i="3"/>
  <c r="X1376" i="3"/>
  <c r="X1377" i="3"/>
  <c r="X1378" i="3"/>
  <c r="X1379" i="3"/>
  <c r="X1380" i="3"/>
  <c r="X1381" i="3"/>
  <c r="X1382" i="3"/>
  <c r="X1383" i="3"/>
  <c r="X1355" i="3"/>
  <c r="X1356" i="3"/>
  <c r="X1357" i="3"/>
  <c r="X1358" i="3"/>
  <c r="X1359" i="3"/>
  <c r="X1360" i="3"/>
  <c r="X1361" i="3"/>
  <c r="X1362" i="3"/>
  <c r="X1363" i="3"/>
  <c r="X1364" i="3"/>
  <c r="X1365" i="3"/>
  <c r="X1366" i="3"/>
  <c r="X1367" i="3"/>
  <c r="M1338" i="3"/>
  <c r="R1338" i="3" s="1"/>
  <c r="X1334" i="3"/>
  <c r="X1335" i="3"/>
  <c r="X1336" i="3"/>
  <c r="X1337" i="3"/>
  <c r="X1338" i="3"/>
  <c r="X1339" i="3"/>
  <c r="X1340" i="3"/>
  <c r="X1341" i="3"/>
  <c r="X1342" i="3"/>
  <c r="X1343" i="3"/>
  <c r="X1344" i="3"/>
  <c r="X1345" i="3"/>
  <c r="X1346" i="3"/>
  <c r="N1270" i="3"/>
  <c r="M1270" i="3"/>
  <c r="K1270" i="3"/>
  <c r="L1270" i="3" s="1"/>
  <c r="N1269" i="3"/>
  <c r="M1269" i="3"/>
  <c r="K1269" i="3"/>
  <c r="N1266" i="3"/>
  <c r="K1266" i="3"/>
  <c r="X1259" i="3"/>
  <c r="X1260" i="3"/>
  <c r="X1261" i="3"/>
  <c r="X1262" i="3"/>
  <c r="X1263" i="3"/>
  <c r="X1264" i="3"/>
  <c r="X1265" i="3"/>
  <c r="X1266" i="3"/>
  <c r="X1267" i="3"/>
  <c r="X1268" i="3"/>
  <c r="X1269" i="3"/>
  <c r="X1270" i="3"/>
  <c r="X1271" i="3"/>
  <c r="M1170" i="3"/>
  <c r="K1170" i="3"/>
  <c r="N1170" i="3" s="1"/>
  <c r="M1169" i="3"/>
  <c r="K1169" i="3"/>
  <c r="N1169" i="3" s="1"/>
  <c r="K1168" i="3"/>
  <c r="N1168" i="3" s="1"/>
  <c r="R1168" i="3" s="1"/>
  <c r="K1167" i="3"/>
  <c r="N1167" i="3" s="1"/>
  <c r="R1167" i="3" s="1"/>
  <c r="K1166" i="3"/>
  <c r="N1166" i="3" s="1"/>
  <c r="R1166" i="3" s="1"/>
  <c r="K1165" i="3"/>
  <c r="N1165" i="3" s="1"/>
  <c r="R1165" i="3" s="1"/>
  <c r="M1162" i="3"/>
  <c r="K1162" i="3"/>
  <c r="N1162" i="3" s="1"/>
  <c r="R1162" i="3" s="1"/>
  <c r="N1161" i="3"/>
  <c r="K1161" i="3"/>
  <c r="O1161" i="3" s="1"/>
  <c r="P1161" i="3" s="1"/>
  <c r="K1160" i="3"/>
  <c r="N1160" i="3" s="1"/>
  <c r="R1160" i="3" s="1"/>
  <c r="K1159" i="3"/>
  <c r="N1159" i="3" s="1"/>
  <c r="R1159" i="3" s="1"/>
  <c r="K1158" i="3"/>
  <c r="N1158" i="3" s="1"/>
  <c r="R1158" i="3" s="1"/>
  <c r="N1157" i="3"/>
  <c r="K1157" i="3"/>
  <c r="O1157" i="3" s="1"/>
  <c r="P1157" i="3" s="1"/>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K938" i="3"/>
  <c r="O938" i="3" s="1"/>
  <c r="R938" i="3" s="1"/>
  <c r="K937" i="3"/>
  <c r="J937" i="3" s="1"/>
  <c r="O937" i="3" s="1"/>
  <c r="R937" i="3" s="1"/>
  <c r="K936" i="3"/>
  <c r="O936" i="3" s="1"/>
  <c r="R936" i="3" s="1"/>
  <c r="K935" i="3"/>
  <c r="O935" i="3" s="1"/>
  <c r="R935" i="3" s="1"/>
  <c r="K934" i="3"/>
  <c r="O934" i="3" s="1"/>
  <c r="R934" i="3" s="1"/>
  <c r="K933" i="3"/>
  <c r="O933" i="3" s="1"/>
  <c r="R933" i="3" s="1"/>
  <c r="K932" i="3"/>
  <c r="O932" i="3" s="1"/>
  <c r="R932" i="3" s="1"/>
  <c r="K931" i="3"/>
  <c r="O931" i="3" s="1"/>
  <c r="R931" i="3" s="1"/>
  <c r="N930" i="3"/>
  <c r="K930" i="3"/>
  <c r="J930" i="3" s="1"/>
  <c r="K929" i="3"/>
  <c r="O929" i="3" s="1"/>
  <c r="R929" i="3" s="1"/>
  <c r="K928" i="3"/>
  <c r="O928" i="3" s="1"/>
  <c r="R928" i="3" s="1"/>
  <c r="K927" i="3"/>
  <c r="J927" i="3" s="1"/>
  <c r="O927" i="3" s="1"/>
  <c r="R927" i="3" s="1"/>
  <c r="K926" i="3"/>
  <c r="O926" i="3" s="1"/>
  <c r="R926" i="3" s="1"/>
  <c r="K923" i="3"/>
  <c r="O923" i="3" s="1"/>
  <c r="R923" i="3" s="1"/>
  <c r="K922" i="3"/>
  <c r="O922" i="3" s="1"/>
  <c r="R922" i="3" s="1"/>
  <c r="K921" i="3"/>
  <c r="O921" i="3" s="1"/>
  <c r="R921" i="3" s="1"/>
  <c r="K920" i="3"/>
  <c r="O920" i="3" s="1"/>
  <c r="R920" i="3" s="1"/>
  <c r="N919" i="3"/>
  <c r="K919" i="3"/>
  <c r="J919" i="3" s="1"/>
  <c r="K918" i="3"/>
  <c r="O918" i="3" s="1"/>
  <c r="R918" i="3" s="1"/>
  <c r="K917" i="3"/>
  <c r="O917" i="3" s="1"/>
  <c r="R917" i="3" s="1"/>
  <c r="K916" i="3"/>
  <c r="J916" i="3" s="1"/>
  <c r="O916" i="3" s="1"/>
  <c r="R916" i="3" s="1"/>
  <c r="K915" i="3"/>
  <c r="O915" i="3" s="1"/>
  <c r="R915" i="3" s="1"/>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11" i="3"/>
  <c r="X912" i="3"/>
  <c r="X913" i="3"/>
  <c r="X914" i="3"/>
  <c r="X915" i="3"/>
  <c r="X941" i="3"/>
  <c r="X942" i="3"/>
  <c r="X943" i="3"/>
  <c r="X944" i="3"/>
  <c r="X945" i="3"/>
  <c r="X946" i="3"/>
  <c r="K581" i="3"/>
  <c r="K580"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40" i="3"/>
  <c r="X541" i="3"/>
  <c r="X542" i="3"/>
  <c r="X543" i="3"/>
  <c r="X544" i="3"/>
  <c r="X545" i="3"/>
  <c r="X546" i="3"/>
  <c r="X547" i="3"/>
  <c r="X548" i="3"/>
  <c r="X549" i="3"/>
  <c r="X550" i="3"/>
  <c r="X551" i="3"/>
  <c r="X552" i="3"/>
  <c r="X553" i="3"/>
  <c r="X554" i="3"/>
  <c r="N548" i="3"/>
  <c r="K548" i="3"/>
  <c r="R548" i="3" s="1"/>
  <c r="N547" i="3"/>
  <c r="K547" i="3"/>
  <c r="N546" i="3"/>
  <c r="K546" i="3"/>
  <c r="N545" i="3"/>
  <c r="K545" i="3"/>
  <c r="N544" i="3"/>
  <c r="K544" i="3"/>
  <c r="N543" i="3"/>
  <c r="K543" i="3"/>
  <c r="N540" i="3"/>
  <c r="K540" i="3"/>
  <c r="N539" i="3"/>
  <c r="K539" i="3"/>
  <c r="N538" i="3"/>
  <c r="K538" i="3"/>
  <c r="R538" i="3" s="1"/>
  <c r="N537" i="3"/>
  <c r="K537" i="3"/>
  <c r="X534" i="3"/>
  <c r="X535" i="3"/>
  <c r="X536" i="3"/>
  <c r="X537" i="3"/>
  <c r="X538" i="3"/>
  <c r="X539" i="3"/>
  <c r="J346" i="3"/>
  <c r="J283"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J212" i="3"/>
  <c r="J211" i="3"/>
  <c r="J210" i="3"/>
  <c r="J209" i="3"/>
  <c r="J208" i="3"/>
  <c r="J207" i="3"/>
  <c r="J206" i="3"/>
  <c r="J205" i="3"/>
  <c r="J152" i="3"/>
  <c r="R61" i="3"/>
  <c r="R62" i="3"/>
  <c r="R63" i="3"/>
  <c r="R64" i="3"/>
  <c r="R60" i="3"/>
  <c r="R67" i="3"/>
  <c r="R66" i="3"/>
  <c r="R65" i="3"/>
  <c r="X64" i="3"/>
  <c r="X65" i="3"/>
  <c r="X66" i="3"/>
  <c r="X67" i="3"/>
  <c r="X68" i="3"/>
  <c r="X69" i="3"/>
  <c r="X70" i="3"/>
  <c r="X71" i="3"/>
  <c r="W942" i="3"/>
  <c r="W1358" i="3"/>
  <c r="W542" i="3"/>
  <c r="W1173" i="3"/>
  <c r="W1380" i="3"/>
  <c r="W1468" i="3"/>
  <c r="W68" i="3"/>
  <c r="W65" i="3"/>
  <c r="W1359" i="3"/>
  <c r="W1164" i="3"/>
  <c r="W925" i="3"/>
  <c r="W1430" i="3"/>
  <c r="W66" i="3"/>
  <c r="W1382" i="3"/>
  <c r="W159" i="3"/>
  <c r="W1172" i="3"/>
  <c r="W939" i="3"/>
  <c r="W1171" i="3"/>
  <c r="W1497" i="3"/>
  <c r="W1383" i="3"/>
  <c r="W1163" i="3"/>
  <c r="W1267" i="3"/>
  <c r="W535" i="3"/>
  <c r="W1265" i="3"/>
  <c r="W1339" i="3"/>
  <c r="W1431" i="3"/>
  <c r="W1381" i="3"/>
  <c r="W914" i="3"/>
  <c r="W940" i="3"/>
  <c r="W70" i="3"/>
  <c r="W536" i="3"/>
  <c r="W924" i="3"/>
  <c r="W1343" i="3"/>
  <c r="W1271" i="3"/>
  <c r="W1261" i="3"/>
  <c r="W1341" i="3"/>
  <c r="W214" i="3"/>
  <c r="W69" i="3"/>
  <c r="W1342" i="3"/>
  <c r="W1264" i="3"/>
  <c r="W549" i="3"/>
  <c r="W583" i="3"/>
  <c r="W550" i="3"/>
  <c r="W1446" i="3"/>
  <c r="W1398" i="3"/>
  <c r="W1268" i="3"/>
  <c r="W1260" i="3"/>
  <c r="W1155" i="3"/>
  <c r="W913" i="3"/>
  <c r="W541" i="3"/>
  <c r="W582" i="3"/>
  <c r="W1496" i="3"/>
  <c r="W67" i="3"/>
  <c r="W213" i="3"/>
  <c r="W1156" i="3"/>
  <c r="W551" i="3"/>
  <c r="W1340" i="3"/>
  <c r="W943" i="3"/>
  <c r="W941" i="3"/>
  <c r="R1169" i="3" l="1"/>
  <c r="R540" i="3"/>
  <c r="R1170" i="3"/>
  <c r="R1379" i="3"/>
  <c r="R543" i="3"/>
  <c r="R539" i="3"/>
  <c r="R1704" i="3"/>
  <c r="R545" i="3"/>
  <c r="R544" i="3"/>
  <c r="R546" i="3"/>
  <c r="R547" i="3"/>
  <c r="N1704" i="3"/>
  <c r="L1266" i="3"/>
  <c r="O1270" i="3"/>
  <c r="L1269" i="3"/>
  <c r="O919" i="3"/>
  <c r="R919" i="3" s="1"/>
  <c r="L581" i="3"/>
  <c r="R1161" i="3"/>
  <c r="R1157" i="3"/>
  <c r="O930" i="3"/>
  <c r="R930" i="3" s="1"/>
  <c r="R537" i="3"/>
  <c r="L580" i="3" s="1"/>
  <c r="O1266" i="3" l="1"/>
  <c r="R1270" i="3"/>
  <c r="O1269" i="3"/>
  <c r="R581" i="3"/>
  <c r="R580" i="3"/>
  <c r="W580" i="3"/>
  <c r="W581" i="3"/>
  <c r="R1269" i="3" l="1"/>
  <c r="R1266" i="3"/>
  <c r="X5012" i="3" l="1"/>
  <c r="X5011" i="3"/>
  <c r="X5010" i="3"/>
  <c r="R5010" i="3"/>
  <c r="X5009" i="3"/>
  <c r="R5009" i="3"/>
  <c r="L5009" i="3"/>
  <c r="S5010" i="3" s="1"/>
  <c r="J5009" i="3"/>
  <c r="X5008" i="3"/>
  <c r="X5007" i="3"/>
  <c r="X5006" i="3"/>
  <c r="X5005" i="3"/>
  <c r="X5004" i="3"/>
  <c r="C5004" i="3"/>
  <c r="X5003" i="3"/>
  <c r="R5001" i="3"/>
  <c r="R5000" i="3"/>
  <c r="L5000" i="3"/>
  <c r="S5002" i="3" s="1"/>
  <c r="J5000" i="3"/>
  <c r="X4974" i="3"/>
  <c r="C4974" i="3"/>
  <c r="X4973" i="3"/>
  <c r="X4972" i="3"/>
  <c r="X4971" i="3"/>
  <c r="R4971" i="3"/>
  <c r="X4970" i="3"/>
  <c r="R4970" i="3"/>
  <c r="L4970" i="3"/>
  <c r="S4972" i="3" s="1"/>
  <c r="J4970" i="3"/>
  <c r="X4969" i="3"/>
  <c r="X4968" i="3"/>
  <c r="X4967" i="3"/>
  <c r="X4966" i="3"/>
  <c r="X4965" i="3"/>
  <c r="C4965" i="3"/>
  <c r="X4964" i="3"/>
  <c r="X4963" i="3"/>
  <c r="X4962" i="3"/>
  <c r="R4962" i="3"/>
  <c r="X4961" i="3"/>
  <c r="R4961" i="3"/>
  <c r="L4961" i="3"/>
  <c r="S4963" i="3" s="1"/>
  <c r="J4961" i="3"/>
  <c r="X4960" i="3"/>
  <c r="X4959" i="3"/>
  <c r="X4958" i="3"/>
  <c r="X4957" i="3"/>
  <c r="X4956" i="3"/>
  <c r="C4956" i="3"/>
  <c r="X4955" i="3"/>
  <c r="X4954" i="3"/>
  <c r="X4953" i="3"/>
  <c r="R4953" i="3"/>
  <c r="X4952" i="3"/>
  <c r="R4952" i="3"/>
  <c r="L4952" i="3"/>
  <c r="S4954" i="3" s="1"/>
  <c r="J4952" i="3"/>
  <c r="X4951" i="3"/>
  <c r="X4950" i="3"/>
  <c r="X4949" i="3"/>
  <c r="X4948" i="3"/>
  <c r="X4947" i="3"/>
  <c r="C4947" i="3"/>
  <c r="X4946" i="3"/>
  <c r="X4945" i="3"/>
  <c r="X4944" i="3"/>
  <c r="R4944" i="3"/>
  <c r="R4943" i="3"/>
  <c r="L4943" i="3"/>
  <c r="S4944" i="3" s="1"/>
  <c r="J4943" i="3"/>
  <c r="X4929" i="3"/>
  <c r="X4928" i="3"/>
  <c r="C4928" i="3"/>
  <c r="G297" i="2"/>
  <c r="G298" i="2"/>
  <c r="P298" i="2" s="1"/>
  <c r="P317" i="2" s="1"/>
  <c r="P311" i="2"/>
  <c r="P312" i="2"/>
  <c r="P313" i="2"/>
  <c r="P314" i="2"/>
  <c r="P315" i="2"/>
  <c r="P316" i="2"/>
  <c r="P308" i="2"/>
  <c r="P307" i="2"/>
  <c r="P306" i="2"/>
  <c r="P305" i="2"/>
  <c r="P304" i="2"/>
  <c r="P303" i="2"/>
  <c r="P302" i="2"/>
  <c r="P301" i="2"/>
  <c r="P294" i="2"/>
  <c r="P293" i="2"/>
  <c r="P292" i="2"/>
  <c r="P291" i="2"/>
  <c r="P290" i="2"/>
  <c r="P289" i="2"/>
  <c r="P281" i="2"/>
  <c r="P282" i="2"/>
  <c r="P283" i="2"/>
  <c r="P284" i="2"/>
  <c r="P285" i="2"/>
  <c r="P286" i="2"/>
  <c r="P287" i="2"/>
  <c r="P288" i="2"/>
  <c r="P295" i="2"/>
  <c r="P296" i="2"/>
  <c r="P297" i="2"/>
  <c r="P299" i="2"/>
  <c r="P300" i="2"/>
  <c r="P309" i="2"/>
  <c r="P310" i="2"/>
  <c r="W4967" i="3"/>
  <c r="W4949" i="3"/>
  <c r="W4955" i="3"/>
  <c r="W4966" i="3"/>
  <c r="W4974" i="3"/>
  <c r="W4956" i="3"/>
  <c r="W4959" i="3"/>
  <c r="W4965" i="3"/>
  <c r="W5006" i="3"/>
  <c r="W4968" i="3"/>
  <c r="W5007" i="3"/>
  <c r="W5008" i="3"/>
  <c r="W5012" i="3"/>
  <c r="W4969" i="3"/>
  <c r="W4946" i="3"/>
  <c r="W5003" i="3"/>
  <c r="W4960" i="3"/>
  <c r="W4957" i="3"/>
  <c r="W4948" i="3"/>
  <c r="W4950" i="3"/>
  <c r="W4928" i="3"/>
  <c r="W4929" i="3"/>
  <c r="W4964" i="3"/>
  <c r="W4958" i="3"/>
  <c r="W5005" i="3"/>
  <c r="W4951" i="3"/>
  <c r="W4973" i="3"/>
  <c r="W5004" i="3"/>
  <c r="W4947" i="3"/>
  <c r="J4971" i="3" l="1"/>
  <c r="J5001" i="3"/>
  <c r="J5010" i="3"/>
  <c r="R5002" i="3"/>
  <c r="V5002" i="3" s="1"/>
  <c r="R5011" i="3"/>
  <c r="J316" i="2" s="1"/>
  <c r="S5011" i="3"/>
  <c r="S5009" i="3"/>
  <c r="S5000" i="3"/>
  <c r="S5001" i="3"/>
  <c r="R4972" i="3"/>
  <c r="J314" i="2" s="1"/>
  <c r="S4970" i="3"/>
  <c r="S4971" i="3"/>
  <c r="R4963" i="3"/>
  <c r="J313" i="2" s="1"/>
  <c r="S4961" i="3"/>
  <c r="S4962" i="3"/>
  <c r="J4962" i="3"/>
  <c r="R4954" i="3"/>
  <c r="S4952" i="3"/>
  <c r="S4953" i="3"/>
  <c r="J4953" i="3"/>
  <c r="R4945" i="3"/>
  <c r="J4944" i="3"/>
  <c r="S4945" i="3"/>
  <c r="S4943" i="3"/>
  <c r="P17" i="2"/>
  <c r="I311" i="2"/>
  <c r="I312" i="2"/>
  <c r="I313" i="2"/>
  <c r="I314" i="2"/>
  <c r="I315" i="2"/>
  <c r="I316" i="2"/>
  <c r="G311" i="2"/>
  <c r="G312" i="2"/>
  <c r="G313" i="2"/>
  <c r="G314" i="2"/>
  <c r="G315" i="2"/>
  <c r="G316" i="2"/>
  <c r="G72" i="2"/>
  <c r="W4952" i="3"/>
  <c r="W4953" i="3"/>
  <c r="W5001" i="3"/>
  <c r="W4962" i="3"/>
  <c r="W4945" i="3"/>
  <c r="W5009" i="3"/>
  <c r="W5010" i="3"/>
  <c r="W5011" i="3"/>
  <c r="W4963" i="3"/>
  <c r="W5000" i="3"/>
  <c r="W4971" i="3"/>
  <c r="W4954" i="3"/>
  <c r="W4970" i="3"/>
  <c r="W4944" i="3"/>
  <c r="W5002" i="3"/>
  <c r="W4943" i="3"/>
  <c r="W4961" i="3"/>
  <c r="W4972" i="3"/>
  <c r="L314" i="2" l="1"/>
  <c r="M314" i="2" s="1"/>
  <c r="N314" i="2" s="1"/>
  <c r="D308" i="1"/>
  <c r="G308" i="1" s="1"/>
  <c r="H308" i="1" s="1"/>
  <c r="L316" i="2"/>
  <c r="M316" i="2" s="1"/>
  <c r="N316" i="2" s="1"/>
  <c r="D310" i="1"/>
  <c r="G310" i="1" s="1"/>
  <c r="H310" i="1" s="1"/>
  <c r="L313" i="2"/>
  <c r="M313" i="2" s="1"/>
  <c r="N313" i="2" s="1"/>
  <c r="D307" i="1"/>
  <c r="G307" i="1" s="1"/>
  <c r="H307" i="1" s="1"/>
  <c r="V5001" i="3"/>
  <c r="V5000" i="3" s="1"/>
  <c r="V4999" i="3" s="1"/>
  <c r="V4998" i="3" s="1"/>
  <c r="V4997" i="3" s="1"/>
  <c r="V4996" i="3" s="1"/>
  <c r="V4995" i="3" s="1"/>
  <c r="V4994" i="3" s="1"/>
  <c r="V4993" i="3" s="1"/>
  <c r="V4992" i="3" s="1"/>
  <c r="V4991" i="3" s="1"/>
  <c r="V4990" i="3" s="1"/>
  <c r="V4989" i="3" s="1"/>
  <c r="J315" i="2"/>
  <c r="V4963" i="3"/>
  <c r="V4962" i="3" s="1"/>
  <c r="V4961" i="3" s="1"/>
  <c r="V4960" i="3" s="1"/>
  <c r="V4959" i="3" s="1"/>
  <c r="V4958" i="3" s="1"/>
  <c r="V4957" i="3" s="1"/>
  <c r="V4956" i="3" s="1"/>
  <c r="V4964" i="3" s="1"/>
  <c r="V4972" i="3"/>
  <c r="V4971" i="3" s="1"/>
  <c r="V4970" i="3" s="1"/>
  <c r="V4969" i="3" s="1"/>
  <c r="V4968" i="3" s="1"/>
  <c r="V4967" i="3" s="1"/>
  <c r="V4966" i="3" s="1"/>
  <c r="V4965" i="3" s="1"/>
  <c r="V4973" i="3" s="1"/>
  <c r="V4945" i="3"/>
  <c r="V4944" i="3" s="1"/>
  <c r="J311" i="2"/>
  <c r="L311" i="2" s="1"/>
  <c r="M311" i="2" s="1"/>
  <c r="V4954" i="3"/>
  <c r="V4953" i="3" s="1"/>
  <c r="V4952" i="3" s="1"/>
  <c r="V4951" i="3" s="1"/>
  <c r="V4950" i="3" s="1"/>
  <c r="V4949" i="3" s="1"/>
  <c r="V4948" i="3" s="1"/>
  <c r="V4947" i="3" s="1"/>
  <c r="V4955" i="3" s="1"/>
  <c r="J312" i="2"/>
  <c r="V5011" i="3"/>
  <c r="V5010" i="3" s="1"/>
  <c r="V5009" i="3" s="1"/>
  <c r="V5008" i="3" s="1"/>
  <c r="V5007" i="3" s="1"/>
  <c r="V5006" i="3" s="1"/>
  <c r="V5005" i="3" s="1"/>
  <c r="V5004" i="3" s="1"/>
  <c r="V5012" i="3" s="1"/>
  <c r="G317" i="2"/>
  <c r="K313" i="2" l="1"/>
  <c r="K314" i="2"/>
  <c r="K316" i="2"/>
  <c r="L315" i="2"/>
  <c r="M315" i="2" s="1"/>
  <c r="N315" i="2" s="1"/>
  <c r="D309" i="1"/>
  <c r="G309" i="1" s="1"/>
  <c r="H309" i="1" s="1"/>
  <c r="L312" i="2"/>
  <c r="M312" i="2" s="1"/>
  <c r="N312" i="2" s="1"/>
  <c r="D306" i="1"/>
  <c r="G306" i="1" s="1"/>
  <c r="H306" i="1" s="1"/>
  <c r="K315" i="2"/>
  <c r="V4943" i="3"/>
  <c r="N311" i="2"/>
  <c r="K311" i="2"/>
  <c r="K312" i="2"/>
  <c r="X2417" i="3"/>
  <c r="X2418" i="3"/>
  <c r="X2419" i="3"/>
  <c r="X2420" i="3"/>
  <c r="X2421" i="3"/>
  <c r="X2422" i="3"/>
  <c r="X2423" i="3"/>
  <c r="W2419" i="3"/>
  <c r="W2417" i="3"/>
  <c r="W2421" i="3"/>
  <c r="W2418" i="3"/>
  <c r="V4942" i="3" l="1"/>
  <c r="V4941" i="3" s="1"/>
  <c r="V4940" i="3" s="1"/>
  <c r="V4939" i="3" s="1"/>
  <c r="V4938" i="3" s="1"/>
  <c r="V4937" i="3" s="1"/>
  <c r="V4936" i="3" s="1"/>
  <c r="V4935" i="3" s="1"/>
  <c r="V4934" i="3" s="1"/>
  <c r="V4933" i="3" s="1"/>
  <c r="V4932" i="3" s="1"/>
  <c r="V4931" i="3" s="1"/>
  <c r="V4930" i="3" s="1"/>
  <c r="V4929" i="3" s="1"/>
  <c r="V4928" i="3" s="1"/>
  <c r="V4946" i="3" s="1"/>
  <c r="R4922" i="3"/>
  <c r="J4881" i="3"/>
  <c r="X4879" i="3"/>
  <c r="X4880" i="3"/>
  <c r="X4886" i="3"/>
  <c r="K4844" i="3"/>
  <c r="K4843" i="3"/>
  <c r="K4842" i="3"/>
  <c r="R4842" i="3" s="1"/>
  <c r="K4841" i="3"/>
  <c r="R4841" i="3" s="1"/>
  <c r="K4840" i="3"/>
  <c r="R4840" i="3" s="1"/>
  <c r="K4839" i="3"/>
  <c r="R4839" i="3" s="1"/>
  <c r="K4804" i="3"/>
  <c r="K4803" i="3"/>
  <c r="K4802" i="3"/>
  <c r="K4801" i="3"/>
  <c r="K4800" i="3"/>
  <c r="R4800" i="3" s="1"/>
  <c r="K4799" i="3"/>
  <c r="R4799" i="3" s="1"/>
  <c r="X4837" i="3"/>
  <c r="X4838" i="3"/>
  <c r="X4839" i="3"/>
  <c r="X4840" i="3"/>
  <c r="X4841" i="3"/>
  <c r="X4842" i="3"/>
  <c r="X4862" i="3"/>
  <c r="X4798" i="3"/>
  <c r="X4799" i="3"/>
  <c r="X4800" i="3"/>
  <c r="X4732" i="3"/>
  <c r="X4733" i="3"/>
  <c r="X4734" i="3"/>
  <c r="L4720" i="3"/>
  <c r="N4720" i="3" s="1"/>
  <c r="K4720" i="3"/>
  <c r="K4646" i="3"/>
  <c r="R4646" i="3" s="1"/>
  <c r="K4637" i="3"/>
  <c r="R4637" i="3" s="1"/>
  <c r="K4547" i="3"/>
  <c r="J4532" i="3"/>
  <c r="J4478" i="3"/>
  <c r="J4477" i="3"/>
  <c r="X4475" i="3"/>
  <c r="X4476" i="3"/>
  <c r="X4483" i="3"/>
  <c r="X4484" i="3"/>
  <c r="X4485" i="3"/>
  <c r="J4417" i="3"/>
  <c r="J4416" i="3"/>
  <c r="J4358" i="3"/>
  <c r="X4356" i="3"/>
  <c r="X4357" i="3"/>
  <c r="X4358" i="3"/>
  <c r="X4359" i="3"/>
  <c r="X4360" i="3"/>
  <c r="X4361" i="3"/>
  <c r="X4362" i="3"/>
  <c r="X4363" i="3"/>
  <c r="X4364" i="3"/>
  <c r="J4306" i="3"/>
  <c r="K4241" i="3"/>
  <c r="K4240" i="3"/>
  <c r="J4076" i="3"/>
  <c r="J4075" i="3"/>
  <c r="R4047" i="3"/>
  <c r="R4046" i="3"/>
  <c r="X4044" i="3"/>
  <c r="X4045" i="3"/>
  <c r="J3993" i="3"/>
  <c r="K3706" i="3"/>
  <c r="K3703" i="3"/>
  <c r="X3708" i="3"/>
  <c r="X3709" i="3"/>
  <c r="X3710" i="3"/>
  <c r="X3711" i="3"/>
  <c r="X3712" i="3"/>
  <c r="K2342" i="3"/>
  <c r="X2327" i="3"/>
  <c r="X2328" i="3"/>
  <c r="X2329" i="3"/>
  <c r="X2330" i="3"/>
  <c r="X2331" i="3"/>
  <c r="X2332" i="3"/>
  <c r="X2333" i="3"/>
  <c r="X2334" i="3"/>
  <c r="X2335" i="3"/>
  <c r="X2336" i="3"/>
  <c r="X2337" i="3"/>
  <c r="X2338" i="3"/>
  <c r="X2339" i="3"/>
  <c r="X2348" i="3"/>
  <c r="X2349" i="3"/>
  <c r="X2350" i="3"/>
  <c r="K2343" i="3"/>
  <c r="X2271" i="3"/>
  <c r="X2272" i="3"/>
  <c r="X2273" i="3"/>
  <c r="X2274" i="3"/>
  <c r="X2275" i="3"/>
  <c r="X2276" i="3"/>
  <c r="X2277" i="3"/>
  <c r="X2278" i="3"/>
  <c r="X2279" i="3"/>
  <c r="X2287" i="3"/>
  <c r="X2288" i="3"/>
  <c r="K2280" i="3"/>
  <c r="R2280" i="3" s="1"/>
  <c r="K2279" i="3"/>
  <c r="R2279" i="3" s="1"/>
  <c r="X2233" i="3"/>
  <c r="X2234" i="3"/>
  <c r="X2248" i="3"/>
  <c r="X2249" i="3"/>
  <c r="X2250" i="3"/>
  <c r="X2251" i="3"/>
  <c r="X2252" i="3"/>
  <c r="X2253" i="3"/>
  <c r="X2254" i="3"/>
  <c r="K2243" i="3"/>
  <c r="K2240" i="3"/>
  <c r="K1608" i="3"/>
  <c r="R1604" i="3"/>
  <c r="K1604" i="3"/>
  <c r="R1581" i="3"/>
  <c r="K1581" i="3"/>
  <c r="X1474" i="3"/>
  <c r="X1475" i="3"/>
  <c r="X1476" i="3"/>
  <c r="X1477" i="3"/>
  <c r="X1478" i="3"/>
  <c r="X1479" i="3"/>
  <c r="X1480" i="3"/>
  <c r="X1481" i="3"/>
  <c r="X1482" i="3"/>
  <c r="X1483" i="3"/>
  <c r="X1484" i="3"/>
  <c r="X1485" i="3"/>
  <c r="X1486" i="3"/>
  <c r="X1487" i="3"/>
  <c r="X1488" i="3"/>
  <c r="X1489" i="3"/>
  <c r="X1490" i="3"/>
  <c r="X1491" i="3"/>
  <c r="X1502" i="3"/>
  <c r="X1503" i="3"/>
  <c r="X1504" i="3"/>
  <c r="X1505" i="3"/>
  <c r="X1506" i="3"/>
  <c r="X1507" i="3"/>
  <c r="X1508" i="3"/>
  <c r="X1509" i="3"/>
  <c r="K1498" i="3"/>
  <c r="R1498" i="3" s="1"/>
  <c r="K1494" i="3"/>
  <c r="R1494" i="3" s="1"/>
  <c r="K1466" i="3"/>
  <c r="R1466" i="3" s="1"/>
  <c r="K1444" i="3"/>
  <c r="R1444" i="3" s="1"/>
  <c r="X1470" i="3"/>
  <c r="K1428" i="3"/>
  <c r="R1428" i="3" s="1"/>
  <c r="X1422" i="3"/>
  <c r="X1423" i="3"/>
  <c r="X1424" i="3"/>
  <c r="K1396" i="3"/>
  <c r="X1401" i="3"/>
  <c r="X1402" i="3"/>
  <c r="X1403" i="3"/>
  <c r="X1404" i="3"/>
  <c r="X1405" i="3"/>
  <c r="X1406" i="3"/>
  <c r="X1407" i="3"/>
  <c r="X1408" i="3"/>
  <c r="X1409" i="3"/>
  <c r="X1410" i="3"/>
  <c r="X1411" i="3"/>
  <c r="X1412" i="3"/>
  <c r="X1413" i="3"/>
  <c r="X1414" i="3"/>
  <c r="L1378" i="3"/>
  <c r="K1378" i="3"/>
  <c r="K1356" i="3"/>
  <c r="R1356" i="3" s="1"/>
  <c r="X1353" i="3"/>
  <c r="X1354" i="3"/>
  <c r="X1368" i="3"/>
  <c r="X1369" i="3"/>
  <c r="X1370" i="3"/>
  <c r="X1371" i="3"/>
  <c r="X1372" i="3"/>
  <c r="X1373" i="3"/>
  <c r="M1337" i="3"/>
  <c r="R1337" i="3" s="1"/>
  <c r="M1336" i="3"/>
  <c r="R1336" i="3" s="1"/>
  <c r="N1263" i="3"/>
  <c r="M1263" i="3"/>
  <c r="K1263" i="3"/>
  <c r="L1263" i="3" s="1"/>
  <c r="N1262" i="3"/>
  <c r="M1262" i="3"/>
  <c r="K1262" i="3"/>
  <c r="N1259" i="3"/>
  <c r="K1259" i="3"/>
  <c r="X1256" i="3"/>
  <c r="X1257" i="3"/>
  <c r="X1258" i="3"/>
  <c r="X1272" i="3"/>
  <c r="M1154" i="3"/>
  <c r="K1154" i="3"/>
  <c r="N1154" i="3" s="1"/>
  <c r="M1153" i="3"/>
  <c r="K1153" i="3"/>
  <c r="N1153" i="3" s="1"/>
  <c r="K1152" i="3"/>
  <c r="N1152" i="3" s="1"/>
  <c r="R1152" i="3" s="1"/>
  <c r="K1151" i="3"/>
  <c r="N1151" i="3" s="1"/>
  <c r="R1151" i="3" s="1"/>
  <c r="K1150" i="3"/>
  <c r="N1150" i="3" s="1"/>
  <c r="R1150" i="3" s="1"/>
  <c r="K1149" i="3"/>
  <c r="N1149" i="3" s="1"/>
  <c r="R1149" i="3" s="1"/>
  <c r="M1146" i="3"/>
  <c r="K1146" i="3"/>
  <c r="N1146" i="3" s="1"/>
  <c r="N1145" i="3"/>
  <c r="K1145" i="3"/>
  <c r="O1145" i="3" s="1"/>
  <c r="P1145" i="3" s="1"/>
  <c r="K1144" i="3"/>
  <c r="N1144" i="3" s="1"/>
  <c r="R1144" i="3" s="1"/>
  <c r="K1143" i="3"/>
  <c r="N1143" i="3" s="1"/>
  <c r="R1143" i="3" s="1"/>
  <c r="K1142" i="3"/>
  <c r="N1142" i="3" s="1"/>
  <c r="R1142" i="3" s="1"/>
  <c r="N1141" i="3"/>
  <c r="K1141" i="3"/>
  <c r="O1141" i="3" s="1"/>
  <c r="P1141" i="3" s="1"/>
  <c r="X1138" i="3"/>
  <c r="X1139" i="3"/>
  <c r="X1140" i="3"/>
  <c r="X1141" i="3"/>
  <c r="X1142" i="3"/>
  <c r="X1143" i="3"/>
  <c r="X1144" i="3"/>
  <c r="X1145" i="3"/>
  <c r="X1146" i="3"/>
  <c r="X1147" i="3"/>
  <c r="X1148" i="3"/>
  <c r="X1149" i="3"/>
  <c r="X1150" i="3"/>
  <c r="X896" i="3"/>
  <c r="X897" i="3"/>
  <c r="X898" i="3"/>
  <c r="X899" i="3"/>
  <c r="X900" i="3"/>
  <c r="X901" i="3"/>
  <c r="X902" i="3"/>
  <c r="X903" i="3"/>
  <c r="X904" i="3"/>
  <c r="X905" i="3"/>
  <c r="X906" i="3"/>
  <c r="X907" i="3"/>
  <c r="X908" i="3"/>
  <c r="X909" i="3"/>
  <c r="X910" i="3"/>
  <c r="K912" i="3"/>
  <c r="O912" i="3" s="1"/>
  <c r="R912" i="3" s="1"/>
  <c r="K911" i="3"/>
  <c r="J911" i="3" s="1"/>
  <c r="O911" i="3" s="1"/>
  <c r="R911" i="3" s="1"/>
  <c r="K910" i="3"/>
  <c r="O910" i="3" s="1"/>
  <c r="R910" i="3" s="1"/>
  <c r="K909" i="3"/>
  <c r="O909" i="3" s="1"/>
  <c r="R909" i="3" s="1"/>
  <c r="K908" i="3"/>
  <c r="O908" i="3" s="1"/>
  <c r="R908" i="3" s="1"/>
  <c r="K907" i="3"/>
  <c r="O907" i="3" s="1"/>
  <c r="R907" i="3" s="1"/>
  <c r="K906" i="3"/>
  <c r="O906" i="3" s="1"/>
  <c r="R906" i="3" s="1"/>
  <c r="K905" i="3"/>
  <c r="O905" i="3" s="1"/>
  <c r="R905" i="3" s="1"/>
  <c r="N904" i="3"/>
  <c r="K904" i="3"/>
  <c r="J904" i="3" s="1"/>
  <c r="K903" i="3"/>
  <c r="O903" i="3" s="1"/>
  <c r="R903" i="3" s="1"/>
  <c r="K902" i="3"/>
  <c r="O902" i="3" s="1"/>
  <c r="R902" i="3" s="1"/>
  <c r="K901" i="3"/>
  <c r="J901" i="3" s="1"/>
  <c r="O901" i="3" s="1"/>
  <c r="R901" i="3" s="1"/>
  <c r="K900" i="3"/>
  <c r="O900" i="3" s="1"/>
  <c r="R900" i="3" s="1"/>
  <c r="K897" i="3"/>
  <c r="O897" i="3" s="1"/>
  <c r="R897" i="3" s="1"/>
  <c r="K896" i="3"/>
  <c r="O896" i="3" s="1"/>
  <c r="R896" i="3" s="1"/>
  <c r="K895" i="3"/>
  <c r="O895" i="3" s="1"/>
  <c r="R895" i="3" s="1"/>
  <c r="K894" i="3"/>
  <c r="O894" i="3" s="1"/>
  <c r="R894" i="3" s="1"/>
  <c r="N893" i="3"/>
  <c r="K893" i="3"/>
  <c r="J893" i="3" s="1"/>
  <c r="K892" i="3"/>
  <c r="O892" i="3" s="1"/>
  <c r="R892" i="3" s="1"/>
  <c r="K891" i="3"/>
  <c r="O891" i="3" s="1"/>
  <c r="R891" i="3" s="1"/>
  <c r="K890" i="3"/>
  <c r="J890" i="3" s="1"/>
  <c r="O890" i="3" s="1"/>
  <c r="R890" i="3" s="1"/>
  <c r="K889" i="3"/>
  <c r="O889" i="3" s="1"/>
  <c r="R889" i="3" s="1"/>
  <c r="X891" i="3"/>
  <c r="X892" i="3"/>
  <c r="X893" i="3"/>
  <c r="X894" i="3"/>
  <c r="X895" i="3"/>
  <c r="X884" i="3"/>
  <c r="X885" i="3"/>
  <c r="X886" i="3"/>
  <c r="X887" i="3"/>
  <c r="X888" i="3"/>
  <c r="X889" i="3"/>
  <c r="X890" i="3"/>
  <c r="K579" i="3"/>
  <c r="K578" i="3"/>
  <c r="N534" i="3"/>
  <c r="K534" i="3"/>
  <c r="N533" i="3"/>
  <c r="K533" i="3"/>
  <c r="N532" i="3"/>
  <c r="K532" i="3"/>
  <c r="N531" i="3"/>
  <c r="K531" i="3"/>
  <c r="N530" i="3"/>
  <c r="K530" i="3"/>
  <c r="N529" i="3"/>
  <c r="K529" i="3"/>
  <c r="N526" i="3"/>
  <c r="K526" i="3"/>
  <c r="N525" i="3"/>
  <c r="K525" i="3"/>
  <c r="N524" i="3"/>
  <c r="K524" i="3"/>
  <c r="N523" i="3"/>
  <c r="K523" i="3"/>
  <c r="X520" i="3"/>
  <c r="X521" i="3"/>
  <c r="X522" i="3"/>
  <c r="X523" i="3"/>
  <c r="X524" i="3"/>
  <c r="X525" i="3"/>
  <c r="X526" i="3"/>
  <c r="X527" i="3"/>
  <c r="X528" i="3"/>
  <c r="X529" i="3"/>
  <c r="X530" i="3"/>
  <c r="X531" i="3"/>
  <c r="X532" i="3"/>
  <c r="X533" i="3"/>
  <c r="J345" i="3"/>
  <c r="J282" i="3"/>
  <c r="X281" i="3"/>
  <c r="X282" i="3"/>
  <c r="X283" i="3"/>
  <c r="X284" i="3"/>
  <c r="X285" i="3"/>
  <c r="J151" i="3"/>
  <c r="X151" i="3"/>
  <c r="X152" i="3"/>
  <c r="X153" i="3"/>
  <c r="X154" i="3"/>
  <c r="W1139" i="3"/>
  <c r="W899" i="3"/>
  <c r="W1581" i="3"/>
  <c r="W1474" i="3"/>
  <c r="W898" i="3"/>
  <c r="W4732" i="3"/>
  <c r="W4842" i="3"/>
  <c r="W4733" i="3"/>
  <c r="W4478" i="3"/>
  <c r="W522" i="3"/>
  <c r="W527" i="3"/>
  <c r="W1505" i="3"/>
  <c r="W1147" i="3"/>
  <c r="W3993" i="3"/>
  <c r="W1140" i="3"/>
  <c r="W528" i="3"/>
  <c r="W1148" i="3"/>
  <c r="W4417" i="3"/>
  <c r="W4800" i="3"/>
  <c r="W4840" i="3"/>
  <c r="W1258" i="3"/>
  <c r="W1506" i="3"/>
  <c r="W2327" i="3"/>
  <c r="W285" i="3"/>
  <c r="W4841" i="3"/>
  <c r="W888" i="3"/>
  <c r="W4076" i="3"/>
  <c r="W521" i="3"/>
  <c r="W284" i="3"/>
  <c r="W4881" i="3"/>
  <c r="W3709" i="3"/>
  <c r="W4075" i="3"/>
  <c r="W4047" i="3"/>
  <c r="W4416" i="3"/>
  <c r="W887" i="3"/>
  <c r="W4532" i="3"/>
  <c r="W4046" i="3"/>
  <c r="W4360" i="3"/>
  <c r="W2250" i="3"/>
  <c r="W2249" i="3"/>
  <c r="W4839" i="3"/>
  <c r="W3708" i="3"/>
  <c r="W4361" i="3"/>
  <c r="W4799" i="3"/>
  <c r="W1604" i="3"/>
  <c r="W2251" i="3"/>
  <c r="W4477" i="3"/>
  <c r="W153" i="3"/>
  <c r="W1257" i="3"/>
  <c r="R1146" i="3" l="1"/>
  <c r="R523" i="3"/>
  <c r="R1608" i="3"/>
  <c r="R4720" i="3"/>
  <c r="R4843" i="3"/>
  <c r="R4844" i="3"/>
  <c r="R4801" i="3"/>
  <c r="R4803" i="3"/>
  <c r="R4802" i="3"/>
  <c r="R4804" i="3"/>
  <c r="R4547" i="3"/>
  <c r="R4240" i="3"/>
  <c r="R4241" i="3"/>
  <c r="R3703" i="3"/>
  <c r="R3706" i="3"/>
  <c r="R2343" i="3"/>
  <c r="R2342" i="3"/>
  <c r="R2240" i="3"/>
  <c r="R2243" i="3"/>
  <c r="R1396" i="3"/>
  <c r="R534" i="3"/>
  <c r="R533" i="3"/>
  <c r="R530" i="3"/>
  <c r="R1378" i="3"/>
  <c r="R1154" i="3"/>
  <c r="R529" i="3"/>
  <c r="R524" i="3"/>
  <c r="R525" i="3"/>
  <c r="O904" i="3"/>
  <c r="R904" i="3" s="1"/>
  <c r="R531" i="3"/>
  <c r="R532" i="3"/>
  <c r="R1153" i="3"/>
  <c r="L1259" i="3"/>
  <c r="O1259" i="3" s="1"/>
  <c r="R1259" i="3" s="1"/>
  <c r="L1262" i="3"/>
  <c r="O1263" i="3"/>
  <c r="O893" i="3"/>
  <c r="R893" i="3" s="1"/>
  <c r="R526" i="3"/>
  <c r="R1141" i="3"/>
  <c r="R1145" i="3"/>
  <c r="W4844" i="3"/>
  <c r="W1608" i="3"/>
  <c r="W4720" i="3"/>
  <c r="W4801" i="3"/>
  <c r="W3703" i="3"/>
  <c r="W3706" i="3"/>
  <c r="W4241" i="3"/>
  <c r="W4802" i="3"/>
  <c r="W4547" i="3"/>
  <c r="W4240" i="3"/>
  <c r="W4843" i="3"/>
  <c r="W4804" i="3"/>
  <c r="W2342" i="3"/>
  <c r="W4803" i="3"/>
  <c r="W2343" i="3"/>
  <c r="L578" i="3" l="1"/>
  <c r="R578" i="3" s="1"/>
  <c r="L579" i="3"/>
  <c r="R579" i="3" s="1"/>
  <c r="R1263" i="3"/>
  <c r="O1262" i="3"/>
  <c r="R1262" i="3" l="1"/>
  <c r="X978" i="3" l="1"/>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M984" i="3"/>
  <c r="K984" i="3"/>
  <c r="N984" i="3" s="1"/>
  <c r="M983" i="3"/>
  <c r="K983" i="3"/>
  <c r="N983" i="3" s="1"/>
  <c r="R983" i="3" s="1"/>
  <c r="K982" i="3"/>
  <c r="N982" i="3" s="1"/>
  <c r="R982" i="3" s="1"/>
  <c r="K981" i="3"/>
  <c r="N981" i="3" s="1"/>
  <c r="R981" i="3" s="1"/>
  <c r="K980" i="3"/>
  <c r="N980" i="3" s="1"/>
  <c r="R980" i="3" s="1"/>
  <c r="K979" i="3"/>
  <c r="N979" i="3" s="1"/>
  <c r="R979" i="3" s="1"/>
  <c r="W1031" i="3"/>
  <c r="W1046" i="3"/>
  <c r="W1000" i="3"/>
  <c r="W1089" i="3"/>
  <c r="W992" i="3"/>
  <c r="W1082" i="3"/>
  <c r="W1075" i="3"/>
  <c r="W1001" i="3"/>
  <c r="W1017" i="3"/>
  <c r="W1132" i="3"/>
  <c r="W1009" i="3"/>
  <c r="W993" i="3"/>
  <c r="W1125" i="3"/>
  <c r="W1016" i="3"/>
  <c r="W1124" i="3"/>
  <c r="W1008" i="3"/>
  <c r="W1068" i="3"/>
  <c r="W1096" i="3"/>
  <c r="W978" i="3"/>
  <c r="W1110" i="3"/>
  <c r="W985" i="3"/>
  <c r="W1103" i="3"/>
  <c r="W1047" i="3"/>
  <c r="W1039" i="3"/>
  <c r="W1117" i="3"/>
  <c r="W1024" i="3"/>
  <c r="W1061" i="3"/>
  <c r="W1038" i="3"/>
  <c r="W1023" i="3"/>
  <c r="W1054" i="3"/>
  <c r="R984" i="3" l="1"/>
  <c r="J4880" i="3"/>
  <c r="L4719" i="3"/>
  <c r="N4719" i="3" s="1"/>
  <c r="K4719" i="3"/>
  <c r="K4645" i="3"/>
  <c r="K4636" i="3"/>
  <c r="R4582" i="3"/>
  <c r="K4582" i="3"/>
  <c r="R4581" i="3"/>
  <c r="K4581" i="3"/>
  <c r="R4580" i="3"/>
  <c r="K4580" i="3"/>
  <c r="R4577" i="3"/>
  <c r="K4577" i="3"/>
  <c r="K4546" i="3"/>
  <c r="J4531" i="3"/>
  <c r="X4531" i="3"/>
  <c r="J4476" i="3"/>
  <c r="J4475" i="3"/>
  <c r="J4415" i="3"/>
  <c r="J4414" i="3"/>
  <c r="J4357" i="3"/>
  <c r="J4305" i="3"/>
  <c r="K4239" i="3"/>
  <c r="K4238" i="3"/>
  <c r="R4238" i="3" s="1"/>
  <c r="R4200" i="3"/>
  <c r="R4199" i="3"/>
  <c r="R4198" i="3"/>
  <c r="K4147" i="3"/>
  <c r="K4146" i="3"/>
  <c r="R4145" i="3"/>
  <c r="R4045" i="3"/>
  <c r="J3992" i="3"/>
  <c r="K2278" i="3"/>
  <c r="R2278" i="3" s="1"/>
  <c r="K2277" i="3"/>
  <c r="R2277" i="3" s="1"/>
  <c r="K2244" i="3"/>
  <c r="K2239" i="3"/>
  <c r="X1981" i="3"/>
  <c r="X1982" i="3"/>
  <c r="X1983" i="3"/>
  <c r="X1984" i="3"/>
  <c r="K1677" i="3"/>
  <c r="K1609" i="3"/>
  <c r="W4145" i="3"/>
  <c r="W4200" i="3"/>
  <c r="W4531" i="3"/>
  <c r="W1983" i="3"/>
  <c r="W4880" i="3"/>
  <c r="W4476" i="3"/>
  <c r="W1982" i="3"/>
  <c r="W3992" i="3"/>
  <c r="W4045" i="3"/>
  <c r="W4415" i="3"/>
  <c r="W4198" i="3"/>
  <c r="W4475" i="3"/>
  <c r="W4199" i="3"/>
  <c r="W1984" i="3"/>
  <c r="R4146" i="3" l="1"/>
  <c r="R4147" i="3"/>
  <c r="R4546" i="3"/>
  <c r="R4636" i="3"/>
  <c r="R4645" i="3"/>
  <c r="R4239" i="3"/>
  <c r="R2244" i="3"/>
  <c r="R2239" i="3"/>
  <c r="R1609" i="3"/>
  <c r="R4719" i="3"/>
  <c r="R1603" i="3"/>
  <c r="K1603" i="3"/>
  <c r="R1580" i="3"/>
  <c r="K1580" i="3"/>
  <c r="W4719" i="3"/>
  <c r="W4147" i="3"/>
  <c r="W1603" i="3"/>
  <c r="W4239" i="3"/>
  <c r="W4146" i="3"/>
  <c r="W1580" i="3"/>
  <c r="W1609" i="3"/>
  <c r="W4546" i="3"/>
  <c r="K1504" i="3" l="1"/>
  <c r="R1504" i="3" s="1"/>
  <c r="K1493" i="3"/>
  <c r="K1465" i="3"/>
  <c r="R1465" i="3" s="1"/>
  <c r="K1443" i="3"/>
  <c r="R1443" i="3" s="1"/>
  <c r="K1427" i="3"/>
  <c r="R1427" i="3" s="1"/>
  <c r="K1395" i="3"/>
  <c r="K1355" i="3"/>
  <c r="R1355" i="3" s="1"/>
  <c r="L1377" i="3"/>
  <c r="K1377" i="3"/>
  <c r="R1377" i="3" s="1"/>
  <c r="R1395" i="3" l="1"/>
  <c r="R1493" i="3"/>
  <c r="M1335" i="3"/>
  <c r="R1335" i="3" s="1"/>
  <c r="M1334" i="3"/>
  <c r="R1334" i="3" s="1"/>
  <c r="N1256" i="3"/>
  <c r="M1256" i="3"/>
  <c r="K1256" i="3"/>
  <c r="N1255" i="3"/>
  <c r="M1255" i="3"/>
  <c r="K1255" i="3"/>
  <c r="N1252" i="3"/>
  <c r="K1252" i="3"/>
  <c r="X1251" i="3"/>
  <c r="X1252" i="3"/>
  <c r="X1253" i="3"/>
  <c r="X1254" i="3"/>
  <c r="X1255" i="3"/>
  <c r="M1138" i="3"/>
  <c r="K1138" i="3"/>
  <c r="N1137" i="3"/>
  <c r="K1137" i="3"/>
  <c r="K1136" i="3"/>
  <c r="K1135" i="3"/>
  <c r="K1134" i="3"/>
  <c r="N1133" i="3"/>
  <c r="K1133" i="3"/>
  <c r="M991" i="3"/>
  <c r="K991" i="3"/>
  <c r="M990" i="3"/>
  <c r="K990" i="3"/>
  <c r="K989" i="3"/>
  <c r="K988" i="3"/>
  <c r="K987" i="3"/>
  <c r="K986" i="3"/>
  <c r="K886" i="3"/>
  <c r="O886" i="3" s="1"/>
  <c r="R886" i="3" s="1"/>
  <c r="K885" i="3"/>
  <c r="J885" i="3" s="1"/>
  <c r="O885" i="3" s="1"/>
  <c r="R885" i="3" s="1"/>
  <c r="K884" i="3"/>
  <c r="K883" i="3"/>
  <c r="O883" i="3" s="1"/>
  <c r="R883" i="3" s="1"/>
  <c r="K882" i="3"/>
  <c r="O882" i="3" s="1"/>
  <c r="R882" i="3" s="1"/>
  <c r="K881" i="3"/>
  <c r="O881" i="3" s="1"/>
  <c r="R881" i="3" s="1"/>
  <c r="K880" i="3"/>
  <c r="O880" i="3" s="1"/>
  <c r="R880" i="3" s="1"/>
  <c r="K879" i="3"/>
  <c r="O879" i="3" s="1"/>
  <c r="R879" i="3" s="1"/>
  <c r="N878" i="3"/>
  <c r="K878" i="3"/>
  <c r="J878" i="3" s="1"/>
  <c r="K877" i="3"/>
  <c r="O877" i="3" s="1"/>
  <c r="R877" i="3" s="1"/>
  <c r="K876" i="3"/>
  <c r="O876" i="3" s="1"/>
  <c r="R876" i="3" s="1"/>
  <c r="K875" i="3"/>
  <c r="J875" i="3" s="1"/>
  <c r="O875" i="3" s="1"/>
  <c r="R875" i="3" s="1"/>
  <c r="K874" i="3"/>
  <c r="O874" i="3" s="1"/>
  <c r="R874" i="3" s="1"/>
  <c r="K871" i="3"/>
  <c r="O871" i="3" s="1"/>
  <c r="R871" i="3" s="1"/>
  <c r="K870" i="3"/>
  <c r="O870" i="3" s="1"/>
  <c r="R870" i="3" s="1"/>
  <c r="K869" i="3"/>
  <c r="O869" i="3" s="1"/>
  <c r="R869" i="3" s="1"/>
  <c r="K868" i="3"/>
  <c r="O868" i="3" s="1"/>
  <c r="R868" i="3" s="1"/>
  <c r="N867" i="3"/>
  <c r="K867" i="3"/>
  <c r="J867" i="3" s="1"/>
  <c r="K866" i="3"/>
  <c r="O866" i="3" s="1"/>
  <c r="R866" i="3" s="1"/>
  <c r="K865" i="3"/>
  <c r="O865" i="3" s="1"/>
  <c r="R865" i="3" s="1"/>
  <c r="K864" i="3"/>
  <c r="J864" i="3" s="1"/>
  <c r="O864" i="3" s="1"/>
  <c r="R864" i="3" s="1"/>
  <c r="K863" i="3"/>
  <c r="O863" i="3" s="1"/>
  <c r="R863" i="3" s="1"/>
  <c r="X861" i="3"/>
  <c r="X862" i="3"/>
  <c r="X863" i="3"/>
  <c r="X864" i="3"/>
  <c r="X865" i="3"/>
  <c r="X866" i="3"/>
  <c r="X867" i="3"/>
  <c r="X868" i="3"/>
  <c r="X869" i="3"/>
  <c r="X870" i="3"/>
  <c r="X871" i="3"/>
  <c r="X872" i="3"/>
  <c r="X873" i="3"/>
  <c r="X874" i="3"/>
  <c r="X875" i="3"/>
  <c r="X876" i="3"/>
  <c r="X877" i="3"/>
  <c r="X878" i="3"/>
  <c r="X879" i="3"/>
  <c r="X880" i="3"/>
  <c r="X881" i="3"/>
  <c r="X882" i="3"/>
  <c r="X883" i="3"/>
  <c r="K577" i="3"/>
  <c r="K576" i="3"/>
  <c r="N520" i="3"/>
  <c r="K520" i="3"/>
  <c r="N519" i="3"/>
  <c r="K519" i="3"/>
  <c r="N518" i="3"/>
  <c r="K518" i="3"/>
  <c r="N517" i="3"/>
  <c r="K517" i="3"/>
  <c r="N516" i="3"/>
  <c r="K516" i="3"/>
  <c r="N515" i="3"/>
  <c r="K515" i="3"/>
  <c r="N512" i="3"/>
  <c r="K512" i="3"/>
  <c r="R512" i="3" s="1"/>
  <c r="N511" i="3"/>
  <c r="K511" i="3"/>
  <c r="N510" i="3"/>
  <c r="K510" i="3"/>
  <c r="R510" i="3" s="1"/>
  <c r="N509" i="3"/>
  <c r="K509" i="3"/>
  <c r="R509" i="3" s="1"/>
  <c r="X507" i="3"/>
  <c r="X508" i="3"/>
  <c r="X509" i="3"/>
  <c r="X510" i="3"/>
  <c r="X511" i="3"/>
  <c r="X512" i="3"/>
  <c r="X513" i="3"/>
  <c r="X514" i="3"/>
  <c r="X515" i="3"/>
  <c r="X516" i="3"/>
  <c r="X517" i="3"/>
  <c r="X518" i="3"/>
  <c r="X519" i="3"/>
  <c r="J344" i="3"/>
  <c r="J281" i="3"/>
  <c r="W507" i="3"/>
  <c r="W861" i="3"/>
  <c r="W873" i="3"/>
  <c r="W862" i="3"/>
  <c r="W1251" i="3"/>
  <c r="W508" i="3"/>
  <c r="W513" i="3"/>
  <c r="W1254" i="3"/>
  <c r="W1253" i="3"/>
  <c r="W514" i="3"/>
  <c r="O884" i="3" l="1"/>
  <c r="N991" i="3"/>
  <c r="N1135" i="3"/>
  <c r="N1136" i="3"/>
  <c r="N1138" i="3"/>
  <c r="O1133" i="3"/>
  <c r="N1134" i="3"/>
  <c r="O1137" i="3"/>
  <c r="N986" i="3"/>
  <c r="N987" i="3"/>
  <c r="N988" i="3"/>
  <c r="N989" i="3"/>
  <c r="N990" i="3"/>
  <c r="R990" i="3" s="1"/>
  <c r="R517" i="3"/>
  <c r="R516" i="3"/>
  <c r="R515" i="3"/>
  <c r="L1252" i="3"/>
  <c r="L1255" i="3"/>
  <c r="L1256" i="3"/>
  <c r="O867" i="3"/>
  <c r="R867" i="3" s="1"/>
  <c r="O878" i="3"/>
  <c r="R878" i="3" s="1"/>
  <c r="R518" i="3"/>
  <c r="R520" i="3"/>
  <c r="R511" i="3"/>
  <c r="L576" i="3" s="1"/>
  <c r="R576" i="3" s="1"/>
  <c r="R519" i="3"/>
  <c r="R884" i="3" l="1"/>
  <c r="R989" i="3"/>
  <c r="R988" i="3"/>
  <c r="R987" i="3"/>
  <c r="R986" i="3"/>
  <c r="P1137" i="3"/>
  <c r="R1134" i="3"/>
  <c r="P1133" i="3"/>
  <c r="R1138" i="3"/>
  <c r="R1136" i="3"/>
  <c r="R1135" i="3"/>
  <c r="R991" i="3"/>
  <c r="O1256" i="3"/>
  <c r="O1255" i="3"/>
  <c r="O1252" i="3"/>
  <c r="L577" i="3"/>
  <c r="R577" i="3" s="1"/>
  <c r="R1133" i="3" l="1"/>
  <c r="R1137" i="3"/>
  <c r="R1252" i="3"/>
  <c r="R1255" i="3"/>
  <c r="R1256" i="3"/>
  <c r="J150" i="3"/>
  <c r="W835" i="3"/>
  <c r="X589" i="3" l="1"/>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588" i="3"/>
  <c r="W846" i="3"/>
  <c r="W784" i="3"/>
  <c r="W795" i="3"/>
  <c r="W810" i="3"/>
  <c r="W821" i="3"/>
  <c r="W640" i="3"/>
  <c r="W590" i="3"/>
  <c r="W724" i="3"/>
  <c r="W652" i="3"/>
  <c r="W836" i="3"/>
  <c r="W663" i="3"/>
  <c r="W641" i="3"/>
  <c r="W662" i="3"/>
  <c r="W605" i="3"/>
  <c r="W589" i="3"/>
  <c r="W757" i="3"/>
  <c r="W670" i="3"/>
  <c r="W746" i="3"/>
  <c r="W713" i="3"/>
  <c r="W809" i="3"/>
  <c r="W627" i="3"/>
  <c r="W637" i="3"/>
  <c r="W768" i="3"/>
  <c r="W638" i="3"/>
  <c r="W847" i="3"/>
  <c r="W681" i="3"/>
  <c r="W680" i="3"/>
  <c r="W626" i="3"/>
  <c r="W615" i="3"/>
  <c r="W714" i="3"/>
  <c r="W669" i="3"/>
  <c r="W725" i="3"/>
  <c r="W604" i="3"/>
  <c r="W747" i="3"/>
  <c r="W820" i="3"/>
  <c r="W735" i="3"/>
  <c r="W758" i="3"/>
  <c r="W769" i="3"/>
  <c r="W736" i="3"/>
  <c r="W691" i="3"/>
  <c r="W783" i="3"/>
  <c r="W651" i="3"/>
  <c r="W703" i="3"/>
  <c r="W692" i="3"/>
  <c r="W794" i="3"/>
  <c r="W616" i="3"/>
  <c r="W702" i="3"/>
  <c r="R4144" i="3" l="1"/>
  <c r="R4143" i="3"/>
  <c r="R4142" i="3"/>
  <c r="R4195" i="3"/>
  <c r="R4194" i="3"/>
  <c r="R4193" i="3"/>
  <c r="X2415" i="3"/>
  <c r="X2416" i="3"/>
  <c r="Y1780" i="3"/>
  <c r="R1674" i="3"/>
  <c r="R1673" i="3"/>
  <c r="R1672" i="3"/>
  <c r="J4879" i="3"/>
  <c r="K4838" i="3"/>
  <c r="K4837" i="3"/>
  <c r="K4836" i="3"/>
  <c r="R4836" i="3" s="1"/>
  <c r="K4835" i="3"/>
  <c r="R4835" i="3" s="1"/>
  <c r="K4834" i="3"/>
  <c r="R4834" i="3" s="1"/>
  <c r="K4833" i="3"/>
  <c r="R4833" i="3" s="1"/>
  <c r="X4834" i="3"/>
  <c r="X4835" i="3"/>
  <c r="X4836" i="3"/>
  <c r="K4798" i="3"/>
  <c r="K4797" i="3"/>
  <c r="R4797" i="3" s="1"/>
  <c r="K4796" i="3"/>
  <c r="R4796" i="3" s="1"/>
  <c r="K4795" i="3"/>
  <c r="R4795" i="3" s="1"/>
  <c r="K4794" i="3"/>
  <c r="R4794" i="3" s="1"/>
  <c r="X4794" i="3"/>
  <c r="X4795" i="3"/>
  <c r="X4796" i="3"/>
  <c r="X4797" i="3"/>
  <c r="L4718" i="3"/>
  <c r="N4718" i="3" s="1"/>
  <c r="K4718" i="3"/>
  <c r="K4635" i="3"/>
  <c r="K4644" i="3"/>
  <c r="R4576" i="3"/>
  <c r="K4576" i="3"/>
  <c r="K4545" i="3"/>
  <c r="R4545" i="3" s="1"/>
  <c r="J4530" i="3"/>
  <c r="X4530" i="3"/>
  <c r="J4474" i="3"/>
  <c r="J4473" i="3"/>
  <c r="X4473" i="3"/>
  <c r="X4474" i="3"/>
  <c r="J4413" i="3"/>
  <c r="J4412" i="3"/>
  <c r="X4412" i="3"/>
  <c r="X4413" i="3"/>
  <c r="X4414" i="3"/>
  <c r="J4356" i="3"/>
  <c r="J4304" i="3"/>
  <c r="K4237" i="3"/>
  <c r="R4237" i="3" s="1"/>
  <c r="K4236" i="3"/>
  <c r="R4236" i="3" s="1"/>
  <c r="X4236" i="3"/>
  <c r="X4237" i="3"/>
  <c r="X4238" i="3"/>
  <c r="R4044" i="3"/>
  <c r="R4043" i="3"/>
  <c r="X4043" i="3"/>
  <c r="J3991" i="3"/>
  <c r="K3938" i="3"/>
  <c r="R3938" i="3" s="1"/>
  <c r="K3937" i="3"/>
  <c r="R3937" i="3" s="1"/>
  <c r="K3936" i="3"/>
  <c r="R3936" i="3" s="1"/>
  <c r="K3935" i="3"/>
  <c r="R3935" i="3" s="1"/>
  <c r="K3934" i="3"/>
  <c r="R3934" i="3" s="1"/>
  <c r="K3933" i="3"/>
  <c r="R3933" i="3" s="1"/>
  <c r="K3932" i="3"/>
  <c r="R3932" i="3" s="1"/>
  <c r="L3931" i="3"/>
  <c r="K3931" i="3"/>
  <c r="R3931" i="3" s="1"/>
  <c r="K3930" i="3"/>
  <c r="R3930" i="3" s="1"/>
  <c r="K3888" i="3"/>
  <c r="R3888" i="3" s="1"/>
  <c r="X3888" i="3"/>
  <c r="X3889" i="3"/>
  <c r="X3890" i="3"/>
  <c r="K3858" i="3"/>
  <c r="N3858" i="3" s="1"/>
  <c r="R3858" i="3" s="1"/>
  <c r="K3827" i="3"/>
  <c r="N3827" i="3" s="1"/>
  <c r="R3827" i="3" s="1"/>
  <c r="K3826" i="3"/>
  <c r="N3826" i="3" s="1"/>
  <c r="R3826" i="3" s="1"/>
  <c r="X3827" i="3"/>
  <c r="X3828" i="3"/>
  <c r="X3829" i="3"/>
  <c r="K3707" i="3"/>
  <c r="K3702" i="3"/>
  <c r="K2341" i="3"/>
  <c r="K2276" i="3"/>
  <c r="R2276" i="3" s="1"/>
  <c r="K2275" i="3"/>
  <c r="R2275" i="3" s="1"/>
  <c r="K2245" i="3"/>
  <c r="R2245" i="3" s="1"/>
  <c r="K2238" i="3"/>
  <c r="K1610" i="3"/>
  <c r="R1602" i="3"/>
  <c r="K1602" i="3"/>
  <c r="R1579" i="3"/>
  <c r="K1579" i="3"/>
  <c r="K1503" i="3"/>
  <c r="R1503" i="3" s="1"/>
  <c r="K1492" i="3"/>
  <c r="X1389" i="3"/>
  <c r="X1390" i="3"/>
  <c r="X1391" i="3"/>
  <c r="X1392" i="3"/>
  <c r="X1393" i="3"/>
  <c r="K1464" i="3"/>
  <c r="R1464" i="3" s="1"/>
  <c r="K1442" i="3"/>
  <c r="R1442" i="3" s="1"/>
  <c r="K1426" i="3"/>
  <c r="R1426" i="3" s="1"/>
  <c r="K1394" i="3"/>
  <c r="R1394" i="3" s="1"/>
  <c r="L1376" i="3"/>
  <c r="K1376" i="3"/>
  <c r="K1354" i="3"/>
  <c r="R1354" i="3" s="1"/>
  <c r="M1333" i="3"/>
  <c r="R1333" i="3" s="1"/>
  <c r="M1332" i="3"/>
  <c r="R1332" i="3" s="1"/>
  <c r="M1331" i="3"/>
  <c r="R1331" i="3" s="1"/>
  <c r="X1331" i="3"/>
  <c r="X1332" i="3"/>
  <c r="X1333" i="3"/>
  <c r="N1249" i="3"/>
  <c r="M1249" i="3"/>
  <c r="K1249" i="3"/>
  <c r="N1248" i="3"/>
  <c r="M1248" i="3"/>
  <c r="K1248" i="3"/>
  <c r="N1245" i="3"/>
  <c r="K1245" i="3"/>
  <c r="X1243" i="3"/>
  <c r="X1244" i="3"/>
  <c r="X1245" i="3"/>
  <c r="X1246" i="3"/>
  <c r="X1247" i="3"/>
  <c r="X1248" i="3"/>
  <c r="X1249" i="3"/>
  <c r="X1250" i="3"/>
  <c r="M1131" i="3"/>
  <c r="K1131" i="3"/>
  <c r="N1130" i="3"/>
  <c r="K1130" i="3"/>
  <c r="K1129" i="3"/>
  <c r="K1128" i="3"/>
  <c r="K1127" i="3"/>
  <c r="N1126" i="3"/>
  <c r="K1126" i="3"/>
  <c r="K860" i="3"/>
  <c r="O860" i="3" s="1"/>
  <c r="R860" i="3" s="1"/>
  <c r="K859" i="3"/>
  <c r="J859" i="3" s="1"/>
  <c r="O859" i="3" s="1"/>
  <c r="R859" i="3" s="1"/>
  <c r="K858" i="3"/>
  <c r="O858" i="3" s="1"/>
  <c r="R858" i="3" s="1"/>
  <c r="K857" i="3"/>
  <c r="O857" i="3" s="1"/>
  <c r="R857" i="3" s="1"/>
  <c r="K856" i="3"/>
  <c r="O856" i="3" s="1"/>
  <c r="R856" i="3" s="1"/>
  <c r="K855" i="3"/>
  <c r="O855" i="3" s="1"/>
  <c r="R855" i="3" s="1"/>
  <c r="K854" i="3"/>
  <c r="O854" i="3" s="1"/>
  <c r="R854" i="3" s="1"/>
  <c r="K853" i="3"/>
  <c r="O853" i="3" s="1"/>
  <c r="R853" i="3" s="1"/>
  <c r="N852" i="3"/>
  <c r="K852" i="3"/>
  <c r="J852" i="3" s="1"/>
  <c r="K851" i="3"/>
  <c r="O851" i="3" s="1"/>
  <c r="R851" i="3" s="1"/>
  <c r="K850" i="3"/>
  <c r="O850" i="3" s="1"/>
  <c r="R850" i="3" s="1"/>
  <c r="K849" i="3"/>
  <c r="J849" i="3" s="1"/>
  <c r="O849" i="3" s="1"/>
  <c r="R849" i="3" s="1"/>
  <c r="K848" i="3"/>
  <c r="O848" i="3" s="1"/>
  <c r="R848" i="3" s="1"/>
  <c r="K845" i="3"/>
  <c r="O845" i="3" s="1"/>
  <c r="R845" i="3" s="1"/>
  <c r="K844" i="3"/>
  <c r="O844" i="3" s="1"/>
  <c r="R844" i="3" s="1"/>
  <c r="K843" i="3"/>
  <c r="O843" i="3" s="1"/>
  <c r="R843" i="3" s="1"/>
  <c r="K842" i="3"/>
  <c r="O842" i="3" s="1"/>
  <c r="R842" i="3" s="1"/>
  <c r="N841" i="3"/>
  <c r="K841" i="3"/>
  <c r="J841" i="3" s="1"/>
  <c r="K840" i="3"/>
  <c r="O840" i="3" s="1"/>
  <c r="R840" i="3" s="1"/>
  <c r="K839" i="3"/>
  <c r="O839" i="3" s="1"/>
  <c r="R839" i="3" s="1"/>
  <c r="K838" i="3"/>
  <c r="J838" i="3" s="1"/>
  <c r="O838" i="3" s="1"/>
  <c r="R838" i="3" s="1"/>
  <c r="K837" i="3"/>
  <c r="O837" i="3" s="1"/>
  <c r="R837" i="3" s="1"/>
  <c r="W3827" i="3"/>
  <c r="W4238" i="3"/>
  <c r="W4195" i="3"/>
  <c r="W1244" i="3"/>
  <c r="W4879" i="3"/>
  <c r="W4043" i="3"/>
  <c r="W4796" i="3"/>
  <c r="W2415" i="3"/>
  <c r="W3890" i="3"/>
  <c r="W4473" i="3"/>
  <c r="W4836" i="3"/>
  <c r="W1243" i="3"/>
  <c r="W1247" i="3"/>
  <c r="W1246" i="3"/>
  <c r="W4834" i="3"/>
  <c r="W4414" i="3"/>
  <c r="W3991" i="3"/>
  <c r="W4194" i="3"/>
  <c r="W4794" i="3"/>
  <c r="W4530" i="3"/>
  <c r="W1602" i="3"/>
  <c r="W2416" i="3"/>
  <c r="W1389" i="3"/>
  <c r="W4142" i="3"/>
  <c r="W4044" i="3"/>
  <c r="W1579" i="3"/>
  <c r="W4413" i="3"/>
  <c r="W4236" i="3"/>
  <c r="W4835" i="3"/>
  <c r="W4797" i="3"/>
  <c r="W4412" i="3"/>
  <c r="W4237" i="3"/>
  <c r="W3829" i="3"/>
  <c r="W4356" i="3"/>
  <c r="W4795" i="3"/>
  <c r="W4474" i="3"/>
  <c r="W4193" i="3"/>
  <c r="W4144" i="3"/>
  <c r="W4143" i="3"/>
  <c r="W1250" i="3"/>
  <c r="W3828" i="3"/>
  <c r="R4838" i="3" l="1"/>
  <c r="R4837" i="3"/>
  <c r="R4798" i="3"/>
  <c r="R4644" i="3"/>
  <c r="R4635" i="3"/>
  <c r="R3702" i="3"/>
  <c r="R3707" i="3"/>
  <c r="R2341" i="3"/>
  <c r="R2238" i="3"/>
  <c r="R1492" i="3"/>
  <c r="R1376" i="3"/>
  <c r="O1126" i="3"/>
  <c r="N1128" i="3"/>
  <c r="O1130" i="3"/>
  <c r="N1127" i="3"/>
  <c r="N1129" i="3"/>
  <c r="N1131" i="3"/>
  <c r="R1131" i="3" s="1"/>
  <c r="R1610" i="3"/>
  <c r="R4718" i="3"/>
  <c r="L1245" i="3"/>
  <c r="L1248" i="3"/>
  <c r="L1249" i="3"/>
  <c r="O841" i="3"/>
  <c r="O852" i="3"/>
  <c r="R852" i="3" s="1"/>
  <c r="W3702" i="3"/>
  <c r="W4837" i="3"/>
  <c r="W4718" i="3"/>
  <c r="W4838" i="3"/>
  <c r="W3707" i="3"/>
  <c r="W2341" i="3"/>
  <c r="W4798" i="3"/>
  <c r="W1610" i="3"/>
  <c r="R1129" i="3" l="1"/>
  <c r="R1127" i="3"/>
  <c r="P1130" i="3"/>
  <c r="R1128" i="3"/>
  <c r="P1126" i="3"/>
  <c r="O1249" i="3"/>
  <c r="O1248" i="3"/>
  <c r="O1245" i="3"/>
  <c r="R841" i="3"/>
  <c r="R1126" i="3" l="1"/>
  <c r="R1130" i="3"/>
  <c r="R1245" i="3"/>
  <c r="R1248" i="3"/>
  <c r="R1249" i="3"/>
  <c r="K575" i="3" l="1"/>
  <c r="K574" i="3"/>
  <c r="N506" i="3"/>
  <c r="K506" i="3"/>
  <c r="N505" i="3"/>
  <c r="K505" i="3"/>
  <c r="N504" i="3"/>
  <c r="K504" i="3"/>
  <c r="N503" i="3"/>
  <c r="K503" i="3"/>
  <c r="N502" i="3"/>
  <c r="K502" i="3"/>
  <c r="N501" i="3"/>
  <c r="K501" i="3"/>
  <c r="N498" i="3"/>
  <c r="K498" i="3"/>
  <c r="R498" i="3" s="1"/>
  <c r="N497" i="3"/>
  <c r="K497" i="3"/>
  <c r="N496" i="3"/>
  <c r="K496" i="3"/>
  <c r="N495" i="3"/>
  <c r="K495" i="3"/>
  <c r="X494" i="3"/>
  <c r="X495" i="3"/>
  <c r="X496" i="3"/>
  <c r="X497" i="3"/>
  <c r="X498" i="3"/>
  <c r="X499" i="3"/>
  <c r="X500" i="3"/>
  <c r="X501" i="3"/>
  <c r="X502" i="3"/>
  <c r="X503" i="3"/>
  <c r="X504" i="3"/>
  <c r="X505" i="3"/>
  <c r="X506" i="3"/>
  <c r="W499" i="3"/>
  <c r="W500" i="3"/>
  <c r="W494" i="3"/>
  <c r="R506" i="3" l="1"/>
  <c r="R505" i="3"/>
  <c r="R497" i="3"/>
  <c r="R495" i="3"/>
  <c r="R503" i="3"/>
  <c r="R501" i="3"/>
  <c r="R496" i="3"/>
  <c r="R502" i="3"/>
  <c r="R504" i="3"/>
  <c r="L574" i="3" l="1"/>
  <c r="R574" i="3" s="1"/>
  <c r="L575" i="3"/>
  <c r="R575" i="3" s="1"/>
  <c r="J343" i="3"/>
  <c r="J280" i="3"/>
  <c r="J149" i="3"/>
  <c r="X149" i="3"/>
  <c r="X150" i="3"/>
  <c r="GS14" i="8" l="1"/>
  <c r="GT14" i="8"/>
  <c r="GU14" i="8"/>
  <c r="GS17" i="8"/>
  <c r="GT17" i="8"/>
  <c r="GU17" i="8"/>
  <c r="GS26" i="8"/>
  <c r="GT26" i="8"/>
  <c r="GU26" i="8"/>
  <c r="GS29" i="8"/>
  <c r="GT29" i="8"/>
  <c r="GU29" i="8"/>
  <c r="GS39" i="8"/>
  <c r="GS40" i="8"/>
  <c r="FK35" i="8"/>
  <c r="FG35" i="8"/>
  <c r="R2869" i="3" l="1"/>
  <c r="K4716" i="3" l="1"/>
  <c r="R4716" i="3" s="1"/>
  <c r="X4716" i="3"/>
  <c r="X4717" i="3"/>
  <c r="W4716" i="3"/>
  <c r="X4569" i="3" l="1"/>
  <c r="X4570" i="3"/>
  <c r="R4569" i="3"/>
  <c r="K4569" i="3"/>
  <c r="R4575" i="3"/>
  <c r="K4575" i="3"/>
  <c r="W4569" i="3"/>
  <c r="R4190" i="3" l="1"/>
  <c r="R4189" i="3"/>
  <c r="R4188" i="3"/>
  <c r="R4141" i="3"/>
  <c r="R4140" i="3"/>
  <c r="R4139" i="3"/>
  <c r="W4190" i="3"/>
  <c r="W4189" i="3"/>
  <c r="W4188" i="3"/>
  <c r="W4141" i="3"/>
  <c r="W4140" i="3"/>
  <c r="W4139" i="3"/>
  <c r="K4643" i="3" l="1"/>
  <c r="K4634" i="3"/>
  <c r="R4634" i="3" l="1"/>
  <c r="R4643" i="3"/>
  <c r="J4878" i="3"/>
  <c r="X4878" i="3"/>
  <c r="K4832" i="3"/>
  <c r="R4832" i="3" s="1"/>
  <c r="K4831" i="3"/>
  <c r="R4831" i="3" s="1"/>
  <c r="K4830" i="3"/>
  <c r="R4830" i="3" s="1"/>
  <c r="K4829" i="3"/>
  <c r="R4829" i="3" s="1"/>
  <c r="X4828" i="3"/>
  <c r="X4829" i="3"/>
  <c r="X4830" i="3"/>
  <c r="X4831" i="3"/>
  <c r="X4832" i="3"/>
  <c r="X4833" i="3"/>
  <c r="K4793" i="3"/>
  <c r="R4793" i="3" s="1"/>
  <c r="K4792" i="3"/>
  <c r="R4792" i="3" s="1"/>
  <c r="K4791" i="3"/>
  <c r="R4791" i="3" s="1"/>
  <c r="K4790" i="3"/>
  <c r="R4790" i="3" s="1"/>
  <c r="K4789" i="3"/>
  <c r="R4789" i="3" s="1"/>
  <c r="X4788" i="3"/>
  <c r="X4789" i="3"/>
  <c r="X4790" i="3"/>
  <c r="X4791" i="3"/>
  <c r="X4792" i="3"/>
  <c r="X4793" i="3"/>
  <c r="L4717" i="3"/>
  <c r="N4717" i="3" s="1"/>
  <c r="K4717" i="3"/>
  <c r="K4544" i="3"/>
  <c r="R4544" i="3" s="1"/>
  <c r="X4544" i="3"/>
  <c r="X4545" i="3"/>
  <c r="J4529" i="3"/>
  <c r="J4472" i="3"/>
  <c r="J4471" i="3"/>
  <c r="J4411" i="3"/>
  <c r="J4410" i="3"/>
  <c r="X4410" i="3"/>
  <c r="X4411" i="3"/>
  <c r="J4355" i="3"/>
  <c r="X4355" i="3"/>
  <c r="J4303" i="3"/>
  <c r="K4235" i="3"/>
  <c r="R4235" i="3" s="1"/>
  <c r="K4234" i="3"/>
  <c r="R4234" i="3" s="1"/>
  <c r="X4234" i="3"/>
  <c r="X4235" i="3"/>
  <c r="R4042" i="3"/>
  <c r="J3990" i="3"/>
  <c r="K2340" i="3"/>
  <c r="W4791" i="3"/>
  <c r="W4411" i="3"/>
  <c r="W4789" i="3"/>
  <c r="W4832" i="3"/>
  <c r="W4793" i="3"/>
  <c r="W4235" i="3"/>
  <c r="W4790" i="3"/>
  <c r="W4828" i="3"/>
  <c r="W4831" i="3"/>
  <c r="W4833" i="3"/>
  <c r="W4234" i="3"/>
  <c r="W4829" i="3"/>
  <c r="W4792" i="3"/>
  <c r="W4830" i="3"/>
  <c r="W4878" i="3"/>
  <c r="W4788" i="3"/>
  <c r="W4410" i="3"/>
  <c r="R2340" i="3" l="1"/>
  <c r="R4717" i="3"/>
  <c r="K2274" i="3"/>
  <c r="R2274" i="3" s="1"/>
  <c r="K2273" i="3"/>
  <c r="R2273" i="3" s="1"/>
  <c r="K2246" i="3"/>
  <c r="K2237" i="3"/>
  <c r="R2004" i="3"/>
  <c r="W2340" i="3"/>
  <c r="W4717" i="3"/>
  <c r="R2237" i="3" l="1"/>
  <c r="R2246" i="3"/>
  <c r="R1774" i="3"/>
  <c r="R1669" i="3"/>
  <c r="R1670" i="3"/>
  <c r="R1671" i="3"/>
  <c r="R1601" i="3"/>
  <c r="K1601" i="3"/>
  <c r="R1578" i="3"/>
  <c r="K1578" i="3"/>
  <c r="K1502" i="3"/>
  <c r="R1502" i="3" s="1"/>
  <c r="K1491" i="3"/>
  <c r="K1463" i="3"/>
  <c r="R1463" i="3" s="1"/>
  <c r="K1441" i="3"/>
  <c r="R1441" i="3" s="1"/>
  <c r="X1441" i="3"/>
  <c r="K1425" i="3"/>
  <c r="R1425" i="3" s="1"/>
  <c r="K1393" i="3"/>
  <c r="R1393" i="3" s="1"/>
  <c r="L1375" i="3"/>
  <c r="K1375" i="3"/>
  <c r="K1353" i="3"/>
  <c r="R1353" i="3" s="1"/>
  <c r="M1330" i="3"/>
  <c r="R1330" i="3" s="1"/>
  <c r="M1329" i="3"/>
  <c r="R1329" i="3" s="1"/>
  <c r="X1330" i="3"/>
  <c r="N1242" i="3"/>
  <c r="M1242" i="3"/>
  <c r="K1242" i="3"/>
  <c r="N1241" i="3"/>
  <c r="M1241" i="3"/>
  <c r="K1241" i="3"/>
  <c r="N1238" i="3"/>
  <c r="K1238" i="3"/>
  <c r="X1236" i="3"/>
  <c r="X1237" i="3"/>
  <c r="X1238" i="3"/>
  <c r="X1239" i="3"/>
  <c r="X1240" i="3"/>
  <c r="X1241" i="3"/>
  <c r="X1242" i="3"/>
  <c r="M977" i="3"/>
  <c r="K977" i="3"/>
  <c r="N977" i="3" s="1"/>
  <c r="M976" i="3"/>
  <c r="K976" i="3"/>
  <c r="N976" i="3" s="1"/>
  <c r="K975" i="3"/>
  <c r="N975" i="3" s="1"/>
  <c r="R975" i="3" s="1"/>
  <c r="K974" i="3"/>
  <c r="N974" i="3" s="1"/>
  <c r="R974" i="3" s="1"/>
  <c r="K973" i="3"/>
  <c r="N973" i="3" s="1"/>
  <c r="R973" i="3" s="1"/>
  <c r="K972" i="3"/>
  <c r="N972" i="3" s="1"/>
  <c r="R972" i="3" s="1"/>
  <c r="X971" i="3"/>
  <c r="X972" i="3"/>
  <c r="X973" i="3"/>
  <c r="X974" i="3"/>
  <c r="X975" i="3"/>
  <c r="X976" i="3"/>
  <c r="X977" i="3"/>
  <c r="M1123" i="3"/>
  <c r="K1123" i="3"/>
  <c r="N1122" i="3"/>
  <c r="K1122" i="3"/>
  <c r="K1121" i="3"/>
  <c r="K1120" i="3"/>
  <c r="K1119" i="3"/>
  <c r="N1118" i="3"/>
  <c r="K1118" i="3"/>
  <c r="K834" i="3"/>
  <c r="K833" i="3"/>
  <c r="J833" i="3" s="1"/>
  <c r="K832" i="3"/>
  <c r="K831" i="3"/>
  <c r="K830" i="3"/>
  <c r="K829" i="3"/>
  <c r="K828" i="3"/>
  <c r="K827" i="3"/>
  <c r="N826" i="3"/>
  <c r="K826" i="3"/>
  <c r="J826" i="3" s="1"/>
  <c r="K825" i="3"/>
  <c r="K824" i="3"/>
  <c r="K823" i="3"/>
  <c r="J823" i="3" s="1"/>
  <c r="K822" i="3"/>
  <c r="K819" i="3"/>
  <c r="K818" i="3"/>
  <c r="K817" i="3"/>
  <c r="K816" i="3"/>
  <c r="N815" i="3"/>
  <c r="K815" i="3"/>
  <c r="J815" i="3" s="1"/>
  <c r="K814" i="3"/>
  <c r="K813" i="3"/>
  <c r="K812" i="3"/>
  <c r="J812" i="3" s="1"/>
  <c r="K811" i="3"/>
  <c r="K573" i="3"/>
  <c r="K572" i="3"/>
  <c r="N492" i="3"/>
  <c r="K492" i="3"/>
  <c r="N491" i="3"/>
  <c r="K491" i="3"/>
  <c r="N490" i="3"/>
  <c r="K490" i="3"/>
  <c r="N489" i="3"/>
  <c r="K489" i="3"/>
  <c r="N488" i="3"/>
  <c r="K488" i="3"/>
  <c r="N487" i="3"/>
  <c r="K487" i="3"/>
  <c r="S484" i="3"/>
  <c r="N484" i="3"/>
  <c r="K484" i="3"/>
  <c r="S483" i="3"/>
  <c r="N483" i="3"/>
  <c r="K483" i="3"/>
  <c r="S482" i="3"/>
  <c r="N482" i="3"/>
  <c r="K482" i="3"/>
  <c r="S481" i="3"/>
  <c r="N481" i="3"/>
  <c r="K481" i="3"/>
  <c r="X479" i="3"/>
  <c r="X480" i="3"/>
  <c r="X481" i="3"/>
  <c r="X482" i="3"/>
  <c r="X483" i="3"/>
  <c r="X484" i="3"/>
  <c r="X485" i="3"/>
  <c r="X486" i="3"/>
  <c r="X487" i="3"/>
  <c r="X488" i="3"/>
  <c r="X489" i="3"/>
  <c r="X490" i="3"/>
  <c r="X491" i="3"/>
  <c r="X492" i="3"/>
  <c r="X493" i="3"/>
  <c r="J342" i="3"/>
  <c r="J279" i="3"/>
  <c r="J204" i="3"/>
  <c r="J203" i="3"/>
  <c r="J148" i="3"/>
  <c r="W1240" i="3"/>
  <c r="W486" i="3"/>
  <c r="W971" i="3"/>
  <c r="W480" i="3"/>
  <c r="W1239" i="3"/>
  <c r="W1601" i="3"/>
  <c r="W485" i="3"/>
  <c r="W479" i="3"/>
  <c r="W1236" i="3"/>
  <c r="W493" i="3"/>
  <c r="W1237" i="3"/>
  <c r="W1578" i="3"/>
  <c r="R482" i="3" l="1"/>
  <c r="R1491" i="3"/>
  <c r="N1119" i="3"/>
  <c r="N1121" i="3"/>
  <c r="O1118" i="3"/>
  <c r="N1120" i="3"/>
  <c r="O1122" i="3"/>
  <c r="N1123" i="3"/>
  <c r="R483" i="3"/>
  <c r="R491" i="3"/>
  <c r="O814" i="3"/>
  <c r="O817" i="3"/>
  <c r="O811" i="3"/>
  <c r="O823" i="3"/>
  <c r="O828" i="3"/>
  <c r="O833" i="3"/>
  <c r="O813" i="3"/>
  <c r="O822" i="3"/>
  <c r="O827" i="3"/>
  <c r="O829" i="3"/>
  <c r="O834" i="3"/>
  <c r="O816" i="3"/>
  <c r="O818" i="3"/>
  <c r="O824" i="3"/>
  <c r="O830" i="3"/>
  <c r="O831" i="3"/>
  <c r="O832" i="3"/>
  <c r="O812" i="3"/>
  <c r="O819" i="3"/>
  <c r="O825" i="3"/>
  <c r="R489" i="3"/>
  <c r="R492" i="3"/>
  <c r="R481" i="3"/>
  <c r="R490" i="3"/>
  <c r="R976" i="3"/>
  <c r="R1375" i="3"/>
  <c r="R487" i="3"/>
  <c r="R977" i="3"/>
  <c r="L1238" i="3"/>
  <c r="O1238" i="3" s="1"/>
  <c r="R1238" i="3" s="1"/>
  <c r="L1241" i="3"/>
  <c r="L1242" i="3"/>
  <c r="O1242" i="3" s="1"/>
  <c r="R1242" i="3" s="1"/>
  <c r="R1123" i="3"/>
  <c r="R488" i="3"/>
  <c r="R484" i="3"/>
  <c r="O815" i="3"/>
  <c r="O826" i="3"/>
  <c r="W484" i="3"/>
  <c r="W483" i="3"/>
  <c r="W482" i="3"/>
  <c r="W481" i="3"/>
  <c r="P1122" i="3" l="1"/>
  <c r="R1120" i="3"/>
  <c r="P1118" i="3"/>
  <c r="R1121" i="3"/>
  <c r="R1119" i="3"/>
  <c r="R812" i="3"/>
  <c r="R825" i="3"/>
  <c r="R824" i="3"/>
  <c r="R829" i="3"/>
  <c r="R815" i="3"/>
  <c r="R831" i="3"/>
  <c r="R834" i="3"/>
  <c r="R822" i="3"/>
  <c r="R811" i="3"/>
  <c r="R819" i="3"/>
  <c r="R830" i="3"/>
  <c r="R816" i="3"/>
  <c r="R826" i="3"/>
  <c r="R833" i="3"/>
  <c r="R828" i="3"/>
  <c r="R823" i="3"/>
  <c r="R817" i="3"/>
  <c r="R832" i="3"/>
  <c r="R818" i="3"/>
  <c r="R827" i="3"/>
  <c r="R813" i="3"/>
  <c r="R814" i="3"/>
  <c r="L573" i="3"/>
  <c r="R573" i="3" s="1"/>
  <c r="O1241" i="3"/>
  <c r="L572" i="3"/>
  <c r="R572" i="3" s="1"/>
  <c r="R1118" i="3" l="1"/>
  <c r="R1122" i="3"/>
  <c r="R1241" i="3"/>
  <c r="G35" i="8" l="1"/>
  <c r="K35" i="8"/>
  <c r="O35" i="8" s="1"/>
  <c r="S35" i="8" s="1"/>
  <c r="W35" i="8" s="1"/>
  <c r="AA35" i="8" s="1"/>
  <c r="AE35" i="8" s="1"/>
  <c r="AI35" i="8" s="1"/>
  <c r="AM35" i="8" s="1"/>
  <c r="AQ35" i="8" s="1"/>
  <c r="AU35" i="8" s="1"/>
  <c r="AY35" i="8" s="1"/>
  <c r="BC35" i="8" s="1"/>
  <c r="BG35" i="8" s="1"/>
  <c r="BK35" i="8" s="1"/>
  <c r="BO35" i="8" s="1"/>
  <c r="BS35" i="8" s="1"/>
  <c r="BW35" i="8" s="1"/>
  <c r="CA35" i="8" s="1"/>
  <c r="CE35" i="8" s="1"/>
  <c r="CI35" i="8" s="1"/>
  <c r="CM35" i="8" s="1"/>
  <c r="CQ35" i="8" s="1"/>
  <c r="CU35" i="8" s="1"/>
  <c r="CY35" i="8" s="1"/>
  <c r="DC35" i="8" s="1"/>
  <c r="DG35" i="8" s="1"/>
  <c r="DK35" i="8" s="1"/>
  <c r="DO35" i="8" s="1"/>
  <c r="DS35" i="8" s="1"/>
  <c r="DW35" i="8" s="1"/>
  <c r="EA35" i="8" s="1"/>
  <c r="EE35" i="8" s="1"/>
  <c r="EI35" i="8" s="1"/>
  <c r="EM35" i="8" s="1"/>
  <c r="EQ35" i="8" s="1"/>
  <c r="EU35" i="8" s="1"/>
  <c r="EY35" i="8" s="1"/>
  <c r="FC35" i="8" s="1"/>
  <c r="FO35" i="8" l="1"/>
  <c r="FS35" i="8" s="1"/>
  <c r="FW35" i="8" s="1"/>
  <c r="GA35" i="8" s="1"/>
  <c r="GE35" i="8" s="1"/>
  <c r="GI35" i="8" s="1"/>
  <c r="GM35" i="8" s="1"/>
  <c r="G33" i="8"/>
  <c r="K33" i="8" s="1"/>
  <c r="O33" i="8" s="1"/>
  <c r="GQ32" i="8"/>
  <c r="DW32" i="8"/>
  <c r="DS32" i="8"/>
  <c r="DS30" i="8" s="1"/>
  <c r="DO32" i="8"/>
  <c r="DO30" i="8" s="1"/>
  <c r="DK32" i="8"/>
  <c r="DK30" i="8" s="1"/>
  <c r="DG32" i="8"/>
  <c r="DG30" i="8" s="1"/>
  <c r="DC32" i="8"/>
  <c r="DC30" i="8" s="1"/>
  <c r="CY32" i="8"/>
  <c r="CY30" i="8" s="1"/>
  <c r="CU32" i="8"/>
  <c r="CU30" i="8" s="1"/>
  <c r="CQ32" i="8"/>
  <c r="CM32" i="8"/>
  <c r="CI32" i="8"/>
  <c r="CE32" i="8"/>
  <c r="BW32" i="8"/>
  <c r="BS32" i="8"/>
  <c r="BO32" i="8"/>
  <c r="BK32" i="8"/>
  <c r="BG32" i="8"/>
  <c r="BC32" i="8"/>
  <c r="AY32" i="8"/>
  <c r="AU32" i="8"/>
  <c r="AQ32" i="8"/>
  <c r="AM32" i="8"/>
  <c r="AA32" i="8"/>
  <c r="S32" i="8"/>
  <c r="DW30" i="8"/>
  <c r="DW28" i="8"/>
  <c r="DS28" i="8"/>
  <c r="DO28" i="8"/>
  <c r="DK28" i="8"/>
  <c r="DG28" i="8"/>
  <c r="DC28" i="8"/>
  <c r="CY28" i="8"/>
  <c r="CU28" i="8"/>
  <c r="CQ28" i="8"/>
  <c r="CM28" i="8"/>
  <c r="CI28" i="8"/>
  <c r="CE28" i="8"/>
  <c r="CA28" i="8"/>
  <c r="BW28" i="8"/>
  <c r="BS28" i="8"/>
  <c r="BO28" i="8"/>
  <c r="BK28" i="8"/>
  <c r="BG28" i="8"/>
  <c r="BC28" i="8"/>
  <c r="AY28" i="8"/>
  <c r="AU28" i="8"/>
  <c r="AQ28" i="8"/>
  <c r="AM28" i="8"/>
  <c r="AI28" i="8"/>
  <c r="AE28" i="8"/>
  <c r="AA28" i="8"/>
  <c r="W28" i="8"/>
  <c r="GV26" i="8"/>
  <c r="DW25" i="8"/>
  <c r="DS25" i="8"/>
  <c r="DO25" i="8"/>
  <c r="DK25" i="8"/>
  <c r="DG25" i="8"/>
  <c r="DC25" i="8"/>
  <c r="CY25" i="8"/>
  <c r="CU25" i="8"/>
  <c r="CQ25" i="8"/>
  <c r="CM25" i="8"/>
  <c r="CI25" i="8"/>
  <c r="CE25" i="8"/>
  <c r="CA25" i="8"/>
  <c r="BW25" i="8"/>
  <c r="BS25" i="8"/>
  <c r="BO25" i="8"/>
  <c r="BK25" i="8"/>
  <c r="BG25" i="8"/>
  <c r="BC25" i="8"/>
  <c r="AY25" i="8"/>
  <c r="AU25" i="8"/>
  <c r="AQ25" i="8"/>
  <c r="AM25" i="8"/>
  <c r="AI25" i="8"/>
  <c r="AE25" i="8"/>
  <c r="AA25" i="8"/>
  <c r="W25" i="8"/>
  <c r="CE23" i="8"/>
  <c r="GS23" i="8" s="1"/>
  <c r="GT23" i="8" s="1"/>
  <c r="GU23" i="8" s="1"/>
  <c r="DW22" i="8"/>
  <c r="DS22" i="8"/>
  <c r="DO22" i="8"/>
  <c r="DK22" i="8"/>
  <c r="DG22" i="8"/>
  <c r="DC22" i="8"/>
  <c r="CY22" i="8"/>
  <c r="CU22" i="8"/>
  <c r="CQ22" i="8"/>
  <c r="CM22" i="8"/>
  <c r="CI22" i="8"/>
  <c r="CE22" i="8"/>
  <c r="CA22" i="8"/>
  <c r="BW22" i="8"/>
  <c r="BS22" i="8"/>
  <c r="BO22" i="8"/>
  <c r="BK22" i="8"/>
  <c r="BG22" i="8"/>
  <c r="BC22" i="8"/>
  <c r="AY22" i="8"/>
  <c r="AU22" i="8"/>
  <c r="AQ22" i="8"/>
  <c r="AM22" i="8"/>
  <c r="AI22" i="8"/>
  <c r="AE22" i="8"/>
  <c r="AA22" i="8"/>
  <c r="W22" i="8"/>
  <c r="CI20" i="8"/>
  <c r="CI19" i="8" s="1"/>
  <c r="CE20" i="8"/>
  <c r="DW19" i="8"/>
  <c r="DS19" i="8"/>
  <c r="DO19" i="8"/>
  <c r="DK19" i="8"/>
  <c r="DG19" i="8"/>
  <c r="DC19" i="8"/>
  <c r="CY19" i="8"/>
  <c r="CU19" i="8"/>
  <c r="CQ19" i="8"/>
  <c r="CM19" i="8"/>
  <c r="CE19" i="8"/>
  <c r="CA19" i="8"/>
  <c r="BW19" i="8"/>
  <c r="BS19" i="8"/>
  <c r="BO19" i="8"/>
  <c r="BK19" i="8"/>
  <c r="BG19" i="8"/>
  <c r="BC19" i="8"/>
  <c r="AY19" i="8"/>
  <c r="AU19" i="8"/>
  <c r="AQ19" i="8"/>
  <c r="AM19" i="8"/>
  <c r="AI19" i="8"/>
  <c r="AE19" i="8"/>
  <c r="AA19" i="8"/>
  <c r="W19" i="8"/>
  <c r="GV17" i="8"/>
  <c r="DW16" i="8"/>
  <c r="DS16" i="8"/>
  <c r="DO16" i="8"/>
  <c r="DK16" i="8"/>
  <c r="DG16" i="8"/>
  <c r="DC16" i="8"/>
  <c r="CY16" i="8"/>
  <c r="CU16" i="8"/>
  <c r="CQ16" i="8"/>
  <c r="CM16" i="8"/>
  <c r="CI16" i="8"/>
  <c r="CE16" i="8"/>
  <c r="CA16" i="8"/>
  <c r="BW16" i="8"/>
  <c r="BS16" i="8"/>
  <c r="BO16" i="8"/>
  <c r="BK16" i="8"/>
  <c r="BG16" i="8"/>
  <c r="BC16" i="8"/>
  <c r="AY16" i="8"/>
  <c r="AU16" i="8"/>
  <c r="AQ16" i="8"/>
  <c r="AM16" i="8"/>
  <c r="AI16" i="8"/>
  <c r="AE16" i="8"/>
  <c r="AA16" i="8"/>
  <c r="W16" i="8"/>
  <c r="S16" i="8"/>
  <c r="O16" i="8"/>
  <c r="K16" i="8"/>
  <c r="GV14" i="8"/>
  <c r="DW13" i="8"/>
  <c r="DS13" i="8"/>
  <c r="DO13" i="8"/>
  <c r="DK13" i="8"/>
  <c r="DG13" i="8"/>
  <c r="DC13" i="8"/>
  <c r="CY13" i="8"/>
  <c r="CU13" i="8"/>
  <c r="CQ13" i="8"/>
  <c r="CM13" i="8"/>
  <c r="CI13" i="8"/>
  <c r="CE13" i="8"/>
  <c r="CA13" i="8"/>
  <c r="BW13" i="8"/>
  <c r="BS13" i="8"/>
  <c r="BO13" i="8"/>
  <c r="BK13" i="8"/>
  <c r="BG13" i="8"/>
  <c r="BC13" i="8"/>
  <c r="AY13" i="8"/>
  <c r="AU13" i="8"/>
  <c r="AQ13" i="8"/>
  <c r="AM13" i="8"/>
  <c r="AI13" i="8"/>
  <c r="AE13" i="8"/>
  <c r="AA13" i="8"/>
  <c r="W13" i="8"/>
  <c r="S13" i="8"/>
  <c r="O13" i="8"/>
  <c r="K13" i="8"/>
  <c r="EL11" i="8"/>
  <c r="EP11" i="8" s="1"/>
  <c r="ET11" i="8" s="1"/>
  <c r="EX11" i="8" s="1"/>
  <c r="FB11" i="8" s="1"/>
  <c r="FF11" i="8" s="1"/>
  <c r="FJ11" i="8" s="1"/>
  <c r="FN11" i="8" s="1"/>
  <c r="FR11" i="8" s="1"/>
  <c r="FV11" i="8" s="1"/>
  <c r="FZ11" i="8" s="1"/>
  <c r="EK11" i="8"/>
  <c r="EO11" i="8" s="1"/>
  <c r="ES11" i="8" s="1"/>
  <c r="EW11" i="8" s="1"/>
  <c r="FA11" i="8" s="1"/>
  <c r="FE11" i="8" s="1"/>
  <c r="FI11" i="8" s="1"/>
  <c r="FM11" i="8" s="1"/>
  <c r="FQ11" i="8" s="1"/>
  <c r="FU11" i="8" s="1"/>
  <c r="FY11" i="8" s="1"/>
  <c r="EJ11" i="8"/>
  <c r="EN11" i="8" s="1"/>
  <c r="ER11" i="8" s="1"/>
  <c r="EV11" i="8" s="1"/>
  <c r="EZ11" i="8" s="1"/>
  <c r="FD11" i="8" s="1"/>
  <c r="FH11" i="8" s="1"/>
  <c r="FL11" i="8" s="1"/>
  <c r="FP11" i="8" s="1"/>
  <c r="FT11" i="8" s="1"/>
  <c r="FX11" i="8" s="1"/>
  <c r="EI11" i="8"/>
  <c r="EM11" i="8" s="1"/>
  <c r="EQ11" i="8" s="1"/>
  <c r="EU11" i="8" s="1"/>
  <c r="EY11" i="8" s="1"/>
  <c r="FC11" i="8" s="1"/>
  <c r="FG11" i="8" s="1"/>
  <c r="FK11" i="8" s="1"/>
  <c r="FO11" i="8" s="1"/>
  <c r="FS11" i="8" s="1"/>
  <c r="FW11" i="8" s="1"/>
  <c r="EH11" i="8"/>
  <c r="EG11" i="8"/>
  <c r="EF11" i="8"/>
  <c r="EE11" i="8"/>
  <c r="ED11" i="8"/>
  <c r="EC11" i="8"/>
  <c r="EB11" i="8"/>
  <c r="EA11" i="8"/>
  <c r="GS20" i="8" l="1"/>
  <c r="GT20" i="8" s="1"/>
  <c r="GU20" i="8" s="1"/>
  <c r="GV29" i="8"/>
  <c r="AA30" i="8"/>
  <c r="S33" i="8"/>
  <c r="W33" i="8" s="1"/>
  <c r="AA33" i="8" s="1"/>
  <c r="AE33" i="8" s="1"/>
  <c r="AI33" i="8" s="1"/>
  <c r="AM33" i="8" s="1"/>
  <c r="AQ33" i="8" s="1"/>
  <c r="AU33" i="8" s="1"/>
  <c r="AY33" i="8" s="1"/>
  <c r="BC33" i="8" s="1"/>
  <c r="BG33" i="8" s="1"/>
  <c r="BK33" i="8" s="1"/>
  <c r="GC11" i="8"/>
  <c r="GK11" i="8" s="1"/>
  <c r="GG11" i="8"/>
  <c r="GE17" i="8"/>
  <c r="GE16" i="8" s="1"/>
  <c r="GA17" i="8"/>
  <c r="GA16" i="8" s="1"/>
  <c r="FS17" i="8"/>
  <c r="FS16" i="8" s="1"/>
  <c r="FW17" i="8"/>
  <c r="FW16" i="8" s="1"/>
  <c r="FO17" i="8"/>
  <c r="FO16" i="8" s="1"/>
  <c r="FK17" i="8"/>
  <c r="FK16" i="8" s="1"/>
  <c r="FG17" i="8"/>
  <c r="FG16" i="8" s="1"/>
  <c r="FC17" i="8"/>
  <c r="FC16" i="8" s="1"/>
  <c r="EU17" i="8"/>
  <c r="EU16" i="8" s="1"/>
  <c r="EQ17" i="8"/>
  <c r="EQ16" i="8" s="1"/>
  <c r="EE17" i="8"/>
  <c r="EE16" i="8" s="1"/>
  <c r="EY17" i="8"/>
  <c r="EY16" i="8" s="1"/>
  <c r="EM17" i="8"/>
  <c r="EM16" i="8" s="1"/>
  <c r="EA17" i="8"/>
  <c r="EI17" i="8"/>
  <c r="EI16" i="8" s="1"/>
  <c r="EQ26" i="8"/>
  <c r="EQ25" i="8" s="1"/>
  <c r="EM26" i="8"/>
  <c r="EM25" i="8" s="1"/>
  <c r="EE26" i="8"/>
  <c r="EE25" i="8" s="1"/>
  <c r="EI26" i="8"/>
  <c r="EI25" i="8" s="1"/>
  <c r="EA26" i="8"/>
  <c r="FW26" i="8"/>
  <c r="FW25" i="8" s="1"/>
  <c r="FS26" i="8"/>
  <c r="FS25" i="8" s="1"/>
  <c r="FO26" i="8"/>
  <c r="FO25" i="8" s="1"/>
  <c r="EU26" i="8"/>
  <c r="EU25" i="8" s="1"/>
  <c r="FG26" i="8"/>
  <c r="FG25" i="8" s="1"/>
  <c r="FC26" i="8"/>
  <c r="FC25" i="8" s="1"/>
  <c r="GE26" i="8"/>
  <c r="GE25" i="8" s="1"/>
  <c r="GA26" i="8"/>
  <c r="GA25" i="8" s="1"/>
  <c r="EY26" i="8"/>
  <c r="EY25" i="8" s="1"/>
  <c r="FK26" i="8"/>
  <c r="FK25" i="8" s="1"/>
  <c r="GE11" i="8"/>
  <c r="GA11" i="8"/>
  <c r="GI11" i="8" s="1"/>
  <c r="GH11" i="8"/>
  <c r="GD11" i="8"/>
  <c r="GL11" i="8" s="1"/>
  <c r="GM20" i="8"/>
  <c r="GM19" i="8" s="1"/>
  <c r="GI20" i="8"/>
  <c r="GI19" i="8" s="1"/>
  <c r="GV23" i="8"/>
  <c r="GF11" i="8"/>
  <c r="GB11" i="8"/>
  <c r="GJ11" i="8" s="1"/>
  <c r="FC14" i="8"/>
  <c r="EY14" i="8"/>
  <c r="EM14" i="8"/>
  <c r="EI14" i="8"/>
  <c r="EA14" i="8"/>
  <c r="EU14" i="8"/>
  <c r="EE14" i="8"/>
  <c r="EQ14" i="8"/>
  <c r="FG14" i="8"/>
  <c r="FW14" i="8"/>
  <c r="GE14" i="8"/>
  <c r="GA14" i="8"/>
  <c r="FO14" i="8"/>
  <c r="FS14" i="8"/>
  <c r="FK14" i="8"/>
  <c r="CE30" i="8"/>
  <c r="CI30" i="8"/>
  <c r="S30" i="8"/>
  <c r="AI30" i="8"/>
  <c r="AM30" i="8"/>
  <c r="AQ30" i="8"/>
  <c r="GQ33" i="8"/>
  <c r="GQ30" i="8"/>
  <c r="GQ31" i="8" s="1"/>
  <c r="BW30" i="8"/>
  <c r="CM30" i="8"/>
  <c r="G30" i="8"/>
  <c r="G31" i="8" s="1"/>
  <c r="K31" i="8" s="1"/>
  <c r="GV20" i="8"/>
  <c r="BO30" i="8"/>
  <c r="BO33" i="8"/>
  <c r="BS33" i="8"/>
  <c r="BW33" i="8" s="1"/>
  <c r="CA33" i="8" s="1"/>
  <c r="CE33" i="8" s="1"/>
  <c r="CI33" i="8" s="1"/>
  <c r="CM33" i="8" s="1"/>
  <c r="CQ33" i="8" s="1"/>
  <c r="CU33" i="8" s="1"/>
  <c r="CY33" i="8" s="1"/>
  <c r="DC33" i="8" s="1"/>
  <c r="DG33" i="8" s="1"/>
  <c r="DK33" i="8" s="1"/>
  <c r="DO33" i="8" s="1"/>
  <c r="DS33" i="8" s="1"/>
  <c r="DW33" i="8" s="1"/>
  <c r="BS30" i="8"/>
  <c r="CQ30" i="8"/>
  <c r="GM29" i="8"/>
  <c r="GM28" i="8" s="1"/>
  <c r="GI29" i="8"/>
  <c r="GI28" i="8" s="1"/>
  <c r="GA29" i="8"/>
  <c r="GA28" i="8" s="1"/>
  <c r="FS29" i="8"/>
  <c r="FS28" i="8" s="1"/>
  <c r="GE29" i="8"/>
  <c r="GE28" i="8" s="1"/>
  <c r="FW29" i="8"/>
  <c r="FW28" i="8" s="1"/>
  <c r="FO29" i="8"/>
  <c r="FO28" i="8" s="1"/>
  <c r="CA30" i="8"/>
  <c r="BK30" i="8"/>
  <c r="BG30" i="8"/>
  <c r="BC30" i="8"/>
  <c r="K30" i="8"/>
  <c r="O30" i="8"/>
  <c r="W30" i="8"/>
  <c r="AE30" i="8"/>
  <c r="AU30" i="8"/>
  <c r="AY30" i="8"/>
  <c r="EE29" i="8"/>
  <c r="EE28" i="8" s="1"/>
  <c r="EA29" i="8" l="1"/>
  <c r="EA28" i="8" s="1"/>
  <c r="FC29" i="8"/>
  <c r="FC28" i="8" s="1"/>
  <c r="FG29" i="8"/>
  <c r="FG28" i="8" s="1"/>
  <c r="EU29" i="8"/>
  <c r="EU28" i="8" s="1"/>
  <c r="EQ29" i="8"/>
  <c r="EQ28" i="8" s="1"/>
  <c r="EM29" i="8"/>
  <c r="EM28" i="8" s="1"/>
  <c r="EI29" i="8"/>
  <c r="EI28" i="8" s="1"/>
  <c r="FK29" i="8"/>
  <c r="FK28" i="8" s="1"/>
  <c r="EY29" i="8"/>
  <c r="EY28" i="8" s="1"/>
  <c r="FG13" i="8"/>
  <c r="EQ13" i="8"/>
  <c r="EE13" i="8"/>
  <c r="EA25" i="8"/>
  <c r="GM17" i="8"/>
  <c r="GM16" i="8" s="1"/>
  <c r="GI17" i="8"/>
  <c r="GI16" i="8" s="1"/>
  <c r="GX29" i="8"/>
  <c r="GY29" i="8" s="1"/>
  <c r="FO13" i="8"/>
  <c r="EA13" i="8"/>
  <c r="EI13" i="8"/>
  <c r="S31" i="8"/>
  <c r="W31" i="8" s="1"/>
  <c r="AA31" i="8" s="1"/>
  <c r="AE31" i="8" s="1"/>
  <c r="AI31" i="8" s="1"/>
  <c r="AM31" i="8" s="1"/>
  <c r="AQ31" i="8" s="1"/>
  <c r="AU31" i="8" s="1"/>
  <c r="AY31" i="8" s="1"/>
  <c r="BC31" i="8" s="1"/>
  <c r="BG31" i="8" s="1"/>
  <c r="BK31" i="8" s="1"/>
  <c r="BO31" i="8" s="1"/>
  <c r="BS31" i="8" s="1"/>
  <c r="BW31" i="8" s="1"/>
  <c r="CA31" i="8" s="1"/>
  <c r="CE31" i="8" s="1"/>
  <c r="CI31" i="8" s="1"/>
  <c r="CM31" i="8" s="1"/>
  <c r="CQ31" i="8" s="1"/>
  <c r="CU31" i="8" s="1"/>
  <c r="CY31" i="8" s="1"/>
  <c r="DC31" i="8" s="1"/>
  <c r="DG31" i="8" s="1"/>
  <c r="DK31" i="8" s="1"/>
  <c r="DO31" i="8" s="1"/>
  <c r="DS31" i="8" s="1"/>
  <c r="DW31" i="8" s="1"/>
  <c r="GE23" i="8"/>
  <c r="GE22" i="8" s="1"/>
  <c r="GA23" i="8"/>
  <c r="GA22" i="8" s="1"/>
  <c r="FS23" i="8"/>
  <c r="FS22" i="8" s="1"/>
  <c r="FO23" i="8"/>
  <c r="FO22" i="8" s="1"/>
  <c r="FK23" i="8"/>
  <c r="FK22" i="8" s="1"/>
  <c r="FW23" i="8"/>
  <c r="FW22" i="8" s="1"/>
  <c r="FG23" i="8"/>
  <c r="FG22" i="8" s="1"/>
  <c r="EQ23" i="8"/>
  <c r="EQ22" i="8" s="1"/>
  <c r="EA23" i="8"/>
  <c r="EY23" i="8"/>
  <c r="EY22" i="8" s="1"/>
  <c r="EM23" i="8"/>
  <c r="EM22" i="8" s="1"/>
  <c r="FC23" i="8"/>
  <c r="FC22" i="8" s="1"/>
  <c r="EU23" i="8"/>
  <c r="EU22" i="8" s="1"/>
  <c r="EI23" i="8"/>
  <c r="EI22" i="8" s="1"/>
  <c r="EE23" i="8"/>
  <c r="EE22" i="8" s="1"/>
  <c r="FK13" i="8"/>
  <c r="GA13" i="8"/>
  <c r="O31" i="8"/>
  <c r="GM23" i="8"/>
  <c r="GM22" i="8" s="1"/>
  <c r="GI23" i="8"/>
  <c r="GI22" i="8" s="1"/>
  <c r="FS13" i="8"/>
  <c r="GE13" i="8"/>
  <c r="GI26" i="8"/>
  <c r="GI25" i="8" s="1"/>
  <c r="GM26" i="8"/>
  <c r="GM25" i="8" s="1"/>
  <c r="EU13" i="8"/>
  <c r="EM13" i="8"/>
  <c r="EY32" i="8"/>
  <c r="EY13" i="8"/>
  <c r="FC32" i="8"/>
  <c r="FC13" i="8"/>
  <c r="GQ17" i="8"/>
  <c r="GQ16" i="8" s="1"/>
  <c r="EA16" i="8"/>
  <c r="GI14" i="8"/>
  <c r="GM14" i="8"/>
  <c r="EM20" i="8"/>
  <c r="EM19" i="8" s="1"/>
  <c r="EI20" i="8"/>
  <c r="EI19" i="8" s="1"/>
  <c r="EA20" i="8"/>
  <c r="EE20" i="8"/>
  <c r="EE19" i="8" s="1"/>
  <c r="FO20" i="8"/>
  <c r="FO19" i="8" s="1"/>
  <c r="FK20" i="8"/>
  <c r="FK19" i="8" s="1"/>
  <c r="FC20" i="8"/>
  <c r="FC19" i="8" s="1"/>
  <c r="GA20" i="8"/>
  <c r="GA19" i="8" s="1"/>
  <c r="FS20" i="8"/>
  <c r="FS19" i="8" s="1"/>
  <c r="EY20" i="8"/>
  <c r="EY19" i="8" s="1"/>
  <c r="EQ20" i="8"/>
  <c r="EQ19" i="8" s="1"/>
  <c r="GE20" i="8"/>
  <c r="GE19" i="8" s="1"/>
  <c r="FW20" i="8"/>
  <c r="FW19" i="8" s="1"/>
  <c r="EU20" i="8"/>
  <c r="EU19" i="8" s="1"/>
  <c r="FG20" i="8"/>
  <c r="FG19" i="8" s="1"/>
  <c r="FW13" i="8"/>
  <c r="FW32" i="8" l="1"/>
  <c r="FK32" i="8"/>
  <c r="GX26" i="8"/>
  <c r="GY26" i="8" s="1"/>
  <c r="FO32" i="8"/>
  <c r="GQ26" i="8"/>
  <c r="GQ25" i="8" s="1"/>
  <c r="GQ29" i="8"/>
  <c r="GQ28" i="8" s="1"/>
  <c r="GX17" i="8"/>
  <c r="GY17" i="8" s="1"/>
  <c r="GX20" i="8"/>
  <c r="GY20" i="8" s="1"/>
  <c r="GQ20" i="8"/>
  <c r="GQ19" i="8" s="1"/>
  <c r="EA19" i="8"/>
  <c r="GM13" i="8"/>
  <c r="GM32" i="8"/>
  <c r="GZ14" i="8"/>
  <c r="EA32" i="8"/>
  <c r="FC30" i="8"/>
  <c r="EY30" i="8"/>
  <c r="GI32" i="8"/>
  <c r="GI13" i="8"/>
  <c r="EI32" i="8"/>
  <c r="GQ14" i="8"/>
  <c r="GQ13" i="8" s="1"/>
  <c r="FK30" i="8"/>
  <c r="FO30" i="8"/>
  <c r="EM32" i="8"/>
  <c r="EU32" i="8"/>
  <c r="EE32" i="8"/>
  <c r="EQ32" i="8"/>
  <c r="FS32" i="8"/>
  <c r="GX14" i="8"/>
  <c r="GY14" i="8" s="1"/>
  <c r="FW30" i="8"/>
  <c r="GQ23" i="8"/>
  <c r="GQ22" i="8" s="1"/>
  <c r="EA22" i="8"/>
  <c r="GX23" i="8"/>
  <c r="GY23" i="8" s="1"/>
  <c r="GE32" i="8"/>
  <c r="GA32" i="8"/>
  <c r="FG32" i="8"/>
  <c r="EE30" i="8" l="1"/>
  <c r="GI30" i="8"/>
  <c r="EU30" i="8"/>
  <c r="EI30" i="8"/>
  <c r="GE30" i="8"/>
  <c r="EQ30" i="8"/>
  <c r="EA33" i="8"/>
  <c r="EE33" i="8" s="1"/>
  <c r="EI33" i="8" s="1"/>
  <c r="EM33" i="8" s="1"/>
  <c r="EQ33" i="8" s="1"/>
  <c r="EU33" i="8" s="1"/>
  <c r="EY33" i="8" s="1"/>
  <c r="FC33" i="8" s="1"/>
  <c r="FG33" i="8" s="1"/>
  <c r="FK33" i="8" s="1"/>
  <c r="FO33" i="8" s="1"/>
  <c r="FS33" i="8" s="1"/>
  <c r="FW33" i="8" s="1"/>
  <c r="GA33" i="8" s="1"/>
  <c r="GE33" i="8" s="1"/>
  <c r="GI33" i="8" s="1"/>
  <c r="EA30" i="8"/>
  <c r="EA31" i="8" s="1"/>
  <c r="GM30" i="8"/>
  <c r="FS30" i="8"/>
  <c r="EM30" i="8"/>
  <c r="FG30" i="8"/>
  <c r="GA30" i="8"/>
  <c r="GM33" i="8" l="1"/>
  <c r="GS33" i="8" s="1"/>
  <c r="EE31" i="8"/>
  <c r="EI31" i="8" s="1"/>
  <c r="EM31" i="8" s="1"/>
  <c r="EQ31" i="8" s="1"/>
  <c r="EU31" i="8" s="1"/>
  <c r="EY31" i="8" s="1"/>
  <c r="FC31" i="8" s="1"/>
  <c r="FG31" i="8" s="1"/>
  <c r="FK31" i="8" s="1"/>
  <c r="FO31" i="8" s="1"/>
  <c r="FS31" i="8" s="1"/>
  <c r="FW31" i="8" s="1"/>
  <c r="GA31" i="8" l="1"/>
  <c r="GI31" i="8" s="1"/>
  <c r="GM31" i="8" s="1"/>
  <c r="GE31" i="8"/>
  <c r="X4232" i="3" l="1"/>
  <c r="X4233" i="3"/>
  <c r="X2269" i="3"/>
  <c r="X2270" i="3"/>
  <c r="X1440" i="3"/>
  <c r="R4185" i="3" l="1"/>
  <c r="R4184" i="3"/>
  <c r="R4183" i="3"/>
  <c r="W4185" i="3"/>
  <c r="W4184" i="3"/>
  <c r="W4183" i="3"/>
  <c r="R4138" i="3" l="1"/>
  <c r="R4137" i="3"/>
  <c r="R4136" i="3"/>
  <c r="R4135" i="3"/>
  <c r="R4134" i="3"/>
  <c r="N1772" i="3"/>
  <c r="W4138" i="3"/>
  <c r="W4137" i="3"/>
  <c r="W4136" i="3"/>
  <c r="W4135" i="3"/>
  <c r="W4134" i="3"/>
  <c r="R1600" i="3" l="1"/>
  <c r="K1600" i="3"/>
  <c r="R1599" i="3"/>
  <c r="K1599" i="3"/>
  <c r="R1598" i="3"/>
  <c r="K1598" i="3"/>
  <c r="R1597" i="3"/>
  <c r="K1597" i="3"/>
  <c r="R1596" i="3"/>
  <c r="K1596" i="3"/>
  <c r="R1595" i="3"/>
  <c r="K1595" i="3"/>
  <c r="R1594" i="3"/>
  <c r="K1594" i="3"/>
  <c r="R1593" i="3"/>
  <c r="K1593" i="3"/>
  <c r="R1592" i="3"/>
  <c r="K1592" i="3"/>
  <c r="R1591" i="3"/>
  <c r="K1591" i="3"/>
  <c r="R1590" i="3"/>
  <c r="K1590" i="3"/>
  <c r="R1588" i="3"/>
  <c r="K1588" i="3"/>
  <c r="R1587" i="3"/>
  <c r="K1587" i="3"/>
  <c r="R1586" i="3"/>
  <c r="K1586" i="3"/>
  <c r="R1585" i="3"/>
  <c r="K1585" i="3"/>
  <c r="R1577" i="3"/>
  <c r="K1577" i="3"/>
  <c r="R1576" i="3"/>
  <c r="K1576" i="3"/>
  <c r="J4877" i="3" l="1"/>
  <c r="K4672" i="3"/>
  <c r="K4682" i="3"/>
  <c r="R4682" i="3" s="1"/>
  <c r="R4574" i="3"/>
  <c r="K4574" i="3"/>
  <c r="K4543" i="3"/>
  <c r="R4543" i="3" s="1"/>
  <c r="J4528" i="3"/>
  <c r="X4528" i="3"/>
  <c r="X4529" i="3"/>
  <c r="J4470" i="3"/>
  <c r="J4469" i="3"/>
  <c r="X4469" i="3"/>
  <c r="X4470" i="3"/>
  <c r="X4471" i="3"/>
  <c r="X4472" i="3"/>
  <c r="J4409" i="3"/>
  <c r="J4408" i="3"/>
  <c r="X4408" i="3"/>
  <c r="X4409" i="3"/>
  <c r="J4354" i="3"/>
  <c r="J4302" i="3"/>
  <c r="K4232" i="3"/>
  <c r="R4041" i="3"/>
  <c r="R4040" i="3"/>
  <c r="X4040" i="3"/>
  <c r="X4041" i="3"/>
  <c r="X4042" i="3"/>
  <c r="J3989" i="3"/>
  <c r="K3887" i="3"/>
  <c r="R3887" i="3" s="1"/>
  <c r="K3838" i="3"/>
  <c r="R3838" i="3" s="1"/>
  <c r="K3701" i="3"/>
  <c r="R3510" i="3"/>
  <c r="R3242" i="3"/>
  <c r="K2339" i="3"/>
  <c r="K2270" i="3"/>
  <c r="R2270" i="3" s="1"/>
  <c r="K2269" i="3"/>
  <c r="R2269" i="3" s="1"/>
  <c r="K2247" i="3"/>
  <c r="K2236" i="3"/>
  <c r="R1809" i="3"/>
  <c r="K1809" i="3"/>
  <c r="R1799" i="3"/>
  <c r="K1799" i="3"/>
  <c r="R1668" i="3"/>
  <c r="R1667" i="3"/>
  <c r="R1666" i="3"/>
  <c r="R1665" i="3"/>
  <c r="R1664" i="3"/>
  <c r="R1663" i="3"/>
  <c r="R1662" i="3"/>
  <c r="K1501" i="3"/>
  <c r="K1490" i="3"/>
  <c r="K1489" i="3"/>
  <c r="K1462" i="3"/>
  <c r="K1440" i="3"/>
  <c r="K1424" i="3"/>
  <c r="R1424" i="3" s="1"/>
  <c r="K1392" i="3"/>
  <c r="R1392" i="3" s="1"/>
  <c r="W1799" i="3"/>
  <c r="W1809" i="3"/>
  <c r="W4469" i="3"/>
  <c r="W4040" i="3"/>
  <c r="W4470" i="3"/>
  <c r="W4529" i="3"/>
  <c r="W4041" i="3"/>
  <c r="W4408" i="3"/>
  <c r="W4528" i="3"/>
  <c r="W4472" i="3"/>
  <c r="W4471" i="3"/>
  <c r="W4409" i="3"/>
  <c r="W4042" i="3"/>
  <c r="R3701" i="3" l="1"/>
  <c r="R2339" i="3"/>
  <c r="R2236" i="3"/>
  <c r="R2247" i="3"/>
  <c r="R4232" i="3"/>
  <c r="R1440" i="3"/>
  <c r="R1462" i="3"/>
  <c r="R1489" i="3"/>
  <c r="R1490" i="3"/>
  <c r="R1501" i="3"/>
  <c r="N1773" i="3"/>
  <c r="R1773" i="3" s="1"/>
  <c r="K1352" i="3"/>
  <c r="R1352" i="3" s="1"/>
  <c r="L1374" i="3"/>
  <c r="K1374" i="3"/>
  <c r="R1374" i="3" s="1"/>
  <c r="K1351" i="3"/>
  <c r="R1351" i="3" s="1"/>
  <c r="X1352" i="3"/>
  <c r="X1351" i="3"/>
  <c r="M1328" i="3"/>
  <c r="R1328" i="3" s="1"/>
  <c r="M1327" i="3"/>
  <c r="R1327" i="3" s="1"/>
  <c r="M1326" i="3"/>
  <c r="R1326" i="3" s="1"/>
  <c r="X1328" i="3"/>
  <c r="X1329" i="3"/>
  <c r="N1235" i="3"/>
  <c r="M1235" i="3"/>
  <c r="K1235" i="3"/>
  <c r="N1234" i="3"/>
  <c r="M1234" i="3"/>
  <c r="K1234" i="3"/>
  <c r="N1231" i="3"/>
  <c r="K1231" i="3"/>
  <c r="X1229" i="3"/>
  <c r="X1230" i="3"/>
  <c r="X1231" i="3"/>
  <c r="X1232" i="3"/>
  <c r="X1233" i="3"/>
  <c r="X1234" i="3"/>
  <c r="X1235" i="3"/>
  <c r="W1229" i="3"/>
  <c r="W1233" i="3"/>
  <c r="W3701" i="3"/>
  <c r="W2339" i="3"/>
  <c r="W4232" i="3"/>
  <c r="W1230" i="3"/>
  <c r="W1232" i="3"/>
  <c r="L1231" i="3" l="1"/>
  <c r="L1234" i="3"/>
  <c r="L1235" i="3"/>
  <c r="J1272" i="3"/>
  <c r="L1272" i="3"/>
  <c r="R1273" i="3"/>
  <c r="X1273" i="3"/>
  <c r="X1274" i="3"/>
  <c r="W1275" i="3"/>
  <c r="S1242" i="3" l="1"/>
  <c r="S1245" i="3"/>
  <c r="S1238" i="3"/>
  <c r="S1241" i="3"/>
  <c r="S1274" i="3"/>
  <c r="S1272" i="3"/>
  <c r="S1270" i="3" s="1"/>
  <c r="S1273" i="3"/>
  <c r="S1234" i="3"/>
  <c r="S1235" i="3"/>
  <c r="S1231" i="3"/>
  <c r="O1235" i="3"/>
  <c r="O1234" i="3"/>
  <c r="R1234" i="3" s="1"/>
  <c r="O1231" i="3"/>
  <c r="X1275" i="3"/>
  <c r="B1276" i="3"/>
  <c r="C1276" i="3"/>
  <c r="W1270" i="3"/>
  <c r="W1276" i="3"/>
  <c r="W1245" i="3"/>
  <c r="W1238" i="3"/>
  <c r="W1242" i="3"/>
  <c r="W1241" i="3"/>
  <c r="S1266" i="3" l="1"/>
  <c r="S1269" i="3"/>
  <c r="S1262" i="3"/>
  <c r="S1263" i="3"/>
  <c r="S1256" i="3"/>
  <c r="S1259" i="3"/>
  <c r="S1252" i="3"/>
  <c r="S1255" i="3"/>
  <c r="S1249" i="3"/>
  <c r="S1248" i="3"/>
  <c r="R1231" i="3"/>
  <c r="R1235" i="3"/>
  <c r="X1276" i="3"/>
  <c r="W1252" i="3"/>
  <c r="W1262" i="3"/>
  <c r="W1259" i="3"/>
  <c r="W1277" i="3"/>
  <c r="W1266" i="3"/>
  <c r="W1231" i="3"/>
  <c r="W1249" i="3"/>
  <c r="W1269" i="3"/>
  <c r="W1248" i="3"/>
  <c r="W1255" i="3"/>
  <c r="W1256" i="3"/>
  <c r="W1263" i="3"/>
  <c r="X1277" i="3" l="1"/>
  <c r="M1278" i="3"/>
  <c r="R1278" i="3" s="1"/>
  <c r="X1278" i="3"/>
  <c r="M970" i="3"/>
  <c r="K970" i="3"/>
  <c r="N970" i="3" s="1"/>
  <c r="M969" i="3"/>
  <c r="K969" i="3"/>
  <c r="N969" i="3" s="1"/>
  <c r="K968" i="3"/>
  <c r="N968" i="3" s="1"/>
  <c r="R968" i="3" s="1"/>
  <c r="K967" i="3"/>
  <c r="N967" i="3" s="1"/>
  <c r="R967" i="3" s="1"/>
  <c r="K966" i="3"/>
  <c r="N966" i="3" s="1"/>
  <c r="R966" i="3" s="1"/>
  <c r="K965" i="3"/>
  <c r="N965" i="3" s="1"/>
  <c r="R965" i="3" s="1"/>
  <c r="M1116" i="3"/>
  <c r="K1116" i="3"/>
  <c r="N1115" i="3"/>
  <c r="K1115" i="3"/>
  <c r="K1114" i="3"/>
  <c r="K1113" i="3"/>
  <c r="K1112" i="3"/>
  <c r="N1111" i="3"/>
  <c r="K1111" i="3"/>
  <c r="X965" i="3"/>
  <c r="X966" i="3"/>
  <c r="X967" i="3"/>
  <c r="X968" i="3"/>
  <c r="X969" i="3"/>
  <c r="X970" i="3"/>
  <c r="K808" i="3"/>
  <c r="K807" i="3"/>
  <c r="J807" i="3" s="1"/>
  <c r="K806" i="3"/>
  <c r="K805" i="3"/>
  <c r="K804" i="3"/>
  <c r="K803" i="3"/>
  <c r="K802" i="3"/>
  <c r="K801" i="3"/>
  <c r="N800" i="3"/>
  <c r="K800" i="3"/>
  <c r="J800" i="3" s="1"/>
  <c r="K799" i="3"/>
  <c r="K798" i="3"/>
  <c r="K797" i="3"/>
  <c r="J797" i="3" s="1"/>
  <c r="K796" i="3"/>
  <c r="K793" i="3"/>
  <c r="K792" i="3"/>
  <c r="K791" i="3"/>
  <c r="K790" i="3"/>
  <c r="N789" i="3"/>
  <c r="K789" i="3"/>
  <c r="J789" i="3" s="1"/>
  <c r="K788" i="3"/>
  <c r="K787" i="3"/>
  <c r="K786" i="3"/>
  <c r="J786" i="3" s="1"/>
  <c r="K785" i="3"/>
  <c r="K571" i="3"/>
  <c r="K570" i="3"/>
  <c r="N478" i="3"/>
  <c r="K478" i="3"/>
  <c r="N477" i="3"/>
  <c r="K477" i="3"/>
  <c r="N476" i="3"/>
  <c r="K476" i="3"/>
  <c r="N475" i="3"/>
  <c r="K475" i="3"/>
  <c r="N474" i="3"/>
  <c r="K474" i="3"/>
  <c r="N473" i="3"/>
  <c r="K473" i="3"/>
  <c r="N470" i="3"/>
  <c r="K470" i="3"/>
  <c r="N469" i="3"/>
  <c r="K469" i="3"/>
  <c r="N468" i="3"/>
  <c r="K468" i="3"/>
  <c r="R468" i="3" s="1"/>
  <c r="N467" i="3"/>
  <c r="K467" i="3"/>
  <c r="X465" i="3"/>
  <c r="X466" i="3"/>
  <c r="X467" i="3"/>
  <c r="X468" i="3"/>
  <c r="X469" i="3"/>
  <c r="X470" i="3"/>
  <c r="X471" i="3"/>
  <c r="X472" i="3"/>
  <c r="X473" i="3"/>
  <c r="X474" i="3"/>
  <c r="X475" i="3"/>
  <c r="X476" i="3"/>
  <c r="X477" i="3"/>
  <c r="X478" i="3"/>
  <c r="J341" i="3"/>
  <c r="J278" i="3"/>
  <c r="J202" i="3"/>
  <c r="J201" i="3"/>
  <c r="J147" i="3"/>
  <c r="W472" i="3"/>
  <c r="W465" i="3"/>
  <c r="W471" i="3"/>
  <c r="W466" i="3"/>
  <c r="R469" i="3" l="1"/>
  <c r="R477" i="3"/>
  <c r="O1111" i="3"/>
  <c r="N1113" i="3"/>
  <c r="N1114" i="3"/>
  <c r="N1116" i="3"/>
  <c r="N1112" i="3"/>
  <c r="O1115" i="3"/>
  <c r="R467" i="3"/>
  <c r="O792" i="3"/>
  <c r="O797" i="3"/>
  <c r="O796" i="3"/>
  <c r="O799" i="3"/>
  <c r="O801" i="3"/>
  <c r="O807" i="3"/>
  <c r="O790" i="3"/>
  <c r="O793" i="3"/>
  <c r="O798" i="3"/>
  <c r="O803" i="3"/>
  <c r="O805" i="3"/>
  <c r="O786" i="3"/>
  <c r="O802" i="3"/>
  <c r="O804" i="3"/>
  <c r="O806" i="3"/>
  <c r="O808" i="3"/>
  <c r="O785" i="3"/>
  <c r="O787" i="3"/>
  <c r="O791" i="3"/>
  <c r="O788" i="3"/>
  <c r="R476" i="3"/>
  <c r="R969" i="3"/>
  <c r="R475" i="3"/>
  <c r="R970" i="3"/>
  <c r="R470" i="3"/>
  <c r="R474" i="3"/>
  <c r="R478" i="3"/>
  <c r="R473" i="3"/>
  <c r="O789" i="3"/>
  <c r="O800" i="3"/>
  <c r="L570" i="3" l="1"/>
  <c r="R570" i="3" s="1"/>
  <c r="P1115" i="3"/>
  <c r="R1116" i="3"/>
  <c r="R1113" i="3"/>
  <c r="R1112" i="3"/>
  <c r="R1114" i="3"/>
  <c r="P1111" i="3"/>
  <c r="R802" i="3"/>
  <c r="R788" i="3"/>
  <c r="R785" i="3"/>
  <c r="R806" i="3"/>
  <c r="R786" i="3"/>
  <c r="R798" i="3"/>
  <c r="R790" i="3"/>
  <c r="R800" i="3"/>
  <c r="R797" i="3"/>
  <c r="R791" i="3"/>
  <c r="R787" i="3"/>
  <c r="R808" i="3"/>
  <c r="R804" i="3"/>
  <c r="R805" i="3"/>
  <c r="R803" i="3"/>
  <c r="R793" i="3"/>
  <c r="R807" i="3"/>
  <c r="R801" i="3"/>
  <c r="R789" i="3"/>
  <c r="R799" i="3"/>
  <c r="R796" i="3"/>
  <c r="R792" i="3"/>
  <c r="L571" i="3"/>
  <c r="R571" i="3" s="1"/>
  <c r="R1111" i="3" l="1"/>
  <c r="R1115" i="3"/>
  <c r="R4030" i="3"/>
  <c r="R4029" i="3"/>
  <c r="R4028" i="3"/>
  <c r="X4028" i="3"/>
  <c r="X4029" i="3"/>
  <c r="X4030" i="3"/>
  <c r="X4031" i="3"/>
  <c r="W4028" i="3"/>
  <c r="W4029" i="3"/>
  <c r="W4030" i="3"/>
  <c r="R4921" i="3" l="1"/>
  <c r="X4921" i="3"/>
  <c r="X4922" i="3"/>
  <c r="X4923" i="3"/>
  <c r="J4876" i="3"/>
  <c r="L4715" i="3"/>
  <c r="N4715" i="3" s="1"/>
  <c r="K4715" i="3"/>
  <c r="R4715" i="3" s="1"/>
  <c r="X4715" i="3"/>
  <c r="K4681" i="3"/>
  <c r="R4681" i="3" s="1"/>
  <c r="K4671" i="3"/>
  <c r="R4671" i="3" s="1"/>
  <c r="R4573" i="3"/>
  <c r="K4573" i="3"/>
  <c r="J4527" i="3"/>
  <c r="J4468" i="3"/>
  <c r="J4467" i="3"/>
  <c r="J4407" i="3"/>
  <c r="J4406" i="3"/>
  <c r="J4353" i="3"/>
  <c r="J4301" i="3"/>
  <c r="X4301" i="3"/>
  <c r="X4231" i="3"/>
  <c r="K4231" i="3"/>
  <c r="R4231" i="3" s="1"/>
  <c r="R4131" i="3"/>
  <c r="R4130" i="3"/>
  <c r="R4133" i="3"/>
  <c r="R4132" i="3"/>
  <c r="R4180" i="3"/>
  <c r="R4179" i="3"/>
  <c r="R4178" i="3"/>
  <c r="R4039" i="3"/>
  <c r="R4038" i="3"/>
  <c r="J3988" i="3"/>
  <c r="K2338" i="3"/>
  <c r="X2265" i="3"/>
  <c r="X2266" i="3"/>
  <c r="X2267" i="3"/>
  <c r="X2268" i="3"/>
  <c r="K2265" i="3"/>
  <c r="R2265" i="3" s="1"/>
  <c r="K2272" i="3"/>
  <c r="R2272" i="3" s="1"/>
  <c r="K2271" i="3"/>
  <c r="R2271" i="3" s="1"/>
  <c r="K2248" i="3"/>
  <c r="R2248" i="3" s="1"/>
  <c r="K2235" i="3"/>
  <c r="R2235" i="3" s="1"/>
  <c r="W4178" i="3"/>
  <c r="W4132" i="3"/>
  <c r="W4923" i="3"/>
  <c r="W4715" i="3"/>
  <c r="W4180" i="3"/>
  <c r="W4131" i="3"/>
  <c r="W4921" i="3"/>
  <c r="W4130" i="3"/>
  <c r="W4231" i="3"/>
  <c r="W4133" i="3"/>
  <c r="W4179" i="3"/>
  <c r="W4922" i="3"/>
  <c r="R2338" i="3" l="1"/>
  <c r="R1810" i="3"/>
  <c r="K1810" i="3"/>
  <c r="R1798" i="3"/>
  <c r="K1798" i="3"/>
  <c r="R1772" i="3"/>
  <c r="X1439" i="3"/>
  <c r="K1500" i="3"/>
  <c r="K1439" i="3"/>
  <c r="R1439" i="3" s="1"/>
  <c r="K1461" i="3"/>
  <c r="R1461" i="3" s="1"/>
  <c r="K1391" i="3"/>
  <c r="K1423" i="3"/>
  <c r="R1423" i="3" s="1"/>
  <c r="L1373" i="3"/>
  <c r="K1373" i="3"/>
  <c r="M1325" i="3"/>
  <c r="R1325" i="3" s="1"/>
  <c r="M1324" i="3"/>
  <c r="R1324" i="3" s="1"/>
  <c r="X1324" i="3"/>
  <c r="X1325" i="3"/>
  <c r="X1326" i="3"/>
  <c r="X1327" i="3"/>
  <c r="N1228" i="3"/>
  <c r="M1228" i="3"/>
  <c r="K1228" i="3"/>
  <c r="L1228" i="3" s="1"/>
  <c r="N1227" i="3"/>
  <c r="M1227" i="3"/>
  <c r="K1227" i="3"/>
  <c r="N1224" i="3"/>
  <c r="K1224" i="3"/>
  <c r="L1224" i="3" s="1"/>
  <c r="X1222" i="3"/>
  <c r="X1223" i="3"/>
  <c r="X1224" i="3"/>
  <c r="X1225" i="3"/>
  <c r="X1226" i="3"/>
  <c r="X1227" i="3"/>
  <c r="M963" i="3"/>
  <c r="K963" i="3"/>
  <c r="N963" i="3" s="1"/>
  <c r="M962" i="3"/>
  <c r="K962" i="3"/>
  <c r="N962" i="3" s="1"/>
  <c r="R962" i="3" s="1"/>
  <c r="K961" i="3"/>
  <c r="N961" i="3" s="1"/>
  <c r="R961" i="3" s="1"/>
  <c r="K960" i="3"/>
  <c r="N960" i="3" s="1"/>
  <c r="R960" i="3" s="1"/>
  <c r="K959" i="3"/>
  <c r="N959" i="3" s="1"/>
  <c r="R959" i="3" s="1"/>
  <c r="K958" i="3"/>
  <c r="N958" i="3" s="1"/>
  <c r="R958" i="3" s="1"/>
  <c r="X957" i="3"/>
  <c r="X958" i="3"/>
  <c r="X959" i="3"/>
  <c r="X960" i="3"/>
  <c r="X961" i="3"/>
  <c r="X962" i="3"/>
  <c r="X963" i="3"/>
  <c r="X964" i="3"/>
  <c r="M1109" i="3"/>
  <c r="K1109" i="3"/>
  <c r="N1108" i="3"/>
  <c r="K1108" i="3"/>
  <c r="K1107" i="3"/>
  <c r="K1106" i="3"/>
  <c r="K1105" i="3"/>
  <c r="N1104" i="3"/>
  <c r="K1104" i="3"/>
  <c r="K782" i="3"/>
  <c r="K781" i="3"/>
  <c r="J781" i="3" s="1"/>
  <c r="K780" i="3"/>
  <c r="K779" i="3"/>
  <c r="K778" i="3"/>
  <c r="K777" i="3"/>
  <c r="K776" i="3"/>
  <c r="K775" i="3"/>
  <c r="N774" i="3"/>
  <c r="K774" i="3"/>
  <c r="J774" i="3" s="1"/>
  <c r="K773" i="3"/>
  <c r="K772" i="3"/>
  <c r="K771" i="3"/>
  <c r="J771" i="3" s="1"/>
  <c r="K770" i="3"/>
  <c r="K767" i="3"/>
  <c r="K766" i="3"/>
  <c r="K765" i="3"/>
  <c r="K764" i="3"/>
  <c r="N763" i="3"/>
  <c r="K763" i="3"/>
  <c r="J763" i="3" s="1"/>
  <c r="K762" i="3"/>
  <c r="K761" i="3"/>
  <c r="K760" i="3"/>
  <c r="J760" i="3" s="1"/>
  <c r="K759" i="3"/>
  <c r="K569" i="3"/>
  <c r="K568" i="3"/>
  <c r="N464" i="3"/>
  <c r="K464" i="3"/>
  <c r="N463" i="3"/>
  <c r="K463" i="3"/>
  <c r="N462" i="3"/>
  <c r="K462" i="3"/>
  <c r="N461" i="3"/>
  <c r="K461" i="3"/>
  <c r="N460" i="3"/>
  <c r="K460" i="3"/>
  <c r="N459" i="3"/>
  <c r="K459" i="3"/>
  <c r="N456" i="3"/>
  <c r="K456" i="3"/>
  <c r="N455" i="3"/>
  <c r="K455" i="3"/>
  <c r="N454" i="3"/>
  <c r="K454" i="3"/>
  <c r="N453" i="3"/>
  <c r="K453" i="3"/>
  <c r="X451" i="3"/>
  <c r="X452" i="3"/>
  <c r="X453" i="3"/>
  <c r="X454" i="3"/>
  <c r="X455" i="3"/>
  <c r="X456" i="3"/>
  <c r="X457" i="3"/>
  <c r="X458" i="3"/>
  <c r="X459" i="3"/>
  <c r="X460" i="3"/>
  <c r="X461" i="3"/>
  <c r="X462" i="3"/>
  <c r="X463" i="3"/>
  <c r="X464" i="3"/>
  <c r="W1810" i="3"/>
  <c r="W957" i="3"/>
  <c r="W1222" i="3"/>
  <c r="W1226" i="3"/>
  <c r="W452" i="3"/>
  <c r="W2338" i="3"/>
  <c r="W458" i="3"/>
  <c r="W1225" i="3"/>
  <c r="W451" i="3"/>
  <c r="W1223" i="3"/>
  <c r="W457" i="3"/>
  <c r="W964" i="3"/>
  <c r="W1798" i="3"/>
  <c r="O1104" i="3" l="1"/>
  <c r="N1105" i="3"/>
  <c r="N1106" i="3"/>
  <c r="N1107" i="3"/>
  <c r="O1108" i="3"/>
  <c r="N1109" i="3"/>
  <c r="O766" i="3"/>
  <c r="O781" i="3"/>
  <c r="O762" i="3"/>
  <c r="O772" i="3"/>
  <c r="O760" i="3"/>
  <c r="O765" i="3"/>
  <c r="O776" i="3"/>
  <c r="O782" i="3"/>
  <c r="O759" i="3"/>
  <c r="O761" i="3"/>
  <c r="O770" i="3"/>
  <c r="O777" i="3"/>
  <c r="O780" i="3"/>
  <c r="O773" i="3"/>
  <c r="O775" i="3"/>
  <c r="O778" i="3"/>
  <c r="O764" i="3"/>
  <c r="O767" i="3"/>
  <c r="O771" i="3"/>
  <c r="O779" i="3"/>
  <c r="R963" i="3"/>
  <c r="R1500" i="3"/>
  <c r="R1373" i="3"/>
  <c r="R459" i="3"/>
  <c r="R460" i="3"/>
  <c r="R463" i="3"/>
  <c r="R462" i="3"/>
  <c r="R453" i="3"/>
  <c r="R455" i="3"/>
  <c r="R456" i="3"/>
  <c r="R461" i="3"/>
  <c r="R454" i="3"/>
  <c r="O1228" i="3"/>
  <c r="R1228" i="3" s="1"/>
  <c r="L1227" i="3"/>
  <c r="O1224" i="3"/>
  <c r="O774" i="3"/>
  <c r="R464" i="3"/>
  <c r="O763" i="3"/>
  <c r="R1109" i="3"/>
  <c r="J340" i="3"/>
  <c r="J277" i="3"/>
  <c r="J200" i="3"/>
  <c r="J199" i="3"/>
  <c r="J146" i="3"/>
  <c r="P1108" i="3" l="1"/>
  <c r="R1107" i="3"/>
  <c r="R1106" i="3"/>
  <c r="R1105" i="3"/>
  <c r="P1104" i="3"/>
  <c r="L568" i="3"/>
  <c r="R568" i="3" s="1"/>
  <c r="R771" i="3"/>
  <c r="R778" i="3"/>
  <c r="R763" i="3"/>
  <c r="R777" i="3"/>
  <c r="R759" i="3"/>
  <c r="R782" i="3"/>
  <c r="R776" i="3"/>
  <c r="R765" i="3"/>
  <c r="R760" i="3"/>
  <c r="R781" i="3"/>
  <c r="R779" i="3"/>
  <c r="R764" i="3"/>
  <c r="R773" i="3"/>
  <c r="R761" i="3"/>
  <c r="R762" i="3"/>
  <c r="R766" i="3"/>
  <c r="R767" i="3"/>
  <c r="R775" i="3"/>
  <c r="R780" i="3"/>
  <c r="R770" i="3"/>
  <c r="R774" i="3"/>
  <c r="R772" i="3"/>
  <c r="L569" i="3"/>
  <c r="R569" i="3" s="1"/>
  <c r="O1227" i="3"/>
  <c r="R1224" i="3"/>
  <c r="R1104" i="3" l="1"/>
  <c r="R1108" i="3"/>
  <c r="R1227" i="3"/>
  <c r="R1771" i="3" l="1"/>
  <c r="K4920" i="3" l="1"/>
  <c r="K4919" i="3"/>
  <c r="R4919" i="3" s="1"/>
  <c r="J4875" i="3"/>
  <c r="K4757" i="3"/>
  <c r="X4714" i="3"/>
  <c r="L4714" i="3"/>
  <c r="N4714" i="3" s="1"/>
  <c r="K4714" i="3"/>
  <c r="R4714" i="3" s="1"/>
  <c r="W4714" i="3"/>
  <c r="K4680" i="3" l="1"/>
  <c r="R4680" i="3" s="1"/>
  <c r="K4670" i="3"/>
  <c r="R4670" i="3" s="1"/>
  <c r="K4633" i="3" l="1"/>
  <c r="R4633" i="3" l="1"/>
  <c r="R4572" i="3"/>
  <c r="K4572" i="3"/>
  <c r="J4526" i="3"/>
  <c r="J4466" i="3"/>
  <c r="J4465" i="3"/>
  <c r="X4465" i="3"/>
  <c r="X4466" i="3"/>
  <c r="X4467" i="3"/>
  <c r="X4468" i="3"/>
  <c r="X4406" i="3"/>
  <c r="X4407" i="3"/>
  <c r="J4405" i="3"/>
  <c r="J4404" i="3"/>
  <c r="N4371" i="3"/>
  <c r="O4371" i="3" s="1"/>
  <c r="R4371" i="3" s="1"/>
  <c r="K4371" i="3"/>
  <c r="X4371" i="3"/>
  <c r="X4372" i="3"/>
  <c r="X4373" i="3"/>
  <c r="X4374" i="3"/>
  <c r="X4375" i="3"/>
  <c r="X4376" i="3"/>
  <c r="J4352" i="3"/>
  <c r="X4352" i="3"/>
  <c r="X4353" i="3"/>
  <c r="X4354" i="3"/>
  <c r="J4300" i="3"/>
  <c r="K4233" i="3"/>
  <c r="K4230" i="3"/>
  <c r="R4230" i="3" s="1"/>
  <c r="R4175" i="3"/>
  <c r="R4174" i="3"/>
  <c r="R4173" i="3"/>
  <c r="R4037" i="3"/>
  <c r="R4036" i="3"/>
  <c r="X4036" i="3"/>
  <c r="X4037" i="3"/>
  <c r="X4038" i="3"/>
  <c r="X4039" i="3"/>
  <c r="J3987" i="3"/>
  <c r="X3987" i="3"/>
  <c r="X3988" i="3"/>
  <c r="X3989" i="3"/>
  <c r="X3990" i="3"/>
  <c r="K3886" i="3"/>
  <c r="R3886" i="3" s="1"/>
  <c r="X3886" i="3"/>
  <c r="X3887" i="3"/>
  <c r="K3825" i="3"/>
  <c r="N3825" i="3" s="1"/>
  <c r="R3825" i="3" s="1"/>
  <c r="X3825" i="3"/>
  <c r="X3826" i="3"/>
  <c r="X3830" i="3"/>
  <c r="X3831" i="3"/>
  <c r="K3700" i="3"/>
  <c r="R3700" i="3" s="1"/>
  <c r="K3551" i="3"/>
  <c r="O3551" i="3" s="1"/>
  <c r="R3551" i="3" s="1"/>
  <c r="K3550" i="3"/>
  <c r="O3550" i="3" s="1"/>
  <c r="R3550" i="3" s="1"/>
  <c r="K3541" i="3"/>
  <c r="O3541" i="3" s="1"/>
  <c r="R3541" i="3" s="1"/>
  <c r="K3540" i="3"/>
  <c r="O3540" i="3" s="1"/>
  <c r="R3540" i="3" s="1"/>
  <c r="K3481" i="3"/>
  <c r="N3481" i="3" s="1"/>
  <c r="R3481" i="3" s="1"/>
  <c r="K3480" i="3"/>
  <c r="N3480" i="3" s="1"/>
  <c r="R3480" i="3" s="1"/>
  <c r="K3471" i="3"/>
  <c r="N3471" i="3" s="1"/>
  <c r="R3471" i="3" s="1"/>
  <c r="K3470" i="3"/>
  <c r="N3470" i="3" s="1"/>
  <c r="R3470" i="3" s="1"/>
  <c r="K3213" i="3"/>
  <c r="N3213" i="3" s="1"/>
  <c r="R3213" i="3" s="1"/>
  <c r="K3212" i="3"/>
  <c r="N3212" i="3" s="1"/>
  <c r="R3212" i="3" s="1"/>
  <c r="K3203" i="3"/>
  <c r="N3203" i="3" s="1"/>
  <c r="R3203" i="3" s="1"/>
  <c r="K3202" i="3"/>
  <c r="N3202" i="3" s="1"/>
  <c r="R3202" i="3" s="1"/>
  <c r="K2337" i="3"/>
  <c r="K2268" i="3"/>
  <c r="R2268" i="3" s="1"/>
  <c r="K2234" i="3"/>
  <c r="R2234" i="3" s="1"/>
  <c r="R1797" i="3"/>
  <c r="K1797" i="3"/>
  <c r="N1745" i="3"/>
  <c r="O1745" i="3" s="1"/>
  <c r="R1745" i="3" s="1"/>
  <c r="K1745" i="3"/>
  <c r="N1744" i="3"/>
  <c r="O1744" i="3" s="1"/>
  <c r="R1744" i="3" s="1"/>
  <c r="K1744" i="3"/>
  <c r="X1745" i="3"/>
  <c r="X1746" i="3"/>
  <c r="X1747" i="3"/>
  <c r="X1748" i="3"/>
  <c r="R1659" i="3"/>
  <c r="R1658" i="3"/>
  <c r="R1657" i="3"/>
  <c r="R1656" i="3"/>
  <c r="R1655" i="3"/>
  <c r="W4372" i="3"/>
  <c r="W1797" i="3"/>
  <c r="W4173" i="3"/>
  <c r="W4466" i="3"/>
  <c r="W4036" i="3"/>
  <c r="W3989" i="3"/>
  <c r="W4352" i="3"/>
  <c r="W4468" i="3"/>
  <c r="W4037" i="3"/>
  <c r="W4407" i="3"/>
  <c r="W3988" i="3"/>
  <c r="W4354" i="3"/>
  <c r="W3826" i="3"/>
  <c r="W3825" i="3"/>
  <c r="W4174" i="3"/>
  <c r="W4038" i="3"/>
  <c r="W3830" i="3"/>
  <c r="W3831" i="3"/>
  <c r="W4467" i="3"/>
  <c r="W3987" i="3"/>
  <c r="W4039" i="3"/>
  <c r="W1748" i="3"/>
  <c r="W4406" i="3"/>
  <c r="W4175" i="3"/>
  <c r="W4371" i="3"/>
  <c r="W4353" i="3"/>
  <c r="W4465" i="3"/>
  <c r="W4374" i="3"/>
  <c r="W4375" i="3"/>
  <c r="W3990" i="3"/>
  <c r="W4373" i="3"/>
  <c r="R2337" i="3" l="1"/>
  <c r="R4233" i="3"/>
  <c r="N3550" i="3"/>
  <c r="N3551" i="3"/>
  <c r="N3540" i="3"/>
  <c r="N3541" i="3"/>
  <c r="R1661" i="3"/>
  <c r="R1660" i="3"/>
  <c r="K1499" i="3"/>
  <c r="K1488" i="3"/>
  <c r="K1460" i="3"/>
  <c r="R1460" i="3" s="1"/>
  <c r="K1422" i="3"/>
  <c r="R1422" i="3" s="1"/>
  <c r="L1372" i="3"/>
  <c r="K1372" i="3"/>
  <c r="R1372" i="3" s="1"/>
  <c r="X1384" i="3"/>
  <c r="X1385" i="3"/>
  <c r="M1323" i="3"/>
  <c r="R1323" i="3" s="1"/>
  <c r="N1221" i="3"/>
  <c r="K1221" i="3"/>
  <c r="X1219" i="3"/>
  <c r="X1220" i="3"/>
  <c r="X1221" i="3"/>
  <c r="X1228" i="3"/>
  <c r="N1101" i="3"/>
  <c r="M1102" i="3"/>
  <c r="K1102" i="3"/>
  <c r="K1101" i="3"/>
  <c r="K1100" i="3"/>
  <c r="K1099" i="3"/>
  <c r="K1098" i="3"/>
  <c r="N1097" i="3"/>
  <c r="K1097" i="3"/>
  <c r="K745" i="3"/>
  <c r="W1219" i="3"/>
  <c r="W1220" i="3"/>
  <c r="W2337" i="3"/>
  <c r="W4233" i="3"/>
  <c r="R1488" i="3" l="1"/>
  <c r="N1098" i="3"/>
  <c r="N1102" i="3"/>
  <c r="O1097" i="3"/>
  <c r="N1099" i="3"/>
  <c r="N1100" i="3"/>
  <c r="O1101" i="3"/>
  <c r="R1499" i="3"/>
  <c r="L1221" i="3"/>
  <c r="R1102" i="3" l="1"/>
  <c r="P1101" i="3"/>
  <c r="R1100" i="3"/>
  <c r="R1099" i="3"/>
  <c r="P1097" i="3"/>
  <c r="R1098" i="3"/>
  <c r="O1221" i="3"/>
  <c r="K756" i="3"/>
  <c r="K755" i="3"/>
  <c r="K754" i="3"/>
  <c r="K753" i="3"/>
  <c r="N752" i="3"/>
  <c r="K752" i="3"/>
  <c r="J752" i="3" s="1"/>
  <c r="K751" i="3"/>
  <c r="K750" i="3"/>
  <c r="K749" i="3"/>
  <c r="J749" i="3" s="1"/>
  <c r="K748" i="3"/>
  <c r="K567" i="3"/>
  <c r="N450" i="3"/>
  <c r="K450" i="3"/>
  <c r="N449" i="3"/>
  <c r="K449" i="3"/>
  <c r="N448" i="3"/>
  <c r="K448" i="3"/>
  <c r="N447" i="3"/>
  <c r="K447" i="3"/>
  <c r="X445" i="3"/>
  <c r="X446" i="3"/>
  <c r="X447" i="3"/>
  <c r="X448" i="3"/>
  <c r="X449" i="3"/>
  <c r="X450" i="3"/>
  <c r="J339" i="3"/>
  <c r="X339" i="3"/>
  <c r="X340" i="3"/>
  <c r="X341" i="3"/>
  <c r="X342" i="3"/>
  <c r="X343" i="3"/>
  <c r="X344" i="3"/>
  <c r="X345" i="3"/>
  <c r="X346" i="3"/>
  <c r="X347" i="3"/>
  <c r="X348" i="3"/>
  <c r="J276" i="3"/>
  <c r="X276" i="3"/>
  <c r="X277" i="3"/>
  <c r="X278" i="3"/>
  <c r="X279" i="3"/>
  <c r="X280" i="3"/>
  <c r="X286" i="3"/>
  <c r="J198" i="3"/>
  <c r="J197" i="3"/>
  <c r="J145" i="3"/>
  <c r="X145" i="3"/>
  <c r="X146" i="3"/>
  <c r="X147" i="3"/>
  <c r="X148" i="3"/>
  <c r="W446" i="3"/>
  <c r="W347" i="3"/>
  <c r="W348" i="3"/>
  <c r="W445" i="3"/>
  <c r="R1097" i="3" l="1"/>
  <c r="R1101" i="3"/>
  <c r="R447" i="3"/>
  <c r="O748" i="3"/>
  <c r="O749" i="3"/>
  <c r="O751" i="3"/>
  <c r="O755" i="3"/>
  <c r="O756" i="3"/>
  <c r="O750" i="3"/>
  <c r="O753" i="3"/>
  <c r="O754" i="3"/>
  <c r="R448" i="3"/>
  <c r="R449" i="3"/>
  <c r="R450" i="3"/>
  <c r="R1221" i="3"/>
  <c r="O752" i="3"/>
  <c r="R753" i="3" l="1"/>
  <c r="R756" i="3"/>
  <c r="R749" i="3"/>
  <c r="R754" i="3"/>
  <c r="R750" i="3"/>
  <c r="R755" i="3"/>
  <c r="R751" i="3"/>
  <c r="R748" i="3"/>
  <c r="L567" i="3"/>
  <c r="R567" i="3" s="1"/>
  <c r="R752" i="3"/>
  <c r="X3692" i="3" l="1"/>
  <c r="X3693" i="3"/>
  <c r="X3694" i="3"/>
  <c r="X3695" i="3"/>
  <c r="X3696" i="3"/>
  <c r="K1654" i="3" l="1"/>
  <c r="K4667" i="3"/>
  <c r="R4667" i="3" s="1"/>
  <c r="K4666" i="3"/>
  <c r="R4666" i="3" s="1"/>
  <c r="X4706" i="3"/>
  <c r="X4707" i="3"/>
  <c r="X4708" i="3"/>
  <c r="X4709" i="3"/>
  <c r="X4710" i="3"/>
  <c r="X4711" i="3"/>
  <c r="X4712" i="3"/>
  <c r="X4713" i="3"/>
  <c r="X4735" i="3"/>
  <c r="X4736" i="3"/>
  <c r="R4571" i="3"/>
  <c r="K4571" i="3"/>
  <c r="R4170" i="3"/>
  <c r="R4169" i="3"/>
  <c r="R4168" i="3"/>
  <c r="R4129" i="3"/>
  <c r="R4128" i="3"/>
  <c r="R1796" i="3"/>
  <c r="K1796" i="3"/>
  <c r="X1785" i="3"/>
  <c r="X1786" i="3"/>
  <c r="X1787" i="3"/>
  <c r="X1788" i="3"/>
  <c r="X1789" i="3"/>
  <c r="X1790" i="3"/>
  <c r="X1791" i="3"/>
  <c r="X1792" i="3"/>
  <c r="X1793" i="3"/>
  <c r="X1784" i="3"/>
  <c r="R1770" i="3"/>
  <c r="W4129" i="3"/>
  <c r="W4128" i="3"/>
  <c r="W4707" i="3"/>
  <c r="W1785" i="3"/>
  <c r="W4709" i="3"/>
  <c r="W1796" i="3"/>
  <c r="W4168" i="3"/>
  <c r="W4710" i="3"/>
  <c r="W4170" i="3"/>
  <c r="W4708" i="3"/>
  <c r="W4706" i="3"/>
  <c r="W4169" i="3"/>
  <c r="J4874" i="3" l="1"/>
  <c r="L4713" i="3"/>
  <c r="N4713" i="3" s="1"/>
  <c r="K4713" i="3"/>
  <c r="K4669" i="3"/>
  <c r="R4669" i="3" s="1"/>
  <c r="K4632" i="3"/>
  <c r="J4525" i="3"/>
  <c r="J4464" i="3"/>
  <c r="J4403" i="3"/>
  <c r="J4351" i="3"/>
  <c r="J4299" i="3"/>
  <c r="K4229" i="3"/>
  <c r="R4229" i="3" s="1"/>
  <c r="R4035" i="3"/>
  <c r="R4034" i="3"/>
  <c r="J3986" i="3"/>
  <c r="K3857" i="3"/>
  <c r="N3857" i="3" s="1"/>
  <c r="R3857" i="3" s="1"/>
  <c r="K3856" i="3"/>
  <c r="N3856" i="3" s="1"/>
  <c r="R3856" i="3" s="1"/>
  <c r="K3699" i="3"/>
  <c r="R3699" i="3" s="1"/>
  <c r="K2336" i="3"/>
  <c r="K2267" i="3"/>
  <c r="R2267" i="3" s="1"/>
  <c r="K2233" i="3"/>
  <c r="R2233" i="3" s="1"/>
  <c r="K1487" i="3"/>
  <c r="K1459" i="3"/>
  <c r="R1459" i="3" s="1"/>
  <c r="K1421" i="3"/>
  <c r="R1421" i="3" s="1"/>
  <c r="L1371" i="3"/>
  <c r="K1371" i="3"/>
  <c r="M1322" i="3"/>
  <c r="R1322" i="3" s="1"/>
  <c r="M1321" i="3"/>
  <c r="R1321" i="3" s="1"/>
  <c r="X1322" i="3"/>
  <c r="X1323" i="3"/>
  <c r="N1218" i="3"/>
  <c r="K1218" i="3"/>
  <c r="X1216" i="3"/>
  <c r="X1217" i="3"/>
  <c r="X1218" i="3"/>
  <c r="M1095" i="3"/>
  <c r="K1095" i="3"/>
  <c r="N1094" i="3"/>
  <c r="K1094" i="3"/>
  <c r="K1093" i="3"/>
  <c r="K1092" i="3"/>
  <c r="K1091" i="3"/>
  <c r="N1090" i="3"/>
  <c r="K1090" i="3"/>
  <c r="O745" i="3"/>
  <c r="K744" i="3"/>
  <c r="K743" i="3"/>
  <c r="K742" i="3"/>
  <c r="N741" i="3"/>
  <c r="K741" i="3"/>
  <c r="J741" i="3" s="1"/>
  <c r="K740" i="3"/>
  <c r="K739" i="3"/>
  <c r="K738" i="3"/>
  <c r="J738" i="3" s="1"/>
  <c r="K737" i="3"/>
  <c r="W1216" i="3"/>
  <c r="W1217" i="3"/>
  <c r="R4632" i="3" l="1"/>
  <c r="R2336" i="3"/>
  <c r="R1487" i="3"/>
  <c r="N1091" i="3"/>
  <c r="N1093" i="3"/>
  <c r="O1090" i="3"/>
  <c r="N1092" i="3"/>
  <c r="N1095" i="3"/>
  <c r="O1094" i="3"/>
  <c r="O742" i="3"/>
  <c r="O744" i="3"/>
  <c r="O739" i="3"/>
  <c r="R745" i="3"/>
  <c r="O738" i="3"/>
  <c r="O740" i="3"/>
  <c r="O737" i="3"/>
  <c r="O743" i="3"/>
  <c r="R1095" i="3"/>
  <c r="R4713" i="3"/>
  <c r="R1371" i="3"/>
  <c r="L1218" i="3"/>
  <c r="O741" i="3"/>
  <c r="W4713" i="3"/>
  <c r="R1093" i="3" l="1"/>
  <c r="P1094" i="3"/>
  <c r="R1092" i="3"/>
  <c r="P1090" i="3"/>
  <c r="R1091" i="3"/>
  <c r="R737" i="3"/>
  <c r="R738" i="3"/>
  <c r="R744" i="3"/>
  <c r="R741" i="3"/>
  <c r="R743" i="3"/>
  <c r="R740" i="3"/>
  <c r="R739" i="3"/>
  <c r="R742" i="3"/>
  <c r="O1218" i="3"/>
  <c r="K566" i="3"/>
  <c r="N444" i="3"/>
  <c r="K444" i="3"/>
  <c r="N443" i="3"/>
  <c r="K443" i="3"/>
  <c r="R443" i="3" s="1"/>
  <c r="N442" i="3"/>
  <c r="K442" i="3"/>
  <c r="N441" i="3"/>
  <c r="K441" i="3"/>
  <c r="X439" i="3"/>
  <c r="X440" i="3"/>
  <c r="X441" i="3"/>
  <c r="X442" i="3"/>
  <c r="X443" i="3"/>
  <c r="X444" i="3"/>
  <c r="J338" i="3"/>
  <c r="J275" i="3"/>
  <c r="J196" i="3"/>
  <c r="J144" i="3"/>
  <c r="W440" i="3"/>
  <c r="W439" i="3"/>
  <c r="R1090" i="3" l="1"/>
  <c r="R1094" i="3"/>
  <c r="R444" i="3"/>
  <c r="R442" i="3"/>
  <c r="R1218" i="3"/>
  <c r="R441" i="3"/>
  <c r="L566" i="3" l="1"/>
  <c r="R566" i="3" s="1"/>
  <c r="R4165" i="3" l="1"/>
  <c r="K4164" i="3"/>
  <c r="R4163" i="3"/>
  <c r="R4162" i="3"/>
  <c r="W4165" i="3"/>
  <c r="W4163" i="3"/>
  <c r="W4162" i="3"/>
  <c r="R4164" i="3" l="1"/>
  <c r="X1767" i="3"/>
  <c r="X1768" i="3"/>
  <c r="X1769" i="3"/>
  <c r="K1612" i="3"/>
  <c r="R4570" i="3"/>
  <c r="K4570" i="3"/>
  <c r="X4571" i="3"/>
  <c r="X4572" i="3"/>
  <c r="X4573" i="3"/>
  <c r="X1771" i="3"/>
  <c r="X1772" i="3"/>
  <c r="X1773" i="3"/>
  <c r="X1774" i="3"/>
  <c r="X1775" i="3"/>
  <c r="R1769" i="3"/>
  <c r="R1651" i="3"/>
  <c r="R1654" i="3"/>
  <c r="R1653" i="3"/>
  <c r="R1652" i="3"/>
  <c r="X1770" i="3"/>
  <c r="X1776" i="3"/>
  <c r="X1777" i="3"/>
  <c r="X1778" i="3"/>
  <c r="X1779" i="3"/>
  <c r="X2414" i="3"/>
  <c r="X2380" i="3"/>
  <c r="X2381" i="3"/>
  <c r="X2382" i="3"/>
  <c r="X2383" i="3"/>
  <c r="W1767" i="3"/>
  <c r="W2414" i="3"/>
  <c r="W1779" i="3"/>
  <c r="W1768" i="3"/>
  <c r="W4571" i="3"/>
  <c r="W4164" i="3"/>
  <c r="W2380" i="3"/>
  <c r="W2382" i="3"/>
  <c r="W2381" i="3"/>
  <c r="W2383" i="3"/>
  <c r="W4573" i="3"/>
  <c r="W4572" i="3"/>
  <c r="W1778" i="3"/>
  <c r="W4570" i="3"/>
  <c r="L4712" i="3" l="1"/>
  <c r="N4712" i="3" s="1"/>
  <c r="K4712" i="3"/>
  <c r="R4712" i="3" l="1"/>
  <c r="X356" i="3"/>
  <c r="X357" i="3"/>
  <c r="X358" i="3"/>
  <c r="X359" i="3"/>
  <c r="X355" i="3"/>
  <c r="W357" i="3"/>
  <c r="W4712" i="3"/>
  <c r="W356" i="3"/>
  <c r="F305" i="1" l="1"/>
  <c r="E305" i="1"/>
  <c r="C305" i="1"/>
  <c r="B305" i="1"/>
  <c r="F304" i="1"/>
  <c r="E304" i="1"/>
  <c r="C304" i="1"/>
  <c r="B304" i="1"/>
  <c r="F303" i="1"/>
  <c r="E303" i="1"/>
  <c r="C303" i="1"/>
  <c r="B303" i="1"/>
  <c r="F302" i="1"/>
  <c r="E302" i="1"/>
  <c r="C302" i="1"/>
  <c r="B302" i="1"/>
  <c r="F301" i="1"/>
  <c r="E301" i="1"/>
  <c r="C301" i="1"/>
  <c r="B301" i="1"/>
  <c r="F300" i="1"/>
  <c r="E300" i="1"/>
  <c r="C300" i="1"/>
  <c r="B300" i="1"/>
  <c r="F299" i="1"/>
  <c r="E299" i="1"/>
  <c r="C299" i="1"/>
  <c r="B299" i="1"/>
  <c r="G260" i="2" l="1"/>
  <c r="X4918" i="3"/>
  <c r="X4919" i="3"/>
  <c r="X4920" i="3"/>
  <c r="X4924" i="3"/>
  <c r="X4925" i="3"/>
  <c r="X4926" i="3"/>
  <c r="X4917" i="3"/>
  <c r="X4927" i="3"/>
  <c r="X4909" i="3"/>
  <c r="X4910" i="3"/>
  <c r="X4911" i="3"/>
  <c r="X4912" i="3"/>
  <c r="X4913" i="3"/>
  <c r="X4914" i="3"/>
  <c r="X4915" i="3"/>
  <c r="X4908" i="3"/>
  <c r="X4916" i="3"/>
  <c r="X4900" i="3"/>
  <c r="X4901" i="3"/>
  <c r="X4902" i="3"/>
  <c r="X4903" i="3"/>
  <c r="X4904" i="3"/>
  <c r="X4905" i="3"/>
  <c r="X4906" i="3"/>
  <c r="X4899" i="3"/>
  <c r="X4907" i="3"/>
  <c r="X4891" i="3"/>
  <c r="X4892" i="3"/>
  <c r="X4893" i="3"/>
  <c r="X4894" i="3"/>
  <c r="X4895" i="3"/>
  <c r="X4896" i="3"/>
  <c r="X4897" i="3"/>
  <c r="X4890" i="3"/>
  <c r="X4898" i="3"/>
  <c r="X4866" i="3"/>
  <c r="X4867" i="3"/>
  <c r="X4868" i="3"/>
  <c r="X4869" i="3"/>
  <c r="X4870" i="3"/>
  <c r="X4871" i="3"/>
  <c r="X4872" i="3"/>
  <c r="X4873" i="3"/>
  <c r="X4874" i="3"/>
  <c r="X4875" i="3"/>
  <c r="X4876" i="3"/>
  <c r="X4877" i="3"/>
  <c r="X4887" i="3"/>
  <c r="X4888" i="3"/>
  <c r="X4889" i="3"/>
  <c r="X4865" i="3"/>
  <c r="X4826" i="3"/>
  <c r="X4827" i="3"/>
  <c r="X4863" i="3"/>
  <c r="X4864" i="3"/>
  <c r="X4825" i="3"/>
  <c r="X4785" i="3"/>
  <c r="X4786" i="3"/>
  <c r="X4787" i="3"/>
  <c r="X4824" i="3"/>
  <c r="X4823" i="3"/>
  <c r="J4873" i="3"/>
  <c r="J4872" i="3"/>
  <c r="J4871" i="3"/>
  <c r="J4870" i="3"/>
  <c r="J4869" i="3"/>
  <c r="J4868" i="3"/>
  <c r="K4867" i="3"/>
  <c r="R4827" i="3"/>
  <c r="K4827" i="3"/>
  <c r="R4787" i="3"/>
  <c r="K4787" i="3"/>
  <c r="K4756" i="3"/>
  <c r="X4756" i="3"/>
  <c r="X4757" i="3"/>
  <c r="X4758" i="3"/>
  <c r="X4759" i="3"/>
  <c r="X4760" i="3"/>
  <c r="X4761" i="3"/>
  <c r="X4762" i="3"/>
  <c r="K4668" i="3"/>
  <c r="R4668" i="3" s="1"/>
  <c r="K4631" i="3"/>
  <c r="K4630" i="3"/>
  <c r="K4629" i="3"/>
  <c r="J4524" i="3"/>
  <c r="J4523" i="3"/>
  <c r="J4522" i="3"/>
  <c r="X4522" i="3"/>
  <c r="X4523" i="3"/>
  <c r="X4524" i="3"/>
  <c r="X4525" i="3"/>
  <c r="X4526" i="3"/>
  <c r="X4527" i="3"/>
  <c r="J4463" i="3"/>
  <c r="J4462" i="3"/>
  <c r="J4461" i="3"/>
  <c r="X4461" i="3"/>
  <c r="X4462" i="3"/>
  <c r="X4463" i="3"/>
  <c r="X4464" i="3"/>
  <c r="J4402" i="3"/>
  <c r="J4401" i="3"/>
  <c r="J4400" i="3"/>
  <c r="X4400" i="3"/>
  <c r="X4401" i="3"/>
  <c r="X4402" i="3"/>
  <c r="X4403" i="3"/>
  <c r="X4404" i="3"/>
  <c r="X4405" i="3"/>
  <c r="X4348" i="3"/>
  <c r="X4349" i="3"/>
  <c r="X4350" i="3"/>
  <c r="X4351" i="3"/>
  <c r="J4350" i="3"/>
  <c r="J4349" i="3"/>
  <c r="J4348" i="3"/>
  <c r="J4347" i="3"/>
  <c r="J4298" i="3"/>
  <c r="J4297" i="3"/>
  <c r="J4296" i="3"/>
  <c r="J4295" i="3"/>
  <c r="X4296" i="3"/>
  <c r="X4297" i="3"/>
  <c r="X4298" i="3"/>
  <c r="X4299" i="3"/>
  <c r="X4300" i="3"/>
  <c r="K4228" i="3"/>
  <c r="R4228" i="3" s="1"/>
  <c r="X4228" i="3"/>
  <c r="X4229" i="3"/>
  <c r="X4230" i="3"/>
  <c r="X4026" i="3"/>
  <c r="X4027" i="3"/>
  <c r="X4032" i="3"/>
  <c r="X4033" i="3"/>
  <c r="X4034" i="3"/>
  <c r="X4035" i="3"/>
  <c r="R4033" i="3"/>
  <c r="R4032" i="3"/>
  <c r="R4031" i="3"/>
  <c r="J3985" i="3"/>
  <c r="J3984" i="3"/>
  <c r="J3983" i="3"/>
  <c r="X3983" i="3"/>
  <c r="X3984" i="3"/>
  <c r="X3985" i="3"/>
  <c r="X3986" i="3"/>
  <c r="K3698" i="3"/>
  <c r="R3698" i="3" s="1"/>
  <c r="X3698" i="3"/>
  <c r="X3699" i="3"/>
  <c r="X3700" i="3"/>
  <c r="K2335" i="3"/>
  <c r="N2318" i="3"/>
  <c r="R2318" i="3" s="1"/>
  <c r="K2318" i="3"/>
  <c r="K2305" i="3"/>
  <c r="K2304" i="3"/>
  <c r="X2303" i="3"/>
  <c r="X2304" i="3"/>
  <c r="X2305" i="3"/>
  <c r="X2306" i="3"/>
  <c r="X2263" i="3"/>
  <c r="X2264" i="3"/>
  <c r="K2266" i="3"/>
  <c r="R2266" i="3" s="1"/>
  <c r="X2229" i="3"/>
  <c r="X2230" i="3"/>
  <c r="X2231" i="3"/>
  <c r="X2232" i="3"/>
  <c r="K2232" i="3"/>
  <c r="R2232" i="3" s="1"/>
  <c r="R1795" i="3"/>
  <c r="K1795" i="3"/>
  <c r="X1736" i="3"/>
  <c r="X1737" i="3"/>
  <c r="X1738" i="3"/>
  <c r="X1739" i="3"/>
  <c r="X1740" i="3"/>
  <c r="X1741" i="3"/>
  <c r="X1742" i="3"/>
  <c r="X1743" i="3"/>
  <c r="X1744" i="3"/>
  <c r="X1749" i="3"/>
  <c r="N1743" i="3"/>
  <c r="O1743" i="3" s="1"/>
  <c r="R1743" i="3" s="1"/>
  <c r="K1743" i="3"/>
  <c r="K1742" i="3"/>
  <c r="R1742" i="3" s="1"/>
  <c r="K1741" i="3"/>
  <c r="R1741" i="3" s="1"/>
  <c r="K1740" i="3"/>
  <c r="R1740" i="3" s="1"/>
  <c r="K1703" i="3"/>
  <c r="R1703" i="3" s="1"/>
  <c r="K1702" i="3"/>
  <c r="O1702" i="3" s="1"/>
  <c r="K1701" i="3"/>
  <c r="O1701" i="3" s="1"/>
  <c r="X1699" i="3"/>
  <c r="X1700" i="3"/>
  <c r="X1701" i="3"/>
  <c r="X1702" i="3"/>
  <c r="X1703" i="3"/>
  <c r="X1704" i="3"/>
  <c r="X1705" i="3"/>
  <c r="X1706" i="3"/>
  <c r="X1707" i="3"/>
  <c r="X1708" i="3"/>
  <c r="K1486" i="3"/>
  <c r="K1458" i="3"/>
  <c r="R1458" i="3" s="1"/>
  <c r="K1420" i="3"/>
  <c r="R1420" i="3" s="1"/>
  <c r="L1370" i="3"/>
  <c r="K1370" i="3"/>
  <c r="M1320" i="3"/>
  <c r="R1320" i="3" s="1"/>
  <c r="M1319" i="3"/>
  <c r="R1319" i="3" s="1"/>
  <c r="N1215" i="3"/>
  <c r="K1215" i="3"/>
  <c r="L1215" i="3" s="1"/>
  <c r="X948" i="3"/>
  <c r="X949" i="3"/>
  <c r="X950" i="3"/>
  <c r="X951" i="3"/>
  <c r="X952" i="3"/>
  <c r="X953" i="3"/>
  <c r="X954" i="3"/>
  <c r="X955" i="3"/>
  <c r="X956" i="3"/>
  <c r="M1088" i="3"/>
  <c r="K1088" i="3"/>
  <c r="N1087" i="3"/>
  <c r="K1087" i="3"/>
  <c r="K1086" i="3"/>
  <c r="K1085" i="3"/>
  <c r="K1084" i="3"/>
  <c r="N1083" i="3"/>
  <c r="K1083" i="3"/>
  <c r="K734" i="3"/>
  <c r="K733" i="3"/>
  <c r="K732" i="3"/>
  <c r="K731" i="3"/>
  <c r="N730" i="3"/>
  <c r="K730" i="3"/>
  <c r="J730" i="3" s="1"/>
  <c r="K729" i="3"/>
  <c r="K728" i="3"/>
  <c r="K727" i="3"/>
  <c r="J727" i="3" s="1"/>
  <c r="K726" i="3"/>
  <c r="K565" i="3"/>
  <c r="N438" i="3"/>
  <c r="K438" i="3"/>
  <c r="N437" i="3"/>
  <c r="K437" i="3"/>
  <c r="N436" i="3"/>
  <c r="K436" i="3"/>
  <c r="N435" i="3"/>
  <c r="K435" i="3"/>
  <c r="X434" i="3"/>
  <c r="X435" i="3"/>
  <c r="X436" i="3"/>
  <c r="X437" i="3"/>
  <c r="X438" i="3"/>
  <c r="J337" i="3"/>
  <c r="J336" i="3"/>
  <c r="J335" i="3"/>
  <c r="X335" i="3"/>
  <c r="X336" i="3"/>
  <c r="X337" i="3"/>
  <c r="X338" i="3"/>
  <c r="X272" i="3"/>
  <c r="X273" i="3"/>
  <c r="X274" i="3"/>
  <c r="X275" i="3"/>
  <c r="J274" i="3"/>
  <c r="J273" i="3"/>
  <c r="J272" i="3"/>
  <c r="J195" i="3"/>
  <c r="J194" i="3"/>
  <c r="J193" i="3"/>
  <c r="W4902" i="3"/>
  <c r="W4901" i="3"/>
  <c r="W4866" i="3"/>
  <c r="W3984" i="3"/>
  <c r="W4760" i="3"/>
  <c r="W1749" i="3"/>
  <c r="W4909" i="3"/>
  <c r="W3985" i="3"/>
  <c r="W4759" i="3"/>
  <c r="W4919" i="3"/>
  <c r="W4228" i="3"/>
  <c r="W4761" i="3"/>
  <c r="W949" i="3"/>
  <c r="W4872" i="3"/>
  <c r="W4920" i="3"/>
  <c r="W3983" i="3"/>
  <c r="W4462" i="3"/>
  <c r="W4031" i="3"/>
  <c r="W1699" i="3"/>
  <c r="W4527" i="3"/>
  <c r="W4032" i="3"/>
  <c r="W4464" i="3"/>
  <c r="W3699" i="3"/>
  <c r="W2306" i="3"/>
  <c r="W3700" i="3"/>
  <c r="W4757" i="3"/>
  <c r="W4912" i="3"/>
  <c r="W4351" i="3"/>
  <c r="W4893" i="3"/>
  <c r="W1743" i="3"/>
  <c r="W2318" i="3"/>
  <c r="W434" i="3"/>
  <c r="W4892" i="3"/>
  <c r="W4894" i="3"/>
  <c r="W4762" i="3"/>
  <c r="W1705" i="3"/>
  <c r="W4873" i="3"/>
  <c r="W4916" i="3"/>
  <c r="W4405" i="3"/>
  <c r="W1795" i="3"/>
  <c r="W4907" i="3"/>
  <c r="W4758" i="3"/>
  <c r="W4229" i="3"/>
  <c r="W4911" i="3"/>
  <c r="W4877" i="3"/>
  <c r="W4348" i="3"/>
  <c r="W4526" i="3"/>
  <c r="W1704" i="3"/>
  <c r="W4400" i="3"/>
  <c r="W4867" i="3"/>
  <c r="W4824" i="3"/>
  <c r="W4034" i="3"/>
  <c r="W4898" i="3"/>
  <c r="W4874" i="3"/>
  <c r="W4230" i="3"/>
  <c r="W3986" i="3"/>
  <c r="W4910" i="3"/>
  <c r="W4035" i="3"/>
  <c r="W4524" i="3"/>
  <c r="W4523" i="3"/>
  <c r="W4522" i="3"/>
  <c r="W4787" i="3"/>
  <c r="W4403" i="3"/>
  <c r="W4463" i="3"/>
  <c r="W4461" i="3"/>
  <c r="W4826" i="3"/>
  <c r="W4756" i="3"/>
  <c r="W1707" i="3"/>
  <c r="W2305" i="3"/>
  <c r="W4900" i="3"/>
  <c r="W4786" i="3"/>
  <c r="W4864" i="3"/>
  <c r="W4525" i="3"/>
  <c r="W3698" i="3"/>
  <c r="W4875" i="3"/>
  <c r="W4889" i="3"/>
  <c r="W4401" i="3"/>
  <c r="W4350" i="3"/>
  <c r="W4402" i="3"/>
  <c r="W4827" i="3"/>
  <c r="W950" i="3"/>
  <c r="W4927" i="3"/>
  <c r="W4869" i="3"/>
  <c r="W4891" i="3"/>
  <c r="W4903" i="3"/>
  <c r="W4033" i="3"/>
  <c r="W1706" i="3"/>
  <c r="W1708" i="3"/>
  <c r="W2304" i="3"/>
  <c r="W4918" i="3"/>
  <c r="W4871" i="3"/>
  <c r="W4876" i="3"/>
  <c r="W4349" i="3"/>
  <c r="W4870" i="3"/>
  <c r="W4404" i="3"/>
  <c r="R4629" i="3" l="1"/>
  <c r="R4630" i="3"/>
  <c r="R4631" i="3"/>
  <c r="R2335" i="3"/>
  <c r="R1486" i="3"/>
  <c r="O1087" i="3"/>
  <c r="N1085" i="3"/>
  <c r="N1088" i="3"/>
  <c r="R1088" i="3" s="1"/>
  <c r="O1083" i="3"/>
  <c r="N1084" i="3"/>
  <c r="N1086" i="3"/>
  <c r="O732" i="3"/>
  <c r="O733" i="3"/>
  <c r="O727" i="3"/>
  <c r="O729" i="3"/>
  <c r="O731" i="3"/>
  <c r="O734" i="3"/>
  <c r="O726" i="3"/>
  <c r="O728" i="3"/>
  <c r="R1370" i="3"/>
  <c r="R436" i="3"/>
  <c r="R435" i="3"/>
  <c r="N1740" i="3"/>
  <c r="O1740" i="3"/>
  <c r="N1741" i="3"/>
  <c r="O1741" i="3"/>
  <c r="N1742" i="3"/>
  <c r="O1742" i="3"/>
  <c r="R1702" i="3"/>
  <c r="N1702" i="3"/>
  <c r="N1703" i="3"/>
  <c r="R1701" i="3"/>
  <c r="O1703" i="3"/>
  <c r="N1701" i="3"/>
  <c r="O1215" i="3"/>
  <c r="R1215" i="3" s="1"/>
  <c r="R437" i="3"/>
  <c r="O730" i="3"/>
  <c r="R438" i="3"/>
  <c r="J143" i="3"/>
  <c r="J142" i="3"/>
  <c r="J141" i="3"/>
  <c r="X141" i="3"/>
  <c r="X142" i="3"/>
  <c r="X143" i="3"/>
  <c r="X144" i="3"/>
  <c r="W1703" i="3"/>
  <c r="W1741" i="3"/>
  <c r="W1742" i="3"/>
  <c r="W1740" i="3"/>
  <c r="W1701" i="3"/>
  <c r="W1702" i="3"/>
  <c r="R1086" i="3" l="1"/>
  <c r="R1084" i="3"/>
  <c r="P1083" i="3"/>
  <c r="R1085" i="3"/>
  <c r="P1087" i="3"/>
  <c r="R726" i="3"/>
  <c r="R734" i="3"/>
  <c r="R729" i="3"/>
  <c r="R733" i="3"/>
  <c r="R728" i="3"/>
  <c r="R731" i="3"/>
  <c r="R727" i="3"/>
  <c r="R730" i="3"/>
  <c r="R732" i="3"/>
  <c r="L565" i="3"/>
  <c r="R565" i="3" s="1"/>
  <c r="R4925" i="3"/>
  <c r="R4924" i="3"/>
  <c r="L4924" i="3"/>
  <c r="S4926" i="3" s="1"/>
  <c r="J4924" i="3"/>
  <c r="C4917" i="3"/>
  <c r="R4914" i="3"/>
  <c r="R4913" i="3"/>
  <c r="L4913" i="3"/>
  <c r="S4915" i="3" s="1"/>
  <c r="J4913" i="3"/>
  <c r="C4908" i="3"/>
  <c r="R4905" i="3"/>
  <c r="R4904" i="3"/>
  <c r="L4904" i="3"/>
  <c r="S4906" i="3" s="1"/>
  <c r="J4904" i="3"/>
  <c r="C4899" i="3"/>
  <c r="R4896" i="3"/>
  <c r="R4895" i="3"/>
  <c r="L4895" i="3"/>
  <c r="S4897" i="3" s="1"/>
  <c r="J4895" i="3"/>
  <c r="C4890" i="3"/>
  <c r="R4887" i="3"/>
  <c r="R4886" i="3"/>
  <c r="L4886" i="3"/>
  <c r="S4888" i="3" s="1"/>
  <c r="J4886" i="3"/>
  <c r="C4865" i="3"/>
  <c r="C4825" i="3"/>
  <c r="R4862" i="3"/>
  <c r="R4861" i="3"/>
  <c r="L4861" i="3"/>
  <c r="S4863" i="3" s="1"/>
  <c r="J4861" i="3"/>
  <c r="R4822" i="3"/>
  <c r="R4821" i="3"/>
  <c r="K1763" i="3" s="1"/>
  <c r="L4821" i="3"/>
  <c r="S4823" i="3" s="1"/>
  <c r="J4821" i="3"/>
  <c r="C4785" i="3"/>
  <c r="W4865" i="3"/>
  <c r="W4908" i="3"/>
  <c r="W4825" i="3"/>
  <c r="W4785" i="3"/>
  <c r="W4890" i="3"/>
  <c r="W4899" i="3"/>
  <c r="W4917" i="3"/>
  <c r="R1087" i="3" l="1"/>
  <c r="R1083" i="3"/>
  <c r="R4926" i="3"/>
  <c r="S4924" i="3"/>
  <c r="J4925" i="3"/>
  <c r="S4925" i="3"/>
  <c r="J4914" i="3"/>
  <c r="S4913" i="3"/>
  <c r="S4914" i="3"/>
  <c r="R4915" i="3"/>
  <c r="R4906" i="3"/>
  <c r="R4897" i="3"/>
  <c r="S4904" i="3"/>
  <c r="J4905" i="3"/>
  <c r="S4905" i="3"/>
  <c r="S4895" i="3"/>
  <c r="J4896" i="3"/>
  <c r="S4896" i="3"/>
  <c r="R4888" i="3"/>
  <c r="S4887" i="3"/>
  <c r="S4886" i="3"/>
  <c r="J4887" i="3"/>
  <c r="R4863" i="3"/>
  <c r="S4861" i="3"/>
  <c r="J4862" i="3"/>
  <c r="S4862" i="3"/>
  <c r="R4823" i="3"/>
  <c r="J4822" i="3"/>
  <c r="S4821" i="3"/>
  <c r="S4822" i="3"/>
  <c r="W4861" i="3"/>
  <c r="W4821" i="3"/>
  <c r="W4822" i="3"/>
  <c r="W4915" i="3"/>
  <c r="W4886" i="3"/>
  <c r="W4895" i="3"/>
  <c r="W4926" i="3"/>
  <c r="W4925" i="3"/>
  <c r="W4863" i="3"/>
  <c r="W4823" i="3"/>
  <c r="W4888" i="3"/>
  <c r="W4887" i="3"/>
  <c r="W4896" i="3"/>
  <c r="W4913" i="3"/>
  <c r="W4914" i="3"/>
  <c r="W4905" i="3"/>
  <c r="W4904" i="3"/>
  <c r="W4862" i="3"/>
  <c r="W4924" i="3"/>
  <c r="W4906" i="3"/>
  <c r="W4897" i="3"/>
  <c r="J305" i="2" l="1"/>
  <c r="D300" i="1" s="1"/>
  <c r="G300" i="1" s="1"/>
  <c r="H300" i="1" s="1"/>
  <c r="V4863" i="3"/>
  <c r="J310" i="2"/>
  <c r="D305" i="1" s="1"/>
  <c r="G305" i="1" s="1"/>
  <c r="H305" i="1" s="1"/>
  <c r="V4926" i="3"/>
  <c r="V4925" i="3" s="1"/>
  <c r="V4924" i="3" s="1"/>
  <c r="J306" i="2"/>
  <c r="D301" i="1" s="1"/>
  <c r="G301" i="1" s="1"/>
  <c r="H301" i="1" s="1"/>
  <c r="V4888" i="3"/>
  <c r="V4887" i="3" s="1"/>
  <c r="V4886" i="3" s="1"/>
  <c r="J309" i="2"/>
  <c r="D304" i="1" s="1"/>
  <c r="G304" i="1" s="1"/>
  <c r="H304" i="1" s="1"/>
  <c r="V4915" i="3"/>
  <c r="V4914" i="3" s="1"/>
  <c r="V4913" i="3" s="1"/>
  <c r="V4912" i="3" s="1"/>
  <c r="V4911" i="3" s="1"/>
  <c r="V4910" i="3" s="1"/>
  <c r="V4909" i="3" s="1"/>
  <c r="V4908" i="3" s="1"/>
  <c r="V4916" i="3" s="1"/>
  <c r="J304" i="2"/>
  <c r="D299" i="1" s="1"/>
  <c r="G299" i="1" s="1"/>
  <c r="H299" i="1" s="1"/>
  <c r="V4823" i="3"/>
  <c r="V4822" i="3" s="1"/>
  <c r="V4821" i="3" s="1"/>
  <c r="V4820" i="3" s="1"/>
  <c r="V4819" i="3" s="1"/>
  <c r="V4818" i="3" s="1"/>
  <c r="V4817" i="3" s="1"/>
  <c r="V4816" i="3" s="1"/>
  <c r="V4815" i="3" s="1"/>
  <c r="V4814" i="3" s="1"/>
  <c r="V4813" i="3" s="1"/>
  <c r="V4812" i="3" s="1"/>
  <c r="V4811" i="3" s="1"/>
  <c r="V4810" i="3" s="1"/>
  <c r="V4809" i="3" s="1"/>
  <c r="V4808" i="3" s="1"/>
  <c r="V4807" i="3" s="1"/>
  <c r="V4806" i="3" s="1"/>
  <c r="V4805" i="3" s="1"/>
  <c r="V4804" i="3" s="1"/>
  <c r="V4803" i="3" s="1"/>
  <c r="V4802" i="3" s="1"/>
  <c r="V4801" i="3" s="1"/>
  <c r="J307" i="2"/>
  <c r="D302" i="1" s="1"/>
  <c r="G302" i="1" s="1"/>
  <c r="H302" i="1" s="1"/>
  <c r="V4897" i="3"/>
  <c r="V4896" i="3" s="1"/>
  <c r="V4895" i="3" s="1"/>
  <c r="V4894" i="3" s="1"/>
  <c r="V4893" i="3" s="1"/>
  <c r="V4892" i="3" s="1"/>
  <c r="V4891" i="3" s="1"/>
  <c r="V4890" i="3" s="1"/>
  <c r="V4898" i="3" s="1"/>
  <c r="J308" i="2"/>
  <c r="D303" i="1" s="1"/>
  <c r="G303" i="1" s="1"/>
  <c r="H303" i="1" s="1"/>
  <c r="V4906" i="3"/>
  <c r="V4905" i="3" s="1"/>
  <c r="V4904" i="3" s="1"/>
  <c r="V4903" i="3" s="1"/>
  <c r="V4902" i="3" s="1"/>
  <c r="V4901" i="3" s="1"/>
  <c r="V4900" i="3" s="1"/>
  <c r="V4899" i="3" s="1"/>
  <c r="V4907" i="3" s="1"/>
  <c r="G55" i="2"/>
  <c r="G54" i="2"/>
  <c r="G53" i="2"/>
  <c r="G41" i="2"/>
  <c r="G39" i="2"/>
  <c r="G300" i="2"/>
  <c r="G293" i="2"/>
  <c r="G285" i="2"/>
  <c r="G284" i="2"/>
  <c r="G261" i="2"/>
  <c r="G262" i="2"/>
  <c r="G102" i="2"/>
  <c r="G101" i="2"/>
  <c r="V4885" i="3" l="1"/>
  <c r="V4884" i="3" s="1"/>
  <c r="V4883" i="3" s="1"/>
  <c r="V4882" i="3" s="1"/>
  <c r="V4881" i="3" s="1"/>
  <c r="V4880" i="3" s="1"/>
  <c r="V4879" i="3" s="1"/>
  <c r="V4862" i="3"/>
  <c r="V4800" i="3"/>
  <c r="V4799" i="3" s="1"/>
  <c r="V4798" i="3" s="1"/>
  <c r="V4797" i="3" s="1"/>
  <c r="V4796" i="3" s="1"/>
  <c r="V4795" i="3" s="1"/>
  <c r="V4794" i="3" s="1"/>
  <c r="V4793" i="3" s="1"/>
  <c r="V4792" i="3" s="1"/>
  <c r="V4791" i="3" s="1"/>
  <c r="V4790" i="3" s="1"/>
  <c r="V4789" i="3" s="1"/>
  <c r="V4788" i="3" s="1"/>
  <c r="V4787" i="3" s="1"/>
  <c r="V4786" i="3" s="1"/>
  <c r="V4785" i="3" s="1"/>
  <c r="V4824" i="3" s="1"/>
  <c r="V4923" i="3"/>
  <c r="V4922" i="3" s="1"/>
  <c r="V4921" i="3" s="1"/>
  <c r="V4920" i="3" s="1"/>
  <c r="V4919" i="3" s="1"/>
  <c r="V4918" i="3" s="1"/>
  <c r="V4917" i="3" s="1"/>
  <c r="V4927" i="3" s="1"/>
  <c r="G310" i="2"/>
  <c r="G309" i="2"/>
  <c r="G308" i="2"/>
  <c r="G307" i="2"/>
  <c r="G306" i="2"/>
  <c r="G305" i="2"/>
  <c r="L305" i="2"/>
  <c r="M305" i="2" s="1"/>
  <c r="N305" i="2" s="1"/>
  <c r="L306" i="2"/>
  <c r="M306" i="2" s="1"/>
  <c r="N306" i="2" s="1"/>
  <c r="L307" i="2"/>
  <c r="M307" i="2" s="1"/>
  <c r="N307" i="2" s="1"/>
  <c r="L308" i="2"/>
  <c r="M308" i="2" s="1"/>
  <c r="N308" i="2" s="1"/>
  <c r="L309" i="2"/>
  <c r="M309" i="2" s="1"/>
  <c r="N309" i="2" s="1"/>
  <c r="L310" i="2"/>
  <c r="M310" i="2" s="1"/>
  <c r="N310" i="2" s="1"/>
  <c r="L304" i="2"/>
  <c r="M304" i="2" s="1"/>
  <c r="N304" i="2" s="1"/>
  <c r="G304" i="2"/>
  <c r="I304" i="2"/>
  <c r="I305" i="2"/>
  <c r="I306" i="2"/>
  <c r="I307" i="2"/>
  <c r="I308" i="2"/>
  <c r="I309" i="2"/>
  <c r="I310" i="2"/>
  <c r="J13" i="2"/>
  <c r="V4861" i="3" l="1"/>
  <c r="V4860" i="3" s="1"/>
  <c r="V4859" i="3" s="1"/>
  <c r="V4858" i="3" s="1"/>
  <c r="V4857" i="3" s="1"/>
  <c r="V4856" i="3" s="1"/>
  <c r="V4855" i="3" s="1"/>
  <c r="V4854" i="3" s="1"/>
  <c r="V4853" i="3" s="1"/>
  <c r="V4852" i="3" s="1"/>
  <c r="V4851" i="3" s="1"/>
  <c r="V4850" i="3" s="1"/>
  <c r="V4849" i="3" s="1"/>
  <c r="V4848" i="3" s="1"/>
  <c r="V4847" i="3" s="1"/>
  <c r="V4846" i="3" s="1"/>
  <c r="V4845" i="3" s="1"/>
  <c r="V4844" i="3" s="1"/>
  <c r="V4843" i="3" s="1"/>
  <c r="V4842" i="3" s="1"/>
  <c r="V4841" i="3" s="1"/>
  <c r="V4840" i="3" s="1"/>
  <c r="V4839" i="3" s="1"/>
  <c r="V4838" i="3" s="1"/>
  <c r="V4837" i="3" s="1"/>
  <c r="V4836" i="3" s="1"/>
  <c r="V4835" i="3" s="1"/>
  <c r="V4834" i="3" s="1"/>
  <c r="V4833" i="3" s="1"/>
  <c r="V4832" i="3" s="1"/>
  <c r="V4831" i="3" s="1"/>
  <c r="V4830" i="3" s="1"/>
  <c r="V4829" i="3" s="1"/>
  <c r="V4828" i="3" s="1"/>
  <c r="V4827" i="3" s="1"/>
  <c r="V4826" i="3" s="1"/>
  <c r="V4825" i="3" s="1"/>
  <c r="V4864" i="3" s="1"/>
  <c r="V4878" i="3"/>
  <c r="V4877" i="3" s="1"/>
  <c r="V4876" i="3" s="1"/>
  <c r="V4875" i="3" s="1"/>
  <c r="V4874" i="3" s="1"/>
  <c r="V4873" i="3" s="1"/>
  <c r="V4872" i="3" s="1"/>
  <c r="V4871" i="3" s="1"/>
  <c r="V4870" i="3" s="1"/>
  <c r="V4869" i="3" s="1"/>
  <c r="V4868" i="3" s="1"/>
  <c r="K305" i="2"/>
  <c r="K304" i="2"/>
  <c r="K306" i="2"/>
  <c r="K310" i="2"/>
  <c r="K308" i="2"/>
  <c r="K307" i="2"/>
  <c r="K309" i="2"/>
  <c r="X4663" i="3"/>
  <c r="X4664" i="3"/>
  <c r="X4665" i="3"/>
  <c r="X4559" i="3"/>
  <c r="X4560" i="3"/>
  <c r="X4561" i="3"/>
  <c r="X4562" i="3"/>
  <c r="X4563" i="3"/>
  <c r="X4564" i="3"/>
  <c r="X4565" i="3"/>
  <c r="X4566" i="3"/>
  <c r="X4567" i="3"/>
  <c r="X4568" i="3"/>
  <c r="X4519" i="3"/>
  <c r="X4520" i="3"/>
  <c r="X4454" i="3"/>
  <c r="X4455" i="3"/>
  <c r="X4456" i="3"/>
  <c r="X4457" i="3"/>
  <c r="X4458" i="3"/>
  <c r="X4459" i="3"/>
  <c r="X4460" i="3"/>
  <c r="X4450" i="3"/>
  <c r="X4451" i="3"/>
  <c r="X4452" i="3"/>
  <c r="X4453" i="3"/>
  <c r="X4395" i="3"/>
  <c r="X4396" i="3"/>
  <c r="X4397" i="3"/>
  <c r="X4398" i="3"/>
  <c r="X4399" i="3"/>
  <c r="X4347" i="3"/>
  <c r="X4295" i="3"/>
  <c r="X4252" i="3"/>
  <c r="X4253" i="3"/>
  <c r="X4254" i="3"/>
  <c r="X4255" i="3"/>
  <c r="X4256" i="3"/>
  <c r="X4257" i="3"/>
  <c r="X3717" i="3"/>
  <c r="X3718" i="3"/>
  <c r="X3719" i="3"/>
  <c r="X3720" i="3"/>
  <c r="X3721" i="3"/>
  <c r="X3722" i="3"/>
  <c r="X3723" i="3"/>
  <c r="X3724" i="3"/>
  <c r="X3725" i="3"/>
  <c r="X3726" i="3"/>
  <c r="X3727" i="3"/>
  <c r="X3728" i="3"/>
  <c r="X3729" i="3"/>
  <c r="X3730" i="3"/>
  <c r="X3731" i="3"/>
  <c r="X3732" i="3"/>
  <c r="X3733" i="3"/>
  <c r="X3734" i="3"/>
  <c r="X3735" i="3"/>
  <c r="X3736" i="3"/>
  <c r="X3737" i="3"/>
  <c r="X3738" i="3"/>
  <c r="X3739" i="3"/>
  <c r="X3740" i="3"/>
  <c r="X3741" i="3"/>
  <c r="X3742" i="3"/>
  <c r="X3743" i="3"/>
  <c r="X3744" i="3"/>
  <c r="X3745" i="3"/>
  <c r="X3746" i="3"/>
  <c r="X3747" i="3"/>
  <c r="X3334" i="3"/>
  <c r="X3335" i="3"/>
  <c r="X3336" i="3"/>
  <c r="X3069" i="3"/>
  <c r="X3070" i="3"/>
  <c r="X3071" i="3"/>
  <c r="X1436" i="3"/>
  <c r="X1437" i="3"/>
  <c r="X1438" i="3"/>
  <c r="W3071" i="3"/>
  <c r="W4256" i="3"/>
  <c r="W1437" i="3"/>
  <c r="W3743" i="3"/>
  <c r="K2334" i="3" l="1"/>
  <c r="R2334" i="3" l="1"/>
  <c r="L4711" i="3"/>
  <c r="N4711" i="3" s="1"/>
  <c r="K4711" i="3"/>
  <c r="J4734" i="3"/>
  <c r="L4734" i="3"/>
  <c r="S4734" i="3" s="1"/>
  <c r="R4711" i="3" l="1"/>
  <c r="R4734" i="3" s="1"/>
  <c r="R4735" i="3"/>
  <c r="S4735" i="3"/>
  <c r="W4734" i="3"/>
  <c r="W4711" i="3"/>
  <c r="K4227" i="3" l="1"/>
  <c r="R4227" i="3" s="1"/>
  <c r="R4127" i="3"/>
  <c r="K3855" i="3"/>
  <c r="N3855" i="3" s="1"/>
  <c r="R3855" i="3" s="1"/>
  <c r="K3854" i="3"/>
  <c r="N3854" i="3" s="1"/>
  <c r="R3854" i="3" s="1"/>
  <c r="X3854" i="3"/>
  <c r="X3855" i="3"/>
  <c r="X3856" i="3"/>
  <c r="X3857" i="3"/>
  <c r="X3858" i="3"/>
  <c r="X3859" i="3"/>
  <c r="X3860" i="3"/>
  <c r="X3861" i="3"/>
  <c r="R2413" i="3"/>
  <c r="R2422" i="3" s="1"/>
  <c r="R1794" i="3"/>
  <c r="K1794" i="3"/>
  <c r="K1485" i="3"/>
  <c r="K1457" i="3"/>
  <c r="R1457" i="3" s="1"/>
  <c r="K1419" i="3"/>
  <c r="R1419" i="3" s="1"/>
  <c r="L1369" i="3"/>
  <c r="K1369" i="3"/>
  <c r="R1369" i="3" s="1"/>
  <c r="M1318" i="3"/>
  <c r="R1318" i="3" s="1"/>
  <c r="M1317" i="3"/>
  <c r="R1317" i="3" s="1"/>
  <c r="N1212" i="3"/>
  <c r="K1212" i="3"/>
  <c r="M1081" i="3"/>
  <c r="K1081" i="3"/>
  <c r="N1080" i="3"/>
  <c r="K1080" i="3"/>
  <c r="K1079" i="3"/>
  <c r="K1078" i="3"/>
  <c r="K1077" i="3"/>
  <c r="N1076" i="3"/>
  <c r="K1076" i="3"/>
  <c r="K723" i="3"/>
  <c r="K722" i="3"/>
  <c r="K721" i="3"/>
  <c r="K720" i="3"/>
  <c r="N719" i="3"/>
  <c r="K719" i="3"/>
  <c r="J719" i="3" s="1"/>
  <c r="K718" i="3"/>
  <c r="K717" i="3"/>
  <c r="K716" i="3"/>
  <c r="J716" i="3" s="1"/>
  <c r="K715" i="3"/>
  <c r="K564" i="3"/>
  <c r="N432" i="3"/>
  <c r="K432" i="3"/>
  <c r="N431" i="3"/>
  <c r="K431" i="3"/>
  <c r="N430" i="3"/>
  <c r="K430" i="3"/>
  <c r="N429" i="3"/>
  <c r="K429" i="3"/>
  <c r="X1760" i="3"/>
  <c r="X1761" i="3"/>
  <c r="X1762" i="3"/>
  <c r="X1763" i="3"/>
  <c r="X1764" i="3"/>
  <c r="X1765" i="3"/>
  <c r="X1766" i="3"/>
  <c r="X1780" i="3"/>
  <c r="X1781" i="3"/>
  <c r="X1719" i="3"/>
  <c r="X1720" i="3"/>
  <c r="X1721" i="3"/>
  <c r="X1722" i="3"/>
  <c r="X1723" i="3"/>
  <c r="X1724" i="3"/>
  <c r="X1725" i="3"/>
  <c r="X1726" i="3"/>
  <c r="X1727" i="3"/>
  <c r="X1728" i="3"/>
  <c r="X1729" i="3"/>
  <c r="X1730" i="3"/>
  <c r="X1731" i="3"/>
  <c r="X1732" i="3"/>
  <c r="X1733" i="3"/>
  <c r="X1734" i="3"/>
  <c r="X1735" i="3"/>
  <c r="X1750" i="3"/>
  <c r="X1691" i="3"/>
  <c r="X1692" i="3"/>
  <c r="X1693" i="3"/>
  <c r="X1694" i="3"/>
  <c r="X1695" i="3"/>
  <c r="X1696" i="3"/>
  <c r="X1697" i="3"/>
  <c r="X1698" i="3"/>
  <c r="X1709" i="3"/>
  <c r="X1710" i="3"/>
  <c r="X1711" i="3"/>
  <c r="X1712" i="3"/>
  <c r="X235" i="3"/>
  <c r="X236" i="3"/>
  <c r="X237" i="3"/>
  <c r="X238" i="3"/>
  <c r="X239" i="3"/>
  <c r="X240" i="3"/>
  <c r="X241" i="3"/>
  <c r="X242" i="3"/>
  <c r="X243" i="3"/>
  <c r="X244" i="3"/>
  <c r="X245" i="3"/>
  <c r="X246" i="3"/>
  <c r="X247" i="3"/>
  <c r="X248" i="3"/>
  <c r="X229" i="3"/>
  <c r="X230" i="3"/>
  <c r="X231" i="3"/>
  <c r="X232" i="3"/>
  <c r="X233" i="3"/>
  <c r="X234" i="3"/>
  <c r="X59" i="3"/>
  <c r="X60" i="3"/>
  <c r="X61" i="3"/>
  <c r="X62" i="3"/>
  <c r="X63" i="3"/>
  <c r="W60" i="3"/>
  <c r="W3856" i="3"/>
  <c r="W3860" i="3"/>
  <c r="W63" i="3"/>
  <c r="W3854" i="3"/>
  <c r="W1794" i="3"/>
  <c r="W4127" i="3"/>
  <c r="W1750" i="3"/>
  <c r="W62" i="3"/>
  <c r="W230" i="3"/>
  <c r="W3855" i="3"/>
  <c r="W61" i="3"/>
  <c r="W3859" i="3"/>
  <c r="W64" i="3"/>
  <c r="W1709" i="3"/>
  <c r="W247" i="3"/>
  <c r="W3858" i="3"/>
  <c r="W59" i="3"/>
  <c r="R1485" i="3" l="1"/>
  <c r="O1080" i="3"/>
  <c r="N1077" i="3"/>
  <c r="N1081" i="3"/>
  <c r="O1076" i="3"/>
  <c r="N1078" i="3"/>
  <c r="N1079" i="3"/>
  <c r="R429" i="3"/>
  <c r="R431" i="3"/>
  <c r="R1612" i="3"/>
  <c r="R430" i="3"/>
  <c r="O721" i="3"/>
  <c r="O715" i="3"/>
  <c r="O718" i="3"/>
  <c r="O716" i="3"/>
  <c r="O717" i="3"/>
  <c r="O722" i="3"/>
  <c r="O723" i="3"/>
  <c r="O720" i="3"/>
  <c r="R1081" i="3"/>
  <c r="J4735" i="3"/>
  <c r="R432" i="3"/>
  <c r="O719" i="3"/>
  <c r="L1212" i="3"/>
  <c r="O1212" i="3" s="1"/>
  <c r="R1212" i="3" s="1"/>
  <c r="W4735" i="3"/>
  <c r="R1079" i="3" l="1"/>
  <c r="R1078" i="3"/>
  <c r="P1076" i="3"/>
  <c r="R1077" i="3"/>
  <c r="P1080" i="3"/>
  <c r="L564" i="3"/>
  <c r="R564" i="3" s="1"/>
  <c r="R723" i="3"/>
  <c r="R720" i="3"/>
  <c r="R722" i="3"/>
  <c r="R717" i="3"/>
  <c r="R716" i="3"/>
  <c r="R718" i="3"/>
  <c r="R715" i="3"/>
  <c r="R721" i="3"/>
  <c r="R719" i="3"/>
  <c r="R1080" i="3" l="1"/>
  <c r="R1076" i="3"/>
  <c r="X4595" i="3"/>
  <c r="K4755" i="3"/>
  <c r="X4741" i="3"/>
  <c r="X4742" i="3"/>
  <c r="X4743" i="3"/>
  <c r="X4744" i="3"/>
  <c r="X4745" i="3"/>
  <c r="X4746" i="3"/>
  <c r="X4747" i="3"/>
  <c r="X4748" i="3"/>
  <c r="X4749" i="3"/>
  <c r="X4750" i="3"/>
  <c r="X4751" i="3"/>
  <c r="X4752" i="3"/>
  <c r="X4753" i="3"/>
  <c r="X4754" i="3"/>
  <c r="X4755" i="3"/>
  <c r="X4763" i="3"/>
  <c r="K4226" i="3"/>
  <c r="R4226" i="3" s="1"/>
  <c r="X4220" i="3"/>
  <c r="X4221" i="3"/>
  <c r="X4222" i="3"/>
  <c r="X4223" i="3"/>
  <c r="X4224" i="3"/>
  <c r="X4225" i="3"/>
  <c r="X4226" i="3"/>
  <c r="X4227" i="3"/>
  <c r="X3963" i="3"/>
  <c r="X3964" i="3"/>
  <c r="X3965" i="3"/>
  <c r="X3966" i="3"/>
  <c r="X3967" i="3"/>
  <c r="X3968" i="3"/>
  <c r="X3969" i="3"/>
  <c r="X3970" i="3"/>
  <c r="X3971" i="3"/>
  <c r="X3972" i="3"/>
  <c r="X3973" i="3"/>
  <c r="X3974" i="3"/>
  <c r="X3975" i="3"/>
  <c r="X3976" i="3"/>
  <c r="X3977" i="3"/>
  <c r="X3978" i="3"/>
  <c r="X3979" i="3"/>
  <c r="X3980" i="3"/>
  <c r="X3981" i="3"/>
  <c r="X3982" i="3"/>
  <c r="X4005" i="3"/>
  <c r="X4006" i="3"/>
  <c r="X4007" i="3"/>
  <c r="X4008" i="3"/>
  <c r="X4009" i="3"/>
  <c r="X4010" i="3"/>
  <c r="X4011" i="3"/>
  <c r="X4012" i="3"/>
  <c r="X4013" i="3"/>
  <c r="X4014" i="3"/>
  <c r="X4015" i="3"/>
  <c r="X4016" i="3"/>
  <c r="X4017" i="3"/>
  <c r="X4018" i="3"/>
  <c r="X4019" i="3"/>
  <c r="X4020" i="3"/>
  <c r="X4021" i="3"/>
  <c r="X4022" i="3"/>
  <c r="X4023" i="3"/>
  <c r="X4024" i="3"/>
  <c r="X4025" i="3"/>
  <c r="X4059" i="3"/>
  <c r="X4060" i="3"/>
  <c r="X4061" i="3"/>
  <c r="X4062" i="3"/>
  <c r="X4063" i="3"/>
  <c r="X4064" i="3"/>
  <c r="X4065" i="3"/>
  <c r="X4066" i="3"/>
  <c r="X4067" i="3"/>
  <c r="X4068" i="3"/>
  <c r="X4069" i="3"/>
  <c r="N3813" i="3"/>
  <c r="R3813" i="3" s="1"/>
  <c r="N3812" i="3"/>
  <c r="R3812" i="3" s="1"/>
  <c r="N3811" i="3"/>
  <c r="R3811" i="3" s="1"/>
  <c r="N3810" i="3"/>
  <c r="R3810" i="3" s="1"/>
  <c r="N3809" i="3"/>
  <c r="R3809" i="3" s="1"/>
  <c r="X3806" i="3"/>
  <c r="X3807" i="3"/>
  <c r="X3808" i="3"/>
  <c r="X3809" i="3"/>
  <c r="X3810" i="3"/>
  <c r="X3811" i="3"/>
  <c r="X3812" i="3"/>
  <c r="X3813" i="3"/>
  <c r="X3814" i="3"/>
  <c r="X3815" i="3"/>
  <c r="X3816" i="3"/>
  <c r="X3817" i="3"/>
  <c r="X3818" i="3"/>
  <c r="X3819" i="3"/>
  <c r="X3820" i="3"/>
  <c r="X3821" i="3"/>
  <c r="X3822" i="3"/>
  <c r="X3823" i="3"/>
  <c r="X3824" i="3"/>
  <c r="X3832" i="3"/>
  <c r="W3809" i="3"/>
  <c r="W3811" i="3"/>
  <c r="W4023" i="3"/>
  <c r="W4755" i="3"/>
  <c r="W4226" i="3"/>
  <c r="W3810" i="3"/>
  <c r="W3807" i="3"/>
  <c r="W3815" i="3"/>
  <c r="W4227" i="3"/>
  <c r="W3817" i="3"/>
  <c r="W3812" i="3"/>
  <c r="W3814" i="3"/>
  <c r="W3813" i="3"/>
  <c r="W3816" i="3"/>
  <c r="W4024" i="3"/>
  <c r="R2994" i="3" l="1"/>
  <c r="R2993" i="3"/>
  <c r="R2992" i="3"/>
  <c r="R2991" i="3"/>
  <c r="R2990" i="3"/>
  <c r="X2413" i="3"/>
  <c r="X2379" i="3"/>
  <c r="X2143" i="3"/>
  <c r="X2144" i="3"/>
  <c r="X2145" i="3"/>
  <c r="X2146" i="3"/>
  <c r="X2147" i="3"/>
  <c r="X2148" i="3"/>
  <c r="X2149" i="3"/>
  <c r="X2150" i="3"/>
  <c r="W2146" i="3"/>
  <c r="W2147" i="3"/>
  <c r="W2145" i="3"/>
  <c r="X1975" i="3" l="1"/>
  <c r="X1976" i="3"/>
  <c r="X1977" i="3"/>
  <c r="X1978" i="3"/>
  <c r="X1979" i="3"/>
  <c r="X1980" i="3"/>
  <c r="X1953" i="3"/>
  <c r="X1954" i="3"/>
  <c r="X1955" i="3"/>
  <c r="X1956" i="3"/>
  <c r="X1957" i="3"/>
  <c r="X1958" i="3"/>
  <c r="X1959" i="3"/>
  <c r="X1960" i="3"/>
  <c r="X1961" i="3"/>
  <c r="X1962" i="3"/>
  <c r="X1963" i="3"/>
  <c r="X1964" i="3"/>
  <c r="X1992" i="3"/>
  <c r="X1993" i="3"/>
  <c r="X1994" i="3"/>
  <c r="X1995" i="3"/>
  <c r="X2029" i="3"/>
  <c r="X2030" i="3"/>
  <c r="X2031" i="3"/>
  <c r="X2032" i="3"/>
  <c r="X2033" i="3"/>
  <c r="X2034" i="3"/>
  <c r="X2035" i="3"/>
  <c r="K2029" i="3"/>
  <c r="R2029" i="3" s="1"/>
  <c r="K1484" i="3"/>
  <c r="X1415" i="3"/>
  <c r="X1416" i="3"/>
  <c r="X1417" i="3"/>
  <c r="X1418" i="3"/>
  <c r="X1419" i="3"/>
  <c r="X1420" i="3"/>
  <c r="X1421" i="3"/>
  <c r="K1453" i="3"/>
  <c r="K1456" i="3"/>
  <c r="R1456" i="3" s="1"/>
  <c r="K1418" i="3"/>
  <c r="R1418" i="3" s="1"/>
  <c r="L1368" i="3"/>
  <c r="K1368" i="3"/>
  <c r="X1317" i="3"/>
  <c r="X1318" i="3"/>
  <c r="X1319" i="3"/>
  <c r="X1320" i="3"/>
  <c r="X1321" i="3"/>
  <c r="X1200" i="3"/>
  <c r="X1201" i="3"/>
  <c r="X1207" i="3"/>
  <c r="X1208" i="3"/>
  <c r="X1209" i="3"/>
  <c r="X1210" i="3"/>
  <c r="X1211" i="3"/>
  <c r="X1212" i="3"/>
  <c r="X1213" i="3"/>
  <c r="X1214" i="3"/>
  <c r="X1215" i="3"/>
  <c r="N1209" i="3"/>
  <c r="K1209" i="3"/>
  <c r="L1209" i="3" s="1"/>
  <c r="M1074" i="3"/>
  <c r="K1074" i="3"/>
  <c r="N1073" i="3"/>
  <c r="K1073" i="3"/>
  <c r="K1072" i="3"/>
  <c r="K1071" i="3"/>
  <c r="K1070" i="3"/>
  <c r="N1069" i="3"/>
  <c r="K1069" i="3"/>
  <c r="K712" i="3"/>
  <c r="K711" i="3"/>
  <c r="K710" i="3"/>
  <c r="K709" i="3"/>
  <c r="N708" i="3"/>
  <c r="K708" i="3"/>
  <c r="J708" i="3" s="1"/>
  <c r="K707" i="3"/>
  <c r="K706" i="3"/>
  <c r="K705" i="3"/>
  <c r="J705" i="3" s="1"/>
  <c r="K704" i="3"/>
  <c r="K563" i="3"/>
  <c r="X421" i="3"/>
  <c r="X422" i="3"/>
  <c r="X423" i="3"/>
  <c r="X424" i="3"/>
  <c r="X425" i="3"/>
  <c r="X426" i="3"/>
  <c r="X427" i="3"/>
  <c r="X428" i="3"/>
  <c r="X429" i="3"/>
  <c r="X430" i="3"/>
  <c r="X431" i="3"/>
  <c r="X432" i="3"/>
  <c r="X433" i="3"/>
  <c r="N426" i="3"/>
  <c r="K426" i="3"/>
  <c r="N425" i="3"/>
  <c r="K425" i="3"/>
  <c r="N424" i="3"/>
  <c r="K424" i="3"/>
  <c r="N423" i="3"/>
  <c r="K423" i="3"/>
  <c r="W428" i="3"/>
  <c r="W2032" i="3"/>
  <c r="W421" i="3"/>
  <c r="W422" i="3"/>
  <c r="W427" i="3"/>
  <c r="W1208" i="3"/>
  <c r="W1211" i="3"/>
  <c r="W2033" i="3"/>
  <c r="W2031" i="3"/>
  <c r="W1207" i="3"/>
  <c r="W433" i="3"/>
  <c r="W1200" i="3"/>
  <c r="W1213" i="3"/>
  <c r="W1995" i="3"/>
  <c r="W2029" i="3"/>
  <c r="W1214" i="3"/>
  <c r="W1210" i="3"/>
  <c r="R1484" i="3" l="1"/>
  <c r="O1069" i="3"/>
  <c r="N1072" i="3"/>
  <c r="N1074" i="3"/>
  <c r="N1070" i="3"/>
  <c r="O1073" i="3"/>
  <c r="N1071" i="3"/>
  <c r="R1368" i="3"/>
  <c r="R426" i="3"/>
  <c r="O704" i="3"/>
  <c r="O705" i="3"/>
  <c r="O710" i="3"/>
  <c r="O712" i="3"/>
  <c r="O711" i="3"/>
  <c r="O706" i="3"/>
  <c r="O707" i="3"/>
  <c r="O709" i="3"/>
  <c r="R1453" i="3"/>
  <c r="R424" i="3"/>
  <c r="R1074" i="3"/>
  <c r="R425" i="3"/>
  <c r="R423" i="3"/>
  <c r="O1209" i="3"/>
  <c r="O708" i="3"/>
  <c r="R1071" i="3" l="1"/>
  <c r="P1073" i="3"/>
  <c r="R1070" i="3"/>
  <c r="R1072" i="3"/>
  <c r="P1069" i="3"/>
  <c r="R711" i="3"/>
  <c r="R708" i="3"/>
  <c r="R709" i="3"/>
  <c r="R707" i="3"/>
  <c r="R706" i="3"/>
  <c r="R712" i="3"/>
  <c r="R710" i="3"/>
  <c r="R705" i="3"/>
  <c r="R704" i="3"/>
  <c r="R1209" i="3"/>
  <c r="L563" i="3"/>
  <c r="R563" i="3" s="1"/>
  <c r="R1073" i="3" l="1"/>
  <c r="R1069" i="3"/>
  <c r="L1562" i="3"/>
  <c r="R4600" i="3"/>
  <c r="R4484" i="3"/>
  <c r="K3806" i="3"/>
  <c r="K3803" i="3"/>
  <c r="N3803" i="3" s="1"/>
  <c r="R3803" i="3" s="1"/>
  <c r="K3804" i="3"/>
  <c r="N3804" i="3" s="1"/>
  <c r="R3804" i="3" s="1"/>
  <c r="K3805" i="3"/>
  <c r="N3805" i="3" s="1"/>
  <c r="R3805" i="3" s="1"/>
  <c r="K3808" i="3"/>
  <c r="K3818" i="3"/>
  <c r="K3819" i="3"/>
  <c r="K3820" i="3"/>
  <c r="K3821" i="3"/>
  <c r="K3822" i="3"/>
  <c r="K3823" i="3"/>
  <c r="K3824" i="3"/>
  <c r="W1562" i="3"/>
  <c r="N3824" i="3" l="1"/>
  <c r="N3823" i="3"/>
  <c r="N3822" i="3"/>
  <c r="N3820" i="3"/>
  <c r="N3819" i="3"/>
  <c r="N3818" i="3"/>
  <c r="N3821" i="3"/>
  <c r="N3806" i="3"/>
  <c r="N3808" i="3"/>
  <c r="I2333" i="3"/>
  <c r="G2333" i="3"/>
  <c r="AC1178" i="3"/>
  <c r="R559" i="3"/>
  <c r="R560" i="3"/>
  <c r="R561" i="3"/>
  <c r="R562" i="3"/>
  <c r="R558" i="3"/>
  <c r="R349" i="3"/>
  <c r="K1482" i="3"/>
  <c r="R1482" i="3" s="1"/>
  <c r="E2" i="6"/>
  <c r="F21" i="6"/>
  <c r="R3821" i="3" l="1"/>
  <c r="R3820" i="3"/>
  <c r="R3822" i="3"/>
  <c r="R3823" i="3"/>
  <c r="R3818" i="3"/>
  <c r="R3819" i="3"/>
  <c r="R3824" i="3"/>
  <c r="R3808" i="3"/>
  <c r="R3806" i="3"/>
  <c r="F13" i="6"/>
  <c r="K3883" i="3"/>
  <c r="R3883" i="3" s="1"/>
  <c r="X3884" i="3"/>
  <c r="K3884" i="3"/>
  <c r="R3884" i="3" s="1"/>
  <c r="X3883" i="3"/>
  <c r="W3806" i="3"/>
  <c r="W3808" i="3"/>
  <c r="W3824" i="3"/>
  <c r="W3819" i="3"/>
  <c r="W3821" i="3"/>
  <c r="W3823" i="3"/>
  <c r="W3820" i="3"/>
  <c r="W3818" i="3"/>
  <c r="W3822" i="3"/>
  <c r="F12" i="6" l="1"/>
  <c r="X3378" i="3"/>
  <c r="X3642" i="3"/>
  <c r="W3378" i="3"/>
  <c r="F10" i="6" l="1"/>
  <c r="F9" i="6"/>
  <c r="F20" i="6"/>
  <c r="F19" i="6"/>
  <c r="F18" i="6"/>
  <c r="F17" i="6"/>
  <c r="F16" i="6"/>
  <c r="F15" i="6"/>
  <c r="F14" i="6"/>
  <c r="F11" i="6"/>
  <c r="F8" i="6"/>
  <c r="F7" i="6"/>
  <c r="F6" i="6"/>
  <c r="F5" i="6"/>
  <c r="H44" i="4"/>
  <c r="I44" i="4" s="1"/>
  <c r="K44" i="4"/>
  <c r="N44" i="4"/>
  <c r="O44" i="4"/>
  <c r="R2264" i="3" l="1"/>
  <c r="R2231" i="3"/>
  <c r="R4568" i="3"/>
  <c r="K4568" i="3"/>
  <c r="W4568" i="3"/>
  <c r="K2124" i="3" l="1"/>
  <c r="O2124" i="3" s="1"/>
  <c r="R2124" i="3" s="1"/>
  <c r="K2084" i="3"/>
  <c r="O2084" i="3" s="1"/>
  <c r="R2084" i="3" s="1"/>
  <c r="K2263" i="3"/>
  <c r="R2263" i="3" s="1"/>
  <c r="K2230" i="3"/>
  <c r="R2230" i="3" s="1"/>
  <c r="K2063" i="3"/>
  <c r="K2041" i="3"/>
  <c r="K2051" i="3"/>
  <c r="K2028" i="3"/>
  <c r="R2028" i="3" s="1"/>
  <c r="X2028" i="3"/>
  <c r="X2027" i="3"/>
  <c r="R2027" i="3"/>
  <c r="N1765" i="3"/>
  <c r="O1647" i="3"/>
  <c r="N1764" i="3" s="1"/>
  <c r="N1766" i="3"/>
  <c r="R1650" i="3"/>
  <c r="R1649" i="3"/>
  <c r="R1648" i="3"/>
  <c r="K1647" i="3"/>
  <c r="R1646" i="3"/>
  <c r="R1645" i="3"/>
  <c r="R1644" i="3"/>
  <c r="R1643" i="3"/>
  <c r="R1642" i="3"/>
  <c r="R1641" i="3"/>
  <c r="R1640" i="3"/>
  <c r="R1639" i="3"/>
  <c r="R1638" i="3"/>
  <c r="R1637" i="3"/>
  <c r="R1636" i="3"/>
  <c r="R1635" i="3"/>
  <c r="O1634" i="3"/>
  <c r="N1759" i="3" s="1"/>
  <c r="K1634" i="3"/>
  <c r="K4627" i="3"/>
  <c r="R4627" i="3" s="1"/>
  <c r="K4626" i="3"/>
  <c r="R4626" i="3" s="1"/>
  <c r="K4625" i="3"/>
  <c r="K4624" i="3"/>
  <c r="R4624" i="3" s="1"/>
  <c r="K4623" i="3"/>
  <c r="R4623" i="3" s="1"/>
  <c r="K4622" i="3"/>
  <c r="R4622" i="3" s="1"/>
  <c r="K4621" i="3"/>
  <c r="R4621" i="3" s="1"/>
  <c r="R4620" i="3"/>
  <c r="K4620" i="3"/>
  <c r="R4619" i="3"/>
  <c r="K4619" i="3"/>
  <c r="R4618" i="3"/>
  <c r="K4618" i="3"/>
  <c r="R4617" i="3"/>
  <c r="K4617" i="3"/>
  <c r="M4616" i="3"/>
  <c r="K4616" i="3"/>
  <c r="W2028" i="3"/>
  <c r="W2027" i="3"/>
  <c r="R4625" i="3" l="1"/>
  <c r="R1764" i="3"/>
  <c r="R4616" i="3"/>
  <c r="K4664" i="3" l="1"/>
  <c r="R4664" i="3" s="1"/>
  <c r="K4663" i="3"/>
  <c r="R4663" i="3" s="1"/>
  <c r="K4223" i="3"/>
  <c r="K4225" i="3"/>
  <c r="X3853" i="3"/>
  <c r="K3853" i="3"/>
  <c r="N3853" i="3" s="1"/>
  <c r="R3853" i="3" s="1"/>
  <c r="P3752" i="3"/>
  <c r="R3752" i="3" s="1"/>
  <c r="K3752" i="3"/>
  <c r="K3696" i="3"/>
  <c r="K2332" i="3"/>
  <c r="X2261" i="3"/>
  <c r="K2261" i="3"/>
  <c r="R2261" i="3" s="1"/>
  <c r="K1481" i="3"/>
  <c r="R1481" i="3" s="1"/>
  <c r="K1480" i="3"/>
  <c r="R1480" i="3" s="1"/>
  <c r="K1454" i="3"/>
  <c r="R1454" i="3" s="1"/>
  <c r="R1416" i="3"/>
  <c r="K1415" i="3"/>
  <c r="R1415" i="3" s="1"/>
  <c r="L1366" i="3"/>
  <c r="K1366" i="3"/>
  <c r="L1365" i="3"/>
  <c r="K1365" i="3"/>
  <c r="X1203" i="3"/>
  <c r="N1203" i="3"/>
  <c r="K1203" i="3"/>
  <c r="X1202" i="3"/>
  <c r="N1201" i="3"/>
  <c r="K1201" i="3"/>
  <c r="L1201" i="3" s="1"/>
  <c r="M1060" i="3"/>
  <c r="K1060" i="3"/>
  <c r="N1059" i="3"/>
  <c r="K1059" i="3"/>
  <c r="K1058" i="3"/>
  <c r="K1057" i="3"/>
  <c r="K1056" i="3"/>
  <c r="N1055" i="3"/>
  <c r="K1055" i="3"/>
  <c r="M1053" i="3"/>
  <c r="K1053" i="3"/>
  <c r="N1052" i="3"/>
  <c r="K1052" i="3"/>
  <c r="K1051" i="3"/>
  <c r="K1050" i="3"/>
  <c r="K1049" i="3"/>
  <c r="N1048" i="3"/>
  <c r="K1048" i="3"/>
  <c r="K690" i="3"/>
  <c r="K689" i="3"/>
  <c r="K688" i="3"/>
  <c r="K687" i="3"/>
  <c r="N686" i="3"/>
  <c r="K686" i="3"/>
  <c r="J686" i="3" s="1"/>
  <c r="K685" i="3"/>
  <c r="K684" i="3"/>
  <c r="K683" i="3"/>
  <c r="J683" i="3" s="1"/>
  <c r="K682" i="3"/>
  <c r="K679" i="3"/>
  <c r="K678" i="3"/>
  <c r="K677" i="3"/>
  <c r="K676" i="3"/>
  <c r="N675" i="3"/>
  <c r="K675" i="3"/>
  <c r="J675" i="3" s="1"/>
  <c r="K674" i="3"/>
  <c r="K673" i="3"/>
  <c r="K672" i="3"/>
  <c r="J672" i="3" s="1"/>
  <c r="K671" i="3"/>
  <c r="K561" i="3"/>
  <c r="K560" i="3"/>
  <c r="X414" i="3"/>
  <c r="N414" i="3"/>
  <c r="K414" i="3"/>
  <c r="X413" i="3"/>
  <c r="N413" i="3"/>
  <c r="K413" i="3"/>
  <c r="X412" i="3"/>
  <c r="N412" i="3"/>
  <c r="K412" i="3"/>
  <c r="X411" i="3"/>
  <c r="N411" i="3"/>
  <c r="K411" i="3"/>
  <c r="X410" i="3"/>
  <c r="X409" i="3"/>
  <c r="X408" i="3"/>
  <c r="N408" i="3"/>
  <c r="K408" i="3"/>
  <c r="X407" i="3"/>
  <c r="N407" i="3"/>
  <c r="K407" i="3"/>
  <c r="X406" i="3"/>
  <c r="N406" i="3"/>
  <c r="K406" i="3"/>
  <c r="X405" i="3"/>
  <c r="Q405" i="3"/>
  <c r="P405" i="3"/>
  <c r="Q408" i="3" s="1"/>
  <c r="N405" i="3"/>
  <c r="K405" i="3"/>
  <c r="X404" i="3"/>
  <c r="W3853" i="3"/>
  <c r="W3752" i="3"/>
  <c r="W409" i="3"/>
  <c r="W1202" i="3"/>
  <c r="W404" i="3"/>
  <c r="W416" i="3"/>
  <c r="W410" i="3"/>
  <c r="O1055" i="3" l="1"/>
  <c r="P1055" i="3" s="1"/>
  <c r="N1056" i="3"/>
  <c r="N1053" i="3"/>
  <c r="R1053" i="3" s="1"/>
  <c r="N1057" i="3"/>
  <c r="N1058" i="3"/>
  <c r="O1059" i="3"/>
  <c r="N1060" i="3"/>
  <c r="R1060" i="3" s="1"/>
  <c r="O684" i="3"/>
  <c r="O687" i="3"/>
  <c r="O685" i="3"/>
  <c r="O688" i="3"/>
  <c r="O683" i="3"/>
  <c r="O690" i="3"/>
  <c r="O689" i="3"/>
  <c r="O682" i="3"/>
  <c r="R3696" i="3"/>
  <c r="O677" i="3"/>
  <c r="O671" i="3"/>
  <c r="O674" i="3"/>
  <c r="O676" i="3"/>
  <c r="O678" i="3"/>
  <c r="O679" i="3"/>
  <c r="O673" i="3"/>
  <c r="O672" i="3"/>
  <c r="O1052" i="3"/>
  <c r="R2332" i="3"/>
  <c r="N1051" i="3"/>
  <c r="R4223" i="3"/>
  <c r="R4225" i="3"/>
  <c r="O1048" i="3"/>
  <c r="N1050" i="3"/>
  <c r="N1049" i="3"/>
  <c r="R414" i="3"/>
  <c r="R1366" i="3"/>
  <c r="R1365" i="3"/>
  <c r="R413" i="3"/>
  <c r="O1201" i="3"/>
  <c r="R1201" i="3" s="1"/>
  <c r="R405" i="3"/>
  <c r="R407" i="3"/>
  <c r="R411" i="3"/>
  <c r="L1203" i="3"/>
  <c r="R406" i="3"/>
  <c r="Q406" i="3"/>
  <c r="R408" i="3"/>
  <c r="R412" i="3"/>
  <c r="O675" i="3"/>
  <c r="O686" i="3"/>
  <c r="X416" i="3"/>
  <c r="K417" i="3"/>
  <c r="N417" i="3"/>
  <c r="X417" i="3"/>
  <c r="K418" i="3"/>
  <c r="N418" i="3"/>
  <c r="X418" i="3"/>
  <c r="K419" i="3"/>
  <c r="N419" i="3"/>
  <c r="X419" i="3"/>
  <c r="K420" i="3"/>
  <c r="N420" i="3"/>
  <c r="X420" i="3"/>
  <c r="W4225" i="3"/>
  <c r="W3696" i="3"/>
  <c r="W4223" i="3"/>
  <c r="P1052" i="3" l="1"/>
  <c r="R1058" i="3"/>
  <c r="R1057" i="3"/>
  <c r="R1056" i="3"/>
  <c r="P1059" i="3"/>
  <c r="R682" i="3"/>
  <c r="R685" i="3"/>
  <c r="R689" i="3"/>
  <c r="R683" i="3"/>
  <c r="R688" i="3"/>
  <c r="R687" i="3"/>
  <c r="R686" i="3"/>
  <c r="R690" i="3"/>
  <c r="R684" i="3"/>
  <c r="R672" i="3"/>
  <c r="R673" i="3"/>
  <c r="R679" i="3"/>
  <c r="R678" i="3"/>
  <c r="R675" i="3"/>
  <c r="R676" i="3"/>
  <c r="R674" i="3"/>
  <c r="R671" i="3"/>
  <c r="R677" i="3"/>
  <c r="R1051" i="3"/>
  <c r="R1049" i="3"/>
  <c r="R1050" i="3"/>
  <c r="P1048" i="3"/>
  <c r="R419" i="3"/>
  <c r="R417" i="3"/>
  <c r="O1203" i="3"/>
  <c r="R420" i="3"/>
  <c r="R418" i="3"/>
  <c r="R1055" i="3"/>
  <c r="J552" i="3"/>
  <c r="L552" i="3"/>
  <c r="S543" i="3" l="1"/>
  <c r="S544" i="3"/>
  <c r="S545" i="3"/>
  <c r="S546" i="3"/>
  <c r="S547" i="3"/>
  <c r="S548" i="3"/>
  <c r="S537" i="3"/>
  <c r="S539" i="3"/>
  <c r="S540" i="3"/>
  <c r="S538" i="3"/>
  <c r="S529" i="3"/>
  <c r="S533" i="3"/>
  <c r="S534" i="3"/>
  <c r="S530" i="3"/>
  <c r="S531" i="3"/>
  <c r="S532" i="3"/>
  <c r="S523" i="3"/>
  <c r="S524" i="3"/>
  <c r="S525" i="3"/>
  <c r="S526" i="3"/>
  <c r="R1059" i="3"/>
  <c r="R1052" i="3"/>
  <c r="S518" i="3"/>
  <c r="S519" i="3"/>
  <c r="S520" i="3"/>
  <c r="S516" i="3"/>
  <c r="S517" i="3"/>
  <c r="S510" i="3"/>
  <c r="S511" i="3"/>
  <c r="S512" i="3"/>
  <c r="S509" i="3"/>
  <c r="S515" i="3"/>
  <c r="S501" i="3"/>
  <c r="S502" i="3"/>
  <c r="S503" i="3"/>
  <c r="S504" i="3"/>
  <c r="S505" i="3"/>
  <c r="S506" i="3"/>
  <c r="S495" i="3"/>
  <c r="S496" i="3"/>
  <c r="S497" i="3"/>
  <c r="S498" i="3"/>
  <c r="S473" i="3"/>
  <c r="S474" i="3"/>
  <c r="S475" i="3"/>
  <c r="S476" i="3"/>
  <c r="S477" i="3"/>
  <c r="S478" i="3"/>
  <c r="S467" i="3"/>
  <c r="S468" i="3"/>
  <c r="S469" i="3"/>
  <c r="S470" i="3"/>
  <c r="S459" i="3"/>
  <c r="S460" i="3"/>
  <c r="S461" i="3"/>
  <c r="S462" i="3"/>
  <c r="S463" i="3"/>
  <c r="S464" i="3"/>
  <c r="S453" i="3"/>
  <c r="S454" i="3"/>
  <c r="S455" i="3"/>
  <c r="S456" i="3"/>
  <c r="S447" i="3"/>
  <c r="S448" i="3"/>
  <c r="S449" i="3"/>
  <c r="S450" i="3"/>
  <c r="S441" i="3"/>
  <c r="S442" i="3"/>
  <c r="S444" i="3"/>
  <c r="S443" i="3"/>
  <c r="S435" i="3"/>
  <c r="S438" i="3"/>
  <c r="S436" i="3"/>
  <c r="S437" i="3"/>
  <c r="S423" i="3"/>
  <c r="S424" i="3"/>
  <c r="S425" i="3"/>
  <c r="S426" i="3"/>
  <c r="S430" i="3"/>
  <c r="S431" i="3"/>
  <c r="S432" i="3"/>
  <c r="S552" i="3"/>
  <c r="S429" i="3"/>
  <c r="R1048" i="3"/>
  <c r="R1203" i="3"/>
  <c r="R553" i="3"/>
  <c r="S553" i="3"/>
  <c r="W436" i="3"/>
  <c r="W441" i="3"/>
  <c r="W546" i="3"/>
  <c r="W447" i="3"/>
  <c r="W469" i="3"/>
  <c r="W454" i="3"/>
  <c r="W450" i="3"/>
  <c r="W511" i="3"/>
  <c r="W545" i="3"/>
  <c r="W448" i="3"/>
  <c r="W548" i="3"/>
  <c r="W498" i="3"/>
  <c r="W534" i="3"/>
  <c r="W497" i="3"/>
  <c r="W520" i="3"/>
  <c r="W429" i="3"/>
  <c r="W512" i="3"/>
  <c r="W547" i="3"/>
  <c r="W525" i="3"/>
  <c r="W431" i="3"/>
  <c r="W437" i="3"/>
  <c r="W462" i="3"/>
  <c r="W470" i="3"/>
  <c r="W432" i="3"/>
  <c r="W423" i="3"/>
  <c r="W509" i="3"/>
  <c r="W464" i="3"/>
  <c r="W438" i="3"/>
  <c r="W544" i="3"/>
  <c r="W442" i="3"/>
  <c r="W449" i="3"/>
  <c r="W540" i="3"/>
  <c r="W543" i="3"/>
  <c r="W524" i="3"/>
  <c r="W537" i="3"/>
  <c r="W430" i="3"/>
  <c r="W435" i="3"/>
  <c r="W468" i="3"/>
  <c r="W510" i="3"/>
  <c r="W460" i="3"/>
  <c r="W496" i="3"/>
  <c r="W463" i="3"/>
  <c r="W455" i="3"/>
  <c r="W456" i="3"/>
  <c r="W495" i="3"/>
  <c r="W425" i="3"/>
  <c r="W538" i="3"/>
  <c r="W459" i="3"/>
  <c r="W467" i="3"/>
  <c r="W523" i="3"/>
  <c r="W461" i="3"/>
  <c r="W539" i="3"/>
  <c r="W424" i="3"/>
  <c r="W444" i="3"/>
  <c r="W426" i="3"/>
  <c r="W443" i="3"/>
  <c r="W453" i="3"/>
  <c r="W526" i="3"/>
  <c r="S554" i="3" l="1"/>
  <c r="S411" i="3" l="1"/>
  <c r="S412" i="3"/>
  <c r="S413" i="3"/>
  <c r="S414" i="3"/>
  <c r="W411" i="3"/>
  <c r="W414" i="3"/>
  <c r="W412" i="3"/>
  <c r="W555" i="3"/>
  <c r="W413" i="3"/>
  <c r="S406" i="3" l="1"/>
  <c r="S405" i="3"/>
  <c r="S408" i="3"/>
  <c r="S407" i="3"/>
  <c r="X555" i="3"/>
  <c r="X556" i="3"/>
  <c r="W408" i="3"/>
  <c r="W406" i="3"/>
  <c r="W405" i="3"/>
  <c r="W407" i="3"/>
  <c r="EA28" i="5" l="1"/>
  <c r="EA25" i="5"/>
  <c r="EA22" i="5"/>
  <c r="EA19" i="5"/>
  <c r="EA16" i="5"/>
  <c r="EE13" i="5"/>
  <c r="EA13" i="5"/>
  <c r="F45" i="4" l="1"/>
  <c r="EA32" i="5"/>
  <c r="K4628" i="3"/>
  <c r="R4628" i="3" s="1"/>
  <c r="X4521" i="3"/>
  <c r="J4521" i="3"/>
  <c r="J4460" i="3"/>
  <c r="J4399" i="3"/>
  <c r="J3982" i="3"/>
  <c r="K2333" i="3"/>
  <c r="X1316" i="3"/>
  <c r="M1316" i="3"/>
  <c r="R1316" i="3" s="1"/>
  <c r="X1205" i="3"/>
  <c r="X334" i="3"/>
  <c r="J334" i="3"/>
  <c r="X271" i="3"/>
  <c r="J271" i="3"/>
  <c r="J192" i="3"/>
  <c r="X140" i="3"/>
  <c r="J140" i="3"/>
  <c r="R4224" i="3"/>
  <c r="N402" i="3"/>
  <c r="R402" i="3" s="1"/>
  <c r="X401" i="3"/>
  <c r="N401" i="3"/>
  <c r="K401" i="3"/>
  <c r="X400" i="3"/>
  <c r="N400" i="3"/>
  <c r="K400" i="3"/>
  <c r="X399" i="3"/>
  <c r="N399" i="3"/>
  <c r="K399" i="3"/>
  <c r="X398" i="3"/>
  <c r="X397" i="3"/>
  <c r="W4521" i="3"/>
  <c r="W1205" i="3"/>
  <c r="W4347" i="3"/>
  <c r="W4399" i="3"/>
  <c r="W397" i="3"/>
  <c r="W398" i="3"/>
  <c r="W4224" i="3"/>
  <c r="W3982" i="3"/>
  <c r="W4460" i="3"/>
  <c r="R4650" i="3" l="1"/>
  <c r="R2333" i="3"/>
  <c r="R399" i="3"/>
  <c r="R401" i="3"/>
  <c r="R400" i="3"/>
  <c r="W400" i="3"/>
  <c r="W399" i="3"/>
  <c r="W401" i="3"/>
  <c r="Y4724" i="3" l="1"/>
  <c r="K1761" i="3"/>
  <c r="K4754" i="3"/>
  <c r="K4753" i="3"/>
  <c r="K4752" i="3"/>
  <c r="J4520" i="3"/>
  <c r="J4459" i="3"/>
  <c r="J4398" i="3"/>
  <c r="X4346" i="3"/>
  <c r="J4346" i="3"/>
  <c r="W4398" i="3"/>
  <c r="W4752" i="3"/>
  <c r="W4754" i="3"/>
  <c r="W4520" i="3"/>
  <c r="W4753" i="3"/>
  <c r="W4459" i="3"/>
  <c r="X4294" i="3" l="1"/>
  <c r="J4294" i="3"/>
  <c r="R4124" i="3"/>
  <c r="R4123" i="3"/>
  <c r="R4122" i="3"/>
  <c r="R4022" i="3"/>
  <c r="J3981" i="3"/>
  <c r="X1315" i="3"/>
  <c r="M1315" i="3"/>
  <c r="R1315" i="3" s="1"/>
  <c r="X333" i="3"/>
  <c r="J333" i="3"/>
  <c r="X270" i="3"/>
  <c r="J270" i="3"/>
  <c r="J191" i="3"/>
  <c r="X139" i="3"/>
  <c r="J139" i="3"/>
  <c r="F44" i="4"/>
  <c r="L44" i="4" s="1"/>
  <c r="W4124" i="3"/>
  <c r="W4123" i="3"/>
  <c r="W4122" i="3"/>
  <c r="W3981" i="3"/>
  <c r="W4022" i="3"/>
  <c r="X4662" i="3" l="1"/>
  <c r="K4662" i="3"/>
  <c r="R4662" i="3" s="1"/>
  <c r="X1313" i="3" l="1"/>
  <c r="M1313" i="3"/>
  <c r="R1313" i="3" s="1"/>
  <c r="M1045" i="3" l="1"/>
  <c r="K1045" i="3"/>
  <c r="N1042" i="3"/>
  <c r="N1044" i="3"/>
  <c r="O1044" i="3"/>
  <c r="N1043" i="3"/>
  <c r="N1041" i="3"/>
  <c r="N1040" i="3"/>
  <c r="O1040" i="3"/>
  <c r="P1040" i="3" s="1"/>
  <c r="O668" i="3"/>
  <c r="O667" i="3"/>
  <c r="O666" i="3"/>
  <c r="R4567" i="3"/>
  <c r="K4567" i="3"/>
  <c r="J4519" i="3"/>
  <c r="J4458" i="3"/>
  <c r="J4397" i="3"/>
  <c r="X4345" i="3"/>
  <c r="J4345" i="3"/>
  <c r="R4310" i="3"/>
  <c r="X4293" i="3"/>
  <c r="J4293" i="3"/>
  <c r="N4027" i="3"/>
  <c r="N4026" i="3"/>
  <c r="N4025" i="3"/>
  <c r="R4021" i="3"/>
  <c r="J3980" i="3"/>
  <c r="I297" i="2"/>
  <c r="X2997" i="3"/>
  <c r="W4397" i="3"/>
  <c r="W4021" i="3"/>
  <c r="W2998" i="3"/>
  <c r="W4567" i="3"/>
  <c r="W3980" i="3"/>
  <c r="W2997" i="3"/>
  <c r="R666" i="3" l="1"/>
  <c r="R667" i="3"/>
  <c r="R668" i="3"/>
  <c r="R1042" i="3"/>
  <c r="N1045" i="3"/>
  <c r="R1041" i="3"/>
  <c r="R1043" i="3"/>
  <c r="R4026" i="3"/>
  <c r="R4027" i="3"/>
  <c r="R4025" i="3"/>
  <c r="P1044" i="3"/>
  <c r="R1040" i="3"/>
  <c r="X2998" i="3"/>
  <c r="G290" i="2"/>
  <c r="G291" i="2"/>
  <c r="G292" i="2"/>
  <c r="I284" i="2"/>
  <c r="I285" i="2"/>
  <c r="I287" i="2"/>
  <c r="I288" i="2"/>
  <c r="R3000" i="3"/>
  <c r="X2996" i="3"/>
  <c r="X2995" i="3"/>
  <c r="X2994" i="3"/>
  <c r="X2993" i="3"/>
  <c r="O3028" i="3"/>
  <c r="R3028" i="3" s="1"/>
  <c r="O3018" i="3"/>
  <c r="R3018" i="3" s="1"/>
  <c r="X3027" i="3"/>
  <c r="O3027" i="3"/>
  <c r="R3027" i="3" s="1"/>
  <c r="X3026" i="3"/>
  <c r="O3026" i="3"/>
  <c r="R3026" i="3" s="1"/>
  <c r="X3017" i="3"/>
  <c r="O3017" i="3"/>
  <c r="R3017" i="3" s="1"/>
  <c r="X3016" i="3"/>
  <c r="O3016" i="3"/>
  <c r="R3016" i="3" s="1"/>
  <c r="W4027" i="3"/>
  <c r="W4025" i="3"/>
  <c r="W2996" i="3"/>
  <c r="W3027" i="3"/>
  <c r="W2993" i="3"/>
  <c r="W2995" i="3"/>
  <c r="W3017" i="3"/>
  <c r="W3016" i="3"/>
  <c r="W2994" i="3"/>
  <c r="W4026" i="3"/>
  <c r="W3026" i="3"/>
  <c r="R1045" i="3" l="1"/>
  <c r="R1044" i="3"/>
  <c r="X3885" i="3"/>
  <c r="K3885" i="3"/>
  <c r="R3885" i="3" s="1"/>
  <c r="K664" i="3" l="1"/>
  <c r="K1452" i="3" l="1"/>
  <c r="N1199" i="3"/>
  <c r="K1199" i="3"/>
  <c r="X1204" i="3"/>
  <c r="X1199" i="3"/>
  <c r="X1198" i="3"/>
  <c r="K665" i="3"/>
  <c r="O664" i="3"/>
  <c r="X415" i="3"/>
  <c r="X332" i="3"/>
  <c r="J332" i="3"/>
  <c r="X269" i="3"/>
  <c r="J269" i="3"/>
  <c r="J190" i="3"/>
  <c r="X138" i="3"/>
  <c r="J138" i="3"/>
  <c r="X3018" i="3"/>
  <c r="X2942" i="3"/>
  <c r="K2942" i="3"/>
  <c r="N2942" i="3" s="1"/>
  <c r="R2942" i="3" s="1"/>
  <c r="X2941" i="3"/>
  <c r="K2941" i="3"/>
  <c r="N2941" i="3" s="1"/>
  <c r="R2941" i="3" s="1"/>
  <c r="K2952" i="3"/>
  <c r="N2952" i="3" s="1"/>
  <c r="R2952" i="3" s="1"/>
  <c r="K2951" i="3"/>
  <c r="N2951" i="3" s="1"/>
  <c r="R2951" i="3" s="1"/>
  <c r="K4665" i="3"/>
  <c r="R4665" i="3" s="1"/>
  <c r="R4566" i="3"/>
  <c r="K4566" i="3"/>
  <c r="X4518" i="3"/>
  <c r="J4518" i="3"/>
  <c r="R4483" i="3"/>
  <c r="R4485" i="3" s="1"/>
  <c r="J4457" i="3"/>
  <c r="J4396" i="3"/>
  <c r="X4344" i="3"/>
  <c r="J4344" i="3"/>
  <c r="X4292" i="3"/>
  <c r="J4292" i="3"/>
  <c r="R4020" i="3"/>
  <c r="J3979" i="3"/>
  <c r="P3751" i="3"/>
  <c r="R3751" i="3" s="1"/>
  <c r="K3751" i="3"/>
  <c r="L1563" i="3"/>
  <c r="X1314" i="3"/>
  <c r="M1314" i="3"/>
  <c r="R1314" i="3" s="1"/>
  <c r="X1312" i="3"/>
  <c r="M1312" i="3"/>
  <c r="R1312" i="3" s="1"/>
  <c r="X331" i="3"/>
  <c r="J331" i="3"/>
  <c r="X268" i="3"/>
  <c r="J268" i="3"/>
  <c r="J189" i="3"/>
  <c r="X137" i="3"/>
  <c r="J137" i="3"/>
  <c r="F43" i="4"/>
  <c r="F42" i="4"/>
  <c r="W3018" i="3"/>
  <c r="W1204" i="3"/>
  <c r="W1198" i="3"/>
  <c r="W4020" i="3"/>
  <c r="W3979" i="3"/>
  <c r="W415" i="3"/>
  <c r="W4396" i="3"/>
  <c r="W2942" i="3"/>
  <c r="W3751" i="3"/>
  <c r="W4566" i="3"/>
  <c r="W2941" i="3"/>
  <c r="R664" i="3" l="1"/>
  <c r="O665" i="3"/>
  <c r="L1199" i="3"/>
  <c r="X2262" i="3"/>
  <c r="K2262" i="3"/>
  <c r="R2262" i="3" s="1"/>
  <c r="K2229" i="3"/>
  <c r="R2229" i="3" s="1"/>
  <c r="K2331" i="3"/>
  <c r="K3113" i="3"/>
  <c r="R3113" i="3" s="1"/>
  <c r="K3112" i="3"/>
  <c r="R3112" i="3" s="1"/>
  <c r="K3697" i="3"/>
  <c r="R3697" i="3" s="1"/>
  <c r="K3695" i="3"/>
  <c r="R3695" i="3" l="1"/>
  <c r="R665" i="3"/>
  <c r="R2331" i="3"/>
  <c r="O1199" i="3"/>
  <c r="X1311" i="3"/>
  <c r="M1311" i="3"/>
  <c r="R1311" i="3" s="1"/>
  <c r="F298" i="1"/>
  <c r="F297" i="1"/>
  <c r="F296" i="1"/>
  <c r="F295" i="1"/>
  <c r="F294" i="1"/>
  <c r="F293" i="1"/>
  <c r="F292" i="1"/>
  <c r="F41" i="4"/>
  <c r="X4661" i="3"/>
  <c r="K4661" i="3"/>
  <c r="R4661" i="3" s="1"/>
  <c r="R4565" i="3"/>
  <c r="K4565" i="3"/>
  <c r="X4517" i="3"/>
  <c r="J4517" i="3"/>
  <c r="J4456" i="3"/>
  <c r="J4395" i="3"/>
  <c r="X4343" i="3"/>
  <c r="J4343" i="3"/>
  <c r="X4291" i="3"/>
  <c r="J4291" i="3"/>
  <c r="R4019" i="3"/>
  <c r="J3978" i="3"/>
  <c r="K1483" i="3"/>
  <c r="R1483" i="3" s="1"/>
  <c r="K1455" i="3"/>
  <c r="K1417" i="3"/>
  <c r="R1417" i="3" s="1"/>
  <c r="L1367" i="3"/>
  <c r="L1455" i="3" s="1"/>
  <c r="K1367" i="3"/>
  <c r="X1310" i="3"/>
  <c r="M1310" i="3"/>
  <c r="R1310" i="3" s="1"/>
  <c r="X1206" i="3"/>
  <c r="N1206" i="3"/>
  <c r="K1206" i="3"/>
  <c r="X1197" i="3"/>
  <c r="M1067" i="3"/>
  <c r="K1067" i="3"/>
  <c r="N1066" i="3"/>
  <c r="K1066" i="3"/>
  <c r="K1065" i="3"/>
  <c r="K1064" i="3"/>
  <c r="K1063" i="3"/>
  <c r="N1062" i="3"/>
  <c r="K1062" i="3"/>
  <c r="K701" i="3"/>
  <c r="K700" i="3"/>
  <c r="K699" i="3"/>
  <c r="K698" i="3"/>
  <c r="N697" i="3"/>
  <c r="K697" i="3"/>
  <c r="J697" i="3" s="1"/>
  <c r="K696" i="3"/>
  <c r="K695" i="3"/>
  <c r="K694" i="3"/>
  <c r="J694" i="3" s="1"/>
  <c r="K693" i="3"/>
  <c r="K562" i="3"/>
  <c r="X330" i="3"/>
  <c r="J330" i="3"/>
  <c r="X267" i="3"/>
  <c r="J267" i="3"/>
  <c r="J187" i="3"/>
  <c r="X136" i="3"/>
  <c r="J136" i="3"/>
  <c r="W3695" i="3"/>
  <c r="W4019" i="3"/>
  <c r="W4565" i="3"/>
  <c r="W4395" i="3"/>
  <c r="W3978" i="3"/>
  <c r="W1197" i="3"/>
  <c r="N1064" i="3" l="1"/>
  <c r="O1062" i="3"/>
  <c r="P1062" i="3" s="1"/>
  <c r="R1062" i="3" s="1"/>
  <c r="N1065" i="3"/>
  <c r="O1066" i="3"/>
  <c r="N1063" i="3"/>
  <c r="N1067" i="3"/>
  <c r="O701" i="3"/>
  <c r="O698" i="3"/>
  <c r="O693" i="3"/>
  <c r="O695" i="3"/>
  <c r="O699" i="3"/>
  <c r="O694" i="3"/>
  <c r="O696" i="3"/>
  <c r="O700" i="3"/>
  <c r="R1199" i="3"/>
  <c r="R1455" i="3"/>
  <c r="R1367" i="3"/>
  <c r="L1206" i="3"/>
  <c r="O1206" i="3" s="1"/>
  <c r="R1206" i="3" s="1"/>
  <c r="R1067" i="3"/>
  <c r="O697" i="3"/>
  <c r="W1199" i="3"/>
  <c r="R1063" i="3" l="1"/>
  <c r="P1066" i="3"/>
  <c r="R1065" i="3"/>
  <c r="R1064" i="3"/>
  <c r="R700" i="3"/>
  <c r="R694" i="3"/>
  <c r="R698" i="3"/>
  <c r="R696" i="3"/>
  <c r="R699" i="3"/>
  <c r="R695" i="3"/>
  <c r="R693" i="3"/>
  <c r="R701" i="3"/>
  <c r="R697" i="3"/>
  <c r="R1066" i="3" l="1"/>
  <c r="R4564" i="3"/>
  <c r="K4564" i="3"/>
  <c r="R4018" i="3"/>
  <c r="K3852" i="3"/>
  <c r="N3852" i="3" s="1"/>
  <c r="R3852" i="3" s="1"/>
  <c r="X3852" i="3"/>
  <c r="K3851" i="3"/>
  <c r="N3851" i="3" s="1"/>
  <c r="R3851" i="3" s="1"/>
  <c r="X3851" i="3"/>
  <c r="K3850" i="3"/>
  <c r="N3850" i="3" s="1"/>
  <c r="R3850" i="3" s="1"/>
  <c r="X3850" i="3"/>
  <c r="R1981" i="3"/>
  <c r="L1793" i="3"/>
  <c r="R1793" i="3" s="1"/>
  <c r="X4516" i="3"/>
  <c r="J4516" i="3"/>
  <c r="J4455" i="3"/>
  <c r="X4394" i="3"/>
  <c r="J4394" i="3"/>
  <c r="X4342" i="3"/>
  <c r="J4342" i="3"/>
  <c r="X4290" i="3"/>
  <c r="J4290" i="3"/>
  <c r="J3977" i="3"/>
  <c r="X1309" i="3"/>
  <c r="M1309" i="3"/>
  <c r="R1309" i="3" s="1"/>
  <c r="X329" i="3"/>
  <c r="J329" i="3"/>
  <c r="X266" i="3"/>
  <c r="J266" i="3"/>
  <c r="J188" i="3"/>
  <c r="X135" i="3"/>
  <c r="J135" i="3"/>
  <c r="F40" i="4"/>
  <c r="I290" i="2"/>
  <c r="K3762" i="3"/>
  <c r="P3750" i="3"/>
  <c r="R3750" i="3" s="1"/>
  <c r="K3750" i="3"/>
  <c r="W4018" i="3"/>
  <c r="W3852" i="3"/>
  <c r="W4564" i="3"/>
  <c r="W3851" i="3"/>
  <c r="W3850" i="3"/>
  <c r="W3750" i="3"/>
  <c r="W3977" i="3"/>
  <c r="K1793" i="3" l="1"/>
  <c r="K1700" i="3"/>
  <c r="K1739" i="3"/>
  <c r="K1738" i="3"/>
  <c r="K1737" i="3"/>
  <c r="K1736" i="3"/>
  <c r="N1739" i="3"/>
  <c r="R1739" i="3" s="1"/>
  <c r="N1738" i="3"/>
  <c r="R1738" i="3" s="1"/>
  <c r="N1737" i="3"/>
  <c r="R1737" i="3" s="1"/>
  <c r="N1736" i="3"/>
  <c r="R1736" i="3" s="1"/>
  <c r="K1735" i="3"/>
  <c r="K4750" i="3"/>
  <c r="K4749" i="3"/>
  <c r="W1737" i="3"/>
  <c r="W1738" i="3"/>
  <c r="W1739" i="3"/>
  <c r="W1736" i="3"/>
  <c r="W1793" i="3"/>
  <c r="W4749" i="3"/>
  <c r="W4750" i="3"/>
  <c r="R1735" i="3" l="1"/>
  <c r="R1700" i="3"/>
  <c r="K4748" i="3"/>
  <c r="K4747" i="3"/>
  <c r="K4746" i="3"/>
  <c r="K4745" i="3"/>
  <c r="K4744" i="3"/>
  <c r="K4743" i="3"/>
  <c r="K4742" i="3"/>
  <c r="K4741" i="3"/>
  <c r="O4563" i="3"/>
  <c r="X4515" i="3"/>
  <c r="J4515" i="3"/>
  <c r="J4454" i="3"/>
  <c r="X4393" i="3"/>
  <c r="J4393" i="3"/>
  <c r="X4341" i="3"/>
  <c r="J4341" i="3"/>
  <c r="X4289" i="3"/>
  <c r="J4289" i="3"/>
  <c r="R4121" i="3"/>
  <c r="J4074" i="3"/>
  <c r="R4017" i="3"/>
  <c r="R4016" i="3"/>
  <c r="X1308" i="3"/>
  <c r="M1308" i="3"/>
  <c r="R1308" i="3" s="1"/>
  <c r="X328" i="3"/>
  <c r="J328" i="3"/>
  <c r="X265" i="3"/>
  <c r="J265" i="3"/>
  <c r="J186" i="3"/>
  <c r="X134" i="3"/>
  <c r="J134" i="3"/>
  <c r="F39" i="4"/>
  <c r="W4741" i="3"/>
  <c r="W4744" i="3"/>
  <c r="W4017" i="3"/>
  <c r="W4016" i="3"/>
  <c r="W1735" i="3"/>
  <c r="W4121" i="3"/>
  <c r="W4742" i="3"/>
  <c r="W4745" i="3"/>
  <c r="W4746" i="3"/>
  <c r="W4743" i="3"/>
  <c r="W4074" i="3"/>
  <c r="W1700" i="3"/>
  <c r="W4748" i="3"/>
  <c r="W4747" i="3"/>
  <c r="J3976" i="3" l="1"/>
  <c r="R4015" i="3"/>
  <c r="J4073" i="3"/>
  <c r="R4120" i="3"/>
  <c r="J4288" i="3"/>
  <c r="X4288" i="3"/>
  <c r="J4340" i="3"/>
  <c r="X4340" i="3"/>
  <c r="J4392" i="3"/>
  <c r="X4392" i="3"/>
  <c r="J4453" i="3"/>
  <c r="X4514" i="3"/>
  <c r="J4514" i="3"/>
  <c r="X4660" i="3"/>
  <c r="K4660" i="3"/>
  <c r="R4660" i="3" s="1"/>
  <c r="R4769" i="3"/>
  <c r="W3976" i="3"/>
  <c r="W4073" i="3"/>
  <c r="W4015" i="3"/>
  <c r="W4120" i="3"/>
  <c r="W4392" i="3"/>
  <c r="K1941" i="3" l="1"/>
  <c r="K1792" i="3"/>
  <c r="X1307" i="3"/>
  <c r="M1307" i="3"/>
  <c r="R1307" i="3" s="1"/>
  <c r="X1306" i="3"/>
  <c r="M1306" i="3"/>
  <c r="R1306" i="3" s="1"/>
  <c r="X1305" i="3"/>
  <c r="M1305" i="3"/>
  <c r="R1305" i="3" s="1"/>
  <c r="X1304" i="3"/>
  <c r="M1304" i="3"/>
  <c r="R1304" i="3" s="1"/>
  <c r="R1792" i="3" l="1"/>
  <c r="X327" i="3"/>
  <c r="J327" i="3"/>
  <c r="X264" i="3"/>
  <c r="J264" i="3"/>
  <c r="J185" i="3"/>
  <c r="X133" i="3"/>
  <c r="J133" i="3"/>
  <c r="W1792" i="3"/>
  <c r="E298" i="1" l="1"/>
  <c r="C298" i="1"/>
  <c r="B298" i="1"/>
  <c r="E297" i="1"/>
  <c r="C297" i="1"/>
  <c r="B297" i="1"/>
  <c r="E296" i="1"/>
  <c r="C296" i="1"/>
  <c r="B296" i="1"/>
  <c r="E295" i="1"/>
  <c r="C295" i="1"/>
  <c r="B295" i="1"/>
  <c r="E294" i="1"/>
  <c r="C294" i="1"/>
  <c r="B294" i="1"/>
  <c r="E293" i="1"/>
  <c r="C293" i="1"/>
  <c r="B293" i="1"/>
  <c r="E292" i="1"/>
  <c r="B292" i="1"/>
  <c r="C292" i="1"/>
  <c r="F38" i="4"/>
  <c r="R1916" i="3" l="1"/>
  <c r="AC4655" i="3" l="1"/>
  <c r="AC4656" i="3" s="1"/>
  <c r="AC4658" i="3" s="1"/>
  <c r="R1791" i="3"/>
  <c r="K1791" i="3"/>
  <c r="R1790" i="3"/>
  <c r="K1790" i="3"/>
  <c r="R1789" i="3"/>
  <c r="K1789" i="3"/>
  <c r="W1790" i="3"/>
  <c r="W1789" i="3"/>
  <c r="W1791" i="3"/>
  <c r="DC28" i="5" l="1"/>
  <c r="X3410" i="3" l="1"/>
  <c r="N3410" i="3"/>
  <c r="X3409" i="3"/>
  <c r="O3409" i="3"/>
  <c r="R3409" i="3" s="1"/>
  <c r="R3419" i="3" s="1"/>
  <c r="N3409" i="3"/>
  <c r="X3420" i="3"/>
  <c r="R3420" i="3"/>
  <c r="X3419" i="3"/>
  <c r="X3400" i="3"/>
  <c r="X3399" i="3"/>
  <c r="X3358" i="3"/>
  <c r="X3357" i="3"/>
  <c r="X3347" i="3"/>
  <c r="N3347" i="3"/>
  <c r="R3347" i="3" s="1"/>
  <c r="X3346" i="3"/>
  <c r="N3346" i="3"/>
  <c r="R3346" i="3" s="1"/>
  <c r="X3345" i="3"/>
  <c r="N3345" i="3"/>
  <c r="R3345" i="3" s="1"/>
  <c r="X3344" i="3"/>
  <c r="N3344" i="3"/>
  <c r="R3344" i="3" s="1"/>
  <c r="W3347" i="3"/>
  <c r="W3410" i="3"/>
  <c r="W3419" i="3"/>
  <c r="W3409" i="3"/>
  <c r="W3345" i="3"/>
  <c r="W3337" i="3"/>
  <c r="W3357" i="3"/>
  <c r="W3344" i="3"/>
  <c r="W3346" i="3"/>
  <c r="W3399" i="3"/>
  <c r="W3358" i="3"/>
  <c r="W3400" i="3"/>
  <c r="W3420" i="3"/>
  <c r="X3337" i="3" l="1"/>
  <c r="O3336" i="3"/>
  <c r="R3336" i="3" s="1"/>
  <c r="N3336" i="3"/>
  <c r="O3335" i="3"/>
  <c r="R3335" i="3" s="1"/>
  <c r="N3335" i="3"/>
  <c r="O3334" i="3"/>
  <c r="R3334" i="3" s="1"/>
  <c r="N3334" i="3"/>
  <c r="X3333" i="3"/>
  <c r="O3333" i="3"/>
  <c r="R3333" i="3" s="1"/>
  <c r="N3333" i="3"/>
  <c r="R3351" i="3"/>
  <c r="W3348" i="3"/>
  <c r="W3336" i="3"/>
  <c r="W3333" i="3"/>
  <c r="W3335" i="3"/>
  <c r="W3334" i="3"/>
  <c r="X3348" i="3" l="1"/>
  <c r="W3349" i="3"/>
  <c r="X3349" i="3" l="1"/>
  <c r="W3350" i="3"/>
  <c r="X3350" i="3" l="1"/>
  <c r="R3152" i="3"/>
  <c r="N3142" i="3"/>
  <c r="N3141" i="3"/>
  <c r="O3141" i="3"/>
  <c r="R3141" i="3" s="1"/>
  <c r="R3151" i="3" s="1"/>
  <c r="X3082" i="3"/>
  <c r="N3082" i="3"/>
  <c r="R3082" i="3" s="1"/>
  <c r="X3081" i="3"/>
  <c r="N3081" i="3"/>
  <c r="R3081" i="3" s="1"/>
  <c r="N3080" i="3"/>
  <c r="R3080" i="3" s="1"/>
  <c r="N3079" i="3"/>
  <c r="R3079" i="3" s="1"/>
  <c r="O3070" i="3"/>
  <c r="R3070" i="3" s="1"/>
  <c r="N3070" i="3"/>
  <c r="O3069" i="3"/>
  <c r="R3069" i="3" s="1"/>
  <c r="N3069" i="3"/>
  <c r="O3068" i="3"/>
  <c r="R3068" i="3" s="1"/>
  <c r="N3068" i="3"/>
  <c r="O3067" i="3"/>
  <c r="R3067" i="3" s="1"/>
  <c r="N3067" i="3"/>
  <c r="W3081" i="3"/>
  <c r="W3082" i="3"/>
  <c r="W3070" i="3"/>
  <c r="W3069" i="3"/>
  <c r="X1965" i="3" l="1"/>
  <c r="R1965" i="3"/>
  <c r="R1964" i="3"/>
  <c r="R1980" i="3"/>
  <c r="R1979" i="3"/>
  <c r="X2003" i="3"/>
  <c r="R1978" i="3"/>
  <c r="R1994" i="3"/>
  <c r="R1993" i="3"/>
  <c r="I34" i="2"/>
  <c r="X4659" i="3" l="1"/>
  <c r="K4659" i="3"/>
  <c r="R4659" i="3" s="1"/>
  <c r="X4658" i="3"/>
  <c r="K4658" i="3"/>
  <c r="R4658" i="3" s="1"/>
  <c r="X4657" i="3"/>
  <c r="K4657" i="3"/>
  <c r="R4657" i="3" s="1"/>
  <c r="R4690" i="3" l="1"/>
  <c r="O1633" i="3"/>
  <c r="N1758" i="3" s="1"/>
  <c r="X3882" i="3" l="1"/>
  <c r="K3882" i="3"/>
  <c r="R3882" i="3" s="1"/>
  <c r="R4113" i="3" l="1"/>
  <c r="R4116" i="3"/>
  <c r="J4287" i="3"/>
  <c r="J4391" i="3"/>
  <c r="W4116" i="3"/>
  <c r="W4113" i="3"/>
  <c r="X1303" i="3" l="1"/>
  <c r="M1303" i="3"/>
  <c r="R1303" i="3" s="1"/>
  <c r="F37" i="4" l="1"/>
  <c r="L37" i="4" s="1"/>
  <c r="L38" i="4" s="1"/>
  <c r="L39" i="4" s="1"/>
  <c r="L40" i="4" s="1"/>
  <c r="L41" i="4" s="1"/>
  <c r="L42" i="4" s="1"/>
  <c r="L43" i="4" s="1"/>
  <c r="L45" i="4" s="1"/>
  <c r="X4513" i="3" l="1"/>
  <c r="J4513" i="3"/>
  <c r="J4452" i="3" l="1"/>
  <c r="X4391" i="3"/>
  <c r="X4339" i="3"/>
  <c r="J4339" i="3"/>
  <c r="X4287" i="3"/>
  <c r="R4119" i="3"/>
  <c r="J4072" i="3"/>
  <c r="R4014" i="3"/>
  <c r="J3975" i="3"/>
  <c r="K2228" i="3"/>
  <c r="R2228" i="3" s="1"/>
  <c r="K2227" i="3"/>
  <c r="R2227" i="3" s="1"/>
  <c r="W4072" i="3"/>
  <c r="W4391" i="3"/>
  <c r="W4119" i="3"/>
  <c r="W4014" i="3"/>
  <c r="W3975" i="3"/>
  <c r="K1762" i="3" l="1"/>
  <c r="X326" i="3"/>
  <c r="J326" i="3"/>
  <c r="X263" i="3"/>
  <c r="J263" i="3"/>
  <c r="J184" i="3"/>
  <c r="X132" i="3"/>
  <c r="J132" i="3"/>
  <c r="X4784" i="3"/>
  <c r="X4783" i="3"/>
  <c r="X4782" i="3"/>
  <c r="R4782" i="3"/>
  <c r="X4781" i="3"/>
  <c r="R4781" i="3"/>
  <c r="L4781" i="3"/>
  <c r="S4781" i="3" s="1"/>
  <c r="S4778" i="3" s="1"/>
  <c r="J4781" i="3"/>
  <c r="X4780" i="3"/>
  <c r="K4779" i="3"/>
  <c r="X4778" i="3"/>
  <c r="V4778" i="3"/>
  <c r="K4778" i="3"/>
  <c r="X4777" i="3"/>
  <c r="X4776" i="3"/>
  <c r="C4776" i="3"/>
  <c r="B4776" i="3"/>
  <c r="X4775" i="3"/>
  <c r="X4774" i="3"/>
  <c r="X4773" i="3"/>
  <c r="R4773" i="3"/>
  <c r="X4772" i="3"/>
  <c r="R4772" i="3"/>
  <c r="L4772" i="3"/>
  <c r="S4772" i="3" s="1"/>
  <c r="S4769" i="3" s="1"/>
  <c r="J4772" i="3"/>
  <c r="X4771" i="3"/>
  <c r="K4770" i="3"/>
  <c r="X4769" i="3"/>
  <c r="V4769" i="3"/>
  <c r="K4769" i="3"/>
  <c r="X4768" i="3"/>
  <c r="X4767" i="3"/>
  <c r="C4767" i="3"/>
  <c r="B4767" i="3"/>
  <c r="X4766" i="3"/>
  <c r="X4765" i="3"/>
  <c r="X4764" i="3"/>
  <c r="R4764" i="3"/>
  <c r="R4763" i="3"/>
  <c r="L4763" i="3"/>
  <c r="S4763" i="3" s="1"/>
  <c r="S4740" i="3" s="1"/>
  <c r="J4763" i="3"/>
  <c r="K4751" i="3"/>
  <c r="X4740" i="3"/>
  <c r="K4740" i="3"/>
  <c r="X4739" i="3"/>
  <c r="X4738" i="3"/>
  <c r="C4738" i="3"/>
  <c r="B4738" i="3"/>
  <c r="X4737" i="3"/>
  <c r="X4705" i="3"/>
  <c r="X4704" i="3"/>
  <c r="X4703" i="3"/>
  <c r="C4703" i="3"/>
  <c r="B4703" i="3"/>
  <c r="X4702" i="3"/>
  <c r="X4701" i="3"/>
  <c r="X4700" i="3"/>
  <c r="R4700" i="3"/>
  <c r="X4699" i="3"/>
  <c r="R4699" i="3"/>
  <c r="L4699" i="3"/>
  <c r="S4699" i="3" s="1"/>
  <c r="S4696" i="3" s="1"/>
  <c r="J4699" i="3"/>
  <c r="X4698" i="3"/>
  <c r="X4696" i="3"/>
  <c r="V4696" i="3"/>
  <c r="K4696" i="3"/>
  <c r="X4695" i="3"/>
  <c r="X4694" i="3"/>
  <c r="C4694" i="3"/>
  <c r="B4694" i="3"/>
  <c r="X4693" i="3"/>
  <c r="R4691" i="3"/>
  <c r="R4692" i="3" s="1"/>
  <c r="L4690" i="3"/>
  <c r="J4690" i="3"/>
  <c r="X4656" i="3"/>
  <c r="X4655" i="3"/>
  <c r="X4654" i="3"/>
  <c r="C4654" i="3"/>
  <c r="B4654" i="3"/>
  <c r="X4653" i="3"/>
  <c r="R4651" i="3"/>
  <c r="L4650" i="3"/>
  <c r="J4650" i="3"/>
  <c r="X4613" i="3"/>
  <c r="C4613" i="3"/>
  <c r="B4613" i="3"/>
  <c r="W4780" i="3"/>
  <c r="W4655" i="3"/>
  <c r="W4771" i="3"/>
  <c r="W4739" i="3"/>
  <c r="W4694" i="3"/>
  <c r="W4702" i="3"/>
  <c r="W4698" i="3"/>
  <c r="W4777" i="3"/>
  <c r="W4737" i="3"/>
  <c r="W4693" i="3"/>
  <c r="W4751" i="3"/>
  <c r="W4776" i="3"/>
  <c r="W4768" i="3"/>
  <c r="W4775" i="3"/>
  <c r="W4695" i="3"/>
  <c r="W4740" i="3"/>
  <c r="W4656" i="3"/>
  <c r="W4766" i="3"/>
  <c r="W4653" i="3"/>
  <c r="W4772" i="3"/>
  <c r="W4738" i="3"/>
  <c r="W4654" i="3"/>
  <c r="W4613" i="3"/>
  <c r="W4781" i="3"/>
  <c r="W4704" i="3"/>
  <c r="W4767" i="3"/>
  <c r="W4769" i="3"/>
  <c r="W4784" i="3"/>
  <c r="W4763" i="3"/>
  <c r="W4696" i="3"/>
  <c r="W4699" i="3"/>
  <c r="W4778" i="3"/>
  <c r="W4703" i="3"/>
  <c r="V4692" i="3" l="1"/>
  <c r="S4680" i="3"/>
  <c r="S4681" i="3"/>
  <c r="S4682" i="3"/>
  <c r="S4661" i="3"/>
  <c r="S4662" i="3"/>
  <c r="S4663" i="3"/>
  <c r="S4664" i="3"/>
  <c r="S4665" i="3"/>
  <c r="S4666" i="3"/>
  <c r="S4667" i="3"/>
  <c r="S4668" i="3"/>
  <c r="S4669" i="3"/>
  <c r="S4670" i="3"/>
  <c r="S4671" i="3"/>
  <c r="S4672" i="3"/>
  <c r="S4658" i="3"/>
  <c r="S4659" i="3"/>
  <c r="S4660" i="3"/>
  <c r="S4690" i="3"/>
  <c r="S4657" i="3"/>
  <c r="S4641" i="3"/>
  <c r="S4642" i="3"/>
  <c r="S4643" i="3"/>
  <c r="S4644" i="3"/>
  <c r="S4645" i="3"/>
  <c r="S4646" i="3"/>
  <c r="S4647" i="3"/>
  <c r="S4617" i="3"/>
  <c r="S4620" i="3"/>
  <c r="S4625" i="3"/>
  <c r="S4626" i="3"/>
  <c r="S4628" i="3"/>
  <c r="S4631" i="3"/>
  <c r="S4632" i="3"/>
  <c r="S4634" i="3"/>
  <c r="S4637" i="3"/>
  <c r="S4639" i="3"/>
  <c r="S4618" i="3"/>
  <c r="S4619" i="3"/>
  <c r="S4621" i="3"/>
  <c r="S4622" i="3"/>
  <c r="S4623" i="3"/>
  <c r="S4624" i="3"/>
  <c r="S4627" i="3"/>
  <c r="S4629" i="3"/>
  <c r="S4630" i="3"/>
  <c r="S4633" i="3"/>
  <c r="S4635" i="3"/>
  <c r="S4636" i="3"/>
  <c r="S4638" i="3"/>
  <c r="S4650" i="3"/>
  <c r="S4616" i="3"/>
  <c r="R4652" i="3"/>
  <c r="J4691" i="3"/>
  <c r="J4651" i="3"/>
  <c r="N1763" i="3"/>
  <c r="R4774" i="3"/>
  <c r="J302" i="2" s="1"/>
  <c r="D297" i="1" s="1"/>
  <c r="G297" i="1" s="1"/>
  <c r="H297" i="1" s="1"/>
  <c r="J298" i="2"/>
  <c r="D293" i="1" s="1"/>
  <c r="G293" i="1" s="1"/>
  <c r="H293" i="1" s="1"/>
  <c r="R4765" i="3"/>
  <c r="J301" i="2" s="1"/>
  <c r="D296" i="1" s="1"/>
  <c r="G296" i="1" s="1"/>
  <c r="H296" i="1" s="1"/>
  <c r="R4701" i="3"/>
  <c r="R4783" i="3"/>
  <c r="J303" i="2" s="1"/>
  <c r="D298" i="1" s="1"/>
  <c r="G298" i="1" s="1"/>
  <c r="H298" i="1" s="1"/>
  <c r="J4782" i="3"/>
  <c r="V4777" i="3"/>
  <c r="V4776" i="3" s="1"/>
  <c r="S4782" i="3"/>
  <c r="S4783" i="3"/>
  <c r="J4773" i="3"/>
  <c r="V4768" i="3"/>
  <c r="V4767" i="3" s="1"/>
  <c r="S4773" i="3"/>
  <c r="S4774" i="3"/>
  <c r="J4764" i="3"/>
  <c r="S4764" i="3"/>
  <c r="S4765" i="3"/>
  <c r="S4736" i="3"/>
  <c r="J4700" i="3"/>
  <c r="V4695" i="3"/>
  <c r="V4694" i="3" s="1"/>
  <c r="S4700" i="3"/>
  <c r="S4701" i="3"/>
  <c r="S4691" i="3"/>
  <c r="S4692" i="3"/>
  <c r="S4651" i="3"/>
  <c r="S4652" i="3"/>
  <c r="W4672" i="3"/>
  <c r="W4669" i="3"/>
  <c r="W4670" i="3"/>
  <c r="W4764" i="3"/>
  <c r="W4668" i="3"/>
  <c r="W4691" i="3"/>
  <c r="W4667" i="3"/>
  <c r="W4625" i="3"/>
  <c r="W4701" i="3"/>
  <c r="W4666" i="3"/>
  <c r="W4671" i="3"/>
  <c r="W4692" i="3"/>
  <c r="W4681" i="3"/>
  <c r="W4652" i="3"/>
  <c r="W4773" i="3"/>
  <c r="W4650" i="3"/>
  <c r="W4700" i="3"/>
  <c r="W4680" i="3"/>
  <c r="W4690" i="3"/>
  <c r="W4651" i="3"/>
  <c r="W4765" i="3"/>
  <c r="W4705" i="3"/>
  <c r="W4782" i="3"/>
  <c r="W4774" i="3"/>
  <c r="W4783" i="3"/>
  <c r="W4682" i="3"/>
  <c r="V4691" i="3" l="1"/>
  <c r="V4690" i="3" s="1"/>
  <c r="V4689" i="3" s="1"/>
  <c r="V4688" i="3" s="1"/>
  <c r="V4687" i="3" s="1"/>
  <c r="V4652" i="3"/>
  <c r="V4651" i="3" s="1"/>
  <c r="V4650" i="3" s="1"/>
  <c r="V4649" i="3" s="1"/>
  <c r="V4648" i="3" s="1"/>
  <c r="V4647" i="3" s="1"/>
  <c r="J299" i="2"/>
  <c r="D294" i="1" s="1"/>
  <c r="G294" i="1" s="1"/>
  <c r="H294" i="1" s="1"/>
  <c r="R1763" i="3"/>
  <c r="R4736" i="3"/>
  <c r="R1765" i="3"/>
  <c r="R1766" i="3"/>
  <c r="V4774" i="3"/>
  <c r="V4773" i="3" s="1"/>
  <c r="V4772" i="3" s="1"/>
  <c r="V4771" i="3" s="1"/>
  <c r="V4775" i="3" s="1"/>
  <c r="V4701" i="3"/>
  <c r="V4700" i="3" s="1"/>
  <c r="V4699" i="3" s="1"/>
  <c r="V4698" i="3" s="1"/>
  <c r="V4702" i="3" s="1"/>
  <c r="V4765" i="3"/>
  <c r="V4764" i="3" s="1"/>
  <c r="V4783" i="3"/>
  <c r="V4782" i="3" s="1"/>
  <c r="V4781" i="3" s="1"/>
  <c r="V4780" i="3" s="1"/>
  <c r="V4784" i="3" s="1"/>
  <c r="W4736" i="3"/>
  <c r="V4736" i="3" l="1"/>
  <c r="V4735" i="3" s="1"/>
  <c r="V4734" i="3" s="1"/>
  <c r="V4733" i="3" s="1"/>
  <c r="V4732" i="3" s="1"/>
  <c r="V4731" i="3" s="1"/>
  <c r="V4730" i="3" s="1"/>
  <c r="V4729" i="3" s="1"/>
  <c r="V4728" i="3" s="1"/>
  <c r="V4727" i="3" s="1"/>
  <c r="V4726" i="3" s="1"/>
  <c r="V4725" i="3" s="1"/>
  <c r="V4724" i="3" s="1"/>
  <c r="V4723" i="3" s="1"/>
  <c r="V4722" i="3" s="1"/>
  <c r="V4721" i="3" s="1"/>
  <c r="V4720" i="3" s="1"/>
  <c r="V4719" i="3" s="1"/>
  <c r="V4718" i="3" s="1"/>
  <c r="V4763" i="3"/>
  <c r="J297" i="2"/>
  <c r="D292" i="1" s="1"/>
  <c r="G292" i="1" s="1"/>
  <c r="H292" i="1" s="1"/>
  <c r="V4762" i="3" l="1"/>
  <c r="V4761" i="3" s="1"/>
  <c r="V4760" i="3" s="1"/>
  <c r="V4759" i="3" s="1"/>
  <c r="V4758" i="3" s="1"/>
  <c r="V4757" i="3" s="1"/>
  <c r="V4756" i="3" s="1"/>
  <c r="V4755" i="3" s="1"/>
  <c r="V4754" i="3" s="1"/>
  <c r="V4753" i="3" s="1"/>
  <c r="V4752" i="3" s="1"/>
  <c r="V4751" i="3" s="1"/>
  <c r="V4750" i="3" s="1"/>
  <c r="V4749" i="3" s="1"/>
  <c r="V4748" i="3" s="1"/>
  <c r="V4747" i="3" s="1"/>
  <c r="V4746" i="3" s="1"/>
  <c r="V4745" i="3" s="1"/>
  <c r="V4744" i="3" s="1"/>
  <c r="V4743" i="3" s="1"/>
  <c r="V4742" i="3" s="1"/>
  <c r="V4741" i="3" s="1"/>
  <c r="V4740" i="3" s="1"/>
  <c r="V4739" i="3" s="1"/>
  <c r="V4738" i="3" s="1"/>
  <c r="V4766" i="3" s="1"/>
  <c r="J300" i="2"/>
  <c r="D295" i="1" s="1"/>
  <c r="G295" i="1" s="1"/>
  <c r="H295" i="1" s="1"/>
  <c r="L303" i="2"/>
  <c r="M303" i="2" s="1"/>
  <c r="N303" i="2" s="1"/>
  <c r="I303" i="2"/>
  <c r="G303" i="2"/>
  <c r="L302" i="2"/>
  <c r="M302" i="2" s="1"/>
  <c r="I302" i="2"/>
  <c r="G302" i="2"/>
  <c r="L301" i="2"/>
  <c r="M301" i="2" s="1"/>
  <c r="N301" i="2" s="1"/>
  <c r="I301" i="2"/>
  <c r="G301" i="2"/>
  <c r="I300" i="2"/>
  <c r="L299" i="2"/>
  <c r="M299" i="2" s="1"/>
  <c r="N299" i="2" s="1"/>
  <c r="I299" i="2"/>
  <c r="G299" i="2"/>
  <c r="L298" i="2"/>
  <c r="M298" i="2" s="1"/>
  <c r="N298" i="2" s="1"/>
  <c r="I298" i="2"/>
  <c r="I317" i="2" s="1"/>
  <c r="L297" i="2"/>
  <c r="M297" i="2" s="1"/>
  <c r="N297" i="2" s="1"/>
  <c r="N302" i="2" l="1"/>
  <c r="L300" i="2"/>
  <c r="M300" i="2" s="1"/>
  <c r="N300" i="2" s="1"/>
  <c r="K299" i="2"/>
  <c r="K303" i="2"/>
  <c r="K298" i="2"/>
  <c r="K302" i="2"/>
  <c r="K297" i="2"/>
  <c r="K301" i="2"/>
  <c r="DG28" i="5"/>
  <c r="DG25" i="5"/>
  <c r="DC25" i="5"/>
  <c r="DG22" i="5"/>
  <c r="DC22" i="5"/>
  <c r="DK19" i="5"/>
  <c r="DG19" i="5"/>
  <c r="DC19" i="5"/>
  <c r="DG16" i="5"/>
  <c r="DC16" i="5"/>
  <c r="V4717" i="3" l="1"/>
  <c r="V4716" i="3" s="1"/>
  <c r="V4715" i="3" s="1"/>
  <c r="V4714" i="3" s="1"/>
  <c r="V4713" i="3" s="1"/>
  <c r="V4712" i="3" s="1"/>
  <c r="V4711" i="3" s="1"/>
  <c r="V4710" i="3" s="1"/>
  <c r="V4709" i="3" s="1"/>
  <c r="V4708" i="3" s="1"/>
  <c r="V4707" i="3" s="1"/>
  <c r="V4706" i="3" s="1"/>
  <c r="V4705" i="3" s="1"/>
  <c r="V4704" i="3" s="1"/>
  <c r="V4703" i="3" s="1"/>
  <c r="V4737" i="3" s="1"/>
  <c r="K300" i="2"/>
  <c r="DC32" i="5"/>
  <c r="DG32" i="5"/>
  <c r="DC13" i="5"/>
  <c r="DG13" i="5"/>
  <c r="CU28" i="5"/>
  <c r="CU25" i="5"/>
  <c r="CU22" i="5"/>
  <c r="F35" i="4"/>
  <c r="X4390" i="3" l="1"/>
  <c r="J4390" i="3"/>
  <c r="K3928" i="3"/>
  <c r="X3881" i="3"/>
  <c r="R3881" i="3"/>
  <c r="X3880" i="3"/>
  <c r="R3880" i="3"/>
  <c r="R3879" i="3"/>
  <c r="X3879" i="3"/>
  <c r="K3878" i="3"/>
  <c r="R3878" i="3" s="1"/>
  <c r="X3849" i="3"/>
  <c r="K3849" i="3"/>
  <c r="N3849" i="3" s="1"/>
  <c r="R3849" i="3" s="1"/>
  <c r="X3848" i="3"/>
  <c r="K3848" i="3"/>
  <c r="N3848" i="3" s="1"/>
  <c r="R3848" i="3" s="1"/>
  <c r="X3805" i="3"/>
  <c r="X1302" i="3"/>
  <c r="M1302" i="3"/>
  <c r="R1302" i="3" s="1"/>
  <c r="X1301" i="3"/>
  <c r="M1301" i="3"/>
  <c r="R1301" i="3" s="1"/>
  <c r="X1300" i="3"/>
  <c r="M1300" i="3"/>
  <c r="R1300" i="3" s="1"/>
  <c r="X1299" i="3"/>
  <c r="M1299" i="3"/>
  <c r="R1299" i="3" s="1"/>
  <c r="X1298" i="3"/>
  <c r="M1298" i="3"/>
  <c r="R1298" i="3" s="1"/>
  <c r="X1297" i="3"/>
  <c r="M1297" i="3"/>
  <c r="R1297" i="3" s="1"/>
  <c r="X1296" i="3"/>
  <c r="M1296" i="3"/>
  <c r="R1296" i="3" s="1"/>
  <c r="X1295" i="3"/>
  <c r="M1295" i="3"/>
  <c r="R1295" i="3" s="1"/>
  <c r="R286" i="3"/>
  <c r="R4118" i="3"/>
  <c r="R4013" i="3"/>
  <c r="R4012" i="3"/>
  <c r="W3848" i="3"/>
  <c r="W4013" i="3"/>
  <c r="W4390" i="3"/>
  <c r="W4118" i="3"/>
  <c r="W3849" i="3"/>
  <c r="W3805" i="3"/>
  <c r="W4012" i="3"/>
  <c r="W3928" i="3"/>
  <c r="N3294" i="3" l="1"/>
  <c r="R3294" i="3" s="1"/>
  <c r="N3293" i="3"/>
  <c r="R3293" i="3" s="1"/>
  <c r="C3291" i="3"/>
  <c r="R3111" i="3"/>
  <c r="K3038" i="3"/>
  <c r="N3038" i="3" s="1"/>
  <c r="R3038" i="3" s="1"/>
  <c r="N3037" i="3"/>
  <c r="R3037" i="3" s="1"/>
  <c r="X4512" i="3" l="1"/>
  <c r="J4512" i="3"/>
  <c r="J4451" i="3" l="1"/>
  <c r="X4338" i="3"/>
  <c r="J4338" i="3"/>
  <c r="X4286" i="3"/>
  <c r="J4286" i="3"/>
  <c r="R4079" i="3"/>
  <c r="J4071" i="3"/>
  <c r="J3974" i="3"/>
  <c r="X3878" i="3"/>
  <c r="W4071" i="3"/>
  <c r="W3974" i="3"/>
  <c r="X325" i="3" l="1"/>
  <c r="J325" i="3"/>
  <c r="X262" i="3"/>
  <c r="J262" i="3"/>
  <c r="J183" i="3"/>
  <c r="X131" i="3"/>
  <c r="J131" i="3"/>
  <c r="CQ22" i="5" l="1"/>
  <c r="F34" i="4"/>
  <c r="X4511" i="3"/>
  <c r="J4511" i="3"/>
  <c r="J4450" i="3"/>
  <c r="X4389" i="3"/>
  <c r="J4389" i="3"/>
  <c r="X4337" i="3"/>
  <c r="J4337" i="3"/>
  <c r="X4285" i="3"/>
  <c r="J4285" i="3"/>
  <c r="R4117" i="3"/>
  <c r="J4070" i="3"/>
  <c r="J3973" i="3"/>
  <c r="X324" i="3"/>
  <c r="J324" i="3"/>
  <c r="X261" i="3"/>
  <c r="J261" i="3"/>
  <c r="J182" i="3"/>
  <c r="W4070" i="3"/>
  <c r="W3973" i="3"/>
  <c r="W4117" i="3"/>
  <c r="W4389" i="3"/>
  <c r="X130" i="3" l="1"/>
  <c r="J130" i="3"/>
  <c r="L1730" i="3" l="1"/>
  <c r="L1729" i="3"/>
  <c r="L1728" i="3"/>
  <c r="K2329" i="3"/>
  <c r="R1728" i="3" l="1"/>
  <c r="R1729" i="3"/>
  <c r="R1730" i="3"/>
  <c r="R4563" i="3"/>
  <c r="K4563" i="3"/>
  <c r="X4510" i="3"/>
  <c r="J4510" i="3"/>
  <c r="X4449" i="3"/>
  <c r="J4449" i="3"/>
  <c r="X4336" i="3"/>
  <c r="J4336" i="3"/>
  <c r="X4284" i="3"/>
  <c r="J4284" i="3"/>
  <c r="K4222" i="3"/>
  <c r="F33" i="4"/>
  <c r="R4115" i="3"/>
  <c r="J4069" i="3"/>
  <c r="R4011" i="3"/>
  <c r="J3972" i="3"/>
  <c r="X4388" i="3"/>
  <c r="J4388" i="3"/>
  <c r="X4387" i="3"/>
  <c r="J4387" i="3"/>
  <c r="X4386" i="3"/>
  <c r="J4386" i="3"/>
  <c r="X4385" i="3"/>
  <c r="J4385" i="3"/>
  <c r="X4384" i="3"/>
  <c r="J4384" i="3"/>
  <c r="X4383" i="3"/>
  <c r="J4383" i="3"/>
  <c r="X4382" i="3"/>
  <c r="J4382" i="3"/>
  <c r="W4388" i="3"/>
  <c r="W4385" i="3"/>
  <c r="W4563" i="3"/>
  <c r="W1729" i="3"/>
  <c r="W4382" i="3"/>
  <c r="W3972" i="3"/>
  <c r="W1728" i="3"/>
  <c r="W4069" i="3"/>
  <c r="W1730" i="3"/>
  <c r="W4383" i="3"/>
  <c r="W4386" i="3"/>
  <c r="W4011" i="3"/>
  <c r="W4115" i="3"/>
  <c r="W4387" i="3"/>
  <c r="W4384" i="3"/>
  <c r="R4222" i="3" l="1"/>
  <c r="X323" i="3"/>
  <c r="J323" i="3"/>
  <c r="X260" i="3"/>
  <c r="J260" i="3"/>
  <c r="J181" i="3"/>
  <c r="X129" i="3"/>
  <c r="J129" i="3"/>
  <c r="CM22" i="5"/>
  <c r="W4222" i="3"/>
  <c r="K2026" i="3" l="1"/>
  <c r="R2026" i="3" s="1"/>
  <c r="X2026" i="3"/>
  <c r="K2330" i="3" l="1"/>
  <c r="R2330" i="3" l="1"/>
  <c r="K559" i="3"/>
  <c r="X4509" i="3"/>
  <c r="J4509" i="3"/>
  <c r="X4448" i="3"/>
  <c r="J4448" i="3"/>
  <c r="X4370" i="3"/>
  <c r="N4370" i="3"/>
  <c r="O4370" i="3" s="1"/>
  <c r="R4370" i="3" s="1"/>
  <c r="K4370" i="3"/>
  <c r="X4335" i="3"/>
  <c r="J4335" i="3"/>
  <c r="X4283" i="3"/>
  <c r="J4283" i="3"/>
  <c r="R4114" i="3"/>
  <c r="J4068" i="3"/>
  <c r="R4010" i="3"/>
  <c r="J3971" i="3"/>
  <c r="W4114" i="3"/>
  <c r="W3971" i="3"/>
  <c r="W4068" i="3"/>
  <c r="W4010" i="3"/>
  <c r="X322" i="3" l="1"/>
  <c r="J322" i="3"/>
  <c r="X259" i="3"/>
  <c r="J259" i="3"/>
  <c r="J180" i="3"/>
  <c r="X128" i="3"/>
  <c r="J128" i="3"/>
  <c r="K31" i="4"/>
  <c r="F32" i="4"/>
  <c r="CI22" i="5"/>
  <c r="CE28" i="5"/>
  <c r="N4369" i="3" l="1"/>
  <c r="R4009" i="3"/>
  <c r="R4562" i="3"/>
  <c r="K4562" i="3"/>
  <c r="K4369" i="3"/>
  <c r="W4009" i="3"/>
  <c r="W4562" i="3"/>
  <c r="R4052" i="3" l="1"/>
  <c r="O4369" i="3"/>
  <c r="R4369" i="3" s="1"/>
  <c r="Q2317" i="3" l="1"/>
  <c r="X1759" i="3" l="1"/>
  <c r="X4369" i="3" l="1"/>
  <c r="K2260" i="3" l="1"/>
  <c r="R2260" i="3" s="1"/>
  <c r="K2259" i="3"/>
  <c r="R2259" i="3" s="1"/>
  <c r="R1788" i="3"/>
  <c r="K1788" i="3"/>
  <c r="F30" i="5"/>
  <c r="EA30" i="5" s="1"/>
  <c r="W1788" i="3"/>
  <c r="DC30" i="5" l="1"/>
  <c r="DG30" i="5"/>
  <c r="R4112" i="3"/>
  <c r="W4112" i="3"/>
  <c r="R1759" i="3" l="1"/>
  <c r="CA30" i="5"/>
  <c r="EI35" i="5"/>
  <c r="G33" i="5"/>
  <c r="K33" i="5" s="1"/>
  <c r="O33" i="5" s="1"/>
  <c r="BW32" i="5"/>
  <c r="BS32" i="5"/>
  <c r="BO32" i="5"/>
  <c r="BK32" i="5"/>
  <c r="BG32" i="5"/>
  <c r="BC32" i="5"/>
  <c r="AY32" i="5"/>
  <c r="AU32" i="5"/>
  <c r="AQ32" i="5"/>
  <c r="AM32" i="5"/>
  <c r="AA32" i="5"/>
  <c r="S32" i="5"/>
  <c r="S30" i="5" s="1"/>
  <c r="CA28" i="5"/>
  <c r="CA25" i="5"/>
  <c r="BW25" i="5"/>
  <c r="BS25" i="5"/>
  <c r="BO25" i="5"/>
  <c r="BK25" i="5"/>
  <c r="AQ25" i="5"/>
  <c r="AM25" i="5"/>
  <c r="CA22" i="5"/>
  <c r="BW22" i="5"/>
  <c r="BS22" i="5"/>
  <c r="BO22" i="5"/>
  <c r="BS20" i="5"/>
  <c r="BW19" i="5"/>
  <c r="BO19" i="5"/>
  <c r="CA16" i="5"/>
  <c r="BW16" i="5"/>
  <c r="BS16" i="5"/>
  <c r="BO16" i="5"/>
  <c r="BK16" i="5"/>
  <c r="BG16" i="5"/>
  <c r="BC16" i="5"/>
  <c r="AY16" i="5"/>
  <c r="AU16" i="5"/>
  <c r="AQ16" i="5"/>
  <c r="AM16" i="5"/>
  <c r="AI16" i="5"/>
  <c r="AE16" i="5"/>
  <c r="AA16" i="5"/>
  <c r="W16" i="5"/>
  <c r="S16" i="5"/>
  <c r="O16" i="5"/>
  <c r="K16" i="5"/>
  <c r="CA13" i="5"/>
  <c r="BW13" i="5"/>
  <c r="BS13" i="5"/>
  <c r="W13" i="5"/>
  <c r="S13" i="5"/>
  <c r="O13" i="5"/>
  <c r="K13" i="5"/>
  <c r="AM13" i="5"/>
  <c r="S33" i="5" l="1"/>
  <c r="W33" i="5" s="1"/>
  <c r="AA33" i="5" s="1"/>
  <c r="AE33" i="5" s="1"/>
  <c r="AI33" i="5" s="1"/>
  <c r="AM33" i="5" s="1"/>
  <c r="AQ33" i="5" s="1"/>
  <c r="AU33" i="5" s="1"/>
  <c r="AY33" i="5" s="1"/>
  <c r="BC33" i="5" s="1"/>
  <c r="BG33" i="5" s="1"/>
  <c r="BK33" i="5" s="1"/>
  <c r="BO33" i="5" s="1"/>
  <c r="BS33" i="5" s="1"/>
  <c r="BW33" i="5" s="1"/>
  <c r="CA33" i="5" s="1"/>
  <c r="BC30" i="5"/>
  <c r="AY30" i="5"/>
  <c r="W30" i="5"/>
  <c r="AE30" i="5"/>
  <c r="AU30" i="5"/>
  <c r="BG30" i="5"/>
  <c r="BW30" i="5"/>
  <c r="AA30" i="5"/>
  <c r="BK30" i="5"/>
  <c r="G30" i="5"/>
  <c r="G31" i="5" s="1"/>
  <c r="AM30" i="5"/>
  <c r="BS30" i="5"/>
  <c r="BS31" i="5" s="1"/>
  <c r="AE13" i="5"/>
  <c r="K30" i="5"/>
  <c r="AQ30" i="5"/>
  <c r="BO30" i="5"/>
  <c r="AA13" i="5"/>
  <c r="AI13" i="5"/>
  <c r="O30" i="5"/>
  <c r="AI30" i="5"/>
  <c r="BW31" i="5" l="1"/>
  <c r="K31" i="5"/>
  <c r="O31" i="5" s="1"/>
  <c r="S31" i="5" s="1"/>
  <c r="W31" i="5" s="1"/>
  <c r="AA31" i="5" s="1"/>
  <c r="AE31" i="5" s="1"/>
  <c r="AI31" i="5" s="1"/>
  <c r="AM31" i="5" s="1"/>
  <c r="AQ31" i="5" s="1"/>
  <c r="AU31" i="5" s="1"/>
  <c r="AY31" i="5" s="1"/>
  <c r="BC31" i="5" s="1"/>
  <c r="BG31" i="5" s="1"/>
  <c r="BK31" i="5" s="1"/>
  <c r="F31" i="4" l="1"/>
  <c r="X4508" i="3"/>
  <c r="J4508" i="3"/>
  <c r="J4447" i="3"/>
  <c r="X4447" i="3"/>
  <c r="X4334" i="3"/>
  <c r="J4334" i="3"/>
  <c r="X4282" i="3"/>
  <c r="J4282" i="3"/>
  <c r="J4067" i="3"/>
  <c r="J3970" i="3"/>
  <c r="X321" i="3"/>
  <c r="J321" i="3"/>
  <c r="X258" i="3"/>
  <c r="J258" i="3"/>
  <c r="J179" i="3"/>
  <c r="X127" i="3"/>
  <c r="J127" i="3"/>
  <c r="W3970" i="3"/>
  <c r="W4067" i="3"/>
  <c r="R1732" i="3" l="1"/>
  <c r="K4607" i="3"/>
  <c r="K4606" i="3"/>
  <c r="K4595" i="3"/>
  <c r="K4594" i="3"/>
  <c r="K4593" i="3"/>
  <c r="W1732" i="3"/>
  <c r="W4595" i="3"/>
  <c r="R4111" i="3" l="1"/>
  <c r="R4110" i="3"/>
  <c r="R4109" i="3"/>
  <c r="R4108" i="3"/>
  <c r="R4107" i="3"/>
  <c r="R4106" i="3"/>
  <c r="R4105" i="3"/>
  <c r="R4104" i="3"/>
  <c r="R4103" i="3"/>
  <c r="R4102" i="3"/>
  <c r="R4101" i="3"/>
  <c r="R4100" i="3"/>
  <c r="R4099" i="3"/>
  <c r="R4098" i="3"/>
  <c r="R4097" i="3"/>
  <c r="R4096" i="3"/>
  <c r="R4095" i="3"/>
  <c r="R4094" i="3"/>
  <c r="R4093" i="3"/>
  <c r="R4092" i="3"/>
  <c r="R4091" i="3"/>
  <c r="R4090" i="3"/>
  <c r="R4089" i="3"/>
  <c r="R4088" i="3"/>
  <c r="R4087" i="3"/>
  <c r="R4086" i="3"/>
  <c r="R4085" i="3"/>
  <c r="W4107" i="3"/>
  <c r="W4101" i="3"/>
  <c r="W4098" i="3"/>
  <c r="W4087" i="3"/>
  <c r="W4104" i="3"/>
  <c r="W4094" i="3"/>
  <c r="W4085" i="3"/>
  <c r="W4108" i="3"/>
  <c r="W4086" i="3"/>
  <c r="W4102" i="3"/>
  <c r="W4105" i="3"/>
  <c r="W4100" i="3"/>
  <c r="W4099" i="3"/>
  <c r="W4089" i="3"/>
  <c r="W4092" i="3"/>
  <c r="W4106" i="3"/>
  <c r="W4097" i="3"/>
  <c r="W4110" i="3"/>
  <c r="W4111" i="3"/>
  <c r="W4090" i="3"/>
  <c r="W4093" i="3"/>
  <c r="W4096" i="3"/>
  <c r="W4088" i="3"/>
  <c r="W4095" i="3"/>
  <c r="W4103" i="3"/>
  <c r="W4091" i="3"/>
  <c r="W4109" i="3"/>
  <c r="R4362" i="3" l="1"/>
  <c r="L1734" i="3"/>
  <c r="L1733" i="3"/>
  <c r="R1733" i="3" l="1"/>
  <c r="R1734" i="3"/>
  <c r="K4220" i="3"/>
  <c r="K1574" i="3"/>
  <c r="R1574" i="3" s="1"/>
  <c r="R1573" i="3"/>
  <c r="R1411" i="3"/>
  <c r="R1410" i="3"/>
  <c r="R1409" i="3"/>
  <c r="R1408" i="3"/>
  <c r="R1407" i="3"/>
  <c r="R1406" i="3"/>
  <c r="L1787" i="3"/>
  <c r="R1787" i="3" s="1"/>
  <c r="K1787" i="3"/>
  <c r="R1693" i="3"/>
  <c r="R1692" i="3"/>
  <c r="R1691" i="3"/>
  <c r="X1690" i="3"/>
  <c r="R1690" i="3"/>
  <c r="X1624" i="3"/>
  <c r="L1624" i="3"/>
  <c r="R1624" i="3" s="1"/>
  <c r="K1624" i="3"/>
  <c r="X1623" i="3"/>
  <c r="L1623" i="3"/>
  <c r="R1623" i="3" s="1"/>
  <c r="K1623" i="3"/>
  <c r="W1787" i="3"/>
  <c r="W1733" i="3"/>
  <c r="W1692" i="3"/>
  <c r="W1734" i="3"/>
  <c r="W1693" i="3"/>
  <c r="W1690" i="3"/>
  <c r="W1691" i="3"/>
  <c r="R4220" i="3" l="1"/>
  <c r="K1479" i="3"/>
  <c r="R1479" i="3" s="1"/>
  <c r="N4368" i="3"/>
  <c r="L1572" i="3"/>
  <c r="R1572" i="3" s="1"/>
  <c r="L1571" i="3"/>
  <c r="R1571" i="3" s="1"/>
  <c r="K1572" i="3"/>
  <c r="K1571" i="3"/>
  <c r="W4220" i="3"/>
  <c r="Q4561" i="3" l="1"/>
  <c r="R4561" i="3" s="1"/>
  <c r="Q4560" i="3"/>
  <c r="R4560" i="3" s="1"/>
  <c r="Q4559" i="3"/>
  <c r="R4559" i="3" s="1"/>
  <c r="Q4558" i="3"/>
  <c r="R4558" i="3" s="1"/>
  <c r="Q4557" i="3"/>
  <c r="R4557" i="3" s="1"/>
  <c r="K4561" i="3"/>
  <c r="K4560" i="3"/>
  <c r="K4559" i="3"/>
  <c r="K4558" i="3"/>
  <c r="K4557" i="3"/>
  <c r="K1911" i="3"/>
  <c r="W4561" i="3"/>
  <c r="W4560" i="3"/>
  <c r="K3749" i="3" l="1"/>
  <c r="K3748" i="3"/>
  <c r="K3747" i="3"/>
  <c r="K3746" i="3"/>
  <c r="K3745" i="3"/>
  <c r="K3744" i="3"/>
  <c r="K3742" i="3"/>
  <c r="K3741" i="3"/>
  <c r="K3740" i="3"/>
  <c r="K3739" i="3"/>
  <c r="K3738" i="3"/>
  <c r="K3737" i="3"/>
  <c r="K3736" i="3"/>
  <c r="K3735" i="3"/>
  <c r="K3734" i="3"/>
  <c r="K3733" i="3"/>
  <c r="K3732" i="3"/>
  <c r="K3731" i="3"/>
  <c r="K3730" i="3"/>
  <c r="K3729" i="3"/>
  <c r="P3749" i="3"/>
  <c r="R3749" i="3" s="1"/>
  <c r="P3748" i="3"/>
  <c r="R3748" i="3" s="1"/>
  <c r="P3747" i="3"/>
  <c r="R3747" i="3" s="1"/>
  <c r="P3746" i="3"/>
  <c r="R3746" i="3" s="1"/>
  <c r="P3745" i="3"/>
  <c r="R3745" i="3" s="1"/>
  <c r="P3744" i="3"/>
  <c r="R3744" i="3" s="1"/>
  <c r="P3742" i="3"/>
  <c r="R3742" i="3" s="1"/>
  <c r="P3741" i="3"/>
  <c r="R3741" i="3" s="1"/>
  <c r="P3740" i="3"/>
  <c r="R3740" i="3" s="1"/>
  <c r="P3739" i="3"/>
  <c r="R3739" i="3" s="1"/>
  <c r="P3738" i="3"/>
  <c r="R3738" i="3" s="1"/>
  <c r="P3737" i="3"/>
  <c r="R3737" i="3" s="1"/>
  <c r="P3736" i="3"/>
  <c r="R3736" i="3" s="1"/>
  <c r="P3735" i="3"/>
  <c r="R3735" i="3" s="1"/>
  <c r="P3734" i="3"/>
  <c r="R3734" i="3" s="1"/>
  <c r="P3733" i="3"/>
  <c r="R3733" i="3" s="1"/>
  <c r="P3732" i="3"/>
  <c r="R3732" i="3" s="1"/>
  <c r="P3731" i="3"/>
  <c r="R3731" i="3" s="1"/>
  <c r="P3730" i="3"/>
  <c r="R3730" i="3" s="1"/>
  <c r="P3729" i="3"/>
  <c r="R3729" i="3" s="1"/>
  <c r="P3728" i="3"/>
  <c r="R3728" i="3" s="1"/>
  <c r="P3727" i="3"/>
  <c r="R3727" i="3" s="1"/>
  <c r="P3726" i="3"/>
  <c r="R3726" i="3" s="1"/>
  <c r="P3725" i="3"/>
  <c r="R3725" i="3" s="1"/>
  <c r="P3724" i="3"/>
  <c r="R3724" i="3" s="1"/>
  <c r="P3723" i="3"/>
  <c r="R3723" i="3" s="1"/>
  <c r="P3722" i="3"/>
  <c r="R3722" i="3" s="1"/>
  <c r="P3721" i="3"/>
  <c r="R3721" i="3" s="1"/>
  <c r="P3720" i="3"/>
  <c r="R3720" i="3" s="1"/>
  <c r="P3719" i="3"/>
  <c r="R3719" i="3" s="1"/>
  <c r="P3718" i="3"/>
  <c r="R3718" i="3" s="1"/>
  <c r="P3717" i="3"/>
  <c r="R3717" i="3" s="1"/>
  <c r="P3716" i="3"/>
  <c r="R3716" i="3" s="1"/>
  <c r="K3728" i="3"/>
  <c r="K3727" i="3"/>
  <c r="K3726" i="3"/>
  <c r="K3725" i="3"/>
  <c r="K3724" i="3"/>
  <c r="K3723" i="3"/>
  <c r="K3722" i="3"/>
  <c r="K3721" i="3"/>
  <c r="K3720" i="3"/>
  <c r="K3719" i="3"/>
  <c r="K3718" i="3"/>
  <c r="K3717" i="3"/>
  <c r="W3731" i="3"/>
  <c r="W3722" i="3"/>
  <c r="W3717" i="3"/>
  <c r="W3740" i="3"/>
  <c r="W3723" i="3"/>
  <c r="W3733" i="3"/>
  <c r="W3721" i="3"/>
  <c r="W3735" i="3"/>
  <c r="W3741" i="3"/>
  <c r="W3730" i="3"/>
  <c r="W3744" i="3"/>
  <c r="W3738" i="3"/>
  <c r="W3742" i="3"/>
  <c r="W3739" i="3"/>
  <c r="W3747" i="3"/>
  <c r="W3729" i="3"/>
  <c r="W3736" i="3"/>
  <c r="W3724" i="3"/>
  <c r="W3749" i="3"/>
  <c r="W3745" i="3"/>
  <c r="W3718" i="3"/>
  <c r="W3727" i="3"/>
  <c r="W3720" i="3"/>
  <c r="W3737" i="3"/>
  <c r="W3748" i="3"/>
  <c r="W3734" i="3"/>
  <c r="W3746" i="3"/>
  <c r="W3726" i="3"/>
  <c r="W3719" i="3"/>
  <c r="W3728" i="3"/>
  <c r="W3732" i="3"/>
  <c r="W3725" i="3"/>
  <c r="R3756" i="3" l="1"/>
  <c r="K3716" i="3"/>
  <c r="K4008" i="3"/>
  <c r="K4007" i="3"/>
  <c r="K4006" i="3"/>
  <c r="K4005" i="3"/>
  <c r="K4004" i="3"/>
  <c r="K4221" i="3"/>
  <c r="K4219" i="3"/>
  <c r="R4219" i="3" s="1"/>
  <c r="K4542" i="3"/>
  <c r="O4368" i="3"/>
  <c r="K4368" i="3"/>
  <c r="R1976" i="3"/>
  <c r="R1977" i="3"/>
  <c r="R1975" i="3"/>
  <c r="R1974" i="3"/>
  <c r="R1992" i="3"/>
  <c r="R1963" i="3"/>
  <c r="R1962" i="3"/>
  <c r="R1961" i="3"/>
  <c r="R1960" i="3"/>
  <c r="R1959" i="3"/>
  <c r="R1991" i="3"/>
  <c r="R1958" i="3"/>
  <c r="R1957" i="3"/>
  <c r="R1956" i="3"/>
  <c r="R1973" i="3"/>
  <c r="K1955" i="3"/>
  <c r="R1955" i="3" s="1"/>
  <c r="R1954" i="3"/>
  <c r="R1953" i="3"/>
  <c r="R1952" i="3"/>
  <c r="W4007" i="3"/>
  <c r="W4008" i="3"/>
  <c r="W4005" i="3"/>
  <c r="W4006" i="3"/>
  <c r="R4221" i="3" l="1"/>
  <c r="R4246" i="3" s="1"/>
  <c r="R4368" i="3"/>
  <c r="R1731" i="3"/>
  <c r="L1564" i="3"/>
  <c r="R1570" i="3"/>
  <c r="K1570" i="3"/>
  <c r="K1451" i="3"/>
  <c r="K1414" i="3"/>
  <c r="R1414" i="3" s="1"/>
  <c r="X1196" i="3"/>
  <c r="N1196" i="3"/>
  <c r="K1196" i="3"/>
  <c r="L1196" i="3" s="1"/>
  <c r="X1195" i="3"/>
  <c r="L1364" i="3"/>
  <c r="R1391" i="3" s="1"/>
  <c r="K1364" i="3"/>
  <c r="X396" i="3"/>
  <c r="N396" i="3"/>
  <c r="K396" i="3"/>
  <c r="X395" i="3"/>
  <c r="N395" i="3"/>
  <c r="K395" i="3"/>
  <c r="X394" i="3"/>
  <c r="N394" i="3"/>
  <c r="K394" i="3"/>
  <c r="X393" i="3"/>
  <c r="N393" i="3"/>
  <c r="K393" i="3"/>
  <c r="X392" i="3"/>
  <c r="X391" i="3"/>
  <c r="K661" i="3"/>
  <c r="K660" i="3"/>
  <c r="K659" i="3"/>
  <c r="K658" i="3"/>
  <c r="N657" i="3"/>
  <c r="K657" i="3"/>
  <c r="J657" i="3" s="1"/>
  <c r="K656" i="3"/>
  <c r="K655" i="3"/>
  <c r="K654" i="3"/>
  <c r="J654" i="3" s="1"/>
  <c r="K653" i="3"/>
  <c r="K1036" i="3"/>
  <c r="K1035" i="3"/>
  <c r="K1034" i="3"/>
  <c r="W392" i="3"/>
  <c r="W1731" i="3"/>
  <c r="W4221" i="3"/>
  <c r="W1195" i="3"/>
  <c r="W391" i="3"/>
  <c r="O654" i="3" l="1"/>
  <c r="O656" i="3"/>
  <c r="O655" i="3"/>
  <c r="O659" i="3"/>
  <c r="O653" i="3"/>
  <c r="O658" i="3"/>
  <c r="O660" i="3"/>
  <c r="O661" i="3"/>
  <c r="L1451" i="3"/>
  <c r="O657" i="3"/>
  <c r="R394" i="3"/>
  <c r="R396" i="3"/>
  <c r="R1364" i="3"/>
  <c r="R395" i="3"/>
  <c r="R393" i="3"/>
  <c r="O1196" i="3"/>
  <c r="R1196" i="3" s="1"/>
  <c r="R1451" i="3" l="1"/>
  <c r="R660" i="3"/>
  <c r="R653" i="3"/>
  <c r="R656" i="3"/>
  <c r="R657" i="3"/>
  <c r="R661" i="3"/>
  <c r="R658" i="3"/>
  <c r="R659" i="3"/>
  <c r="R655" i="3"/>
  <c r="R654" i="3"/>
  <c r="R1452" i="3"/>
  <c r="F291" i="1"/>
  <c r="E291" i="1"/>
  <c r="C291" i="1"/>
  <c r="B291" i="1"/>
  <c r="F290" i="1"/>
  <c r="E290" i="1"/>
  <c r="C290" i="1"/>
  <c r="B290" i="1"/>
  <c r="F289" i="1"/>
  <c r="E289" i="1"/>
  <c r="C289" i="1"/>
  <c r="B289" i="1"/>
  <c r="F288" i="1"/>
  <c r="E288" i="1"/>
  <c r="C288" i="1"/>
  <c r="B288" i="1"/>
  <c r="F287" i="1"/>
  <c r="E287" i="1"/>
  <c r="C287" i="1"/>
  <c r="B287" i="1"/>
  <c r="F286" i="1"/>
  <c r="E286" i="1"/>
  <c r="C286" i="1"/>
  <c r="B286" i="1"/>
  <c r="F285" i="1"/>
  <c r="E285" i="1"/>
  <c r="C285" i="1"/>
  <c r="B285" i="1"/>
  <c r="F284" i="1"/>
  <c r="E284" i="1"/>
  <c r="C284" i="1"/>
  <c r="B284" i="1"/>
  <c r="F283" i="1"/>
  <c r="E283" i="1"/>
  <c r="C283" i="1"/>
  <c r="B283" i="1"/>
  <c r="F282" i="1"/>
  <c r="E282" i="1"/>
  <c r="C282" i="1"/>
  <c r="B282" i="1"/>
  <c r="F281" i="1"/>
  <c r="E281" i="1"/>
  <c r="C281" i="1"/>
  <c r="B281" i="1"/>
  <c r="F280" i="1"/>
  <c r="E280" i="1"/>
  <c r="C280" i="1"/>
  <c r="B280" i="1"/>
  <c r="F279" i="1"/>
  <c r="E279" i="1"/>
  <c r="C279" i="1"/>
  <c r="B279" i="1"/>
  <c r="F278" i="1"/>
  <c r="E278" i="1"/>
  <c r="C278" i="1"/>
  <c r="B278" i="1"/>
  <c r="F277" i="1"/>
  <c r="E277" i="1"/>
  <c r="C277" i="1"/>
  <c r="B277" i="1"/>
  <c r="F276" i="1"/>
  <c r="E276" i="1"/>
  <c r="C276" i="1"/>
  <c r="B276" i="1"/>
  <c r="F275" i="1"/>
  <c r="C275" i="1"/>
  <c r="B275" i="1"/>
  <c r="F274" i="1"/>
  <c r="C274" i="1"/>
  <c r="B274" i="1"/>
  <c r="F30" i="4" l="1"/>
  <c r="R4542" i="3" l="1"/>
  <c r="R4551" i="3" s="1"/>
  <c r="X4612" i="3"/>
  <c r="X4611" i="3"/>
  <c r="X4610" i="3"/>
  <c r="R4610" i="3"/>
  <c r="X4609" i="3"/>
  <c r="R4609" i="3"/>
  <c r="L4609" i="3"/>
  <c r="S4609" i="3" s="1"/>
  <c r="S4606" i="3" s="1"/>
  <c r="J4609" i="3"/>
  <c r="X4608" i="3"/>
  <c r="X4606" i="3"/>
  <c r="X4605" i="3"/>
  <c r="X4604" i="3"/>
  <c r="C4604" i="3"/>
  <c r="B4604" i="3"/>
  <c r="X4603" i="3"/>
  <c r="X4602" i="3"/>
  <c r="R4601" i="3"/>
  <c r="L4600" i="3"/>
  <c r="S4600" i="3" s="1"/>
  <c r="S4593" i="3" s="1"/>
  <c r="J4600" i="3"/>
  <c r="X4594" i="3"/>
  <c r="X4593" i="3"/>
  <c r="X4592" i="3"/>
  <c r="X4591" i="3"/>
  <c r="C4591" i="3"/>
  <c r="B4591" i="3"/>
  <c r="X4590" i="3"/>
  <c r="X4589" i="3"/>
  <c r="R4588" i="3"/>
  <c r="R4587" i="3"/>
  <c r="L4587" i="3"/>
  <c r="S4587" i="3" s="1"/>
  <c r="S4557" i="3" s="1"/>
  <c r="J4587" i="3"/>
  <c r="X4558" i="3"/>
  <c r="X4557" i="3"/>
  <c r="X4556" i="3"/>
  <c r="X4555" i="3"/>
  <c r="C4555" i="3"/>
  <c r="B4555" i="3"/>
  <c r="X4554" i="3"/>
  <c r="X4553" i="3"/>
  <c r="R4552" i="3"/>
  <c r="L4551" i="3"/>
  <c r="J4551" i="3"/>
  <c r="X4543" i="3"/>
  <c r="X4542" i="3"/>
  <c r="X4541" i="3"/>
  <c r="X4540" i="3"/>
  <c r="C4540" i="3"/>
  <c r="B4540" i="3"/>
  <c r="X4539" i="3"/>
  <c r="X4538" i="3"/>
  <c r="X4537" i="3"/>
  <c r="R4537" i="3"/>
  <c r="X4536" i="3"/>
  <c r="R4536" i="3"/>
  <c r="L4536" i="3"/>
  <c r="S4536" i="3" s="1"/>
  <c r="S4489" i="3" s="1"/>
  <c r="J4536" i="3"/>
  <c r="X4507" i="3"/>
  <c r="J4507" i="3"/>
  <c r="X4506" i="3"/>
  <c r="J4506" i="3"/>
  <c r="X4505" i="3"/>
  <c r="J4505" i="3"/>
  <c r="X4504" i="3"/>
  <c r="J4504" i="3"/>
  <c r="X4503" i="3"/>
  <c r="J4503" i="3"/>
  <c r="X4502" i="3"/>
  <c r="J4502" i="3"/>
  <c r="X4501" i="3"/>
  <c r="J4501" i="3"/>
  <c r="X4500" i="3"/>
  <c r="J4500" i="3"/>
  <c r="X4499" i="3"/>
  <c r="J4499" i="3"/>
  <c r="X4498" i="3"/>
  <c r="J4498" i="3"/>
  <c r="X4497" i="3"/>
  <c r="J4497" i="3"/>
  <c r="X4496" i="3"/>
  <c r="J4496" i="3"/>
  <c r="X4495" i="3"/>
  <c r="J4495" i="3"/>
  <c r="X4494" i="3"/>
  <c r="J4494" i="3"/>
  <c r="X4493" i="3"/>
  <c r="D4493" i="3"/>
  <c r="J4493" i="3" s="1"/>
  <c r="X4492" i="3"/>
  <c r="J4492" i="3"/>
  <c r="X4491" i="3"/>
  <c r="J4491" i="3"/>
  <c r="X4490" i="3"/>
  <c r="J4490" i="3"/>
  <c r="X4489" i="3"/>
  <c r="J4489" i="3"/>
  <c r="X4488" i="3"/>
  <c r="X4487" i="3"/>
  <c r="C4487" i="3"/>
  <c r="B4487" i="3"/>
  <c r="X4486" i="3"/>
  <c r="L4483" i="3"/>
  <c r="S4483" i="3" s="1"/>
  <c r="S4428" i="3" s="1"/>
  <c r="J4483" i="3"/>
  <c r="X4446" i="3"/>
  <c r="J4446" i="3"/>
  <c r="X4445" i="3"/>
  <c r="J4445" i="3"/>
  <c r="X4444" i="3"/>
  <c r="J4444" i="3"/>
  <c r="X4443" i="3"/>
  <c r="J4443" i="3"/>
  <c r="X4442" i="3"/>
  <c r="J4442" i="3"/>
  <c r="X4441" i="3"/>
  <c r="J4441" i="3"/>
  <c r="X4440" i="3"/>
  <c r="J4440" i="3"/>
  <c r="X4439" i="3"/>
  <c r="J4439" i="3"/>
  <c r="X4438" i="3"/>
  <c r="J4438" i="3"/>
  <c r="X4437" i="3"/>
  <c r="J4437" i="3"/>
  <c r="X4436" i="3"/>
  <c r="J4436" i="3"/>
  <c r="X4435" i="3"/>
  <c r="J4435" i="3"/>
  <c r="X4434" i="3"/>
  <c r="J4434" i="3"/>
  <c r="X4433" i="3"/>
  <c r="J4433" i="3"/>
  <c r="X4432" i="3"/>
  <c r="D4432" i="3"/>
  <c r="J4432" i="3" s="1"/>
  <c r="X4431" i="3"/>
  <c r="J4431" i="3"/>
  <c r="X4430" i="3"/>
  <c r="J4430" i="3"/>
  <c r="X4429" i="3"/>
  <c r="J4429" i="3"/>
  <c r="X4428" i="3"/>
  <c r="J4428" i="3"/>
  <c r="X4427" i="3"/>
  <c r="X4426" i="3"/>
  <c r="C4426" i="3"/>
  <c r="B4426" i="3"/>
  <c r="X4425" i="3"/>
  <c r="X4424" i="3"/>
  <c r="R4423" i="3"/>
  <c r="L4422" i="3"/>
  <c r="S4422" i="3" s="1"/>
  <c r="J4422" i="3"/>
  <c r="X4381" i="3"/>
  <c r="X4380" i="3"/>
  <c r="C4380" i="3"/>
  <c r="B4380" i="3"/>
  <c r="X4379" i="3"/>
  <c r="X4378" i="3"/>
  <c r="X4377" i="3"/>
  <c r="R4377" i="3"/>
  <c r="R4376" i="3"/>
  <c r="L4376" i="3"/>
  <c r="S4376" i="3" s="1"/>
  <c r="S4368" i="3" s="1"/>
  <c r="J4376" i="3"/>
  <c r="X4368" i="3"/>
  <c r="X4367" i="3"/>
  <c r="X4366" i="3"/>
  <c r="C4366" i="3"/>
  <c r="B4366" i="3"/>
  <c r="X4365" i="3"/>
  <c r="R4363" i="3"/>
  <c r="L4362" i="3"/>
  <c r="S4362" i="3" s="1"/>
  <c r="J4362" i="3"/>
  <c r="X4333" i="3"/>
  <c r="J4333" i="3"/>
  <c r="X4332" i="3"/>
  <c r="J4332" i="3"/>
  <c r="X4331" i="3"/>
  <c r="J4331" i="3"/>
  <c r="X4330" i="3"/>
  <c r="J4330" i="3"/>
  <c r="X4329" i="3"/>
  <c r="J4329" i="3"/>
  <c r="X4328" i="3"/>
  <c r="J4328" i="3"/>
  <c r="X4327" i="3"/>
  <c r="J4327" i="3"/>
  <c r="X4326" i="3"/>
  <c r="J4326" i="3"/>
  <c r="X4325" i="3"/>
  <c r="J4325" i="3"/>
  <c r="X4324" i="3"/>
  <c r="J4324" i="3"/>
  <c r="X4323" i="3"/>
  <c r="J4323" i="3"/>
  <c r="X4322" i="3"/>
  <c r="J4322" i="3"/>
  <c r="X4321" i="3"/>
  <c r="J4321" i="3"/>
  <c r="X4320" i="3"/>
  <c r="J4320" i="3"/>
  <c r="X4319" i="3"/>
  <c r="D4319" i="3"/>
  <c r="J4319" i="3" s="1"/>
  <c r="X4318" i="3"/>
  <c r="J4318" i="3"/>
  <c r="X4317" i="3"/>
  <c r="J4317" i="3"/>
  <c r="X4316" i="3"/>
  <c r="J4316" i="3"/>
  <c r="X4315" i="3"/>
  <c r="X4314" i="3"/>
  <c r="C4314" i="3"/>
  <c r="B4314" i="3"/>
  <c r="X4313" i="3"/>
  <c r="X4312" i="3"/>
  <c r="X4311" i="3"/>
  <c r="R4311" i="3"/>
  <c r="L4310" i="3"/>
  <c r="S4306" i="3" s="1"/>
  <c r="J4310" i="3"/>
  <c r="X4281" i="3"/>
  <c r="J4281" i="3"/>
  <c r="X4280" i="3"/>
  <c r="J4280" i="3"/>
  <c r="X4279" i="3"/>
  <c r="J4279" i="3"/>
  <c r="X4278" i="3"/>
  <c r="J4278" i="3"/>
  <c r="X4277" i="3"/>
  <c r="J4277" i="3"/>
  <c r="X4276" i="3"/>
  <c r="J4276" i="3"/>
  <c r="X4275" i="3"/>
  <c r="J4275" i="3"/>
  <c r="X4274" i="3"/>
  <c r="J4274" i="3"/>
  <c r="X4273" i="3"/>
  <c r="J4273" i="3"/>
  <c r="X4272" i="3"/>
  <c r="J4272" i="3"/>
  <c r="X4271" i="3"/>
  <c r="J4271" i="3"/>
  <c r="X4270" i="3"/>
  <c r="J4270" i="3"/>
  <c r="X4269" i="3"/>
  <c r="J4269" i="3"/>
  <c r="X4268" i="3"/>
  <c r="J4268" i="3"/>
  <c r="X4267" i="3"/>
  <c r="D4267" i="3"/>
  <c r="J4267" i="3" s="1"/>
  <c r="X4266" i="3"/>
  <c r="J4266" i="3"/>
  <c r="X4265" i="3"/>
  <c r="J4265" i="3"/>
  <c r="X4264" i="3"/>
  <c r="J4264" i="3"/>
  <c r="X4263" i="3"/>
  <c r="J4263" i="3"/>
  <c r="X4262" i="3"/>
  <c r="X4261" i="3"/>
  <c r="C4261" i="3"/>
  <c r="B4261" i="3"/>
  <c r="J4255" i="3"/>
  <c r="J4254" i="3"/>
  <c r="J4253" i="3"/>
  <c r="J4252" i="3"/>
  <c r="X4260" i="3"/>
  <c r="X4259" i="3"/>
  <c r="X4258" i="3"/>
  <c r="R4258" i="3"/>
  <c r="R4257" i="3"/>
  <c r="L4257" i="3"/>
  <c r="S4257" i="3" s="1"/>
  <c r="J4257" i="3"/>
  <c r="X4251" i="3"/>
  <c r="C4251" i="3"/>
  <c r="X4250" i="3"/>
  <c r="C4250" i="3"/>
  <c r="B4250" i="3"/>
  <c r="X4249" i="3"/>
  <c r="X4248" i="3"/>
  <c r="R4247" i="3"/>
  <c r="L4246" i="3"/>
  <c r="S4246" i="3" s="1"/>
  <c r="J4246" i="3"/>
  <c r="X4219" i="3"/>
  <c r="X4218" i="3"/>
  <c r="C4218" i="3"/>
  <c r="X4217" i="3"/>
  <c r="C4217" i="3"/>
  <c r="B4217" i="3"/>
  <c r="X4216" i="3"/>
  <c r="R4214" i="3"/>
  <c r="L4213" i="3"/>
  <c r="S4213" i="3" s="1"/>
  <c r="J4213" i="3"/>
  <c r="C4084" i="3"/>
  <c r="X4083" i="3"/>
  <c r="C4083" i="3"/>
  <c r="B4083" i="3"/>
  <c r="J4066" i="3"/>
  <c r="J4065" i="3"/>
  <c r="J4064" i="3"/>
  <c r="J4063" i="3"/>
  <c r="J4062" i="3"/>
  <c r="J4061" i="3"/>
  <c r="J4060" i="3"/>
  <c r="J4059" i="3"/>
  <c r="J4058" i="3"/>
  <c r="J3969" i="3"/>
  <c r="J3968" i="3"/>
  <c r="J3967" i="3"/>
  <c r="J3966" i="3"/>
  <c r="D3965" i="3"/>
  <c r="J3965" i="3" s="1"/>
  <c r="J3964" i="3"/>
  <c r="J3963" i="3"/>
  <c r="J3962" i="3"/>
  <c r="W4218" i="3"/>
  <c r="W4216" i="3"/>
  <c r="W4061" i="3"/>
  <c r="W4492" i="3"/>
  <c r="W4590" i="3"/>
  <c r="W3969" i="3"/>
  <c r="W4257" i="3"/>
  <c r="W4425" i="3"/>
  <c r="W4432" i="3"/>
  <c r="W4367" i="3"/>
  <c r="W4249" i="3"/>
  <c r="W4605" i="3"/>
  <c r="W4433" i="3"/>
  <c r="W4428" i="3"/>
  <c r="W4557" i="3"/>
  <c r="W4554" i="3"/>
  <c r="W4313" i="3"/>
  <c r="W4219" i="3"/>
  <c r="W4426" i="3"/>
  <c r="W4261" i="3"/>
  <c r="W4491" i="3"/>
  <c r="W4603" i="3"/>
  <c r="W4065" i="3"/>
  <c r="W4430" i="3"/>
  <c r="W4587" i="3"/>
  <c r="W3966" i="3"/>
  <c r="W3965" i="3"/>
  <c r="W4319" i="3"/>
  <c r="W4083" i="3"/>
  <c r="W4608" i="3"/>
  <c r="W4064" i="3"/>
  <c r="W4365" i="3"/>
  <c r="W4254" i="3"/>
  <c r="W4600" i="3"/>
  <c r="W4376" i="3"/>
  <c r="W4320" i="3"/>
  <c r="W4427" i="3"/>
  <c r="W4612" i="3"/>
  <c r="W4380" i="3"/>
  <c r="W4486" i="3"/>
  <c r="W4604" i="3"/>
  <c r="W4541" i="3"/>
  <c r="W4487" i="3"/>
  <c r="W4252" i="3"/>
  <c r="W4593" i="3"/>
  <c r="W4251" i="3"/>
  <c r="W4591" i="3"/>
  <c r="W4490" i="3"/>
  <c r="W4483" i="3"/>
  <c r="W4429" i="3"/>
  <c r="W4318" i="3"/>
  <c r="W4316" i="3"/>
  <c r="W4366" i="3"/>
  <c r="W4306" i="3"/>
  <c r="W4062" i="3"/>
  <c r="W4060" i="3"/>
  <c r="W4246" i="3"/>
  <c r="W3967" i="3"/>
  <c r="W4059" i="3"/>
  <c r="W4494" i="3"/>
  <c r="W4488" i="3"/>
  <c r="W4536" i="3"/>
  <c r="W4253" i="3"/>
  <c r="W4606" i="3"/>
  <c r="W4255" i="3"/>
  <c r="W4431" i="3"/>
  <c r="W4540" i="3"/>
  <c r="W4556" i="3"/>
  <c r="W4592" i="3"/>
  <c r="W4555" i="3"/>
  <c r="W4493" i="3"/>
  <c r="W4063" i="3"/>
  <c r="W4314" i="3"/>
  <c r="W4379" i="3"/>
  <c r="W4381" i="3"/>
  <c r="W4217" i="3"/>
  <c r="W4262" i="3"/>
  <c r="W4260" i="3"/>
  <c r="W4066" i="3"/>
  <c r="W4368" i="3"/>
  <c r="W4489" i="3"/>
  <c r="W4317" i="3"/>
  <c r="W4315" i="3"/>
  <c r="W4539" i="3"/>
  <c r="W4084" i="3"/>
  <c r="W3968" i="3"/>
  <c r="W4250" i="3"/>
  <c r="W4609" i="3"/>
  <c r="W4362" i="3"/>
  <c r="J4311" i="3" l="1"/>
  <c r="J4484" i="3"/>
  <c r="V4485" i="3"/>
  <c r="S4265" i="3"/>
  <c r="S4293" i="3"/>
  <c r="S4266" i="3"/>
  <c r="S4294" i="3"/>
  <c r="S4267" i="3"/>
  <c r="S4295" i="3"/>
  <c r="S4268" i="3"/>
  <c r="S4296" i="3"/>
  <c r="S4269" i="3"/>
  <c r="S4297" i="3"/>
  <c r="S4270" i="3"/>
  <c r="S4298" i="3"/>
  <c r="S4299" i="3"/>
  <c r="S4272" i="3"/>
  <c r="S4300" i="3"/>
  <c r="S4273" i="3"/>
  <c r="S4301" i="3"/>
  <c r="S4274" i="3"/>
  <c r="S4275" i="3"/>
  <c r="S4277" i="3"/>
  <c r="S4305" i="3"/>
  <c r="S4280" i="3"/>
  <c r="S4281" i="3"/>
  <c r="S4283" i="3"/>
  <c r="S4285" i="3"/>
  <c r="S4286" i="3"/>
  <c r="S4287" i="3"/>
  <c r="S4288" i="3"/>
  <c r="S4289" i="3"/>
  <c r="S4292" i="3"/>
  <c r="S4271" i="3"/>
  <c r="S4302" i="3"/>
  <c r="S4303" i="3"/>
  <c r="S4276" i="3"/>
  <c r="S4304" i="3"/>
  <c r="S4278" i="3"/>
  <c r="S4279" i="3"/>
  <c r="S4282" i="3"/>
  <c r="S4284" i="3"/>
  <c r="S4290" i="3"/>
  <c r="S4291" i="3"/>
  <c r="S4310" i="3"/>
  <c r="S4264" i="3"/>
  <c r="S4544" i="3"/>
  <c r="S4545" i="3"/>
  <c r="S4543" i="3"/>
  <c r="S4551" i="3"/>
  <c r="S4542" i="3"/>
  <c r="R4538" i="3"/>
  <c r="V4538" i="3" s="1"/>
  <c r="R4589" i="3"/>
  <c r="V4589" i="3" s="1"/>
  <c r="R4364" i="3"/>
  <c r="R4312" i="3"/>
  <c r="V4312" i="3" s="1"/>
  <c r="J4363" i="3"/>
  <c r="J4588" i="3"/>
  <c r="J4537" i="3"/>
  <c r="R4611" i="3"/>
  <c r="V4611" i="3" s="1"/>
  <c r="R4602" i="3"/>
  <c r="V4602" i="3" s="1"/>
  <c r="R4248" i="3"/>
  <c r="V4248" i="3" s="1"/>
  <c r="R4259" i="3"/>
  <c r="V4259" i="3" s="1"/>
  <c r="J4610" i="3"/>
  <c r="S4611" i="3"/>
  <c r="S4610" i="3"/>
  <c r="J4601" i="3"/>
  <c r="S4602" i="3"/>
  <c r="S4601" i="3"/>
  <c r="S4594" i="3" s="1"/>
  <c r="S4589" i="3"/>
  <c r="S4559" i="3" s="1"/>
  <c r="S4588" i="3"/>
  <c r="S4558" i="3" s="1"/>
  <c r="J4552" i="3"/>
  <c r="S4553" i="3"/>
  <c r="R4553" i="3"/>
  <c r="S4552" i="3"/>
  <c r="S4538" i="3"/>
  <c r="S4537" i="3"/>
  <c r="S4485" i="3"/>
  <c r="S4484" i="3"/>
  <c r="R4378" i="3"/>
  <c r="V4378" i="3" s="1"/>
  <c r="R4422" i="3"/>
  <c r="S4424" i="3"/>
  <c r="S4423" i="3"/>
  <c r="J4377" i="3"/>
  <c r="S4378" i="3"/>
  <c r="S4370" i="3" s="1"/>
  <c r="S4377" i="3"/>
  <c r="S4369" i="3" s="1"/>
  <c r="S4364" i="3"/>
  <c r="S4363" i="3"/>
  <c r="S4312" i="3"/>
  <c r="S4311" i="3"/>
  <c r="J4258" i="3"/>
  <c r="S4259" i="3"/>
  <c r="S4258" i="3"/>
  <c r="J4247" i="3"/>
  <c r="S4248" i="3"/>
  <c r="S4247" i="3"/>
  <c r="S4215" i="3"/>
  <c r="S4214" i="3"/>
  <c r="W4370" i="3"/>
  <c r="W4363" i="3"/>
  <c r="W4594" i="3"/>
  <c r="W4610" i="3"/>
  <c r="W4553" i="3"/>
  <c r="W4258" i="3"/>
  <c r="W4588" i="3"/>
  <c r="W4247" i="3"/>
  <c r="W4551" i="3"/>
  <c r="W4265" i="3"/>
  <c r="W4310" i="3"/>
  <c r="W4303" i="3"/>
  <c r="W4545" i="3"/>
  <c r="W4537" i="3"/>
  <c r="W4304" i="3"/>
  <c r="W4264" i="3"/>
  <c r="W4611" i="3"/>
  <c r="W4302" i="3"/>
  <c r="W4301" i="3"/>
  <c r="W4542" i="3"/>
  <c r="W4602" i="3"/>
  <c r="W4364" i="3"/>
  <c r="W4485" i="3"/>
  <c r="W4559" i="3"/>
  <c r="W4295" i="3"/>
  <c r="W4299" i="3"/>
  <c r="W4267" i="3"/>
  <c r="W4558" i="3"/>
  <c r="W4300" i="3"/>
  <c r="W4312" i="3"/>
  <c r="W4311" i="3"/>
  <c r="W4268" i="3"/>
  <c r="W4377" i="3"/>
  <c r="W4296" i="3"/>
  <c r="W4601" i="3"/>
  <c r="W4259" i="3"/>
  <c r="W4248" i="3"/>
  <c r="W4538" i="3"/>
  <c r="W4298" i="3"/>
  <c r="W4297" i="3"/>
  <c r="W4305" i="3"/>
  <c r="W4266" i="3"/>
  <c r="W4378" i="3"/>
  <c r="W4422" i="3"/>
  <c r="W4369" i="3"/>
  <c r="W4552" i="3"/>
  <c r="W4484" i="3"/>
  <c r="W4589" i="3"/>
  <c r="V4588" i="3" l="1"/>
  <c r="V4587" i="3" s="1"/>
  <c r="V4586" i="3" s="1"/>
  <c r="V4585" i="3" s="1"/>
  <c r="V4584" i="3" s="1"/>
  <c r="V4583" i="3" s="1"/>
  <c r="V4582" i="3" s="1"/>
  <c r="V4581" i="3" s="1"/>
  <c r="V4580" i="3" s="1"/>
  <c r="V4579" i="3" s="1"/>
  <c r="V4578" i="3" s="1"/>
  <c r="V4577" i="3" s="1"/>
  <c r="V4576" i="3" s="1"/>
  <c r="V4575" i="3" s="1"/>
  <c r="V4574" i="3" s="1"/>
  <c r="V4601" i="3"/>
  <c r="V4600" i="3" s="1"/>
  <c r="V4599" i="3" s="1"/>
  <c r="V4598" i="3" s="1"/>
  <c r="V4597" i="3" s="1"/>
  <c r="V4596" i="3" s="1"/>
  <c r="V4595" i="3" s="1"/>
  <c r="S4263" i="3"/>
  <c r="V4247" i="3"/>
  <c r="V4246" i="3" s="1"/>
  <c r="V4245" i="3" s="1"/>
  <c r="V4244" i="3" s="1"/>
  <c r="V4243" i="3" s="1"/>
  <c r="V4242" i="3" s="1"/>
  <c r="V4241" i="3" s="1"/>
  <c r="V4240" i="3" s="1"/>
  <c r="V4239" i="3" s="1"/>
  <c r="V4238" i="3" s="1"/>
  <c r="V4237" i="3" s="1"/>
  <c r="V4236" i="3" s="1"/>
  <c r="V4484" i="3"/>
  <c r="V4483" i="3" s="1"/>
  <c r="V4364" i="3"/>
  <c r="V4363" i="3" s="1"/>
  <c r="V4362" i="3" s="1"/>
  <c r="V4361" i="3" s="1"/>
  <c r="V4360" i="3" s="1"/>
  <c r="V4359" i="3" s="1"/>
  <c r="R4424" i="3"/>
  <c r="V4424" i="3" s="1"/>
  <c r="J4423" i="3"/>
  <c r="V4610" i="3"/>
  <c r="V4609" i="3" s="1"/>
  <c r="V4608" i="3" s="1"/>
  <c r="V4553" i="3"/>
  <c r="V4552" i="3" s="1"/>
  <c r="V4551" i="3" s="1"/>
  <c r="V4550" i="3" s="1"/>
  <c r="V4549" i="3" s="1"/>
  <c r="V4548" i="3" s="1"/>
  <c r="V4547" i="3" s="1"/>
  <c r="V4546" i="3" s="1"/>
  <c r="V4537" i="3"/>
  <c r="V4536" i="3" s="1"/>
  <c r="V4377" i="3"/>
  <c r="V4376" i="3" s="1"/>
  <c r="V4375" i="3" s="1"/>
  <c r="V4374" i="3" s="1"/>
  <c r="V4373" i="3" s="1"/>
  <c r="V4372" i="3" s="1"/>
  <c r="V4371" i="3" s="1"/>
  <c r="V4370" i="3" s="1"/>
  <c r="V4369" i="3" s="1"/>
  <c r="V4311" i="3"/>
  <c r="V4310" i="3" s="1"/>
  <c r="V4309" i="3" s="1"/>
  <c r="V4308" i="3" s="1"/>
  <c r="V4307" i="3" s="1"/>
  <c r="V4258" i="3"/>
  <c r="W4424" i="3"/>
  <c r="W4544" i="3"/>
  <c r="W4423" i="3"/>
  <c r="W4263" i="3"/>
  <c r="W4543" i="3"/>
  <c r="V4535" i="3" l="1"/>
  <c r="V4534" i="3" s="1"/>
  <c r="V4533" i="3" s="1"/>
  <c r="V4532" i="3" s="1"/>
  <c r="V4531" i="3" s="1"/>
  <c r="V4530" i="3" s="1"/>
  <c r="V4529" i="3" s="1"/>
  <c r="V4528" i="3" s="1"/>
  <c r="V4527" i="3" s="1"/>
  <c r="V4526" i="3" s="1"/>
  <c r="V4525" i="3" s="1"/>
  <c r="V4524" i="3" s="1"/>
  <c r="V4523" i="3" s="1"/>
  <c r="V4522" i="3" s="1"/>
  <c r="V4521" i="3" s="1"/>
  <c r="V4520" i="3" s="1"/>
  <c r="V4519" i="3" s="1"/>
  <c r="V4482" i="3"/>
  <c r="V4481" i="3" s="1"/>
  <c r="V4480" i="3" s="1"/>
  <c r="V4479" i="3" s="1"/>
  <c r="V4478" i="3" s="1"/>
  <c r="V4477" i="3" s="1"/>
  <c r="V4476" i="3" s="1"/>
  <c r="V4475" i="3" s="1"/>
  <c r="V4423" i="3"/>
  <c r="V4422" i="3" s="1"/>
  <c r="V4421" i="3" s="1"/>
  <c r="V4420" i="3" s="1"/>
  <c r="V4419" i="3" s="1"/>
  <c r="V4418" i="3" s="1"/>
  <c r="V4417" i="3" s="1"/>
  <c r="V4416" i="3" s="1"/>
  <c r="V4415" i="3" s="1"/>
  <c r="V4573" i="3"/>
  <c r="V4572" i="3" s="1"/>
  <c r="V4571" i="3" s="1"/>
  <c r="V4545" i="3"/>
  <c r="V4544" i="3" s="1"/>
  <c r="V4257" i="3"/>
  <c r="V4256" i="3" s="1"/>
  <c r="V4255" i="3" s="1"/>
  <c r="V4254" i="3" s="1"/>
  <c r="V4253" i="3" s="1"/>
  <c r="V4252" i="3" s="1"/>
  <c r="V4251" i="3" s="1"/>
  <c r="V4250" i="3" s="1"/>
  <c r="V4260" i="3" s="1"/>
  <c r="V4474" i="3" l="1"/>
  <c r="V4473" i="3" s="1"/>
  <c r="V4472" i="3" s="1"/>
  <c r="V4471" i="3" s="1"/>
  <c r="V4470" i="3" s="1"/>
  <c r="V4469" i="3" s="1"/>
  <c r="V4468" i="3" s="1"/>
  <c r="V4467" i="3" s="1"/>
  <c r="V4466" i="3" s="1"/>
  <c r="V4465" i="3" s="1"/>
  <c r="V4464" i="3" s="1"/>
  <c r="V4463" i="3" s="1"/>
  <c r="V4462" i="3" s="1"/>
  <c r="V4461" i="3" s="1"/>
  <c r="V4460" i="3" s="1"/>
  <c r="V4459" i="3" s="1"/>
  <c r="V4458" i="3" s="1"/>
  <c r="V4570" i="3"/>
  <c r="V4569" i="3" s="1"/>
  <c r="V4568" i="3" s="1"/>
  <c r="V4567" i="3" s="1"/>
  <c r="V4566" i="3" s="1"/>
  <c r="V4565" i="3" s="1"/>
  <c r="V4564" i="3" s="1"/>
  <c r="V4563" i="3" s="1"/>
  <c r="V4562" i="3" s="1"/>
  <c r="V4561" i="3" s="1"/>
  <c r="V4560" i="3" s="1"/>
  <c r="V4559" i="3" s="1"/>
  <c r="V4235" i="3"/>
  <c r="V4234" i="3" s="1"/>
  <c r="V4233" i="3" s="1"/>
  <c r="V4232" i="3" s="1"/>
  <c r="V4231" i="3" s="1"/>
  <c r="V4230" i="3" s="1"/>
  <c r="V4229" i="3" s="1"/>
  <c r="V4228" i="3" s="1"/>
  <c r="V4227" i="3" s="1"/>
  <c r="V4226" i="3" s="1"/>
  <c r="V4225" i="3" s="1"/>
  <c r="V4224" i="3" s="1"/>
  <c r="V4223" i="3" s="1"/>
  <c r="V4222" i="3" s="1"/>
  <c r="V4221" i="3" s="1"/>
  <c r="V4220" i="3" s="1"/>
  <c r="V4219" i="3" s="1"/>
  <c r="V4218" i="3" s="1"/>
  <c r="V4217" i="3" s="1"/>
  <c r="V4249" i="3" s="1"/>
  <c r="X4082" i="3"/>
  <c r="X4081" i="3"/>
  <c r="X4080" i="3"/>
  <c r="R4080" i="3"/>
  <c r="R4081" i="3" s="1"/>
  <c r="L4079" i="3"/>
  <c r="S4079" i="3" s="1"/>
  <c r="J4079" i="3"/>
  <c r="X4058" i="3"/>
  <c r="X4057" i="3"/>
  <c r="C4057" i="3"/>
  <c r="X4056" i="3"/>
  <c r="C4056" i="3"/>
  <c r="B4056" i="3"/>
  <c r="J296" i="2"/>
  <c r="J295" i="2"/>
  <c r="J294" i="2"/>
  <c r="J293" i="2"/>
  <c r="J292" i="2"/>
  <c r="J291" i="2"/>
  <c r="J290" i="2"/>
  <c r="J289" i="2"/>
  <c r="J288" i="2"/>
  <c r="J287" i="2"/>
  <c r="J286" i="2"/>
  <c r="J285" i="2"/>
  <c r="W4079" i="3"/>
  <c r="W4057" i="3"/>
  <c r="W4056" i="3"/>
  <c r="W4082" i="3"/>
  <c r="W4058" i="3"/>
  <c r="V4414" i="3" l="1"/>
  <c r="V4413" i="3" s="1"/>
  <c r="V4412" i="3" s="1"/>
  <c r="L290" i="2"/>
  <c r="M290" i="2" s="1"/>
  <c r="N290" i="2" s="1"/>
  <c r="D285" i="1"/>
  <c r="G285" i="1" s="1"/>
  <c r="H285" i="1" s="1"/>
  <c r="L291" i="2"/>
  <c r="M291" i="2" s="1"/>
  <c r="N291" i="2" s="1"/>
  <c r="D286" i="1"/>
  <c r="G286" i="1" s="1"/>
  <c r="H286" i="1" s="1"/>
  <c r="L292" i="2"/>
  <c r="M292" i="2" s="1"/>
  <c r="N292" i="2" s="1"/>
  <c r="D287" i="1"/>
  <c r="G287" i="1" s="1"/>
  <c r="H287" i="1" s="1"/>
  <c r="L285" i="2"/>
  <c r="M285" i="2" s="1"/>
  <c r="N285" i="2" s="1"/>
  <c r="D280" i="1"/>
  <c r="G280" i="1" s="1"/>
  <c r="H280" i="1" s="1"/>
  <c r="L293" i="2"/>
  <c r="M293" i="2" s="1"/>
  <c r="N293" i="2" s="1"/>
  <c r="D288" i="1"/>
  <c r="G288" i="1" s="1"/>
  <c r="H288" i="1" s="1"/>
  <c r="L286" i="2"/>
  <c r="M286" i="2" s="1"/>
  <c r="N286" i="2" s="1"/>
  <c r="D281" i="1"/>
  <c r="G281" i="1" s="1"/>
  <c r="H281" i="1" s="1"/>
  <c r="L294" i="2"/>
  <c r="M294" i="2" s="1"/>
  <c r="D289" i="1"/>
  <c r="G289" i="1" s="1"/>
  <c r="H289" i="1" s="1"/>
  <c r="L287" i="2"/>
  <c r="M287" i="2" s="1"/>
  <c r="N287" i="2" s="1"/>
  <c r="D282" i="1"/>
  <c r="G282" i="1" s="1"/>
  <c r="H282" i="1" s="1"/>
  <c r="L295" i="2"/>
  <c r="M295" i="2" s="1"/>
  <c r="D290" i="1"/>
  <c r="G290" i="1" s="1"/>
  <c r="H290" i="1" s="1"/>
  <c r="L288" i="2"/>
  <c r="M288" i="2" s="1"/>
  <c r="N288" i="2" s="1"/>
  <c r="D283" i="1"/>
  <c r="G283" i="1" s="1"/>
  <c r="H283" i="1" s="1"/>
  <c r="L296" i="2"/>
  <c r="M296" i="2" s="1"/>
  <c r="N296" i="2" s="1"/>
  <c r="D291" i="1"/>
  <c r="G291" i="1" s="1"/>
  <c r="H291" i="1" s="1"/>
  <c r="L289" i="2"/>
  <c r="M289" i="2" s="1"/>
  <c r="N289" i="2" s="1"/>
  <c r="D284" i="1"/>
  <c r="G284" i="1" s="1"/>
  <c r="H284" i="1" s="1"/>
  <c r="J4080" i="3"/>
  <c r="S4081" i="3"/>
  <c r="J283" i="2"/>
  <c r="S4080" i="3"/>
  <c r="W4080" i="3"/>
  <c r="W4081" i="3"/>
  <c r="L283" i="2" l="1"/>
  <c r="M283" i="2" s="1"/>
  <c r="N283" i="2" s="1"/>
  <c r="D278" i="1"/>
  <c r="G278" i="1" s="1"/>
  <c r="H278" i="1" s="1"/>
  <c r="V4081" i="3"/>
  <c r="V4080" i="3" s="1"/>
  <c r="V4079" i="3" s="1"/>
  <c r="V4078" i="3" s="1"/>
  <c r="V4077" i="3" s="1"/>
  <c r="V4076" i="3" s="1"/>
  <c r="V4075" i="3" s="1"/>
  <c r="V4074" i="3" s="1"/>
  <c r="V4073" i="3" s="1"/>
  <c r="V4072" i="3" s="1"/>
  <c r="V4071" i="3" s="1"/>
  <c r="V4070" i="3" s="1"/>
  <c r="V4411" i="3" l="1"/>
  <c r="V4410" i="3" s="1"/>
  <c r="V4409" i="3" s="1"/>
  <c r="V4408" i="3" s="1"/>
  <c r="V4407" i="3" s="1"/>
  <c r="V4406" i="3" s="1"/>
  <c r="V4405" i="3" s="1"/>
  <c r="V4404" i="3" s="1"/>
  <c r="V4403" i="3" s="1"/>
  <c r="V4402" i="3" s="1"/>
  <c r="V4401" i="3" s="1"/>
  <c r="V4400" i="3" s="1"/>
  <c r="V4399" i="3" s="1"/>
  <c r="V4398" i="3" s="1"/>
  <c r="V4397" i="3" s="1"/>
  <c r="V4396" i="3" s="1"/>
  <c r="V4395" i="3" s="1"/>
  <c r="V4394" i="3" s="1"/>
  <c r="V4069" i="3"/>
  <c r="V4068" i="3" s="1"/>
  <c r="V4067" i="3" s="1"/>
  <c r="V4066" i="3" s="1"/>
  <c r="V4065" i="3" s="1"/>
  <c r="V4064" i="3" s="1"/>
  <c r="V4063" i="3" s="1"/>
  <c r="V4062" i="3" s="1"/>
  <c r="V4061" i="3" s="1"/>
  <c r="V4060" i="3" s="1"/>
  <c r="V4059" i="3" s="1"/>
  <c r="V4058" i="3" s="1"/>
  <c r="V4057" i="3" s="1"/>
  <c r="V4056" i="3" s="1"/>
  <c r="V4082" i="3" s="1"/>
  <c r="C3958" i="3"/>
  <c r="C3959" i="3"/>
  <c r="C3960" i="3"/>
  <c r="C3961" i="3"/>
  <c r="C4002" i="3"/>
  <c r="C4003" i="3"/>
  <c r="C3689" i="3"/>
  <c r="C3948" i="3"/>
  <c r="X4055" i="3"/>
  <c r="X4054" i="3"/>
  <c r="R4053" i="3"/>
  <c r="R4054" i="3" s="1"/>
  <c r="L4052" i="3"/>
  <c r="S4052" i="3" s="1"/>
  <c r="J4052" i="3"/>
  <c r="X4004" i="3"/>
  <c r="X4003" i="3"/>
  <c r="X4002" i="3"/>
  <c r="B4002" i="3"/>
  <c r="X4001" i="3"/>
  <c r="X4000" i="3"/>
  <c r="X3999" i="3"/>
  <c r="R3999" i="3"/>
  <c r="L3998" i="3"/>
  <c r="S4000" i="3" s="1"/>
  <c r="S3964" i="3" s="1"/>
  <c r="J3998" i="3"/>
  <c r="X3962" i="3"/>
  <c r="X3961" i="3"/>
  <c r="X3960" i="3"/>
  <c r="B3960" i="3"/>
  <c r="X3959" i="3"/>
  <c r="B3959" i="3"/>
  <c r="X3958" i="3"/>
  <c r="B3958" i="3"/>
  <c r="I296" i="2"/>
  <c r="K296" i="2" s="1"/>
  <c r="I295" i="2"/>
  <c r="K295" i="2" s="1"/>
  <c r="I294" i="2"/>
  <c r="K294" i="2" s="1"/>
  <c r="I293" i="2"/>
  <c r="K293" i="2" s="1"/>
  <c r="I292" i="2"/>
  <c r="K292" i="2" s="1"/>
  <c r="I291" i="2"/>
  <c r="K291" i="2" s="1"/>
  <c r="K290" i="2"/>
  <c r="I289" i="2"/>
  <c r="K289" i="2" s="1"/>
  <c r="K288" i="2"/>
  <c r="K287" i="2"/>
  <c r="I286" i="2"/>
  <c r="K286" i="2" s="1"/>
  <c r="K285" i="2"/>
  <c r="I283" i="2"/>
  <c r="K283" i="2" s="1"/>
  <c r="I282" i="2"/>
  <c r="I281" i="2"/>
  <c r="G296" i="2"/>
  <c r="G295" i="2"/>
  <c r="G294" i="2"/>
  <c r="G289" i="2"/>
  <c r="G288" i="2"/>
  <c r="G287" i="2"/>
  <c r="G286" i="2"/>
  <c r="G283" i="2"/>
  <c r="G282" i="2"/>
  <c r="G281" i="2"/>
  <c r="W4002" i="3"/>
  <c r="W3958" i="3"/>
  <c r="W3960" i="3"/>
  <c r="W4001" i="3"/>
  <c r="W4055" i="3"/>
  <c r="W3961" i="3"/>
  <c r="W4004" i="3"/>
  <c r="W4003" i="3"/>
  <c r="W3959" i="3"/>
  <c r="W3964" i="3"/>
  <c r="W4052" i="3"/>
  <c r="N295" i="2" l="1"/>
  <c r="N294" i="2"/>
  <c r="J4053" i="3"/>
  <c r="R3998" i="3"/>
  <c r="I280" i="2"/>
  <c r="I279" i="2"/>
  <c r="S3998" i="3"/>
  <c r="J282" i="2"/>
  <c r="S4054" i="3"/>
  <c r="S3999" i="3"/>
  <c r="S3963" i="3" s="1"/>
  <c r="S4053" i="3"/>
  <c r="G279" i="2"/>
  <c r="G280" i="2"/>
  <c r="W4053" i="3"/>
  <c r="W3998" i="3"/>
  <c r="W4054" i="3"/>
  <c r="W3963" i="3"/>
  <c r="J3999" i="3" l="1"/>
  <c r="R4000" i="3"/>
  <c r="V4000" i="3" s="1"/>
  <c r="L282" i="2"/>
  <c r="M282" i="2" s="1"/>
  <c r="N282" i="2" s="1"/>
  <c r="D277" i="1"/>
  <c r="G277" i="1" s="1"/>
  <c r="H277" i="1" s="1"/>
  <c r="S3962" i="3"/>
  <c r="V4054" i="3"/>
  <c r="W4000" i="3"/>
  <c r="W3999" i="3"/>
  <c r="W3962" i="3"/>
  <c r="V4053" i="3" l="1"/>
  <c r="V4052" i="3" s="1"/>
  <c r="V4051" i="3" s="1"/>
  <c r="V4050" i="3" s="1"/>
  <c r="V4049" i="3" s="1"/>
  <c r="V4048" i="3" s="1"/>
  <c r="V4047" i="3" s="1"/>
  <c r="V4046" i="3" s="1"/>
  <c r="V4045" i="3" s="1"/>
  <c r="V4044" i="3" s="1"/>
  <c r="V4043" i="3" s="1"/>
  <c r="V4042" i="3" s="1"/>
  <c r="V4041" i="3" s="1"/>
  <c r="V4040" i="3" s="1"/>
  <c r="K282" i="2"/>
  <c r="J281" i="2"/>
  <c r="L281" i="2" s="1"/>
  <c r="M281" i="2" s="1"/>
  <c r="V3999" i="3"/>
  <c r="V3998" i="3" s="1"/>
  <c r="V3997" i="3" s="1"/>
  <c r="V3996" i="3" s="1"/>
  <c r="V3995" i="3" s="1"/>
  <c r="V3994" i="3" s="1"/>
  <c r="V3993" i="3" s="1"/>
  <c r="V3992" i="3" s="1"/>
  <c r="V3991" i="3" s="1"/>
  <c r="N281" i="2" l="1"/>
  <c r="K281" i="2"/>
  <c r="D276" i="1"/>
  <c r="G276" i="1" s="1"/>
  <c r="H276" i="1" s="1"/>
  <c r="X320" i="3"/>
  <c r="J320" i="3"/>
  <c r="X319" i="3"/>
  <c r="J319" i="3"/>
  <c r="X318" i="3"/>
  <c r="J318" i="3"/>
  <c r="X317" i="3"/>
  <c r="J317" i="3"/>
  <c r="X316" i="3"/>
  <c r="J316" i="3"/>
  <c r="X315" i="3"/>
  <c r="J315" i="3"/>
  <c r="X314" i="3"/>
  <c r="J314" i="3"/>
  <c r="X313" i="3"/>
  <c r="J313" i="3"/>
  <c r="X312" i="3"/>
  <c r="J312" i="3"/>
  <c r="X311" i="3"/>
  <c r="J311" i="3"/>
  <c r="J246" i="3"/>
  <c r="J245" i="3"/>
  <c r="J244" i="3"/>
  <c r="J243" i="3"/>
  <c r="J242" i="3"/>
  <c r="J241" i="3"/>
  <c r="J240" i="3"/>
  <c r="J239" i="3"/>
  <c r="J238" i="3"/>
  <c r="J237" i="3"/>
  <c r="J236" i="3"/>
  <c r="J235" i="3"/>
  <c r="D234" i="3"/>
  <c r="J233" i="3"/>
  <c r="J232" i="3"/>
  <c r="J231" i="3"/>
  <c r="X257" i="3"/>
  <c r="J257" i="3"/>
  <c r="X256" i="3"/>
  <c r="J256" i="3"/>
  <c r="X255" i="3"/>
  <c r="J255" i="3"/>
  <c r="X254" i="3"/>
  <c r="J254" i="3"/>
  <c r="X253" i="3"/>
  <c r="J253" i="3"/>
  <c r="X252" i="3"/>
  <c r="J252" i="3"/>
  <c r="X251" i="3"/>
  <c r="J251" i="3"/>
  <c r="X250" i="3"/>
  <c r="J250" i="3"/>
  <c r="X249" i="3"/>
  <c r="J249" i="3"/>
  <c r="J248" i="3"/>
  <c r="J178" i="3"/>
  <c r="J177" i="3"/>
  <c r="J176" i="3"/>
  <c r="J175" i="3"/>
  <c r="J174" i="3"/>
  <c r="J173" i="3"/>
  <c r="J172" i="3"/>
  <c r="J171" i="3"/>
  <c r="J170" i="3"/>
  <c r="J169" i="3"/>
  <c r="X121" i="3"/>
  <c r="J121" i="3"/>
  <c r="X120" i="3"/>
  <c r="J120" i="3"/>
  <c r="X119" i="3"/>
  <c r="J119" i="3"/>
  <c r="X118" i="3"/>
  <c r="J118" i="3"/>
  <c r="X117" i="3"/>
  <c r="J117" i="3"/>
  <c r="X116" i="3"/>
  <c r="J116" i="3"/>
  <c r="X126" i="3"/>
  <c r="J126" i="3"/>
  <c r="X125" i="3"/>
  <c r="J125" i="3"/>
  <c r="X124" i="3"/>
  <c r="J124" i="3"/>
  <c r="X123" i="3"/>
  <c r="J123" i="3"/>
  <c r="X122" i="3"/>
  <c r="J122" i="3"/>
  <c r="W235" i="3"/>
  <c r="W232" i="3"/>
  <c r="W231" i="3"/>
  <c r="W233" i="3"/>
  <c r="V3990" i="3" l="1"/>
  <c r="V3989" i="3" s="1"/>
  <c r="V3988" i="3" s="1"/>
  <c r="V3987" i="3" s="1"/>
  <c r="V3986" i="3" s="1"/>
  <c r="V3985" i="3" s="1"/>
  <c r="V3984" i="3" s="1"/>
  <c r="V3983" i="3" s="1"/>
  <c r="V3982" i="3" s="1"/>
  <c r="V3981" i="3" s="1"/>
  <c r="V3980" i="3" s="1"/>
  <c r="V3979" i="3" s="1"/>
  <c r="V3978" i="3" s="1"/>
  <c r="V3977" i="3" s="1"/>
  <c r="V3976" i="3" s="1"/>
  <c r="V3975" i="3" s="1"/>
  <c r="V3974" i="3" s="1"/>
  <c r="V3973" i="3" s="1"/>
  <c r="V3972" i="3" s="1"/>
  <c r="V3971" i="3" s="1"/>
  <c r="V3970" i="3" s="1"/>
  <c r="V3969" i="3" s="1"/>
  <c r="V3968" i="3" s="1"/>
  <c r="V3967" i="3" s="1"/>
  <c r="V3966" i="3" s="1"/>
  <c r="V3965" i="3" s="1"/>
  <c r="V3964" i="3" s="1"/>
  <c r="V3963" i="3" s="1"/>
  <c r="V3962" i="3" s="1"/>
  <c r="V3961" i="3" s="1"/>
  <c r="V3960" i="3" s="1"/>
  <c r="V4001" i="3" s="1"/>
  <c r="V4039" i="3"/>
  <c r="V4038" i="3" s="1"/>
  <c r="V4037" i="3" s="1"/>
  <c r="V4036" i="3" s="1"/>
  <c r="V4035" i="3" s="1"/>
  <c r="V4034" i="3" s="1"/>
  <c r="V4033" i="3" s="1"/>
  <c r="V4032" i="3" s="1"/>
  <c r="J234" i="3"/>
  <c r="L1698" i="3"/>
  <c r="L1697" i="3"/>
  <c r="L1696" i="3"/>
  <c r="L1695" i="3"/>
  <c r="L1727" i="3"/>
  <c r="L1726" i="3"/>
  <c r="L1725" i="3"/>
  <c r="L1724" i="3"/>
  <c r="L1569" i="3"/>
  <c r="L1568" i="3"/>
  <c r="L1567" i="3"/>
  <c r="L1566" i="3"/>
  <c r="R1405" i="3"/>
  <c r="R1404" i="3"/>
  <c r="W234" i="3"/>
  <c r="V4031" i="3" l="1"/>
  <c r="V4030" i="3" s="1"/>
  <c r="V4029" i="3" s="1"/>
  <c r="V4028" i="3" s="1"/>
  <c r="V4027" i="3" s="1"/>
  <c r="V4026" i="3" s="1"/>
  <c r="V4025" i="3" s="1"/>
  <c r="V4024" i="3" s="1"/>
  <c r="V4023" i="3" s="1"/>
  <c r="V4022" i="3" s="1"/>
  <c r="V4021" i="3" s="1"/>
  <c r="V4020" i="3" s="1"/>
  <c r="V4019" i="3" s="1"/>
  <c r="V4018" i="3" s="1"/>
  <c r="V4017" i="3" s="1"/>
  <c r="V4016" i="3" s="1"/>
  <c r="V4015" i="3" s="1"/>
  <c r="V4014" i="3" s="1"/>
  <c r="V4013" i="3" s="1"/>
  <c r="V4012" i="3" s="1"/>
  <c r="V4011" i="3" s="1"/>
  <c r="V4010" i="3" s="1"/>
  <c r="V4009" i="3" s="1"/>
  <c r="V4008" i="3" s="1"/>
  <c r="V4007" i="3" s="1"/>
  <c r="V4006" i="3" s="1"/>
  <c r="V4005" i="3" s="1"/>
  <c r="V4004" i="3" s="1"/>
  <c r="V4003" i="3" s="1"/>
  <c r="V4002" i="3" s="1"/>
  <c r="V4055" i="3" s="1"/>
  <c r="R1696" i="3"/>
  <c r="R1724" i="3"/>
  <c r="R1725" i="3"/>
  <c r="R1726" i="3"/>
  <c r="R1727" i="3"/>
  <c r="R1695" i="3"/>
  <c r="R1697" i="3"/>
  <c r="R1698" i="3"/>
  <c r="R1569" i="3"/>
  <c r="R1567" i="3"/>
  <c r="R1568" i="3"/>
  <c r="R1566" i="3"/>
  <c r="L1633" i="3"/>
  <c r="R1622" i="3"/>
  <c r="X2756" i="3"/>
  <c r="X2259" i="3"/>
  <c r="K1723" i="3"/>
  <c r="K1722" i="3"/>
  <c r="K1694" i="3"/>
  <c r="K1689" i="3"/>
  <c r="W1568" i="3"/>
  <c r="W1698" i="3"/>
  <c r="W1696" i="3"/>
  <c r="W1726" i="3"/>
  <c r="W1724" i="3"/>
  <c r="W1695" i="3"/>
  <c r="W1569" i="3"/>
  <c r="W1725" i="3"/>
  <c r="W1697" i="3"/>
  <c r="W1567" i="3"/>
  <c r="W1727" i="3"/>
  <c r="O1694" i="3" l="1"/>
  <c r="R1694" i="3" s="1"/>
  <c r="N1722" i="3"/>
  <c r="O1723" i="3"/>
  <c r="R1723" i="3" s="1"/>
  <c r="N1689" i="3"/>
  <c r="R1722" i="3"/>
  <c r="O1722" i="3"/>
  <c r="N1694" i="3"/>
  <c r="N1723" i="3"/>
  <c r="O1689" i="3"/>
  <c r="R1689" i="3" s="1"/>
  <c r="W1694" i="3"/>
  <c r="W1722" i="3"/>
  <c r="W1723" i="3"/>
  <c r="R1710" i="3" l="1"/>
  <c r="R1478" i="3"/>
  <c r="M1037" i="3"/>
  <c r="K1037" i="3"/>
  <c r="N1036" i="3"/>
  <c r="O1036" i="3"/>
  <c r="N1035" i="3"/>
  <c r="N1034" i="3"/>
  <c r="K1033" i="3"/>
  <c r="N1032" i="3"/>
  <c r="K1032" i="3"/>
  <c r="K58" i="3"/>
  <c r="R58" i="3" s="1"/>
  <c r="N1033" i="3" l="1"/>
  <c r="R1034" i="3"/>
  <c r="N1037" i="3"/>
  <c r="O1032" i="3"/>
  <c r="R1035" i="3"/>
  <c r="P1036" i="3"/>
  <c r="R1037" i="3" l="1"/>
  <c r="R1036" i="3"/>
  <c r="P1032" i="3"/>
  <c r="R1033" i="3"/>
  <c r="F29" i="4"/>
  <c r="L29" i="4" s="1"/>
  <c r="L30" i="4" s="1"/>
  <c r="L31" i="4" s="1"/>
  <c r="L32" i="4" s="1"/>
  <c r="L33" i="4" s="1"/>
  <c r="L34" i="4" s="1"/>
  <c r="L35" i="4" s="1"/>
  <c r="R1032" i="3" l="1"/>
  <c r="N27" i="4"/>
  <c r="K27" i="4"/>
  <c r="F27" i="4"/>
  <c r="K3694" i="3" l="1"/>
  <c r="R2329" i="3"/>
  <c r="R1721" i="3"/>
  <c r="K1476" i="3"/>
  <c r="R1476" i="3" s="1"/>
  <c r="K1475" i="3"/>
  <c r="N26" i="4"/>
  <c r="K26" i="4"/>
  <c r="F26" i="4"/>
  <c r="K3877" i="3"/>
  <c r="R3877" i="3" s="1"/>
  <c r="R3891" i="3" s="1"/>
  <c r="R1720" i="3"/>
  <c r="R1719" i="3"/>
  <c r="R1718" i="3"/>
  <c r="W1720" i="3"/>
  <c r="W1719" i="3"/>
  <c r="W1721" i="3"/>
  <c r="R3694" i="3" l="1"/>
  <c r="G61" i="4"/>
  <c r="J52" i="4"/>
  <c r="N25" i="4"/>
  <c r="K25" i="4"/>
  <c r="F25" i="4"/>
  <c r="N24" i="4"/>
  <c r="K24" i="4"/>
  <c r="F24" i="4"/>
  <c r="N23" i="4"/>
  <c r="K23" i="4"/>
  <c r="F23" i="4"/>
  <c r="N22" i="4"/>
  <c r="K22" i="4"/>
  <c r="F22" i="4"/>
  <c r="N21" i="4"/>
  <c r="K21" i="4"/>
  <c r="F21" i="4"/>
  <c r="N20" i="4"/>
  <c r="K20" i="4"/>
  <c r="F20" i="4"/>
  <c r="N18" i="4"/>
  <c r="K18" i="4"/>
  <c r="F18" i="4"/>
  <c r="N17" i="4"/>
  <c r="K17" i="4"/>
  <c r="F17" i="4"/>
  <c r="Q16" i="4"/>
  <c r="N16" i="4"/>
  <c r="K16" i="4"/>
  <c r="F16" i="4"/>
  <c r="N15" i="4"/>
  <c r="K15" i="4"/>
  <c r="F15" i="4"/>
  <c r="N14" i="4"/>
  <c r="K14" i="4"/>
  <c r="F14" i="4"/>
  <c r="N13" i="4"/>
  <c r="K13" i="4"/>
  <c r="F13" i="4"/>
  <c r="N12" i="4"/>
  <c r="K12" i="4"/>
  <c r="F12" i="4"/>
  <c r="N11" i="4"/>
  <c r="K11" i="4"/>
  <c r="F11" i="4"/>
  <c r="N10" i="4"/>
  <c r="K10" i="4"/>
  <c r="H10" i="4"/>
  <c r="O10" i="4" s="1"/>
  <c r="F10" i="4"/>
  <c r="X3957" i="3"/>
  <c r="X3956" i="3"/>
  <c r="X3955" i="3"/>
  <c r="R3955" i="3"/>
  <c r="X3954" i="3"/>
  <c r="R3954" i="3"/>
  <c r="L3954" i="3"/>
  <c r="S3956" i="3" s="1"/>
  <c r="J3954" i="3"/>
  <c r="X3953" i="3"/>
  <c r="X3952" i="3"/>
  <c r="X3951" i="3"/>
  <c r="X3950" i="3"/>
  <c r="K3950" i="3"/>
  <c r="X3949" i="3"/>
  <c r="C3949" i="3"/>
  <c r="X3948" i="3"/>
  <c r="B3948" i="3"/>
  <c r="X3947" i="3"/>
  <c r="R3945" i="3"/>
  <c r="R3944" i="3"/>
  <c r="L3944" i="3"/>
  <c r="S3940" i="3" s="1"/>
  <c r="J3944" i="3"/>
  <c r="C3927" i="3"/>
  <c r="X3926" i="3"/>
  <c r="C3926" i="3"/>
  <c r="B3926" i="3"/>
  <c r="X3925" i="3"/>
  <c r="C3925" i="3"/>
  <c r="B3925" i="3"/>
  <c r="X3924" i="3"/>
  <c r="X3923" i="3"/>
  <c r="X3922" i="3"/>
  <c r="R3922" i="3"/>
  <c r="X3921" i="3"/>
  <c r="R3921" i="3"/>
  <c r="L3921" i="3"/>
  <c r="S3923" i="3" s="1"/>
  <c r="J3921" i="3"/>
  <c r="X3920" i="3"/>
  <c r="X3919" i="3"/>
  <c r="X3918" i="3"/>
  <c r="X3917" i="3"/>
  <c r="X3916" i="3"/>
  <c r="C3916" i="3"/>
  <c r="X3915" i="3"/>
  <c r="C3915" i="3"/>
  <c r="B3915" i="3"/>
  <c r="X3914" i="3"/>
  <c r="X3913" i="3"/>
  <c r="X3912" i="3"/>
  <c r="R3912" i="3"/>
  <c r="X3911" i="3"/>
  <c r="R3911" i="3"/>
  <c r="L3911" i="3"/>
  <c r="S3913" i="3" s="1"/>
  <c r="J3911" i="3"/>
  <c r="X3910" i="3"/>
  <c r="X3909" i="3"/>
  <c r="X3908" i="3"/>
  <c r="X3907" i="3"/>
  <c r="X3906" i="3"/>
  <c r="C3906" i="3"/>
  <c r="X3905" i="3"/>
  <c r="C3905" i="3"/>
  <c r="B3905" i="3"/>
  <c r="X3904" i="3"/>
  <c r="X3903" i="3"/>
  <c r="X3902" i="3"/>
  <c r="R3902" i="3"/>
  <c r="X3901" i="3"/>
  <c r="R3901" i="3"/>
  <c r="L3901" i="3"/>
  <c r="S3903" i="3" s="1"/>
  <c r="J3901" i="3"/>
  <c r="X3900" i="3"/>
  <c r="X3899" i="3"/>
  <c r="X3898" i="3"/>
  <c r="X3897" i="3"/>
  <c r="X3896" i="3"/>
  <c r="C3896" i="3"/>
  <c r="X3895" i="3"/>
  <c r="C3895" i="3"/>
  <c r="B3895" i="3"/>
  <c r="X3894" i="3"/>
  <c r="X3893" i="3"/>
  <c r="X3892" i="3"/>
  <c r="R3892" i="3"/>
  <c r="X3891" i="3"/>
  <c r="L3891" i="3"/>
  <c r="S3877" i="3" s="1"/>
  <c r="J3891" i="3"/>
  <c r="X3877" i="3"/>
  <c r="X3876" i="3"/>
  <c r="C3876" i="3"/>
  <c r="X3875" i="3"/>
  <c r="C3875" i="3"/>
  <c r="B3875" i="3"/>
  <c r="X3874" i="3"/>
  <c r="X3873" i="3"/>
  <c r="X3872" i="3"/>
  <c r="R3872" i="3"/>
  <c r="X3871" i="3"/>
  <c r="R3871" i="3"/>
  <c r="L3871" i="3"/>
  <c r="S3873" i="3" s="1"/>
  <c r="J3871" i="3"/>
  <c r="X3870" i="3"/>
  <c r="X3869" i="3"/>
  <c r="X3868" i="3"/>
  <c r="X3867" i="3"/>
  <c r="X3866" i="3"/>
  <c r="C3866" i="3"/>
  <c r="X3865" i="3"/>
  <c r="C3865" i="3"/>
  <c r="B3865" i="3"/>
  <c r="X3864" i="3"/>
  <c r="X3863" i="3"/>
  <c r="X3862" i="3"/>
  <c r="R3862" i="3"/>
  <c r="R3861" i="3"/>
  <c r="L3861" i="3"/>
  <c r="J3861" i="3"/>
  <c r="X3847" i="3"/>
  <c r="C3847" i="3"/>
  <c r="X3846" i="3"/>
  <c r="C3846" i="3"/>
  <c r="B3846" i="3"/>
  <c r="X3845" i="3"/>
  <c r="X3844" i="3"/>
  <c r="X3843" i="3"/>
  <c r="R3843" i="3"/>
  <c r="X3842" i="3"/>
  <c r="R3842" i="3"/>
  <c r="L3842" i="3"/>
  <c r="S3843" i="3" s="1"/>
  <c r="J3842" i="3"/>
  <c r="X3841" i="3"/>
  <c r="X3840" i="3"/>
  <c r="X3839" i="3"/>
  <c r="X3838" i="3"/>
  <c r="X3837" i="3"/>
  <c r="C3837" i="3"/>
  <c r="X3836" i="3"/>
  <c r="C3836" i="3"/>
  <c r="B3836" i="3"/>
  <c r="X3835" i="3"/>
  <c r="X3834" i="3"/>
  <c r="X3833" i="3"/>
  <c r="R3833" i="3"/>
  <c r="L3832" i="3"/>
  <c r="S3834" i="3" s="1"/>
  <c r="J3832" i="3"/>
  <c r="X3804" i="3"/>
  <c r="X3803" i="3"/>
  <c r="X3802" i="3"/>
  <c r="C3802" i="3"/>
  <c r="X3801" i="3"/>
  <c r="C3801" i="3"/>
  <c r="B3801" i="3"/>
  <c r="X3800" i="3"/>
  <c r="C3800" i="3"/>
  <c r="B3800" i="3"/>
  <c r="X3799" i="3"/>
  <c r="X3798" i="3"/>
  <c r="X3797" i="3"/>
  <c r="R3797" i="3"/>
  <c r="X3796" i="3"/>
  <c r="R3796" i="3"/>
  <c r="L3796" i="3"/>
  <c r="S3796" i="3" s="1"/>
  <c r="J3796" i="3"/>
  <c r="X3795" i="3"/>
  <c r="X3794" i="3"/>
  <c r="X3793" i="3"/>
  <c r="X3792" i="3"/>
  <c r="X3791" i="3"/>
  <c r="C3791" i="3"/>
  <c r="X3790" i="3"/>
  <c r="C3790" i="3"/>
  <c r="B3790" i="3"/>
  <c r="X3789" i="3"/>
  <c r="X3788" i="3"/>
  <c r="X3787" i="3"/>
  <c r="R3787" i="3"/>
  <c r="X3786" i="3"/>
  <c r="R3786" i="3"/>
  <c r="L3786" i="3"/>
  <c r="S3787" i="3" s="1"/>
  <c r="J3786" i="3"/>
  <c r="X3785" i="3"/>
  <c r="X3784" i="3"/>
  <c r="X3783" i="3"/>
  <c r="X3782" i="3"/>
  <c r="X3781" i="3"/>
  <c r="C3781" i="3"/>
  <c r="X3780" i="3"/>
  <c r="C3780" i="3"/>
  <c r="B3780" i="3"/>
  <c r="X3779" i="3"/>
  <c r="X3778" i="3"/>
  <c r="X3777" i="3"/>
  <c r="R3777" i="3"/>
  <c r="X3776" i="3"/>
  <c r="R3776" i="3"/>
  <c r="L3776" i="3"/>
  <c r="S3776" i="3" s="1"/>
  <c r="J3776" i="3"/>
  <c r="X3775" i="3"/>
  <c r="X3774" i="3"/>
  <c r="X3773" i="3"/>
  <c r="X3772" i="3"/>
  <c r="X3771" i="3"/>
  <c r="C3771" i="3"/>
  <c r="X3770" i="3"/>
  <c r="C3770" i="3"/>
  <c r="B3770" i="3"/>
  <c r="X3769" i="3"/>
  <c r="X3768" i="3"/>
  <c r="X3767" i="3"/>
  <c r="R3767" i="3"/>
  <c r="X3766" i="3"/>
  <c r="R3766" i="3"/>
  <c r="L3766" i="3"/>
  <c r="S3767" i="3" s="1"/>
  <c r="J3766" i="3"/>
  <c r="X3765" i="3"/>
  <c r="X3764" i="3"/>
  <c r="X3763" i="3"/>
  <c r="X3762" i="3"/>
  <c r="X3761" i="3"/>
  <c r="C3761" i="3"/>
  <c r="X3760" i="3"/>
  <c r="C3760" i="3"/>
  <c r="B3760" i="3"/>
  <c r="X3759" i="3"/>
  <c r="X3758" i="3"/>
  <c r="X3757" i="3"/>
  <c r="R3757" i="3"/>
  <c r="R3758" i="3" s="1"/>
  <c r="L3756" i="3"/>
  <c r="S3756" i="3" s="1"/>
  <c r="J3756" i="3"/>
  <c r="X3716" i="3"/>
  <c r="X3715" i="3"/>
  <c r="C3715" i="3"/>
  <c r="X3714" i="3"/>
  <c r="C3714" i="3"/>
  <c r="B3714" i="3"/>
  <c r="X3713" i="3"/>
  <c r="R3711" i="3"/>
  <c r="L3710" i="3"/>
  <c r="S3711" i="3" s="1"/>
  <c r="J3710" i="3"/>
  <c r="X3697" i="3"/>
  <c r="K3693" i="3"/>
  <c r="C3692" i="3"/>
  <c r="X3691" i="3"/>
  <c r="C3691" i="3"/>
  <c r="B3691" i="3"/>
  <c r="X3690" i="3"/>
  <c r="C3690" i="3"/>
  <c r="B3690" i="3"/>
  <c r="X3689" i="3"/>
  <c r="B3689" i="3"/>
  <c r="X3688" i="3"/>
  <c r="X3687" i="3"/>
  <c r="X3686" i="3"/>
  <c r="R3686" i="3"/>
  <c r="X3685" i="3"/>
  <c r="R3685" i="3"/>
  <c r="L3685" i="3"/>
  <c r="S3686" i="3" s="1"/>
  <c r="J3685" i="3"/>
  <c r="X3684" i="3"/>
  <c r="X3683" i="3"/>
  <c r="X3682" i="3"/>
  <c r="X3681" i="3"/>
  <c r="X3680" i="3"/>
  <c r="C3680" i="3"/>
  <c r="X3679" i="3"/>
  <c r="C3679" i="3"/>
  <c r="B3679" i="3"/>
  <c r="X3678" i="3"/>
  <c r="X3677" i="3"/>
  <c r="X3676" i="3"/>
  <c r="R3676" i="3"/>
  <c r="X3675" i="3"/>
  <c r="R3675" i="3"/>
  <c r="L3675" i="3"/>
  <c r="S3675" i="3" s="1"/>
  <c r="J3675" i="3"/>
  <c r="X3674" i="3"/>
  <c r="X3673" i="3"/>
  <c r="X3672" i="3"/>
  <c r="X3671" i="3"/>
  <c r="X3670" i="3"/>
  <c r="C3670" i="3"/>
  <c r="X3669" i="3"/>
  <c r="C3669" i="3"/>
  <c r="B3669" i="3"/>
  <c r="X3668" i="3"/>
  <c r="X3667" i="3"/>
  <c r="X3666" i="3"/>
  <c r="R3666" i="3"/>
  <c r="X3665" i="3"/>
  <c r="R3665" i="3"/>
  <c r="L3665" i="3"/>
  <c r="S3665" i="3" s="1"/>
  <c r="J3665" i="3"/>
  <c r="X3664" i="3"/>
  <c r="X3663" i="3"/>
  <c r="X3662" i="3"/>
  <c r="X3661" i="3"/>
  <c r="X3660" i="3"/>
  <c r="C3660" i="3"/>
  <c r="X3659" i="3"/>
  <c r="C3659" i="3"/>
  <c r="B3659" i="3"/>
  <c r="X3658" i="3"/>
  <c r="X3657" i="3"/>
  <c r="X3656" i="3"/>
  <c r="R3656" i="3"/>
  <c r="X3655" i="3"/>
  <c r="R3655" i="3"/>
  <c r="L3655" i="3"/>
  <c r="S3656" i="3" s="1"/>
  <c r="J3655" i="3"/>
  <c r="X3654" i="3"/>
  <c r="X3653" i="3"/>
  <c r="X3652" i="3"/>
  <c r="X3651" i="3"/>
  <c r="X3650" i="3"/>
  <c r="C3650" i="3"/>
  <c r="X3649" i="3"/>
  <c r="C3649" i="3"/>
  <c r="B3649" i="3"/>
  <c r="X3648" i="3"/>
  <c r="X3647" i="3"/>
  <c r="X3646" i="3"/>
  <c r="R3646" i="3"/>
  <c r="X3645" i="3"/>
  <c r="R3645" i="3"/>
  <c r="L3645" i="3"/>
  <c r="S3642" i="3" s="1"/>
  <c r="J3645" i="3"/>
  <c r="X3644" i="3"/>
  <c r="X3643" i="3"/>
  <c r="X3641" i="3"/>
  <c r="X3640" i="3"/>
  <c r="C3640" i="3"/>
  <c r="X3639" i="3"/>
  <c r="C3639" i="3"/>
  <c r="B3639" i="3"/>
  <c r="X3638" i="3"/>
  <c r="X3637" i="3"/>
  <c r="X3636" i="3"/>
  <c r="R3636" i="3"/>
  <c r="X3635" i="3"/>
  <c r="R3635" i="3"/>
  <c r="L3635" i="3"/>
  <c r="S3636" i="3" s="1"/>
  <c r="J3635" i="3"/>
  <c r="X3634" i="3"/>
  <c r="X3633" i="3"/>
  <c r="X3632" i="3"/>
  <c r="X3631" i="3"/>
  <c r="X3630" i="3"/>
  <c r="C3630" i="3"/>
  <c r="X3629" i="3"/>
  <c r="C3629" i="3"/>
  <c r="B3629" i="3"/>
  <c r="X3628" i="3"/>
  <c r="X3627" i="3"/>
  <c r="X3626" i="3"/>
  <c r="R3626" i="3"/>
  <c r="X3625" i="3"/>
  <c r="R3625" i="3"/>
  <c r="L3625" i="3"/>
  <c r="S3625" i="3" s="1"/>
  <c r="J3625" i="3"/>
  <c r="X3624" i="3"/>
  <c r="X3623" i="3"/>
  <c r="X3622" i="3"/>
  <c r="X3621" i="3"/>
  <c r="X3620" i="3"/>
  <c r="C3620" i="3"/>
  <c r="X3619" i="3"/>
  <c r="C3619" i="3"/>
  <c r="B3619" i="3"/>
  <c r="X3618" i="3"/>
  <c r="X3617" i="3"/>
  <c r="X3616" i="3"/>
  <c r="R3616" i="3"/>
  <c r="X3615" i="3"/>
  <c r="R3615" i="3"/>
  <c r="L3615" i="3"/>
  <c r="S3616" i="3" s="1"/>
  <c r="J3615" i="3"/>
  <c r="X3614" i="3"/>
  <c r="X3613" i="3"/>
  <c r="X3612" i="3"/>
  <c r="X3611" i="3"/>
  <c r="X3610" i="3"/>
  <c r="C3610" i="3"/>
  <c r="X3609" i="3"/>
  <c r="C3609" i="3"/>
  <c r="B3609" i="3"/>
  <c r="X3608" i="3"/>
  <c r="X3607" i="3"/>
  <c r="X3606" i="3"/>
  <c r="R3606" i="3"/>
  <c r="X3605" i="3"/>
  <c r="R3605" i="3"/>
  <c r="L3605" i="3"/>
  <c r="S3605" i="3" s="1"/>
  <c r="J3605" i="3"/>
  <c r="X3604" i="3"/>
  <c r="X3603" i="3"/>
  <c r="X3602" i="3"/>
  <c r="X3601" i="3"/>
  <c r="X3600" i="3"/>
  <c r="C3600" i="3"/>
  <c r="X3599" i="3"/>
  <c r="C3599" i="3"/>
  <c r="B3599" i="3"/>
  <c r="X3598" i="3"/>
  <c r="X3597" i="3"/>
  <c r="X3596" i="3"/>
  <c r="R3596" i="3"/>
  <c r="X3595" i="3"/>
  <c r="R3595" i="3"/>
  <c r="L3595" i="3"/>
  <c r="S3596" i="3" s="1"/>
  <c r="J3595" i="3"/>
  <c r="X3594" i="3"/>
  <c r="X3593" i="3"/>
  <c r="X3592" i="3"/>
  <c r="X3591" i="3"/>
  <c r="X3590" i="3"/>
  <c r="C3590" i="3"/>
  <c r="X3589" i="3"/>
  <c r="C3589" i="3"/>
  <c r="B3589" i="3"/>
  <c r="X3588" i="3"/>
  <c r="X3587" i="3"/>
  <c r="X3586" i="3"/>
  <c r="R3586" i="3"/>
  <c r="X3585" i="3"/>
  <c r="R3585" i="3"/>
  <c r="L3585" i="3"/>
  <c r="S3585" i="3" s="1"/>
  <c r="J3585" i="3"/>
  <c r="X3584" i="3"/>
  <c r="X3583" i="3"/>
  <c r="X3582" i="3"/>
  <c r="X3581" i="3"/>
  <c r="X3580" i="3"/>
  <c r="C3580" i="3"/>
  <c r="X3579" i="3"/>
  <c r="C3579" i="3"/>
  <c r="B3579" i="3"/>
  <c r="X3578" i="3"/>
  <c r="X3577" i="3"/>
  <c r="X3576" i="3"/>
  <c r="R3576" i="3"/>
  <c r="X3575" i="3"/>
  <c r="R3575" i="3"/>
  <c r="L3575" i="3"/>
  <c r="S3576" i="3" s="1"/>
  <c r="J3575" i="3"/>
  <c r="X3574" i="3"/>
  <c r="X3573" i="3"/>
  <c r="X3572" i="3"/>
  <c r="X3571" i="3"/>
  <c r="X3570" i="3"/>
  <c r="C3570" i="3"/>
  <c r="X3569" i="3"/>
  <c r="C3569" i="3"/>
  <c r="B3569" i="3"/>
  <c r="X3568" i="3"/>
  <c r="X3567" i="3"/>
  <c r="X3566" i="3"/>
  <c r="R3566" i="3"/>
  <c r="X3565" i="3"/>
  <c r="R3565" i="3"/>
  <c r="L3565" i="3"/>
  <c r="S3567" i="3" s="1"/>
  <c r="J3565" i="3"/>
  <c r="X3564" i="3"/>
  <c r="X3563" i="3"/>
  <c r="X3562" i="3"/>
  <c r="X3561" i="3"/>
  <c r="X3560" i="3"/>
  <c r="C3560" i="3"/>
  <c r="X3559" i="3"/>
  <c r="C3559" i="3"/>
  <c r="B3559" i="3"/>
  <c r="X3558" i="3"/>
  <c r="C3558" i="3"/>
  <c r="B3558" i="3"/>
  <c r="X3557" i="3"/>
  <c r="X3556" i="3"/>
  <c r="X3555" i="3"/>
  <c r="R3555" i="3"/>
  <c r="X3554" i="3"/>
  <c r="R3554" i="3"/>
  <c r="L3554" i="3"/>
  <c r="S3555" i="3" s="1"/>
  <c r="J3554" i="3"/>
  <c r="X3553" i="3"/>
  <c r="X3552" i="3"/>
  <c r="X3551" i="3"/>
  <c r="X3550" i="3"/>
  <c r="X3549" i="3"/>
  <c r="C3549" i="3"/>
  <c r="X3548" i="3"/>
  <c r="C3548" i="3"/>
  <c r="B3548" i="3"/>
  <c r="X3547" i="3"/>
  <c r="X3546" i="3"/>
  <c r="X3545" i="3"/>
  <c r="R3545" i="3"/>
  <c r="X3544" i="3"/>
  <c r="R3544" i="3"/>
  <c r="L3544" i="3"/>
  <c r="S3544" i="3" s="1"/>
  <c r="J3544" i="3"/>
  <c r="X3543" i="3"/>
  <c r="X3542" i="3"/>
  <c r="X3541" i="3"/>
  <c r="X3540" i="3"/>
  <c r="X3539" i="3"/>
  <c r="C3539" i="3"/>
  <c r="X3538" i="3"/>
  <c r="C3538" i="3"/>
  <c r="B3538" i="3"/>
  <c r="X3537" i="3"/>
  <c r="X3536" i="3"/>
  <c r="X3535" i="3"/>
  <c r="R3535" i="3"/>
  <c r="X3534" i="3"/>
  <c r="R3534" i="3"/>
  <c r="L3534" i="3"/>
  <c r="S3535" i="3" s="1"/>
  <c r="J3534" i="3"/>
  <c r="X3533" i="3"/>
  <c r="X3532" i="3"/>
  <c r="X3531" i="3"/>
  <c r="X3530" i="3"/>
  <c r="X3529" i="3"/>
  <c r="C3529" i="3"/>
  <c r="X3528" i="3"/>
  <c r="C3528" i="3"/>
  <c r="B3528" i="3"/>
  <c r="X3527" i="3"/>
  <c r="X3526" i="3"/>
  <c r="X3525" i="3"/>
  <c r="R3525" i="3"/>
  <c r="X3524" i="3"/>
  <c r="R3524" i="3"/>
  <c r="L3524" i="3"/>
  <c r="S3524" i="3" s="1"/>
  <c r="J3524" i="3"/>
  <c r="X3523" i="3"/>
  <c r="X3522" i="3"/>
  <c r="X3521" i="3"/>
  <c r="X3520" i="3"/>
  <c r="X3519" i="3"/>
  <c r="C3519" i="3"/>
  <c r="X3518" i="3"/>
  <c r="C3518" i="3"/>
  <c r="B3518" i="3"/>
  <c r="X3517" i="3"/>
  <c r="X3516" i="3"/>
  <c r="X3515" i="3"/>
  <c r="R3515" i="3"/>
  <c r="X3514" i="3"/>
  <c r="R3514" i="3"/>
  <c r="L3514" i="3"/>
  <c r="S3515" i="3" s="1"/>
  <c r="J3514" i="3"/>
  <c r="X3513" i="3"/>
  <c r="X3512" i="3"/>
  <c r="X3511" i="3"/>
  <c r="X3510" i="3"/>
  <c r="X3509" i="3"/>
  <c r="C3509" i="3"/>
  <c r="X3508" i="3"/>
  <c r="C3508" i="3"/>
  <c r="B3508" i="3"/>
  <c r="X3507" i="3"/>
  <c r="X3506" i="3"/>
  <c r="X3505" i="3"/>
  <c r="R3505" i="3"/>
  <c r="X3504" i="3"/>
  <c r="R3504" i="3"/>
  <c r="L3504" i="3"/>
  <c r="S3504" i="3" s="1"/>
  <c r="J3504" i="3"/>
  <c r="X3503" i="3"/>
  <c r="X3502" i="3"/>
  <c r="X3501" i="3"/>
  <c r="X3500" i="3"/>
  <c r="X3499" i="3"/>
  <c r="C3499" i="3"/>
  <c r="X3498" i="3"/>
  <c r="C3498" i="3"/>
  <c r="B3498" i="3"/>
  <c r="X3497" i="3"/>
  <c r="X3496" i="3"/>
  <c r="X3495" i="3"/>
  <c r="R3495" i="3"/>
  <c r="X3494" i="3"/>
  <c r="R3494" i="3"/>
  <c r="L3494" i="3"/>
  <c r="S3495" i="3" s="1"/>
  <c r="J3494" i="3"/>
  <c r="X3493" i="3"/>
  <c r="X3492" i="3"/>
  <c r="X3491" i="3"/>
  <c r="X3490" i="3"/>
  <c r="X3489" i="3"/>
  <c r="C3489" i="3"/>
  <c r="X3488" i="3"/>
  <c r="C3488" i="3"/>
  <c r="B3488" i="3"/>
  <c r="X3487" i="3"/>
  <c r="X3486" i="3"/>
  <c r="X3485" i="3"/>
  <c r="R3485" i="3"/>
  <c r="X3484" i="3"/>
  <c r="R3484" i="3"/>
  <c r="L3484" i="3"/>
  <c r="S3484" i="3" s="1"/>
  <c r="J3484" i="3"/>
  <c r="X3483" i="3"/>
  <c r="X3482" i="3"/>
  <c r="X3481" i="3"/>
  <c r="X3480" i="3"/>
  <c r="X3479" i="3"/>
  <c r="C3479" i="3"/>
  <c r="X3478" i="3"/>
  <c r="C3478" i="3"/>
  <c r="B3478" i="3"/>
  <c r="X3477" i="3"/>
  <c r="X3476" i="3"/>
  <c r="X3475" i="3"/>
  <c r="R3475" i="3"/>
  <c r="X3474" i="3"/>
  <c r="R3474" i="3"/>
  <c r="L3474" i="3"/>
  <c r="S3475" i="3" s="1"/>
  <c r="J3474" i="3"/>
  <c r="X3473" i="3"/>
  <c r="X3472" i="3"/>
  <c r="X3471" i="3"/>
  <c r="X3470" i="3"/>
  <c r="X3469" i="3"/>
  <c r="C3469" i="3"/>
  <c r="X3468" i="3"/>
  <c r="C3468" i="3"/>
  <c r="B3468" i="3"/>
  <c r="X3467" i="3"/>
  <c r="X3466" i="3"/>
  <c r="X3465" i="3"/>
  <c r="R3465" i="3"/>
  <c r="X3464" i="3"/>
  <c r="R3464" i="3"/>
  <c r="L3464" i="3"/>
  <c r="S3465" i="3" s="1"/>
  <c r="J3464" i="3"/>
  <c r="X3463" i="3"/>
  <c r="X3462" i="3"/>
  <c r="X3461" i="3"/>
  <c r="X3460" i="3"/>
  <c r="X3459" i="3"/>
  <c r="C3459" i="3"/>
  <c r="X3458" i="3"/>
  <c r="C3458" i="3"/>
  <c r="B3458" i="3"/>
  <c r="X3457" i="3"/>
  <c r="X3456" i="3"/>
  <c r="X3455" i="3"/>
  <c r="R3455" i="3"/>
  <c r="X3454" i="3"/>
  <c r="R3454" i="3"/>
  <c r="L3454" i="3"/>
  <c r="S3455" i="3" s="1"/>
  <c r="J3454" i="3"/>
  <c r="X3453" i="3"/>
  <c r="X3452" i="3"/>
  <c r="X3451" i="3"/>
  <c r="X3450" i="3"/>
  <c r="X3449" i="3"/>
  <c r="C3449" i="3"/>
  <c r="X3448" i="3"/>
  <c r="C3448" i="3"/>
  <c r="B3448" i="3"/>
  <c r="X3447" i="3"/>
  <c r="X3446" i="3"/>
  <c r="X3445" i="3"/>
  <c r="R3445" i="3"/>
  <c r="X3444" i="3"/>
  <c r="R3444" i="3"/>
  <c r="L3444" i="3"/>
  <c r="J3444" i="3"/>
  <c r="X3443" i="3"/>
  <c r="X3442" i="3"/>
  <c r="X3441" i="3"/>
  <c r="X3440" i="3"/>
  <c r="X3439" i="3"/>
  <c r="C3439" i="3"/>
  <c r="X3438" i="3"/>
  <c r="C3438" i="3"/>
  <c r="B3438" i="3"/>
  <c r="X3437" i="3"/>
  <c r="X3436" i="3"/>
  <c r="X3435" i="3"/>
  <c r="R3435" i="3"/>
  <c r="X3434" i="3"/>
  <c r="R3434" i="3"/>
  <c r="L3434" i="3"/>
  <c r="S3435" i="3" s="1"/>
  <c r="J3434" i="3"/>
  <c r="X3433" i="3"/>
  <c r="X3432" i="3"/>
  <c r="X3431" i="3"/>
  <c r="X3430" i="3"/>
  <c r="X3429" i="3"/>
  <c r="C3429" i="3"/>
  <c r="X3428" i="3"/>
  <c r="C3428" i="3"/>
  <c r="B3428" i="3"/>
  <c r="X3427" i="3"/>
  <c r="C3427" i="3"/>
  <c r="B3427" i="3"/>
  <c r="X3426" i="3"/>
  <c r="X3425" i="3"/>
  <c r="X3424" i="3"/>
  <c r="R3424" i="3"/>
  <c r="X3423" i="3"/>
  <c r="R3423" i="3"/>
  <c r="L3423" i="3"/>
  <c r="S3423" i="3" s="1"/>
  <c r="J3423" i="3"/>
  <c r="X3422" i="3"/>
  <c r="X3421" i="3"/>
  <c r="X3418" i="3"/>
  <c r="C3418" i="3"/>
  <c r="X3417" i="3"/>
  <c r="C3417" i="3"/>
  <c r="B3417" i="3"/>
  <c r="X3416" i="3"/>
  <c r="X3415" i="3"/>
  <c r="X3414" i="3"/>
  <c r="R3414" i="3"/>
  <c r="X3413" i="3"/>
  <c r="R3413" i="3"/>
  <c r="L3413" i="3"/>
  <c r="S3415" i="3" s="1"/>
  <c r="J3413" i="3"/>
  <c r="X3412" i="3"/>
  <c r="X3411" i="3"/>
  <c r="X3408" i="3"/>
  <c r="C3408" i="3"/>
  <c r="X3407" i="3"/>
  <c r="C3407" i="3"/>
  <c r="B3407" i="3"/>
  <c r="X3406" i="3"/>
  <c r="X3405" i="3"/>
  <c r="X3404" i="3"/>
  <c r="R3404" i="3"/>
  <c r="X3403" i="3"/>
  <c r="R3403" i="3"/>
  <c r="L3403" i="3"/>
  <c r="S3403" i="3" s="1"/>
  <c r="J3403" i="3"/>
  <c r="X3402" i="3"/>
  <c r="X3401" i="3"/>
  <c r="X3398" i="3"/>
  <c r="C3398" i="3"/>
  <c r="X3397" i="3"/>
  <c r="C3397" i="3"/>
  <c r="B3397" i="3"/>
  <c r="X3396" i="3"/>
  <c r="X3395" i="3"/>
  <c r="X3394" i="3"/>
  <c r="R3394" i="3"/>
  <c r="X3393" i="3"/>
  <c r="R3393" i="3"/>
  <c r="L3393" i="3"/>
  <c r="S3395" i="3" s="1"/>
  <c r="J3393" i="3"/>
  <c r="X3392" i="3"/>
  <c r="X3391" i="3"/>
  <c r="X3390" i="3"/>
  <c r="X3389" i="3"/>
  <c r="X3388" i="3"/>
  <c r="C3388" i="3"/>
  <c r="X3387" i="3"/>
  <c r="C3387" i="3"/>
  <c r="B3387" i="3"/>
  <c r="X3386" i="3"/>
  <c r="X3385" i="3"/>
  <c r="X3384" i="3"/>
  <c r="R3384" i="3"/>
  <c r="L3383" i="3"/>
  <c r="S3383" i="3" s="1"/>
  <c r="J3383" i="3"/>
  <c r="X3377" i="3"/>
  <c r="X3376" i="3"/>
  <c r="C3376" i="3"/>
  <c r="X3375" i="3"/>
  <c r="C3375" i="3"/>
  <c r="B3375" i="3"/>
  <c r="X3374" i="3"/>
  <c r="X3373" i="3"/>
  <c r="X3372" i="3"/>
  <c r="R3372" i="3"/>
  <c r="X3371" i="3"/>
  <c r="R3371" i="3"/>
  <c r="L3371" i="3"/>
  <c r="S3373" i="3" s="1"/>
  <c r="J3371" i="3"/>
  <c r="X3370" i="3"/>
  <c r="X3369" i="3"/>
  <c r="X3368" i="3"/>
  <c r="X3367" i="3"/>
  <c r="X3366" i="3"/>
  <c r="C3366" i="3"/>
  <c r="X3365" i="3"/>
  <c r="C3365" i="3"/>
  <c r="B3365" i="3"/>
  <c r="X3364" i="3"/>
  <c r="X3363" i="3"/>
  <c r="X3362" i="3"/>
  <c r="R3362" i="3"/>
  <c r="X3361" i="3"/>
  <c r="R3361" i="3"/>
  <c r="L3361" i="3"/>
  <c r="S3361" i="3" s="1"/>
  <c r="J3361" i="3"/>
  <c r="X3360" i="3"/>
  <c r="X3359" i="3"/>
  <c r="X3356" i="3"/>
  <c r="C3356" i="3"/>
  <c r="X3355" i="3"/>
  <c r="C3355" i="3"/>
  <c r="B3355" i="3"/>
  <c r="X3354" i="3"/>
  <c r="X3353" i="3"/>
  <c r="X3352" i="3"/>
  <c r="R3352" i="3"/>
  <c r="X3351" i="3"/>
  <c r="L3351" i="3"/>
  <c r="S3353" i="3" s="1"/>
  <c r="J3351" i="3"/>
  <c r="X3343" i="3"/>
  <c r="C3343" i="3"/>
  <c r="X3342" i="3"/>
  <c r="C3342" i="3"/>
  <c r="B3342" i="3"/>
  <c r="X3341" i="3"/>
  <c r="X3340" i="3"/>
  <c r="X3339" i="3"/>
  <c r="R3339" i="3"/>
  <c r="X3338" i="3"/>
  <c r="L3338" i="3"/>
  <c r="S3338" i="3" s="1"/>
  <c r="J3338" i="3"/>
  <c r="X3332" i="3"/>
  <c r="C3332" i="3"/>
  <c r="X3331" i="3"/>
  <c r="C3331" i="3"/>
  <c r="B3331" i="3"/>
  <c r="X3330" i="3"/>
  <c r="X3329" i="3"/>
  <c r="X3328" i="3"/>
  <c r="R3328" i="3"/>
  <c r="X3327" i="3"/>
  <c r="R3327" i="3"/>
  <c r="L3327" i="3"/>
  <c r="S3329" i="3" s="1"/>
  <c r="J3327" i="3"/>
  <c r="X3326" i="3"/>
  <c r="X3325" i="3"/>
  <c r="X3324" i="3"/>
  <c r="X3323" i="3"/>
  <c r="X3322" i="3"/>
  <c r="C3322" i="3"/>
  <c r="X3321" i="3"/>
  <c r="C3321" i="3"/>
  <c r="B3321" i="3"/>
  <c r="X3320" i="3"/>
  <c r="X3319" i="3"/>
  <c r="X3318" i="3"/>
  <c r="R3318" i="3"/>
  <c r="X3317" i="3"/>
  <c r="R3317" i="3"/>
  <c r="L3317" i="3"/>
  <c r="S3317" i="3" s="1"/>
  <c r="J3317" i="3"/>
  <c r="X3316" i="3"/>
  <c r="X3315" i="3"/>
  <c r="X3314" i="3"/>
  <c r="X3313" i="3"/>
  <c r="X3312" i="3"/>
  <c r="C3312" i="3"/>
  <c r="X3311" i="3"/>
  <c r="C3311" i="3"/>
  <c r="B3311" i="3"/>
  <c r="X3310" i="3"/>
  <c r="X3309" i="3"/>
  <c r="X3308" i="3"/>
  <c r="R3308" i="3"/>
  <c r="X3307" i="3"/>
  <c r="R3307" i="3"/>
  <c r="L3307" i="3"/>
  <c r="S3309" i="3" s="1"/>
  <c r="J3307" i="3"/>
  <c r="X3306" i="3"/>
  <c r="X3305" i="3"/>
  <c r="X3304" i="3"/>
  <c r="X3303" i="3"/>
  <c r="X3302" i="3"/>
  <c r="C3302" i="3"/>
  <c r="X3301" i="3"/>
  <c r="C3301" i="3"/>
  <c r="B3301" i="3"/>
  <c r="X3300" i="3"/>
  <c r="X3299" i="3"/>
  <c r="X3298" i="3"/>
  <c r="R3298" i="3"/>
  <c r="X3297" i="3"/>
  <c r="R3297" i="3"/>
  <c r="L3297" i="3"/>
  <c r="S3298" i="3" s="1"/>
  <c r="J3297" i="3"/>
  <c r="X3296" i="3"/>
  <c r="X3295" i="3"/>
  <c r="X3294" i="3"/>
  <c r="X3293" i="3"/>
  <c r="X3292" i="3"/>
  <c r="C3292" i="3"/>
  <c r="X3291" i="3"/>
  <c r="B3291" i="3"/>
  <c r="X3290" i="3"/>
  <c r="C3290" i="3"/>
  <c r="B3290" i="3"/>
  <c r="X3289" i="3"/>
  <c r="X3288" i="3"/>
  <c r="X3287" i="3"/>
  <c r="R3287" i="3"/>
  <c r="X3286" i="3"/>
  <c r="R3286" i="3"/>
  <c r="L3286" i="3"/>
  <c r="S3283" i="3" s="1"/>
  <c r="J3286" i="3"/>
  <c r="X3285" i="3"/>
  <c r="X3284" i="3"/>
  <c r="X3283" i="3"/>
  <c r="X3282" i="3"/>
  <c r="X3281" i="3"/>
  <c r="C3281" i="3"/>
  <c r="X3280" i="3"/>
  <c r="C3280" i="3"/>
  <c r="B3280" i="3"/>
  <c r="X3279" i="3"/>
  <c r="X3278" i="3"/>
  <c r="X3277" i="3"/>
  <c r="R3277" i="3"/>
  <c r="X3276" i="3"/>
  <c r="R3276" i="3"/>
  <c r="L3276" i="3"/>
  <c r="S3273" i="3" s="1"/>
  <c r="J3276" i="3"/>
  <c r="X3275" i="3"/>
  <c r="X3274" i="3"/>
  <c r="X3273" i="3"/>
  <c r="X3272" i="3"/>
  <c r="X3271" i="3"/>
  <c r="C3271" i="3"/>
  <c r="X3270" i="3"/>
  <c r="C3270" i="3"/>
  <c r="B3270" i="3"/>
  <c r="X3269" i="3"/>
  <c r="X3268" i="3"/>
  <c r="X3267" i="3"/>
  <c r="R3267" i="3"/>
  <c r="X3266" i="3"/>
  <c r="R3266" i="3"/>
  <c r="L3266" i="3"/>
  <c r="S3263" i="3" s="1"/>
  <c r="J3266" i="3"/>
  <c r="X3265" i="3"/>
  <c r="X3264" i="3"/>
  <c r="X3263" i="3"/>
  <c r="X3262" i="3"/>
  <c r="X3261" i="3"/>
  <c r="C3261" i="3"/>
  <c r="X3260" i="3"/>
  <c r="C3260" i="3"/>
  <c r="B3260" i="3"/>
  <c r="X3259" i="3"/>
  <c r="X3258" i="3"/>
  <c r="X3257" i="3"/>
  <c r="R3257" i="3"/>
  <c r="X3256" i="3"/>
  <c r="R3256" i="3"/>
  <c r="L3256" i="3"/>
  <c r="S3256" i="3" s="1"/>
  <c r="J3256" i="3"/>
  <c r="X3255" i="3"/>
  <c r="X3254" i="3"/>
  <c r="X3253" i="3"/>
  <c r="X3252" i="3"/>
  <c r="X3251" i="3"/>
  <c r="C3251" i="3"/>
  <c r="X3250" i="3"/>
  <c r="C3250" i="3"/>
  <c r="B3250" i="3"/>
  <c r="X3249" i="3"/>
  <c r="X3248" i="3"/>
  <c r="X3247" i="3"/>
  <c r="R3247" i="3"/>
  <c r="X3246" i="3"/>
  <c r="R3246" i="3"/>
  <c r="L3246" i="3"/>
  <c r="S3247" i="3" s="1"/>
  <c r="J3246" i="3"/>
  <c r="X3245" i="3"/>
  <c r="X3244" i="3"/>
  <c r="X3243" i="3"/>
  <c r="X3242" i="3"/>
  <c r="X3241" i="3"/>
  <c r="C3241" i="3"/>
  <c r="X3240" i="3"/>
  <c r="C3240" i="3"/>
  <c r="B3240" i="3"/>
  <c r="X3239" i="3"/>
  <c r="X3238" i="3"/>
  <c r="X3237" i="3"/>
  <c r="R3237" i="3"/>
  <c r="X3236" i="3"/>
  <c r="R3236" i="3"/>
  <c r="L3236" i="3"/>
  <c r="J3236" i="3"/>
  <c r="X3235" i="3"/>
  <c r="X3234" i="3"/>
  <c r="X3233" i="3"/>
  <c r="X3232" i="3"/>
  <c r="X3231" i="3"/>
  <c r="C3231" i="3"/>
  <c r="X3230" i="3"/>
  <c r="C3230" i="3"/>
  <c r="B3230" i="3"/>
  <c r="X3229" i="3"/>
  <c r="X3228" i="3"/>
  <c r="X3227" i="3"/>
  <c r="R3227" i="3"/>
  <c r="X3226" i="3"/>
  <c r="R3226" i="3"/>
  <c r="L3226" i="3"/>
  <c r="S3223" i="3" s="1"/>
  <c r="J3226" i="3"/>
  <c r="X3225" i="3"/>
  <c r="X3224" i="3"/>
  <c r="X3223" i="3"/>
  <c r="X3222" i="3"/>
  <c r="X3221" i="3"/>
  <c r="C3221" i="3"/>
  <c r="X3220" i="3"/>
  <c r="C3220" i="3"/>
  <c r="B3220" i="3"/>
  <c r="X3219" i="3"/>
  <c r="X3218" i="3"/>
  <c r="X3217" i="3"/>
  <c r="R3217" i="3"/>
  <c r="X3216" i="3"/>
  <c r="R3216" i="3"/>
  <c r="L3216" i="3"/>
  <c r="S3213" i="3" s="1"/>
  <c r="J3216" i="3"/>
  <c r="X3215" i="3"/>
  <c r="X3214" i="3"/>
  <c r="X3213" i="3"/>
  <c r="X3212" i="3"/>
  <c r="X3211" i="3"/>
  <c r="C3211" i="3"/>
  <c r="X3210" i="3"/>
  <c r="C3210" i="3"/>
  <c r="B3210" i="3"/>
  <c r="X3209" i="3"/>
  <c r="X3208" i="3"/>
  <c r="X3207" i="3"/>
  <c r="R3207" i="3"/>
  <c r="X3206" i="3"/>
  <c r="R3206" i="3"/>
  <c r="L3206" i="3"/>
  <c r="S3203" i="3" s="1"/>
  <c r="J3206" i="3"/>
  <c r="X3205" i="3"/>
  <c r="X3204" i="3"/>
  <c r="X3203" i="3"/>
  <c r="X3202" i="3"/>
  <c r="X3201" i="3"/>
  <c r="C3201" i="3"/>
  <c r="X3200" i="3"/>
  <c r="C3200" i="3"/>
  <c r="B3200" i="3"/>
  <c r="X3199" i="3"/>
  <c r="X3198" i="3"/>
  <c r="X3197" i="3"/>
  <c r="R3197" i="3"/>
  <c r="X3196" i="3"/>
  <c r="R3196" i="3"/>
  <c r="L3196" i="3"/>
  <c r="J3196" i="3"/>
  <c r="X3195" i="3"/>
  <c r="X3194" i="3"/>
  <c r="X3193" i="3"/>
  <c r="X3192" i="3"/>
  <c r="X3191" i="3"/>
  <c r="C3191" i="3"/>
  <c r="X3190" i="3"/>
  <c r="C3190" i="3"/>
  <c r="B3190" i="3"/>
  <c r="X3189" i="3"/>
  <c r="X3188" i="3"/>
  <c r="X3187" i="3"/>
  <c r="R3187" i="3"/>
  <c r="X3186" i="3"/>
  <c r="R3186" i="3"/>
  <c r="L3186" i="3"/>
  <c r="S3187" i="3" s="1"/>
  <c r="J3186" i="3"/>
  <c r="X3185" i="3"/>
  <c r="X3184" i="3"/>
  <c r="X3183" i="3"/>
  <c r="X3182" i="3"/>
  <c r="X3181" i="3"/>
  <c r="C3181" i="3"/>
  <c r="X3180" i="3"/>
  <c r="C3180" i="3"/>
  <c r="B3180" i="3"/>
  <c r="X3179" i="3"/>
  <c r="X3178" i="3"/>
  <c r="X3177" i="3"/>
  <c r="R3177" i="3"/>
  <c r="X3176" i="3"/>
  <c r="R3176" i="3"/>
  <c r="L3176" i="3"/>
  <c r="S3176" i="3" s="1"/>
  <c r="J3176" i="3"/>
  <c r="X3175" i="3"/>
  <c r="X3174" i="3"/>
  <c r="X3173" i="3"/>
  <c r="X3172" i="3"/>
  <c r="X3171" i="3"/>
  <c r="C3171" i="3"/>
  <c r="X3170" i="3"/>
  <c r="C3170" i="3"/>
  <c r="B3170" i="3"/>
  <c r="X3169" i="3"/>
  <c r="X3168" i="3"/>
  <c r="X3167" i="3"/>
  <c r="R3167" i="3"/>
  <c r="X3166" i="3"/>
  <c r="R3166" i="3"/>
  <c r="L3166" i="3"/>
  <c r="S3167" i="3" s="1"/>
  <c r="J3166" i="3"/>
  <c r="X3165" i="3"/>
  <c r="X3164" i="3"/>
  <c r="X3163" i="3"/>
  <c r="X3162" i="3"/>
  <c r="X3161" i="3"/>
  <c r="C3161" i="3"/>
  <c r="X3160" i="3"/>
  <c r="C3160" i="3"/>
  <c r="B3160" i="3"/>
  <c r="X3159" i="3"/>
  <c r="C3159" i="3"/>
  <c r="B3159" i="3"/>
  <c r="X3158" i="3"/>
  <c r="X3157" i="3"/>
  <c r="X3156" i="3"/>
  <c r="R3156" i="3"/>
  <c r="X3155" i="3"/>
  <c r="R3155" i="3"/>
  <c r="L3155" i="3"/>
  <c r="S3157" i="3" s="1"/>
  <c r="J3155" i="3"/>
  <c r="X3154" i="3"/>
  <c r="X3153" i="3"/>
  <c r="X3152" i="3"/>
  <c r="X3151" i="3"/>
  <c r="X3150" i="3"/>
  <c r="C3150" i="3"/>
  <c r="X3149" i="3"/>
  <c r="C3149" i="3"/>
  <c r="B3149" i="3"/>
  <c r="X3148" i="3"/>
  <c r="X3147" i="3"/>
  <c r="X3146" i="3"/>
  <c r="R3146" i="3"/>
  <c r="X3145" i="3"/>
  <c r="R3145" i="3"/>
  <c r="L3145" i="3"/>
  <c r="S3147" i="3" s="1"/>
  <c r="J3145" i="3"/>
  <c r="X3144" i="3"/>
  <c r="X3143" i="3"/>
  <c r="X3142" i="3"/>
  <c r="X3141" i="3"/>
  <c r="X3140" i="3"/>
  <c r="C3140" i="3"/>
  <c r="X3139" i="3"/>
  <c r="C3139" i="3"/>
  <c r="B3139" i="3"/>
  <c r="X3138" i="3"/>
  <c r="X3137" i="3"/>
  <c r="X3136" i="3"/>
  <c r="R3136" i="3"/>
  <c r="X3135" i="3"/>
  <c r="R3135" i="3"/>
  <c r="L3135" i="3"/>
  <c r="S3136" i="3" s="1"/>
  <c r="J3135" i="3"/>
  <c r="X3134" i="3"/>
  <c r="X3133" i="3"/>
  <c r="X3132" i="3"/>
  <c r="X3131" i="3"/>
  <c r="X3130" i="3"/>
  <c r="C3130" i="3"/>
  <c r="X3129" i="3"/>
  <c r="C3129" i="3"/>
  <c r="B3129" i="3"/>
  <c r="X3128" i="3"/>
  <c r="X3127" i="3"/>
  <c r="X3126" i="3"/>
  <c r="R3126" i="3"/>
  <c r="X3125" i="3"/>
  <c r="R3125" i="3"/>
  <c r="L3125" i="3"/>
  <c r="S3125" i="3" s="1"/>
  <c r="J3125" i="3"/>
  <c r="X3124" i="3"/>
  <c r="X3123" i="3"/>
  <c r="X3122" i="3"/>
  <c r="X3121" i="3"/>
  <c r="X3120" i="3"/>
  <c r="C3120" i="3"/>
  <c r="X3119" i="3"/>
  <c r="C3119" i="3"/>
  <c r="B3119" i="3"/>
  <c r="X3118" i="3"/>
  <c r="X3117" i="3"/>
  <c r="X3116" i="3"/>
  <c r="R3116" i="3"/>
  <c r="X3115" i="3"/>
  <c r="R3115" i="3"/>
  <c r="L3115" i="3"/>
  <c r="S3116" i="3" s="1"/>
  <c r="J3115" i="3"/>
  <c r="X3114" i="3"/>
  <c r="X3113" i="3"/>
  <c r="X3112" i="3"/>
  <c r="X3111" i="3"/>
  <c r="X3110" i="3"/>
  <c r="C3110" i="3"/>
  <c r="X3109" i="3"/>
  <c r="C3109" i="3"/>
  <c r="B3109" i="3"/>
  <c r="X3108" i="3"/>
  <c r="X3107" i="3"/>
  <c r="X3106" i="3"/>
  <c r="R3106" i="3"/>
  <c r="X3105" i="3"/>
  <c r="R3105" i="3"/>
  <c r="L3105" i="3"/>
  <c r="S3105" i="3" s="1"/>
  <c r="J3105" i="3"/>
  <c r="X3104" i="3"/>
  <c r="X3103" i="3"/>
  <c r="X3102" i="3"/>
  <c r="X3101" i="3"/>
  <c r="X3100" i="3"/>
  <c r="C3100" i="3"/>
  <c r="X3099" i="3"/>
  <c r="C3099" i="3"/>
  <c r="B3099" i="3"/>
  <c r="X3098" i="3"/>
  <c r="X3097" i="3"/>
  <c r="X3096" i="3"/>
  <c r="R3096" i="3"/>
  <c r="X3095" i="3"/>
  <c r="R3095" i="3"/>
  <c r="L3095" i="3"/>
  <c r="S3096" i="3" s="1"/>
  <c r="J3095" i="3"/>
  <c r="X3094" i="3"/>
  <c r="X3093" i="3"/>
  <c r="X3092" i="3"/>
  <c r="X3091" i="3"/>
  <c r="X3090" i="3"/>
  <c r="C3090" i="3"/>
  <c r="X3089" i="3"/>
  <c r="C3089" i="3"/>
  <c r="B3089" i="3"/>
  <c r="X3088" i="3"/>
  <c r="X3087" i="3"/>
  <c r="X3086" i="3"/>
  <c r="R3086" i="3"/>
  <c r="X3085" i="3"/>
  <c r="R3085" i="3"/>
  <c r="L3085" i="3"/>
  <c r="S3085" i="3" s="1"/>
  <c r="J3085" i="3"/>
  <c r="X3084" i="3"/>
  <c r="X3083" i="3"/>
  <c r="X3080" i="3"/>
  <c r="X3079" i="3"/>
  <c r="X3078" i="3"/>
  <c r="C3078" i="3"/>
  <c r="X3077" i="3"/>
  <c r="C3077" i="3"/>
  <c r="B3077" i="3"/>
  <c r="X3076" i="3"/>
  <c r="X3075" i="3"/>
  <c r="X3074" i="3"/>
  <c r="R3074" i="3"/>
  <c r="X3073" i="3"/>
  <c r="R3073" i="3"/>
  <c r="L3073" i="3"/>
  <c r="S3074" i="3" s="1"/>
  <c r="J3073" i="3"/>
  <c r="X3072" i="3"/>
  <c r="X3068" i="3"/>
  <c r="X3067" i="3"/>
  <c r="X3066" i="3"/>
  <c r="C3066" i="3"/>
  <c r="X3065" i="3"/>
  <c r="C3065" i="3"/>
  <c r="B3065" i="3"/>
  <c r="X3064" i="3"/>
  <c r="X3063" i="3"/>
  <c r="X3062" i="3"/>
  <c r="R3062" i="3"/>
  <c r="X3061" i="3"/>
  <c r="R3061" i="3"/>
  <c r="L3061" i="3"/>
  <c r="S3061" i="3" s="1"/>
  <c r="J3061" i="3"/>
  <c r="X3060" i="3"/>
  <c r="X3059" i="3"/>
  <c r="X3058" i="3"/>
  <c r="X3057" i="3"/>
  <c r="X3056" i="3"/>
  <c r="C3056" i="3"/>
  <c r="X3055" i="3"/>
  <c r="C3055" i="3"/>
  <c r="B3055" i="3"/>
  <c r="X3054" i="3"/>
  <c r="X3053" i="3"/>
  <c r="X3052" i="3"/>
  <c r="R3052" i="3"/>
  <c r="X3051" i="3"/>
  <c r="R3051" i="3"/>
  <c r="L3051" i="3"/>
  <c r="S3052" i="3" s="1"/>
  <c r="J3051" i="3"/>
  <c r="X3050" i="3"/>
  <c r="X3049" i="3"/>
  <c r="X3048" i="3"/>
  <c r="X3047" i="3"/>
  <c r="X3046" i="3"/>
  <c r="C3046" i="3"/>
  <c r="X3045" i="3"/>
  <c r="C3045" i="3"/>
  <c r="B3045" i="3"/>
  <c r="X3044" i="3"/>
  <c r="X3043" i="3"/>
  <c r="X3042" i="3"/>
  <c r="R3042" i="3"/>
  <c r="X3041" i="3"/>
  <c r="R3041" i="3"/>
  <c r="L3041" i="3"/>
  <c r="S3041" i="3" s="1"/>
  <c r="J3041" i="3"/>
  <c r="X3040" i="3"/>
  <c r="X3038" i="3"/>
  <c r="X3037" i="3"/>
  <c r="X3036" i="3"/>
  <c r="C3036" i="3"/>
  <c r="X3035" i="3"/>
  <c r="C3035" i="3"/>
  <c r="B3035" i="3"/>
  <c r="X3034" i="3"/>
  <c r="C3034" i="3"/>
  <c r="B3034" i="3"/>
  <c r="X3033" i="3"/>
  <c r="X3032" i="3"/>
  <c r="X3031" i="3"/>
  <c r="R3031" i="3"/>
  <c r="X3030" i="3"/>
  <c r="R3030" i="3"/>
  <c r="L3030" i="3"/>
  <c r="S3032" i="3" s="1"/>
  <c r="J3030" i="3"/>
  <c r="X3029" i="3"/>
  <c r="X3028" i="3"/>
  <c r="X3025" i="3"/>
  <c r="C3025" i="3"/>
  <c r="X3024" i="3"/>
  <c r="C3024" i="3"/>
  <c r="B3024" i="3"/>
  <c r="X3023" i="3"/>
  <c r="X3022" i="3"/>
  <c r="X3021" i="3"/>
  <c r="R3021" i="3"/>
  <c r="X3020" i="3"/>
  <c r="R3020" i="3"/>
  <c r="L3020" i="3"/>
  <c r="S3020" i="3" s="1"/>
  <c r="J3020" i="3"/>
  <c r="X3019" i="3"/>
  <c r="X3015" i="3"/>
  <c r="C3015" i="3"/>
  <c r="X3014" i="3"/>
  <c r="C3014" i="3"/>
  <c r="B3014" i="3"/>
  <c r="X3013" i="3"/>
  <c r="X3012" i="3"/>
  <c r="X3011" i="3"/>
  <c r="R3011" i="3"/>
  <c r="X3010" i="3"/>
  <c r="R3010" i="3"/>
  <c r="L3010" i="3"/>
  <c r="S3012" i="3" s="1"/>
  <c r="J3010" i="3"/>
  <c r="X3009" i="3"/>
  <c r="X3008" i="3"/>
  <c r="X3007" i="3"/>
  <c r="X3006" i="3"/>
  <c r="X3005" i="3"/>
  <c r="C3005" i="3"/>
  <c r="X3004" i="3"/>
  <c r="C3004" i="3"/>
  <c r="B3004" i="3"/>
  <c r="X3003" i="3"/>
  <c r="X3002" i="3"/>
  <c r="X3001" i="3"/>
  <c r="R3001" i="3"/>
  <c r="R3002" i="3" s="1"/>
  <c r="X3000" i="3"/>
  <c r="L3000" i="3"/>
  <c r="S3000" i="3" s="1"/>
  <c r="J3000" i="3"/>
  <c r="X2999" i="3"/>
  <c r="X2992" i="3"/>
  <c r="X2991" i="3"/>
  <c r="X2990" i="3"/>
  <c r="X2989" i="3"/>
  <c r="C2989" i="3"/>
  <c r="X2988" i="3"/>
  <c r="C2988" i="3"/>
  <c r="B2988" i="3"/>
  <c r="X2987" i="3"/>
  <c r="X2986" i="3"/>
  <c r="X2985" i="3"/>
  <c r="R2985" i="3"/>
  <c r="X2984" i="3"/>
  <c r="R2984" i="3"/>
  <c r="L2984" i="3"/>
  <c r="S2985" i="3" s="1"/>
  <c r="J2984" i="3"/>
  <c r="X2983" i="3"/>
  <c r="X2982" i="3"/>
  <c r="X2981" i="3"/>
  <c r="X2980" i="3"/>
  <c r="X2979" i="3"/>
  <c r="C2979" i="3"/>
  <c r="X2978" i="3"/>
  <c r="C2978" i="3"/>
  <c r="B2978" i="3"/>
  <c r="X2977" i="3"/>
  <c r="X2976" i="3"/>
  <c r="X2975" i="3"/>
  <c r="R2975" i="3"/>
  <c r="X2974" i="3"/>
  <c r="R2974" i="3"/>
  <c r="L2974" i="3"/>
  <c r="S2974" i="3" s="1"/>
  <c r="J2974" i="3"/>
  <c r="X2973" i="3"/>
  <c r="X2972" i="3"/>
  <c r="X2971" i="3"/>
  <c r="X2970" i="3"/>
  <c r="X2969" i="3"/>
  <c r="C2969" i="3"/>
  <c r="X2968" i="3"/>
  <c r="C2968" i="3"/>
  <c r="B2968" i="3"/>
  <c r="X2967" i="3"/>
  <c r="X2966" i="3"/>
  <c r="X2965" i="3"/>
  <c r="R2965" i="3"/>
  <c r="X2964" i="3"/>
  <c r="R2964" i="3"/>
  <c r="L2964" i="3"/>
  <c r="J2964" i="3"/>
  <c r="X2963" i="3"/>
  <c r="X2962" i="3"/>
  <c r="X2961" i="3"/>
  <c r="X2960" i="3"/>
  <c r="X2959" i="3"/>
  <c r="C2959" i="3"/>
  <c r="X2958" i="3"/>
  <c r="C2958" i="3"/>
  <c r="B2958" i="3"/>
  <c r="X2957" i="3"/>
  <c r="X2956" i="3"/>
  <c r="X2955" i="3"/>
  <c r="R2955" i="3"/>
  <c r="X2954" i="3"/>
  <c r="R2954" i="3"/>
  <c r="L2954" i="3"/>
  <c r="S2954" i="3" s="1"/>
  <c r="J2954" i="3"/>
  <c r="X2953" i="3"/>
  <c r="X2952" i="3"/>
  <c r="X2951" i="3"/>
  <c r="X2950" i="3"/>
  <c r="X2949" i="3"/>
  <c r="C2949" i="3"/>
  <c r="X2948" i="3"/>
  <c r="C2948" i="3"/>
  <c r="B2948" i="3"/>
  <c r="X2947" i="3"/>
  <c r="X2946" i="3"/>
  <c r="X2945" i="3"/>
  <c r="R2945" i="3"/>
  <c r="X2944" i="3"/>
  <c r="R2944" i="3"/>
  <c r="L2944" i="3"/>
  <c r="S2945" i="3" s="1"/>
  <c r="J2944" i="3"/>
  <c r="X2943" i="3"/>
  <c r="X2940" i="3"/>
  <c r="X2939" i="3"/>
  <c r="C2939" i="3"/>
  <c r="X2938" i="3"/>
  <c r="C2938" i="3"/>
  <c r="B2938" i="3"/>
  <c r="X2937" i="3"/>
  <c r="X2936" i="3"/>
  <c r="X2935" i="3"/>
  <c r="R2935" i="3"/>
  <c r="X2934" i="3"/>
  <c r="R2934" i="3"/>
  <c r="L2934" i="3"/>
  <c r="S2935" i="3" s="1"/>
  <c r="J2934" i="3"/>
  <c r="X2933" i="3"/>
  <c r="X2932" i="3"/>
  <c r="X2931" i="3"/>
  <c r="X2930" i="3"/>
  <c r="X2929" i="3"/>
  <c r="C2929" i="3"/>
  <c r="X2928" i="3"/>
  <c r="C2928" i="3"/>
  <c r="B2928" i="3"/>
  <c r="X2927" i="3"/>
  <c r="X2926" i="3"/>
  <c r="X2925" i="3"/>
  <c r="R2925" i="3"/>
  <c r="X2924" i="3"/>
  <c r="R2924" i="3"/>
  <c r="L2924" i="3"/>
  <c r="J2924" i="3"/>
  <c r="X2923" i="3"/>
  <c r="X2922" i="3"/>
  <c r="X2921" i="3"/>
  <c r="X2920" i="3"/>
  <c r="X2919" i="3"/>
  <c r="C2919" i="3"/>
  <c r="X2918" i="3"/>
  <c r="C2918" i="3"/>
  <c r="B2918" i="3"/>
  <c r="X2917" i="3"/>
  <c r="X2916" i="3"/>
  <c r="X2915" i="3"/>
  <c r="R2915" i="3"/>
  <c r="X2914" i="3"/>
  <c r="R2914" i="3"/>
  <c r="L2914" i="3"/>
  <c r="S2914" i="3" s="1"/>
  <c r="J2914" i="3"/>
  <c r="X2913" i="3"/>
  <c r="X2912" i="3"/>
  <c r="X2911" i="3"/>
  <c r="X2910" i="3"/>
  <c r="X2909" i="3"/>
  <c r="C2909" i="3"/>
  <c r="X2908" i="3"/>
  <c r="C2908" i="3"/>
  <c r="B2908" i="3"/>
  <c r="X2907" i="3"/>
  <c r="C2907" i="3"/>
  <c r="B2907" i="3"/>
  <c r="X2906" i="3"/>
  <c r="X2905" i="3"/>
  <c r="X2904" i="3"/>
  <c r="R2904" i="3"/>
  <c r="X2903" i="3"/>
  <c r="R2903" i="3"/>
  <c r="L2903" i="3"/>
  <c r="S2904" i="3" s="1"/>
  <c r="J2903" i="3"/>
  <c r="X2902" i="3"/>
  <c r="X2901" i="3"/>
  <c r="X2900" i="3"/>
  <c r="X2899" i="3"/>
  <c r="X2898" i="3"/>
  <c r="C2898" i="3"/>
  <c r="X2897" i="3"/>
  <c r="C2897" i="3"/>
  <c r="B2897" i="3"/>
  <c r="X2896" i="3"/>
  <c r="X2895" i="3"/>
  <c r="X2894" i="3"/>
  <c r="R2894" i="3"/>
  <c r="X2893" i="3"/>
  <c r="R2893" i="3"/>
  <c r="L2893" i="3"/>
  <c r="J2893" i="3"/>
  <c r="X2892" i="3"/>
  <c r="X2891" i="3"/>
  <c r="X2890" i="3"/>
  <c r="X2889" i="3"/>
  <c r="X2888" i="3"/>
  <c r="C2888" i="3"/>
  <c r="X2887" i="3"/>
  <c r="C2887" i="3"/>
  <c r="B2887" i="3"/>
  <c r="X2886" i="3"/>
  <c r="X2885" i="3"/>
  <c r="X2884" i="3"/>
  <c r="R2884" i="3"/>
  <c r="X2883" i="3"/>
  <c r="R2883" i="3"/>
  <c r="L2883" i="3"/>
  <c r="J2883" i="3"/>
  <c r="X2882" i="3"/>
  <c r="X2881" i="3"/>
  <c r="X2880" i="3"/>
  <c r="X2879" i="3"/>
  <c r="X2878" i="3"/>
  <c r="C2878" i="3"/>
  <c r="X2877" i="3"/>
  <c r="C2877" i="3"/>
  <c r="B2877" i="3"/>
  <c r="X2876" i="3"/>
  <c r="X2875" i="3"/>
  <c r="X2874" i="3"/>
  <c r="R2874" i="3"/>
  <c r="R2873" i="3"/>
  <c r="L2873" i="3"/>
  <c r="S2874" i="3" s="1"/>
  <c r="J2873" i="3"/>
  <c r="X2869" i="3"/>
  <c r="X2868" i="3"/>
  <c r="X2867" i="3"/>
  <c r="C2867" i="3"/>
  <c r="X2866" i="3"/>
  <c r="C2866" i="3"/>
  <c r="B2866" i="3"/>
  <c r="X2865" i="3"/>
  <c r="X2864" i="3"/>
  <c r="X2863" i="3"/>
  <c r="R2863" i="3"/>
  <c r="X2862" i="3"/>
  <c r="R2862" i="3"/>
  <c r="L2862" i="3"/>
  <c r="J2862" i="3"/>
  <c r="X2861" i="3"/>
  <c r="X2860" i="3"/>
  <c r="X2859" i="3"/>
  <c r="X2858" i="3"/>
  <c r="X2857" i="3"/>
  <c r="C2857" i="3"/>
  <c r="X2856" i="3"/>
  <c r="C2856" i="3"/>
  <c r="B2856" i="3"/>
  <c r="X2855" i="3"/>
  <c r="X2854" i="3"/>
  <c r="X2853" i="3"/>
  <c r="R2853" i="3"/>
  <c r="X2852" i="3"/>
  <c r="R2852" i="3"/>
  <c r="L2852" i="3"/>
  <c r="S2852" i="3" s="1"/>
  <c r="J2852" i="3"/>
  <c r="X2851" i="3"/>
  <c r="X2850" i="3"/>
  <c r="X2849" i="3"/>
  <c r="X2848" i="3"/>
  <c r="X2847" i="3"/>
  <c r="C2847" i="3"/>
  <c r="X2846" i="3"/>
  <c r="C2846" i="3"/>
  <c r="B2846" i="3"/>
  <c r="X2845" i="3"/>
  <c r="X2844" i="3"/>
  <c r="X2843" i="3"/>
  <c r="R2843" i="3"/>
  <c r="X2842" i="3"/>
  <c r="R2842" i="3"/>
  <c r="L2842" i="3"/>
  <c r="S2843" i="3" s="1"/>
  <c r="J2842" i="3"/>
  <c r="X2841" i="3"/>
  <c r="X2840" i="3"/>
  <c r="X2839" i="3"/>
  <c r="X2838" i="3"/>
  <c r="X2837" i="3"/>
  <c r="C2837" i="3"/>
  <c r="X2836" i="3"/>
  <c r="C2836" i="3"/>
  <c r="B2836" i="3"/>
  <c r="X2835" i="3"/>
  <c r="X2834" i="3"/>
  <c r="X2833" i="3"/>
  <c r="R2833" i="3"/>
  <c r="X2832" i="3"/>
  <c r="R2832" i="3"/>
  <c r="L2832" i="3"/>
  <c r="S2832" i="3" s="1"/>
  <c r="J2832" i="3"/>
  <c r="X2831" i="3"/>
  <c r="X2830" i="3"/>
  <c r="X2829" i="3"/>
  <c r="X2828" i="3"/>
  <c r="X2827" i="3"/>
  <c r="C2827" i="3"/>
  <c r="X2826" i="3"/>
  <c r="C2826" i="3"/>
  <c r="B2826" i="3"/>
  <c r="X2825" i="3"/>
  <c r="X2824" i="3"/>
  <c r="X2823" i="3"/>
  <c r="R2823" i="3"/>
  <c r="X2822" i="3"/>
  <c r="R2822" i="3"/>
  <c r="L2822" i="3"/>
  <c r="S2823" i="3" s="1"/>
  <c r="J2822" i="3"/>
  <c r="X2821" i="3"/>
  <c r="X2820" i="3"/>
  <c r="X2819" i="3"/>
  <c r="X2818" i="3"/>
  <c r="X2817" i="3"/>
  <c r="C2817" i="3"/>
  <c r="X2816" i="3"/>
  <c r="C2816" i="3"/>
  <c r="B2816" i="3"/>
  <c r="X2815" i="3"/>
  <c r="X2814" i="3"/>
  <c r="X2813" i="3"/>
  <c r="R2813" i="3"/>
  <c r="X2812" i="3"/>
  <c r="R2812" i="3"/>
  <c r="L2812" i="3"/>
  <c r="J2812" i="3"/>
  <c r="X2811" i="3"/>
  <c r="X2810" i="3"/>
  <c r="X2809" i="3"/>
  <c r="X2808" i="3"/>
  <c r="X2807" i="3"/>
  <c r="C2807" i="3"/>
  <c r="X2806" i="3"/>
  <c r="C2806" i="3"/>
  <c r="B2806" i="3"/>
  <c r="X2805" i="3"/>
  <c r="X2804" i="3"/>
  <c r="X2803" i="3"/>
  <c r="R2803" i="3"/>
  <c r="X2802" i="3"/>
  <c r="R2802" i="3"/>
  <c r="L2802" i="3"/>
  <c r="S2803" i="3" s="1"/>
  <c r="J2802" i="3"/>
  <c r="X2801" i="3"/>
  <c r="X2800" i="3"/>
  <c r="X2799" i="3"/>
  <c r="X2798" i="3"/>
  <c r="X2797" i="3"/>
  <c r="C2797" i="3"/>
  <c r="X2796" i="3"/>
  <c r="C2796" i="3"/>
  <c r="B2796" i="3"/>
  <c r="X2795" i="3"/>
  <c r="X2794" i="3"/>
  <c r="X2793" i="3"/>
  <c r="R2793" i="3"/>
  <c r="X2792" i="3"/>
  <c r="R2792" i="3"/>
  <c r="L2792" i="3"/>
  <c r="S2792" i="3" s="1"/>
  <c r="J2792" i="3"/>
  <c r="X2791" i="3"/>
  <c r="X2790" i="3"/>
  <c r="X2789" i="3"/>
  <c r="X2788" i="3"/>
  <c r="X2787" i="3"/>
  <c r="C2787" i="3"/>
  <c r="X2786" i="3"/>
  <c r="C2786" i="3"/>
  <c r="B2786" i="3"/>
  <c r="X2785" i="3"/>
  <c r="X2784" i="3"/>
  <c r="X2783" i="3"/>
  <c r="R2783" i="3"/>
  <c r="X2782" i="3"/>
  <c r="R2782" i="3"/>
  <c r="L2782" i="3"/>
  <c r="J2782" i="3"/>
  <c r="X2781" i="3"/>
  <c r="X2780" i="3"/>
  <c r="X2779" i="3"/>
  <c r="X2778" i="3"/>
  <c r="X2777" i="3"/>
  <c r="C2777" i="3"/>
  <c r="X2776" i="3"/>
  <c r="C2776" i="3"/>
  <c r="B2776" i="3"/>
  <c r="X2775" i="3"/>
  <c r="C2775" i="3"/>
  <c r="B2775" i="3"/>
  <c r="X2774" i="3"/>
  <c r="C2774" i="3"/>
  <c r="B2774" i="3"/>
  <c r="X2773" i="3"/>
  <c r="X2772" i="3"/>
  <c r="X2771" i="3"/>
  <c r="R2771" i="3"/>
  <c r="X2770" i="3"/>
  <c r="R2770" i="3"/>
  <c r="L2770" i="3"/>
  <c r="S2771" i="3" s="1"/>
  <c r="J2770" i="3"/>
  <c r="X2769" i="3"/>
  <c r="X2768" i="3"/>
  <c r="X2767" i="3"/>
  <c r="X2766" i="3"/>
  <c r="X2765" i="3"/>
  <c r="C2765" i="3"/>
  <c r="X2764" i="3"/>
  <c r="C2764" i="3"/>
  <c r="B2764" i="3"/>
  <c r="X2763" i="3"/>
  <c r="X2762" i="3"/>
  <c r="X2761" i="3"/>
  <c r="R2761" i="3"/>
  <c r="X2760" i="3"/>
  <c r="R2760" i="3"/>
  <c r="L2760" i="3"/>
  <c r="S2760" i="3" s="1"/>
  <c r="S2756" i="3" s="1"/>
  <c r="J2760" i="3"/>
  <c r="X2759" i="3"/>
  <c r="X2758" i="3"/>
  <c r="X2757" i="3"/>
  <c r="X2755" i="3"/>
  <c r="C2755" i="3"/>
  <c r="X2754" i="3"/>
  <c r="C2754" i="3"/>
  <c r="B2754" i="3"/>
  <c r="X2753" i="3"/>
  <c r="X2752" i="3"/>
  <c r="X2751" i="3"/>
  <c r="R2751" i="3"/>
  <c r="X2750" i="3"/>
  <c r="R2750" i="3"/>
  <c r="L2750" i="3"/>
  <c r="J2750" i="3"/>
  <c r="X2749" i="3"/>
  <c r="X2748" i="3"/>
  <c r="X2747" i="3"/>
  <c r="X2746" i="3"/>
  <c r="X2745" i="3"/>
  <c r="C2745" i="3"/>
  <c r="X2744" i="3"/>
  <c r="C2744" i="3"/>
  <c r="B2744" i="3"/>
  <c r="X2743" i="3"/>
  <c r="C2743" i="3"/>
  <c r="B2743" i="3"/>
  <c r="X2742" i="3"/>
  <c r="X2741" i="3"/>
  <c r="X2740" i="3"/>
  <c r="R2740" i="3"/>
  <c r="X2739" i="3"/>
  <c r="R2739" i="3"/>
  <c r="L2739" i="3"/>
  <c r="S2740" i="3" s="1"/>
  <c r="J2739" i="3"/>
  <c r="X2738" i="3"/>
  <c r="X2737" i="3"/>
  <c r="X2736" i="3"/>
  <c r="X2735" i="3"/>
  <c r="X2734" i="3"/>
  <c r="C2734" i="3"/>
  <c r="X2733" i="3"/>
  <c r="C2733" i="3"/>
  <c r="B2733" i="3"/>
  <c r="X2732" i="3"/>
  <c r="X2731" i="3"/>
  <c r="X2730" i="3"/>
  <c r="R2730" i="3"/>
  <c r="X2729" i="3"/>
  <c r="R2729" i="3"/>
  <c r="L2729" i="3"/>
  <c r="S2729" i="3" s="1"/>
  <c r="J2729" i="3"/>
  <c r="X2728" i="3"/>
  <c r="X2727" i="3"/>
  <c r="X2726" i="3"/>
  <c r="X2725" i="3"/>
  <c r="X2724" i="3"/>
  <c r="C2724" i="3"/>
  <c r="X2723" i="3"/>
  <c r="C2723" i="3"/>
  <c r="B2723" i="3"/>
  <c r="X2722" i="3"/>
  <c r="X2721" i="3"/>
  <c r="X2720" i="3"/>
  <c r="R2720" i="3"/>
  <c r="X2719" i="3"/>
  <c r="R2719" i="3"/>
  <c r="L2719" i="3"/>
  <c r="J2719" i="3"/>
  <c r="X2718" i="3"/>
  <c r="X2717" i="3"/>
  <c r="X2716" i="3"/>
  <c r="X2715" i="3"/>
  <c r="X2714" i="3"/>
  <c r="C2714" i="3"/>
  <c r="X2713" i="3"/>
  <c r="C2713" i="3"/>
  <c r="B2713" i="3"/>
  <c r="X2712" i="3"/>
  <c r="C2712" i="3"/>
  <c r="B2712" i="3"/>
  <c r="X2711" i="3"/>
  <c r="X2710" i="3"/>
  <c r="X2709" i="3"/>
  <c r="R2709" i="3"/>
  <c r="X2708" i="3"/>
  <c r="R2708" i="3"/>
  <c r="L2708" i="3"/>
  <c r="S2708" i="3" s="1"/>
  <c r="J2708" i="3"/>
  <c r="X2707" i="3"/>
  <c r="X2706" i="3"/>
  <c r="X2705" i="3"/>
  <c r="X2704" i="3"/>
  <c r="X2703" i="3"/>
  <c r="C2703" i="3"/>
  <c r="X2702" i="3"/>
  <c r="C2702" i="3"/>
  <c r="B2702" i="3"/>
  <c r="X2701" i="3"/>
  <c r="C2701" i="3"/>
  <c r="B2701" i="3"/>
  <c r="X2700" i="3"/>
  <c r="X2699" i="3"/>
  <c r="X2698" i="3"/>
  <c r="R2698" i="3"/>
  <c r="X2697" i="3"/>
  <c r="R2697" i="3"/>
  <c r="L2697" i="3"/>
  <c r="S2697" i="3" s="1"/>
  <c r="J2697" i="3"/>
  <c r="X2696" i="3"/>
  <c r="X2695" i="3"/>
  <c r="X2694" i="3"/>
  <c r="X2693" i="3"/>
  <c r="X2692" i="3"/>
  <c r="C2692" i="3"/>
  <c r="X2691" i="3"/>
  <c r="C2691" i="3"/>
  <c r="B2691" i="3"/>
  <c r="X2690" i="3"/>
  <c r="X2689" i="3"/>
  <c r="X2688" i="3"/>
  <c r="R2688" i="3"/>
  <c r="X2687" i="3"/>
  <c r="R2687" i="3"/>
  <c r="L2687" i="3"/>
  <c r="S2688" i="3" s="1"/>
  <c r="J2687" i="3"/>
  <c r="X2686" i="3"/>
  <c r="X2685" i="3"/>
  <c r="X2684" i="3"/>
  <c r="X2683" i="3"/>
  <c r="X2682" i="3"/>
  <c r="C2682" i="3"/>
  <c r="X2681" i="3"/>
  <c r="C2681" i="3"/>
  <c r="B2681" i="3"/>
  <c r="X2680" i="3"/>
  <c r="X2679" i="3"/>
  <c r="X2678" i="3"/>
  <c r="R2678" i="3"/>
  <c r="X2677" i="3"/>
  <c r="R2677" i="3"/>
  <c r="L2677" i="3"/>
  <c r="S2678" i="3" s="1"/>
  <c r="J2677" i="3"/>
  <c r="X2676" i="3"/>
  <c r="X2675" i="3"/>
  <c r="X2674" i="3"/>
  <c r="X2673" i="3"/>
  <c r="X2672" i="3"/>
  <c r="C2672" i="3"/>
  <c r="X2671" i="3"/>
  <c r="C2671" i="3"/>
  <c r="B2671" i="3"/>
  <c r="X2670" i="3"/>
  <c r="X2669" i="3"/>
  <c r="X2668" i="3"/>
  <c r="R2668" i="3"/>
  <c r="X2667" i="3"/>
  <c r="R2667" i="3"/>
  <c r="L2667" i="3"/>
  <c r="J2667" i="3"/>
  <c r="X2666" i="3"/>
  <c r="X2665" i="3"/>
  <c r="X2664" i="3"/>
  <c r="X2663" i="3"/>
  <c r="X2662" i="3"/>
  <c r="C2662" i="3"/>
  <c r="X2661" i="3"/>
  <c r="C2661" i="3"/>
  <c r="B2661" i="3"/>
  <c r="X2660" i="3"/>
  <c r="X2659" i="3"/>
  <c r="X2658" i="3"/>
  <c r="R2658" i="3"/>
  <c r="X2657" i="3"/>
  <c r="R2657" i="3"/>
  <c r="L2657" i="3"/>
  <c r="J2657" i="3"/>
  <c r="X2656" i="3"/>
  <c r="X2655" i="3"/>
  <c r="X2654" i="3"/>
  <c r="X2653" i="3"/>
  <c r="X2652" i="3"/>
  <c r="C2652" i="3"/>
  <c r="X2651" i="3"/>
  <c r="C2651" i="3"/>
  <c r="B2651" i="3"/>
  <c r="X2650" i="3"/>
  <c r="X2649" i="3"/>
  <c r="X2648" i="3"/>
  <c r="R2648" i="3"/>
  <c r="X2647" i="3"/>
  <c r="R2647" i="3"/>
  <c r="L2647" i="3"/>
  <c r="S2648" i="3" s="1"/>
  <c r="J2647" i="3"/>
  <c r="X2646" i="3"/>
  <c r="X2645" i="3"/>
  <c r="X2644" i="3"/>
  <c r="X2643" i="3"/>
  <c r="X2642" i="3"/>
  <c r="C2642" i="3"/>
  <c r="X2641" i="3"/>
  <c r="C2641" i="3"/>
  <c r="B2641" i="3"/>
  <c r="X2640" i="3"/>
  <c r="X2639" i="3"/>
  <c r="X2638" i="3"/>
  <c r="R2638" i="3"/>
  <c r="X2637" i="3"/>
  <c r="R2637" i="3"/>
  <c r="L2637" i="3"/>
  <c r="S2638" i="3" s="1"/>
  <c r="J2637" i="3"/>
  <c r="X2636" i="3"/>
  <c r="X2635" i="3"/>
  <c r="X2634" i="3"/>
  <c r="X2633" i="3"/>
  <c r="X2632" i="3"/>
  <c r="C2632" i="3"/>
  <c r="X2631" i="3"/>
  <c r="C2631" i="3"/>
  <c r="B2631" i="3"/>
  <c r="X2630" i="3"/>
  <c r="X2629" i="3"/>
  <c r="X2628" i="3"/>
  <c r="R2628" i="3"/>
  <c r="X2627" i="3"/>
  <c r="R2627" i="3"/>
  <c r="L2627" i="3"/>
  <c r="S2628" i="3" s="1"/>
  <c r="J2627" i="3"/>
  <c r="X2626" i="3"/>
  <c r="X2625" i="3"/>
  <c r="X2624" i="3"/>
  <c r="X2623" i="3"/>
  <c r="X2622" i="3"/>
  <c r="C2622" i="3"/>
  <c r="X2621" i="3"/>
  <c r="C2621" i="3"/>
  <c r="B2621" i="3"/>
  <c r="X2620" i="3"/>
  <c r="X2619" i="3"/>
  <c r="X2618" i="3"/>
  <c r="R2618" i="3"/>
  <c r="X2617" i="3"/>
  <c r="R2617" i="3"/>
  <c r="L2617" i="3"/>
  <c r="J2617" i="3"/>
  <c r="X2616" i="3"/>
  <c r="X2615" i="3"/>
  <c r="X2614" i="3"/>
  <c r="X2613" i="3"/>
  <c r="X2612" i="3"/>
  <c r="C2612" i="3"/>
  <c r="X2611" i="3"/>
  <c r="C2611" i="3"/>
  <c r="B2611" i="3"/>
  <c r="X2610" i="3"/>
  <c r="X2609" i="3"/>
  <c r="X2608" i="3"/>
  <c r="R2608" i="3"/>
  <c r="X2607" i="3"/>
  <c r="R2607" i="3"/>
  <c r="L2607" i="3"/>
  <c r="S2608" i="3" s="1"/>
  <c r="J2607" i="3"/>
  <c r="X2606" i="3"/>
  <c r="X2605" i="3"/>
  <c r="X2604" i="3"/>
  <c r="X2603" i="3"/>
  <c r="X2602" i="3"/>
  <c r="C2602" i="3"/>
  <c r="X2601" i="3"/>
  <c r="C2601" i="3"/>
  <c r="B2601" i="3"/>
  <c r="X2600" i="3"/>
  <c r="X2599" i="3"/>
  <c r="X2598" i="3"/>
  <c r="R2598" i="3"/>
  <c r="X2597" i="3"/>
  <c r="R2597" i="3"/>
  <c r="L2597" i="3"/>
  <c r="S2598" i="3" s="1"/>
  <c r="J2597" i="3"/>
  <c r="X2596" i="3"/>
  <c r="X2595" i="3"/>
  <c r="X2594" i="3"/>
  <c r="X2593" i="3"/>
  <c r="X2592" i="3"/>
  <c r="C2592" i="3"/>
  <c r="X2591" i="3"/>
  <c r="C2591" i="3"/>
  <c r="B2591" i="3"/>
  <c r="X2590" i="3"/>
  <c r="X2589" i="3"/>
  <c r="X2588" i="3"/>
  <c r="R2588" i="3"/>
  <c r="X2587" i="3"/>
  <c r="R2587" i="3"/>
  <c r="L2587" i="3"/>
  <c r="S2588" i="3" s="1"/>
  <c r="J2587" i="3"/>
  <c r="X2586" i="3"/>
  <c r="X2585" i="3"/>
  <c r="X2584" i="3"/>
  <c r="X2583" i="3"/>
  <c r="X2582" i="3"/>
  <c r="C2582" i="3"/>
  <c r="X2581" i="3"/>
  <c r="C2581" i="3"/>
  <c r="B2581" i="3"/>
  <c r="X2580" i="3"/>
  <c r="X2579" i="3"/>
  <c r="X2578" i="3"/>
  <c r="R2578" i="3"/>
  <c r="X2577" i="3"/>
  <c r="R2577" i="3"/>
  <c r="L2577" i="3"/>
  <c r="J2577" i="3"/>
  <c r="X2576" i="3"/>
  <c r="X2575" i="3"/>
  <c r="X2574" i="3"/>
  <c r="X2573" i="3"/>
  <c r="X2572" i="3"/>
  <c r="C2572" i="3"/>
  <c r="X2571" i="3"/>
  <c r="C2571" i="3"/>
  <c r="B2571" i="3"/>
  <c r="X2570" i="3"/>
  <c r="C2570" i="3"/>
  <c r="B2570" i="3"/>
  <c r="X2569" i="3"/>
  <c r="X2568" i="3"/>
  <c r="X2567" i="3"/>
  <c r="R2567" i="3"/>
  <c r="X2566" i="3"/>
  <c r="R2566" i="3"/>
  <c r="L2566" i="3"/>
  <c r="J2566" i="3"/>
  <c r="X2565" i="3"/>
  <c r="X2564" i="3"/>
  <c r="X2563" i="3"/>
  <c r="X2562" i="3"/>
  <c r="X2561" i="3"/>
  <c r="C2561" i="3"/>
  <c r="X2560" i="3"/>
  <c r="C2560" i="3"/>
  <c r="B2560" i="3"/>
  <c r="X2559" i="3"/>
  <c r="X2558" i="3"/>
  <c r="X2557" i="3"/>
  <c r="R2557" i="3"/>
  <c r="X2556" i="3"/>
  <c r="R2556" i="3"/>
  <c r="L2556" i="3"/>
  <c r="S2556" i="3" s="1"/>
  <c r="J2556" i="3"/>
  <c r="X2555" i="3"/>
  <c r="X2554" i="3"/>
  <c r="X2553" i="3"/>
  <c r="X2552" i="3"/>
  <c r="X2551" i="3"/>
  <c r="C2551" i="3"/>
  <c r="X2550" i="3"/>
  <c r="C2550" i="3"/>
  <c r="B2550" i="3"/>
  <c r="X2549" i="3"/>
  <c r="C2549" i="3"/>
  <c r="B2549" i="3"/>
  <c r="X2548" i="3"/>
  <c r="C2548" i="3"/>
  <c r="B2548" i="3"/>
  <c r="X2547" i="3"/>
  <c r="X2546" i="3"/>
  <c r="X2545" i="3"/>
  <c r="R2545" i="3"/>
  <c r="X2544" i="3"/>
  <c r="R2544" i="3"/>
  <c r="L2544" i="3"/>
  <c r="S2544" i="3" s="1"/>
  <c r="J2544" i="3"/>
  <c r="X2543" i="3"/>
  <c r="X2542" i="3"/>
  <c r="X2541" i="3"/>
  <c r="X2540" i="3"/>
  <c r="X2539" i="3"/>
  <c r="C2539" i="3"/>
  <c r="X2538" i="3"/>
  <c r="C2538" i="3"/>
  <c r="B2538" i="3"/>
  <c r="X2537" i="3"/>
  <c r="C2537" i="3"/>
  <c r="B2537" i="3"/>
  <c r="X2536" i="3"/>
  <c r="X2535" i="3"/>
  <c r="X2534" i="3"/>
  <c r="R2534" i="3"/>
  <c r="X2533" i="3"/>
  <c r="R2533" i="3"/>
  <c r="L2533" i="3"/>
  <c r="S2534" i="3" s="1"/>
  <c r="J2533" i="3"/>
  <c r="X2532" i="3"/>
  <c r="X2531" i="3"/>
  <c r="X2530" i="3"/>
  <c r="X2529" i="3"/>
  <c r="X2528" i="3"/>
  <c r="C2528" i="3"/>
  <c r="X2527" i="3"/>
  <c r="C2527" i="3"/>
  <c r="B2527" i="3"/>
  <c r="X2526" i="3"/>
  <c r="X2525" i="3"/>
  <c r="X2524" i="3"/>
  <c r="R2524" i="3"/>
  <c r="X2523" i="3"/>
  <c r="R2523" i="3"/>
  <c r="L2523" i="3"/>
  <c r="J2523" i="3"/>
  <c r="X2522" i="3"/>
  <c r="X2521" i="3"/>
  <c r="X2520" i="3"/>
  <c r="X2519" i="3"/>
  <c r="X2518" i="3"/>
  <c r="C2518" i="3"/>
  <c r="X2517" i="3"/>
  <c r="C2517" i="3"/>
  <c r="B2517" i="3"/>
  <c r="X2516" i="3"/>
  <c r="X2515" i="3"/>
  <c r="X2514" i="3"/>
  <c r="R2514" i="3"/>
  <c r="X2513" i="3"/>
  <c r="R2513" i="3"/>
  <c r="L2513" i="3"/>
  <c r="J2513" i="3"/>
  <c r="X2512" i="3"/>
  <c r="X2511" i="3"/>
  <c r="X2510" i="3"/>
  <c r="X2509" i="3"/>
  <c r="X2508" i="3"/>
  <c r="C2508" i="3"/>
  <c r="X2507" i="3"/>
  <c r="C2507" i="3"/>
  <c r="B2507" i="3"/>
  <c r="X2506" i="3"/>
  <c r="X2505" i="3"/>
  <c r="X2504" i="3"/>
  <c r="R2504" i="3"/>
  <c r="X2503" i="3"/>
  <c r="R2503" i="3"/>
  <c r="L2503" i="3"/>
  <c r="J2503" i="3"/>
  <c r="X2502" i="3"/>
  <c r="X2501" i="3"/>
  <c r="X2500" i="3"/>
  <c r="X2499" i="3"/>
  <c r="X2498" i="3"/>
  <c r="C2498" i="3"/>
  <c r="X2497" i="3"/>
  <c r="C2497" i="3"/>
  <c r="B2497" i="3"/>
  <c r="X2496" i="3"/>
  <c r="X2495" i="3"/>
  <c r="X2494" i="3"/>
  <c r="R2494" i="3"/>
  <c r="X2493" i="3"/>
  <c r="R2493" i="3"/>
  <c r="L2493" i="3"/>
  <c r="J2493" i="3"/>
  <c r="X2492" i="3"/>
  <c r="X2491" i="3"/>
  <c r="X2490" i="3"/>
  <c r="X2489" i="3"/>
  <c r="X2488" i="3"/>
  <c r="C2488" i="3"/>
  <c r="X2487" i="3"/>
  <c r="C2487" i="3"/>
  <c r="B2487" i="3"/>
  <c r="X2486" i="3"/>
  <c r="X2485" i="3"/>
  <c r="X2484" i="3"/>
  <c r="R2484" i="3"/>
  <c r="X2483" i="3"/>
  <c r="R2483" i="3"/>
  <c r="L2483" i="3"/>
  <c r="S2484" i="3" s="1"/>
  <c r="J2483" i="3"/>
  <c r="X2482" i="3"/>
  <c r="X2481" i="3"/>
  <c r="X2480" i="3"/>
  <c r="X2479" i="3"/>
  <c r="X2478" i="3"/>
  <c r="C2478" i="3"/>
  <c r="X2477" i="3"/>
  <c r="C2477" i="3"/>
  <c r="B2477" i="3"/>
  <c r="X2476" i="3"/>
  <c r="X2475" i="3"/>
  <c r="X2474" i="3"/>
  <c r="R2474" i="3"/>
  <c r="X2473" i="3"/>
  <c r="R2473" i="3"/>
  <c r="L2473" i="3"/>
  <c r="S2474" i="3" s="1"/>
  <c r="J2473" i="3"/>
  <c r="X2472" i="3"/>
  <c r="X2471" i="3"/>
  <c r="X2470" i="3"/>
  <c r="X2469" i="3"/>
  <c r="X2468" i="3"/>
  <c r="C2468" i="3"/>
  <c r="X2467" i="3"/>
  <c r="C2467" i="3"/>
  <c r="B2467" i="3"/>
  <c r="X2466" i="3"/>
  <c r="X2465" i="3"/>
  <c r="X2464" i="3"/>
  <c r="R2464" i="3"/>
  <c r="X2463" i="3"/>
  <c r="R2463" i="3"/>
  <c r="L2463" i="3"/>
  <c r="S2464" i="3" s="1"/>
  <c r="J2463" i="3"/>
  <c r="X2462" i="3"/>
  <c r="X2461" i="3"/>
  <c r="X2460" i="3"/>
  <c r="X2459" i="3"/>
  <c r="X2458" i="3"/>
  <c r="C2458" i="3"/>
  <c r="X2457" i="3"/>
  <c r="C2457" i="3"/>
  <c r="B2457" i="3"/>
  <c r="X2456" i="3"/>
  <c r="X2455" i="3"/>
  <c r="X2454" i="3"/>
  <c r="R2454" i="3"/>
  <c r="X2453" i="3"/>
  <c r="R2453" i="3"/>
  <c r="L2453" i="3"/>
  <c r="S2454" i="3" s="1"/>
  <c r="J2453" i="3"/>
  <c r="X2452" i="3"/>
  <c r="X2451" i="3"/>
  <c r="X2450" i="3"/>
  <c r="X2449" i="3"/>
  <c r="X2448" i="3"/>
  <c r="C2448" i="3"/>
  <c r="X2447" i="3"/>
  <c r="C2447" i="3"/>
  <c r="B2447" i="3"/>
  <c r="X2446" i="3"/>
  <c r="X2445" i="3"/>
  <c r="X2444" i="3"/>
  <c r="R2444" i="3"/>
  <c r="X2443" i="3"/>
  <c r="R2443" i="3"/>
  <c r="L2443" i="3"/>
  <c r="S2444" i="3" s="1"/>
  <c r="J2443" i="3"/>
  <c r="X2442" i="3"/>
  <c r="X2441" i="3"/>
  <c r="X2440" i="3"/>
  <c r="X2439" i="3"/>
  <c r="X2438" i="3"/>
  <c r="C2438" i="3"/>
  <c r="X2437" i="3"/>
  <c r="C2437" i="3"/>
  <c r="B2437" i="3"/>
  <c r="X2436" i="3"/>
  <c r="X2435" i="3"/>
  <c r="X2434" i="3"/>
  <c r="R2434" i="3"/>
  <c r="X2433" i="3"/>
  <c r="R2433" i="3"/>
  <c r="L2433" i="3"/>
  <c r="J2433" i="3"/>
  <c r="X2432" i="3"/>
  <c r="X2431" i="3"/>
  <c r="X2430" i="3"/>
  <c r="X2429" i="3"/>
  <c r="X2428" i="3"/>
  <c r="C2428" i="3"/>
  <c r="X2427" i="3"/>
  <c r="C2427" i="3"/>
  <c r="B2427" i="3"/>
  <c r="X2426" i="3"/>
  <c r="C2426" i="3"/>
  <c r="B2426" i="3"/>
  <c r="X2425" i="3"/>
  <c r="X2424" i="3"/>
  <c r="R2423" i="3"/>
  <c r="L2422" i="3"/>
  <c r="S2420" i="3" s="1"/>
  <c r="J2422" i="3"/>
  <c r="X2412" i="3"/>
  <c r="X2411" i="3"/>
  <c r="X2410" i="3"/>
  <c r="X2409" i="3"/>
  <c r="C2409" i="3"/>
  <c r="X2408" i="3"/>
  <c r="C2408" i="3"/>
  <c r="B2408" i="3"/>
  <c r="X2407" i="3"/>
  <c r="X2406" i="3"/>
  <c r="X2405" i="3"/>
  <c r="R2405" i="3"/>
  <c r="X2404" i="3"/>
  <c r="L2404" i="3"/>
  <c r="J2404" i="3"/>
  <c r="X2403" i="3"/>
  <c r="X2402" i="3"/>
  <c r="X2401" i="3"/>
  <c r="X2400" i="3"/>
  <c r="X2399" i="3"/>
  <c r="C2399" i="3"/>
  <c r="X2398" i="3"/>
  <c r="C2398" i="3"/>
  <c r="B2398" i="3"/>
  <c r="X2397" i="3"/>
  <c r="X2396" i="3"/>
  <c r="X2395" i="3"/>
  <c r="R2395" i="3"/>
  <c r="X2394" i="3"/>
  <c r="L2394" i="3"/>
  <c r="J2394" i="3"/>
  <c r="X2393" i="3"/>
  <c r="X2392" i="3"/>
  <c r="X2391" i="3"/>
  <c r="X2390" i="3"/>
  <c r="X2389" i="3"/>
  <c r="C2389" i="3"/>
  <c r="X2388" i="3"/>
  <c r="C2388" i="3"/>
  <c r="B2388" i="3"/>
  <c r="X2387" i="3"/>
  <c r="X2386" i="3"/>
  <c r="X2385" i="3"/>
  <c r="R2385" i="3"/>
  <c r="X2384" i="3"/>
  <c r="L2384" i="3"/>
  <c r="J2384" i="3"/>
  <c r="X2378" i="3"/>
  <c r="X2377" i="3"/>
  <c r="X2376" i="3"/>
  <c r="X2375" i="3"/>
  <c r="C2375" i="3"/>
  <c r="X2374" i="3"/>
  <c r="C2374" i="3"/>
  <c r="B2374" i="3"/>
  <c r="X2373" i="3"/>
  <c r="X2372" i="3"/>
  <c r="X2371" i="3"/>
  <c r="R2371" i="3"/>
  <c r="X2370" i="3"/>
  <c r="R2370" i="3"/>
  <c r="L2370" i="3"/>
  <c r="J2370" i="3"/>
  <c r="X2369" i="3"/>
  <c r="X2368" i="3"/>
  <c r="X2367" i="3"/>
  <c r="X2366" i="3"/>
  <c r="X2365" i="3"/>
  <c r="C2365" i="3"/>
  <c r="X2364" i="3"/>
  <c r="C2364" i="3"/>
  <c r="B2364" i="3"/>
  <c r="X2363" i="3"/>
  <c r="X2362" i="3"/>
  <c r="X2361" i="3"/>
  <c r="R2361" i="3"/>
  <c r="X2360" i="3"/>
  <c r="R2360" i="3"/>
  <c r="L2360" i="3"/>
  <c r="S2361" i="3" s="1"/>
  <c r="J2360" i="3"/>
  <c r="X2359" i="3"/>
  <c r="X2358" i="3"/>
  <c r="X2357" i="3"/>
  <c r="X2356" i="3"/>
  <c r="X2355" i="3"/>
  <c r="C2355" i="3"/>
  <c r="X2354" i="3"/>
  <c r="C2354" i="3"/>
  <c r="B2354" i="3"/>
  <c r="X2353" i="3"/>
  <c r="C2353" i="3"/>
  <c r="B2353" i="3"/>
  <c r="X2352" i="3"/>
  <c r="C2352" i="3"/>
  <c r="B2352" i="3"/>
  <c r="X2351" i="3"/>
  <c r="R2349" i="3"/>
  <c r="L2348" i="3"/>
  <c r="J2348" i="3"/>
  <c r="K2328" i="3"/>
  <c r="X2326" i="3"/>
  <c r="C2326" i="3"/>
  <c r="B2326" i="3"/>
  <c r="X2325" i="3"/>
  <c r="X2324" i="3"/>
  <c r="R2323" i="3"/>
  <c r="R2322" i="3"/>
  <c r="L2322" i="3"/>
  <c r="S2323" i="3" s="1"/>
  <c r="J2322" i="3"/>
  <c r="X2317" i="3"/>
  <c r="X2316" i="3"/>
  <c r="X2315" i="3"/>
  <c r="C2315" i="3"/>
  <c r="B2315" i="3"/>
  <c r="X2314" i="3"/>
  <c r="C2314" i="3"/>
  <c r="B2314" i="3"/>
  <c r="X2313" i="3"/>
  <c r="X2312" i="3"/>
  <c r="X2311" i="3"/>
  <c r="R2311" i="3"/>
  <c r="X2310" i="3"/>
  <c r="R2310" i="3"/>
  <c r="L2310" i="3"/>
  <c r="S2303" i="3" s="1"/>
  <c r="J2310" i="3"/>
  <c r="X2309" i="3"/>
  <c r="X2308" i="3"/>
  <c r="X2307" i="3"/>
  <c r="X2302" i="3"/>
  <c r="C2302" i="3"/>
  <c r="B2302" i="3"/>
  <c r="X2301" i="3"/>
  <c r="C2301" i="3"/>
  <c r="B2301" i="3"/>
  <c r="X2300" i="3"/>
  <c r="C2300" i="3"/>
  <c r="B2300" i="3"/>
  <c r="X2299" i="3"/>
  <c r="X2298" i="3"/>
  <c r="X2297" i="3"/>
  <c r="R2297" i="3"/>
  <c r="X2296" i="3"/>
  <c r="R2296" i="3"/>
  <c r="L2296" i="3"/>
  <c r="S2297" i="3" s="1"/>
  <c r="J2296" i="3"/>
  <c r="X2295" i="3"/>
  <c r="X2294" i="3"/>
  <c r="X2293" i="3"/>
  <c r="X2292" i="3"/>
  <c r="X2291" i="3"/>
  <c r="C2291" i="3"/>
  <c r="B2291" i="3"/>
  <c r="X2290" i="3"/>
  <c r="C2290" i="3"/>
  <c r="B2290" i="3"/>
  <c r="X2289" i="3"/>
  <c r="R2287" i="3"/>
  <c r="L2286" i="3"/>
  <c r="J2286" i="3"/>
  <c r="X2260" i="3"/>
  <c r="X2258" i="3"/>
  <c r="K2258" i="3"/>
  <c r="R2258" i="3" s="1"/>
  <c r="X2257" i="3"/>
  <c r="C2257" i="3"/>
  <c r="B2257" i="3"/>
  <c r="X2256" i="3"/>
  <c r="C2256" i="3"/>
  <c r="B2256" i="3"/>
  <c r="X2255" i="3"/>
  <c r="R2253" i="3"/>
  <c r="L2252" i="3"/>
  <c r="J2252" i="3"/>
  <c r="X2228" i="3"/>
  <c r="X2227" i="3"/>
  <c r="X2226" i="3"/>
  <c r="K2226" i="3"/>
  <c r="R2226" i="3" s="1"/>
  <c r="R2252" i="3" s="1"/>
  <c r="X2225" i="3"/>
  <c r="C2225" i="3"/>
  <c r="B2225" i="3"/>
  <c r="X2224" i="3"/>
  <c r="C2224" i="3"/>
  <c r="B2224" i="3"/>
  <c r="X2223" i="3"/>
  <c r="C2223" i="3"/>
  <c r="B2223" i="3"/>
  <c r="X2222" i="3"/>
  <c r="X2221" i="3"/>
  <c r="X2220" i="3"/>
  <c r="R2220" i="3"/>
  <c r="X2219" i="3"/>
  <c r="R2219" i="3"/>
  <c r="L2219" i="3"/>
  <c r="S2220" i="3" s="1"/>
  <c r="J2219" i="3"/>
  <c r="X2218" i="3"/>
  <c r="X2217" i="3"/>
  <c r="X2216" i="3"/>
  <c r="X2215" i="3"/>
  <c r="X2214" i="3"/>
  <c r="C2214" i="3"/>
  <c r="B2214" i="3"/>
  <c r="X2213" i="3"/>
  <c r="C2213" i="3"/>
  <c r="B2213" i="3"/>
  <c r="X2212" i="3"/>
  <c r="C2212" i="3"/>
  <c r="B2212" i="3"/>
  <c r="X2211" i="3"/>
  <c r="X2210" i="3"/>
  <c r="X2209" i="3"/>
  <c r="R2209" i="3"/>
  <c r="X2208" i="3"/>
  <c r="R2208" i="3"/>
  <c r="L2208" i="3"/>
  <c r="S2209" i="3" s="1"/>
  <c r="J2208" i="3"/>
  <c r="X2207" i="3"/>
  <c r="X2206" i="3"/>
  <c r="X2205" i="3"/>
  <c r="X2204" i="3"/>
  <c r="X2203" i="3"/>
  <c r="C2203" i="3"/>
  <c r="B2203" i="3"/>
  <c r="X2202" i="3"/>
  <c r="C2202" i="3"/>
  <c r="B2202" i="3"/>
  <c r="X2201" i="3"/>
  <c r="X2200" i="3"/>
  <c r="X2199" i="3"/>
  <c r="R2199" i="3"/>
  <c r="X2198" i="3"/>
  <c r="R2198" i="3"/>
  <c r="L2198" i="3"/>
  <c r="S2199" i="3" s="1"/>
  <c r="J2198" i="3"/>
  <c r="X2197" i="3"/>
  <c r="X2196" i="3"/>
  <c r="X2195" i="3"/>
  <c r="X2194" i="3"/>
  <c r="X2193" i="3"/>
  <c r="C2193" i="3"/>
  <c r="B2193" i="3"/>
  <c r="X2192" i="3"/>
  <c r="C2192" i="3"/>
  <c r="B2192" i="3"/>
  <c r="X2191" i="3"/>
  <c r="X2190" i="3"/>
  <c r="X2189" i="3"/>
  <c r="R2189" i="3"/>
  <c r="X2188" i="3"/>
  <c r="R2188" i="3"/>
  <c r="L2188" i="3"/>
  <c r="S2188" i="3" s="1"/>
  <c r="J2188" i="3"/>
  <c r="X2187" i="3"/>
  <c r="X2186" i="3"/>
  <c r="X2185" i="3"/>
  <c r="X2184" i="3"/>
  <c r="X2183" i="3"/>
  <c r="C2183" i="3"/>
  <c r="B2183" i="3"/>
  <c r="X2182" i="3"/>
  <c r="C2182" i="3"/>
  <c r="B2182" i="3"/>
  <c r="X2181" i="3"/>
  <c r="X2180" i="3"/>
  <c r="X2179" i="3"/>
  <c r="R2179" i="3"/>
  <c r="X2178" i="3"/>
  <c r="R2178" i="3"/>
  <c r="L2178" i="3"/>
  <c r="S2179" i="3" s="1"/>
  <c r="J2178" i="3"/>
  <c r="X2177" i="3"/>
  <c r="X2176" i="3"/>
  <c r="X2175" i="3"/>
  <c r="X2174" i="3"/>
  <c r="X2173" i="3"/>
  <c r="C2173" i="3"/>
  <c r="B2173" i="3"/>
  <c r="X2172" i="3"/>
  <c r="C2172" i="3"/>
  <c r="B2172" i="3"/>
  <c r="X2171" i="3"/>
  <c r="X2170" i="3"/>
  <c r="X2169" i="3"/>
  <c r="R2169" i="3"/>
  <c r="X2168" i="3"/>
  <c r="R2168" i="3"/>
  <c r="L2168" i="3"/>
  <c r="S2169" i="3" s="1"/>
  <c r="J2168" i="3"/>
  <c r="X2167" i="3"/>
  <c r="X2166" i="3"/>
  <c r="X2165" i="3"/>
  <c r="X2164" i="3"/>
  <c r="X2163" i="3"/>
  <c r="C2163" i="3"/>
  <c r="B2163" i="3"/>
  <c r="X2162" i="3"/>
  <c r="C2162" i="3"/>
  <c r="B2162" i="3"/>
  <c r="X2161" i="3"/>
  <c r="X2160" i="3"/>
  <c r="X2159" i="3"/>
  <c r="R2159" i="3"/>
  <c r="X2158" i="3"/>
  <c r="R2158" i="3"/>
  <c r="L2158" i="3"/>
  <c r="S2159" i="3" s="1"/>
  <c r="J2158" i="3"/>
  <c r="X2157" i="3"/>
  <c r="X2156" i="3"/>
  <c r="X2155" i="3"/>
  <c r="X2154" i="3"/>
  <c r="X2153" i="3"/>
  <c r="C2153" i="3"/>
  <c r="B2153" i="3"/>
  <c r="X2152" i="3"/>
  <c r="C2152" i="3"/>
  <c r="B2152" i="3"/>
  <c r="X2151" i="3"/>
  <c r="R2149" i="3"/>
  <c r="R2148" i="3"/>
  <c r="L2148" i="3"/>
  <c r="J2148" i="3"/>
  <c r="C2143" i="3"/>
  <c r="B2143" i="3"/>
  <c r="X2142" i="3"/>
  <c r="C2142" i="3"/>
  <c r="B2142" i="3"/>
  <c r="X2141" i="3"/>
  <c r="X2140" i="3"/>
  <c r="X2139" i="3"/>
  <c r="R2139" i="3"/>
  <c r="X2138" i="3"/>
  <c r="R2138" i="3"/>
  <c r="L2138" i="3"/>
  <c r="S2139" i="3" s="1"/>
  <c r="J2138" i="3"/>
  <c r="X2137" i="3"/>
  <c r="X2136" i="3"/>
  <c r="X2135" i="3"/>
  <c r="X2134" i="3"/>
  <c r="X2133" i="3"/>
  <c r="C2133" i="3"/>
  <c r="B2133" i="3"/>
  <c r="X2132" i="3"/>
  <c r="C2132" i="3"/>
  <c r="B2132" i="3"/>
  <c r="X2131" i="3"/>
  <c r="X2130" i="3"/>
  <c r="X2129" i="3"/>
  <c r="R2129" i="3"/>
  <c r="X2128" i="3"/>
  <c r="R2128" i="3"/>
  <c r="L2128" i="3"/>
  <c r="S2129" i="3" s="1"/>
  <c r="J2128" i="3"/>
  <c r="X2127" i="3"/>
  <c r="X2126" i="3"/>
  <c r="X2125" i="3"/>
  <c r="X2124" i="3"/>
  <c r="X2123" i="3"/>
  <c r="C2123" i="3"/>
  <c r="B2123" i="3"/>
  <c r="X2122" i="3"/>
  <c r="C2122" i="3"/>
  <c r="B2122" i="3"/>
  <c r="X2121" i="3"/>
  <c r="X2120" i="3"/>
  <c r="X2119" i="3"/>
  <c r="R2119" i="3"/>
  <c r="X2118" i="3"/>
  <c r="R2118" i="3"/>
  <c r="L2118" i="3"/>
  <c r="S2119" i="3" s="1"/>
  <c r="J2118" i="3"/>
  <c r="X2117" i="3"/>
  <c r="X2116" i="3"/>
  <c r="X2115" i="3"/>
  <c r="X2114" i="3"/>
  <c r="X2113" i="3"/>
  <c r="C2113" i="3"/>
  <c r="B2113" i="3"/>
  <c r="X2112" i="3"/>
  <c r="C2112" i="3"/>
  <c r="B2112" i="3"/>
  <c r="X2111" i="3"/>
  <c r="X2110" i="3"/>
  <c r="X2109" i="3"/>
  <c r="R2109" i="3"/>
  <c r="X2108" i="3"/>
  <c r="R2108" i="3"/>
  <c r="L2108" i="3"/>
  <c r="S2104" i="3" s="1"/>
  <c r="J2108" i="3"/>
  <c r="X2107" i="3"/>
  <c r="X2106" i="3"/>
  <c r="X2105" i="3"/>
  <c r="X2104" i="3"/>
  <c r="X2103" i="3"/>
  <c r="C2103" i="3"/>
  <c r="B2103" i="3"/>
  <c r="X2102" i="3"/>
  <c r="C2102" i="3"/>
  <c r="B2102" i="3"/>
  <c r="X2101" i="3"/>
  <c r="X2100" i="3"/>
  <c r="X2099" i="3"/>
  <c r="R2099" i="3"/>
  <c r="X2098" i="3"/>
  <c r="R2098" i="3"/>
  <c r="L2098" i="3"/>
  <c r="J2098" i="3"/>
  <c r="X2097" i="3"/>
  <c r="X2096" i="3"/>
  <c r="X2095" i="3"/>
  <c r="X2094" i="3"/>
  <c r="X2093" i="3"/>
  <c r="C2093" i="3"/>
  <c r="B2093" i="3"/>
  <c r="X2092" i="3"/>
  <c r="C2092" i="3"/>
  <c r="B2092" i="3"/>
  <c r="X2091" i="3"/>
  <c r="X2090" i="3"/>
  <c r="X2089" i="3"/>
  <c r="R2089" i="3"/>
  <c r="X2088" i="3"/>
  <c r="R2088" i="3"/>
  <c r="L2088" i="3"/>
  <c r="J2088" i="3"/>
  <c r="X2087" i="3"/>
  <c r="X2086" i="3"/>
  <c r="X2085" i="3"/>
  <c r="X2084" i="3"/>
  <c r="X2083" i="3"/>
  <c r="C2083" i="3"/>
  <c r="B2083" i="3"/>
  <c r="X2082" i="3"/>
  <c r="C2082" i="3"/>
  <c r="B2082" i="3"/>
  <c r="X2081" i="3"/>
  <c r="C2081" i="3"/>
  <c r="B2081" i="3"/>
  <c r="X2080" i="3"/>
  <c r="X2079" i="3"/>
  <c r="X2078" i="3"/>
  <c r="R2078" i="3"/>
  <c r="X2077" i="3"/>
  <c r="L2077" i="3"/>
  <c r="S2079" i="3" s="1"/>
  <c r="J2077" i="3"/>
  <c r="X2076" i="3"/>
  <c r="X2075" i="3"/>
  <c r="X2074" i="3"/>
  <c r="X2073" i="3"/>
  <c r="K2073" i="3"/>
  <c r="R2073" i="3" s="1"/>
  <c r="R2077" i="3" s="1"/>
  <c r="X2072" i="3"/>
  <c r="C2072" i="3"/>
  <c r="B2072" i="3"/>
  <c r="X2071" i="3"/>
  <c r="C2071" i="3"/>
  <c r="B2071" i="3"/>
  <c r="X2070" i="3"/>
  <c r="X2069" i="3"/>
  <c r="X2068" i="3"/>
  <c r="R2068" i="3"/>
  <c r="X2067" i="3"/>
  <c r="R2067" i="3"/>
  <c r="L2067" i="3"/>
  <c r="S2067" i="3" s="1"/>
  <c r="J2067" i="3"/>
  <c r="X2066" i="3"/>
  <c r="X2065" i="3"/>
  <c r="X2064" i="3"/>
  <c r="X2063" i="3"/>
  <c r="X2062" i="3"/>
  <c r="C2062" i="3"/>
  <c r="B2062" i="3"/>
  <c r="X2061" i="3"/>
  <c r="C2061" i="3"/>
  <c r="B2061" i="3"/>
  <c r="X2060" i="3"/>
  <c r="C2060" i="3"/>
  <c r="B2060" i="3"/>
  <c r="X2059" i="3"/>
  <c r="C2059" i="3"/>
  <c r="B2059" i="3"/>
  <c r="X2058" i="3"/>
  <c r="X2057" i="3"/>
  <c r="X2056" i="3"/>
  <c r="R2056" i="3"/>
  <c r="X2055" i="3"/>
  <c r="R2055" i="3"/>
  <c r="L2055" i="3"/>
  <c r="S2056" i="3" s="1"/>
  <c r="J2055" i="3"/>
  <c r="X2054" i="3"/>
  <c r="X2053" i="3"/>
  <c r="X2052" i="3"/>
  <c r="X2051" i="3"/>
  <c r="X2050" i="3"/>
  <c r="C2050" i="3"/>
  <c r="B2050" i="3"/>
  <c r="X2049" i="3"/>
  <c r="C2049" i="3"/>
  <c r="B2049" i="3"/>
  <c r="X2048" i="3"/>
  <c r="X2047" i="3"/>
  <c r="X2046" i="3"/>
  <c r="R2046" i="3"/>
  <c r="X2045" i="3"/>
  <c r="R2045" i="3"/>
  <c r="L2045" i="3"/>
  <c r="J2045" i="3"/>
  <c r="X2044" i="3"/>
  <c r="X2043" i="3"/>
  <c r="X2042" i="3"/>
  <c r="X2041" i="3"/>
  <c r="X2040" i="3"/>
  <c r="C2040" i="3"/>
  <c r="B2040" i="3"/>
  <c r="X2039" i="3"/>
  <c r="C2039" i="3"/>
  <c r="B2039" i="3"/>
  <c r="X2038" i="3"/>
  <c r="C2038" i="3"/>
  <c r="B2038" i="3"/>
  <c r="X2037" i="3"/>
  <c r="X2036" i="3"/>
  <c r="R2035" i="3"/>
  <c r="L2034" i="3"/>
  <c r="J2034" i="3"/>
  <c r="X2025" i="3"/>
  <c r="R2025" i="3"/>
  <c r="X2024" i="3"/>
  <c r="R2024" i="3"/>
  <c r="X2023" i="3"/>
  <c r="R2023" i="3"/>
  <c r="X2022" i="3"/>
  <c r="C2022" i="3"/>
  <c r="B2022" i="3"/>
  <c r="X2021" i="3"/>
  <c r="C2021" i="3"/>
  <c r="B2021" i="3"/>
  <c r="X2020" i="3"/>
  <c r="X2019" i="3"/>
  <c r="X2018" i="3"/>
  <c r="R2018" i="3"/>
  <c r="X2017" i="3"/>
  <c r="R2017" i="3"/>
  <c r="L2017" i="3"/>
  <c r="S2019" i="3" s="1"/>
  <c r="J2017" i="3"/>
  <c r="X2016" i="3"/>
  <c r="X2015" i="3"/>
  <c r="X2014" i="3"/>
  <c r="X2013" i="3"/>
  <c r="X2012" i="3"/>
  <c r="C2012" i="3"/>
  <c r="B2012" i="3"/>
  <c r="X2011" i="3"/>
  <c r="C2011" i="3"/>
  <c r="B2011" i="3"/>
  <c r="X2010" i="3"/>
  <c r="X2009" i="3"/>
  <c r="X2008" i="3"/>
  <c r="R2008" i="3"/>
  <c r="X2007" i="3"/>
  <c r="R2007" i="3"/>
  <c r="L2007" i="3"/>
  <c r="J2007" i="3"/>
  <c r="X2006" i="3"/>
  <c r="X2005" i="3"/>
  <c r="X2004" i="3"/>
  <c r="X2002" i="3"/>
  <c r="C2002" i="3"/>
  <c r="B2002" i="3"/>
  <c r="X2001" i="3"/>
  <c r="C2001" i="3"/>
  <c r="B2001" i="3"/>
  <c r="X2000" i="3"/>
  <c r="X1999" i="3"/>
  <c r="X1998" i="3"/>
  <c r="R1998" i="3"/>
  <c r="X1997" i="3"/>
  <c r="R1997" i="3"/>
  <c r="L1997" i="3"/>
  <c r="S1997" i="3" s="1"/>
  <c r="J1997" i="3"/>
  <c r="X1996" i="3"/>
  <c r="X1991" i="3"/>
  <c r="X1990" i="3"/>
  <c r="C1990" i="3"/>
  <c r="B1990" i="3"/>
  <c r="X1989" i="3"/>
  <c r="C1989" i="3"/>
  <c r="B1989" i="3"/>
  <c r="X1988" i="3"/>
  <c r="X1987" i="3"/>
  <c r="X1986" i="3"/>
  <c r="R1986" i="3"/>
  <c r="X1985" i="3"/>
  <c r="R1985" i="3"/>
  <c r="L1985" i="3"/>
  <c r="S1985" i="3" s="1"/>
  <c r="J1985" i="3"/>
  <c r="X1974" i="3"/>
  <c r="X1973" i="3"/>
  <c r="X1972" i="3"/>
  <c r="C1972" i="3"/>
  <c r="B1972" i="3"/>
  <c r="X1971" i="3"/>
  <c r="C1971" i="3"/>
  <c r="B1971" i="3"/>
  <c r="X1970" i="3"/>
  <c r="X1969" i="3"/>
  <c r="X1968" i="3"/>
  <c r="R1968" i="3"/>
  <c r="X1967" i="3"/>
  <c r="L1967" i="3"/>
  <c r="J1967" i="3"/>
  <c r="X1966" i="3"/>
  <c r="X1952" i="3"/>
  <c r="X1951" i="3"/>
  <c r="R1951" i="3"/>
  <c r="R1967" i="3" s="1"/>
  <c r="X1950" i="3"/>
  <c r="X1949" i="3"/>
  <c r="C1949" i="3"/>
  <c r="B1949" i="3"/>
  <c r="X1948" i="3"/>
  <c r="X1947" i="3"/>
  <c r="X1946" i="3"/>
  <c r="R1946" i="3"/>
  <c r="X1945" i="3"/>
  <c r="R1945" i="3"/>
  <c r="L1945" i="3"/>
  <c r="S1945" i="3" s="1"/>
  <c r="J1945" i="3"/>
  <c r="X1944" i="3"/>
  <c r="X1943" i="3"/>
  <c r="X1942" i="3"/>
  <c r="X1941" i="3"/>
  <c r="X1940" i="3"/>
  <c r="C1940" i="3"/>
  <c r="B1940" i="3"/>
  <c r="X1939" i="3"/>
  <c r="C1939" i="3"/>
  <c r="B1939" i="3"/>
  <c r="X1938" i="3"/>
  <c r="X1937" i="3"/>
  <c r="X1936" i="3"/>
  <c r="R1936" i="3"/>
  <c r="X1935" i="3"/>
  <c r="R1935" i="3"/>
  <c r="L1935" i="3"/>
  <c r="S1937" i="3" s="1"/>
  <c r="J1935" i="3"/>
  <c r="X1934" i="3"/>
  <c r="X1933" i="3"/>
  <c r="X1932" i="3"/>
  <c r="X1931" i="3"/>
  <c r="X1930" i="3"/>
  <c r="C1930" i="3"/>
  <c r="B1930" i="3"/>
  <c r="X1929" i="3"/>
  <c r="C1929" i="3"/>
  <c r="B1929" i="3"/>
  <c r="X1928" i="3"/>
  <c r="X1927" i="3"/>
  <c r="X1926" i="3"/>
  <c r="R1926" i="3"/>
  <c r="X1925" i="3"/>
  <c r="R1925" i="3"/>
  <c r="L1925" i="3"/>
  <c r="S1926" i="3" s="1"/>
  <c r="J1925" i="3"/>
  <c r="X1924" i="3"/>
  <c r="X1923" i="3"/>
  <c r="X1922" i="3"/>
  <c r="X1921" i="3"/>
  <c r="X1920" i="3"/>
  <c r="C1920" i="3"/>
  <c r="B1920" i="3"/>
  <c r="X1919" i="3"/>
  <c r="C1919" i="3"/>
  <c r="B1919" i="3"/>
  <c r="X1918" i="3"/>
  <c r="X1917" i="3"/>
  <c r="X1916" i="3"/>
  <c r="X1915" i="3"/>
  <c r="R1915" i="3"/>
  <c r="L1915" i="3"/>
  <c r="S1915" i="3" s="1"/>
  <c r="J1915" i="3"/>
  <c r="X1914" i="3"/>
  <c r="X1913" i="3"/>
  <c r="X1912" i="3"/>
  <c r="X1911" i="3"/>
  <c r="X1910" i="3"/>
  <c r="C1910" i="3"/>
  <c r="B1910" i="3"/>
  <c r="X1909" i="3"/>
  <c r="C1909" i="3"/>
  <c r="B1909" i="3"/>
  <c r="X1908" i="3"/>
  <c r="X1907" i="3"/>
  <c r="X1906" i="3"/>
  <c r="R1906" i="3"/>
  <c r="X1905" i="3"/>
  <c r="R1905" i="3"/>
  <c r="L1905" i="3"/>
  <c r="S1905" i="3" s="1"/>
  <c r="J1905" i="3"/>
  <c r="X1904" i="3"/>
  <c r="X1903" i="3"/>
  <c r="X1902" i="3"/>
  <c r="X1901" i="3"/>
  <c r="X1900" i="3"/>
  <c r="C1900" i="3"/>
  <c r="B1900" i="3"/>
  <c r="X1899" i="3"/>
  <c r="C1899" i="3"/>
  <c r="B1899" i="3"/>
  <c r="X1898" i="3"/>
  <c r="X1897" i="3"/>
  <c r="X1896" i="3"/>
  <c r="R1896" i="3"/>
  <c r="X1895" i="3"/>
  <c r="R1895" i="3"/>
  <c r="L1895" i="3"/>
  <c r="J1895" i="3"/>
  <c r="X1894" i="3"/>
  <c r="X1893" i="3"/>
  <c r="X1892" i="3"/>
  <c r="X1891" i="3"/>
  <c r="X1890" i="3"/>
  <c r="C1890" i="3"/>
  <c r="B1890" i="3"/>
  <c r="X1889" i="3"/>
  <c r="C1889" i="3"/>
  <c r="B1889" i="3"/>
  <c r="X1888" i="3"/>
  <c r="X1887" i="3"/>
  <c r="X1886" i="3"/>
  <c r="R1886" i="3"/>
  <c r="X1885" i="3"/>
  <c r="R1885" i="3"/>
  <c r="L1885" i="3"/>
  <c r="J1885" i="3"/>
  <c r="X1884" i="3"/>
  <c r="X1883" i="3"/>
  <c r="X1882" i="3"/>
  <c r="X1881" i="3"/>
  <c r="X1880" i="3"/>
  <c r="C1880" i="3"/>
  <c r="B1880" i="3"/>
  <c r="X1879" i="3"/>
  <c r="C1879" i="3"/>
  <c r="B1879" i="3"/>
  <c r="X1878" i="3"/>
  <c r="X1877" i="3"/>
  <c r="X1876" i="3"/>
  <c r="R1876" i="3"/>
  <c r="X1875" i="3"/>
  <c r="R1875" i="3"/>
  <c r="L1875" i="3"/>
  <c r="J1875" i="3"/>
  <c r="X1874" i="3"/>
  <c r="X1873" i="3"/>
  <c r="X1872" i="3"/>
  <c r="X1871" i="3"/>
  <c r="X1870" i="3"/>
  <c r="C1870" i="3"/>
  <c r="B1870" i="3"/>
  <c r="X1869" i="3"/>
  <c r="C1869" i="3"/>
  <c r="B1869" i="3"/>
  <c r="X1868" i="3"/>
  <c r="X1867" i="3"/>
  <c r="X1866" i="3"/>
  <c r="R1866" i="3"/>
  <c r="X1865" i="3"/>
  <c r="R1865" i="3"/>
  <c r="L1865" i="3"/>
  <c r="S1865" i="3" s="1"/>
  <c r="J1865" i="3"/>
  <c r="X1864" i="3"/>
  <c r="X1863" i="3"/>
  <c r="X1862" i="3"/>
  <c r="X1861" i="3"/>
  <c r="X1860" i="3"/>
  <c r="C1860" i="3"/>
  <c r="B1860" i="3"/>
  <c r="X1859" i="3"/>
  <c r="C1859" i="3"/>
  <c r="B1859" i="3"/>
  <c r="X1858" i="3"/>
  <c r="X1857" i="3"/>
  <c r="X1856" i="3"/>
  <c r="R1856" i="3"/>
  <c r="X1855" i="3"/>
  <c r="R1855" i="3"/>
  <c r="L1855" i="3"/>
  <c r="S1857" i="3" s="1"/>
  <c r="J1855" i="3"/>
  <c r="X1854" i="3"/>
  <c r="X1853" i="3"/>
  <c r="X1852" i="3"/>
  <c r="X1851" i="3"/>
  <c r="X1850" i="3"/>
  <c r="C1850" i="3"/>
  <c r="B1850" i="3"/>
  <c r="X1849" i="3"/>
  <c r="C1849" i="3"/>
  <c r="B1849" i="3"/>
  <c r="X1848" i="3"/>
  <c r="X1847" i="3"/>
  <c r="X1846" i="3"/>
  <c r="R1846" i="3"/>
  <c r="X1845" i="3"/>
  <c r="R1845" i="3"/>
  <c r="L1845" i="3"/>
  <c r="S1846" i="3" s="1"/>
  <c r="J1845" i="3"/>
  <c r="X1844" i="3"/>
  <c r="X1843" i="3"/>
  <c r="X1842" i="3"/>
  <c r="X1841" i="3"/>
  <c r="X1840" i="3"/>
  <c r="C1840" i="3"/>
  <c r="B1840" i="3"/>
  <c r="X1839" i="3"/>
  <c r="C1839" i="3"/>
  <c r="B1839" i="3"/>
  <c r="X1838" i="3"/>
  <c r="X1837" i="3"/>
  <c r="X1836" i="3"/>
  <c r="R1836" i="3"/>
  <c r="X1835" i="3"/>
  <c r="R1835" i="3"/>
  <c r="L1835" i="3"/>
  <c r="S1835" i="3" s="1"/>
  <c r="J1835" i="3"/>
  <c r="X1834" i="3"/>
  <c r="X1833" i="3"/>
  <c r="X1832" i="3"/>
  <c r="X1831" i="3"/>
  <c r="X1830" i="3"/>
  <c r="C1830" i="3"/>
  <c r="B1830" i="3"/>
  <c r="X1829" i="3"/>
  <c r="C1829" i="3"/>
  <c r="B1829" i="3"/>
  <c r="X1828" i="3"/>
  <c r="C1828" i="3"/>
  <c r="B1828" i="3"/>
  <c r="X1827" i="3"/>
  <c r="X1826" i="3"/>
  <c r="X1825" i="3"/>
  <c r="R1825" i="3"/>
  <c r="X1824" i="3"/>
  <c r="R1824" i="3"/>
  <c r="L1824" i="3"/>
  <c r="S1824" i="3" s="1"/>
  <c r="J1824" i="3"/>
  <c r="X1823" i="3"/>
  <c r="X1822" i="3"/>
  <c r="X1821" i="3"/>
  <c r="X1820" i="3"/>
  <c r="X1819" i="3"/>
  <c r="C1819" i="3"/>
  <c r="B1819" i="3"/>
  <c r="X1818" i="3"/>
  <c r="C1818" i="3"/>
  <c r="B1818" i="3"/>
  <c r="X1817" i="3"/>
  <c r="C1817" i="3"/>
  <c r="B1817" i="3"/>
  <c r="X1816" i="3"/>
  <c r="R1814" i="3"/>
  <c r="L1813" i="3"/>
  <c r="S1813" i="3" s="1"/>
  <c r="J1813" i="3"/>
  <c r="R1786" i="3"/>
  <c r="R1813" i="3" s="1"/>
  <c r="K1786" i="3"/>
  <c r="C1784" i="3"/>
  <c r="B1784" i="3"/>
  <c r="X1783" i="3"/>
  <c r="X1782" i="3"/>
  <c r="R1781" i="3"/>
  <c r="L1780" i="3"/>
  <c r="J1780" i="3"/>
  <c r="X1758" i="3"/>
  <c r="X1757" i="3"/>
  <c r="X1756" i="3"/>
  <c r="X1755" i="3"/>
  <c r="C1755" i="3"/>
  <c r="B1755" i="3"/>
  <c r="X1754" i="3"/>
  <c r="X1753" i="3"/>
  <c r="X1752" i="3"/>
  <c r="R1752" i="3"/>
  <c r="X1751" i="3"/>
  <c r="L1751" i="3"/>
  <c r="J1751" i="3"/>
  <c r="X1718" i="3"/>
  <c r="X1717" i="3"/>
  <c r="R1717" i="3"/>
  <c r="X1716" i="3"/>
  <c r="L1716" i="3"/>
  <c r="K1716" i="3"/>
  <c r="X1715" i="3"/>
  <c r="X1714" i="3"/>
  <c r="C1714" i="3"/>
  <c r="B1714" i="3"/>
  <c r="X1713" i="3"/>
  <c r="R1711" i="3"/>
  <c r="R1712" i="3" s="1"/>
  <c r="L1710" i="3"/>
  <c r="J1710" i="3"/>
  <c r="X1689" i="3"/>
  <c r="X1688" i="3"/>
  <c r="C1688" i="3"/>
  <c r="B1688" i="3"/>
  <c r="X1687" i="3"/>
  <c r="C1687" i="3"/>
  <c r="B1687" i="3"/>
  <c r="X1686" i="3"/>
  <c r="R1684" i="3"/>
  <c r="L1683" i="3"/>
  <c r="J1683" i="3"/>
  <c r="K1633" i="3"/>
  <c r="C1632" i="3"/>
  <c r="B1632" i="3"/>
  <c r="C1631" i="3"/>
  <c r="B1631" i="3"/>
  <c r="X1630" i="3"/>
  <c r="X1629" i="3"/>
  <c r="X1628" i="3"/>
  <c r="R1628" i="3"/>
  <c r="X1627" i="3"/>
  <c r="L1627" i="3"/>
  <c r="S1627" i="3" s="1"/>
  <c r="S1621" i="3" s="1"/>
  <c r="J1627" i="3"/>
  <c r="X1626" i="3"/>
  <c r="X1625" i="3"/>
  <c r="X1622" i="3"/>
  <c r="X1621" i="3"/>
  <c r="L1621" i="3"/>
  <c r="N1621" i="3" s="1"/>
  <c r="K1621" i="3"/>
  <c r="X1620" i="3"/>
  <c r="X1619" i="3"/>
  <c r="C1619" i="3"/>
  <c r="B1619" i="3"/>
  <c r="X1618" i="3"/>
  <c r="R1616" i="3"/>
  <c r="L1615" i="3"/>
  <c r="J1615" i="3"/>
  <c r="AA1569" i="3"/>
  <c r="K1564" i="3"/>
  <c r="R1563" i="3"/>
  <c r="K1563" i="3"/>
  <c r="AA1562" i="3"/>
  <c r="X1560" i="3"/>
  <c r="C1560" i="3"/>
  <c r="B1560" i="3"/>
  <c r="X1559" i="3"/>
  <c r="C1559" i="3"/>
  <c r="B1559" i="3"/>
  <c r="X1558" i="3"/>
  <c r="X1557" i="3"/>
  <c r="X1556" i="3"/>
  <c r="R1556" i="3"/>
  <c r="X1555" i="3"/>
  <c r="L1555" i="3"/>
  <c r="S1556" i="3" s="1"/>
  <c r="J1555" i="3"/>
  <c r="X1554" i="3"/>
  <c r="X1553" i="3"/>
  <c r="X1552" i="3"/>
  <c r="K1552" i="3"/>
  <c r="R1552" i="3" s="1"/>
  <c r="X1551" i="3"/>
  <c r="K1551" i="3"/>
  <c r="R1551" i="3" s="1"/>
  <c r="X1550" i="3"/>
  <c r="K1550" i="3"/>
  <c r="R1550" i="3" s="1"/>
  <c r="X1549" i="3"/>
  <c r="K1549" i="3"/>
  <c r="R1549" i="3" s="1"/>
  <c r="X1548" i="3"/>
  <c r="K1548" i="3"/>
  <c r="R1548" i="3" s="1"/>
  <c r="X1547" i="3"/>
  <c r="K1547" i="3"/>
  <c r="R1547" i="3" s="1"/>
  <c r="X1546" i="3"/>
  <c r="R1546" i="3"/>
  <c r="X1545" i="3"/>
  <c r="R1545" i="3"/>
  <c r="X1544" i="3"/>
  <c r="R1544" i="3"/>
  <c r="X1543" i="3"/>
  <c r="R1543" i="3"/>
  <c r="X1542" i="3"/>
  <c r="X1541" i="3"/>
  <c r="C1541" i="3"/>
  <c r="B1541" i="3"/>
  <c r="X1540" i="3"/>
  <c r="X1539" i="3"/>
  <c r="X1538" i="3"/>
  <c r="R1538" i="3"/>
  <c r="X1537" i="3"/>
  <c r="R1537" i="3"/>
  <c r="L1537" i="3"/>
  <c r="S1537" i="3" s="1"/>
  <c r="J1537" i="3"/>
  <c r="X1536" i="3"/>
  <c r="X1535" i="3"/>
  <c r="X1534" i="3"/>
  <c r="X1533" i="3"/>
  <c r="X1532" i="3"/>
  <c r="C1532" i="3"/>
  <c r="B1532" i="3"/>
  <c r="X1531" i="3"/>
  <c r="C1531" i="3"/>
  <c r="B1531" i="3"/>
  <c r="X1530" i="3"/>
  <c r="X1529" i="3"/>
  <c r="X1528" i="3"/>
  <c r="R1528" i="3"/>
  <c r="X1527" i="3"/>
  <c r="R1527" i="3"/>
  <c r="L1527" i="3"/>
  <c r="J1527" i="3"/>
  <c r="X1526" i="3"/>
  <c r="X1525" i="3"/>
  <c r="X1524" i="3"/>
  <c r="X1523" i="3"/>
  <c r="X1522" i="3"/>
  <c r="C1522" i="3"/>
  <c r="B1522" i="3"/>
  <c r="X1521" i="3"/>
  <c r="C1521" i="3"/>
  <c r="B1521" i="3"/>
  <c r="X1520" i="3"/>
  <c r="X1519" i="3"/>
  <c r="X1518" i="3"/>
  <c r="R1518" i="3"/>
  <c r="X1517" i="3"/>
  <c r="R1517" i="3"/>
  <c r="L1517" i="3"/>
  <c r="J1517" i="3"/>
  <c r="X1516" i="3"/>
  <c r="X1515" i="3"/>
  <c r="X1514" i="3"/>
  <c r="X1513" i="3"/>
  <c r="X1512" i="3"/>
  <c r="C1512" i="3"/>
  <c r="B1512" i="3"/>
  <c r="X1511" i="3"/>
  <c r="C1511" i="3"/>
  <c r="B1511" i="3"/>
  <c r="X1510" i="3"/>
  <c r="R1508" i="3"/>
  <c r="L1507" i="3"/>
  <c r="S1495" i="3" s="1"/>
  <c r="J1507" i="3"/>
  <c r="R1475" i="3"/>
  <c r="X1473" i="3"/>
  <c r="C1473" i="3"/>
  <c r="B1473" i="3"/>
  <c r="X1472" i="3"/>
  <c r="X1471" i="3"/>
  <c r="R1470" i="3"/>
  <c r="L1469" i="3"/>
  <c r="J1469" i="3"/>
  <c r="K1450" i="3"/>
  <c r="K1449" i="3"/>
  <c r="K1448" i="3"/>
  <c r="K1447" i="3"/>
  <c r="K1438" i="3"/>
  <c r="C1436" i="3"/>
  <c r="B1436" i="3"/>
  <c r="X1435" i="3"/>
  <c r="X1434" i="3"/>
  <c r="R1433" i="3"/>
  <c r="L1432" i="3"/>
  <c r="J1432" i="3"/>
  <c r="K1402" i="3"/>
  <c r="K1401" i="3"/>
  <c r="K1400" i="3"/>
  <c r="K1399" i="3"/>
  <c r="K1390" i="3"/>
  <c r="X1388" i="3"/>
  <c r="C1388" i="3"/>
  <c r="B1388" i="3"/>
  <c r="X1387" i="3"/>
  <c r="X1386" i="3"/>
  <c r="R1385" i="3"/>
  <c r="L1384" i="3"/>
  <c r="J1384" i="3"/>
  <c r="L1363" i="3"/>
  <c r="L1402" i="3" s="1"/>
  <c r="K1363" i="3"/>
  <c r="L1362" i="3"/>
  <c r="K1362" i="3"/>
  <c r="L1361" i="3"/>
  <c r="L1448" i="3" s="1"/>
  <c r="K1361" i="3"/>
  <c r="L1360" i="3"/>
  <c r="L1447" i="3" s="1"/>
  <c r="K1360" i="3"/>
  <c r="X1350" i="3"/>
  <c r="L1350" i="3"/>
  <c r="L1390" i="3" s="1"/>
  <c r="K1350" i="3"/>
  <c r="X1349" i="3"/>
  <c r="X1348" i="3"/>
  <c r="C1348" i="3"/>
  <c r="B1348" i="3"/>
  <c r="X1347" i="3"/>
  <c r="R1345" i="3"/>
  <c r="L1344" i="3"/>
  <c r="S1278" i="3" s="1"/>
  <c r="J1344" i="3"/>
  <c r="X1294" i="3"/>
  <c r="M1294" i="3"/>
  <c r="R1294" i="3" s="1"/>
  <c r="X1293" i="3"/>
  <c r="M1293" i="3"/>
  <c r="R1293" i="3" s="1"/>
  <c r="X1292" i="3"/>
  <c r="M1292" i="3"/>
  <c r="R1292" i="3" s="1"/>
  <c r="X1291" i="3"/>
  <c r="M1291" i="3"/>
  <c r="R1291" i="3" s="1"/>
  <c r="X1290" i="3"/>
  <c r="M1290" i="3"/>
  <c r="R1290" i="3" s="1"/>
  <c r="X1289" i="3"/>
  <c r="M1289" i="3"/>
  <c r="R1289" i="3" s="1"/>
  <c r="X1288" i="3"/>
  <c r="M1288" i="3"/>
  <c r="R1288" i="3" s="1"/>
  <c r="X1287" i="3"/>
  <c r="M1287" i="3"/>
  <c r="R1287" i="3" s="1"/>
  <c r="X1286" i="3"/>
  <c r="M1286" i="3"/>
  <c r="R1286" i="3" s="1"/>
  <c r="X1285" i="3"/>
  <c r="M1285" i="3"/>
  <c r="R1285" i="3" s="1"/>
  <c r="X1284" i="3"/>
  <c r="M1284" i="3"/>
  <c r="R1284" i="3" s="1"/>
  <c r="X1283" i="3"/>
  <c r="M1283" i="3"/>
  <c r="R1283" i="3" s="1"/>
  <c r="X1282" i="3"/>
  <c r="M1282" i="3"/>
  <c r="R1282" i="3" s="1"/>
  <c r="X1281" i="3"/>
  <c r="M1281" i="3"/>
  <c r="R1281" i="3" s="1"/>
  <c r="X1280" i="3"/>
  <c r="M1280" i="3"/>
  <c r="R1280" i="3" s="1"/>
  <c r="X1279" i="3"/>
  <c r="M1279" i="3"/>
  <c r="R1279" i="3" s="1"/>
  <c r="X1194" i="3"/>
  <c r="N1194" i="3"/>
  <c r="K1194" i="3"/>
  <c r="L1194" i="3" s="1"/>
  <c r="X1193" i="3"/>
  <c r="X1192" i="3"/>
  <c r="X1191" i="3"/>
  <c r="N1191" i="3"/>
  <c r="K1191" i="3"/>
  <c r="L1191" i="3" s="1"/>
  <c r="X1190" i="3"/>
  <c r="X1189" i="3"/>
  <c r="X1188" i="3"/>
  <c r="N1188" i="3"/>
  <c r="K1188" i="3"/>
  <c r="X1187" i="3"/>
  <c r="X1186" i="3"/>
  <c r="X1185" i="3"/>
  <c r="N1185" i="3"/>
  <c r="K1185" i="3"/>
  <c r="X1184" i="3"/>
  <c r="X1183" i="3"/>
  <c r="AC1182" i="3"/>
  <c r="X1182" i="3"/>
  <c r="N1182" i="3"/>
  <c r="M1182" i="3"/>
  <c r="K1182" i="3"/>
  <c r="L1182" i="3" s="1"/>
  <c r="AC1181" i="3"/>
  <c r="X1181" i="3"/>
  <c r="N1181" i="3"/>
  <c r="M1181" i="3"/>
  <c r="K1181" i="3"/>
  <c r="L1181" i="3" s="1"/>
  <c r="X1180" i="3"/>
  <c r="AC1179" i="3"/>
  <c r="X1179" i="3"/>
  <c r="X1178" i="3"/>
  <c r="C1178" i="3"/>
  <c r="B1178" i="3"/>
  <c r="X1177" i="3"/>
  <c r="R1175" i="3"/>
  <c r="L1174" i="3"/>
  <c r="J1174" i="3"/>
  <c r="M1030" i="3"/>
  <c r="K1030" i="3"/>
  <c r="N1029" i="3"/>
  <c r="K1029" i="3"/>
  <c r="K1028" i="3"/>
  <c r="K1027" i="3"/>
  <c r="K1026" i="3"/>
  <c r="N1025" i="3"/>
  <c r="K1025" i="3"/>
  <c r="N1022" i="3"/>
  <c r="M1021" i="3"/>
  <c r="O1020" i="3"/>
  <c r="O1019" i="3"/>
  <c r="N1018" i="3"/>
  <c r="M1015" i="3"/>
  <c r="K1015" i="3"/>
  <c r="N1014" i="3"/>
  <c r="K1014" i="3"/>
  <c r="K1013" i="3"/>
  <c r="K1012" i="3"/>
  <c r="K1011" i="3"/>
  <c r="K1010" i="3"/>
  <c r="M1007" i="3"/>
  <c r="K1007" i="3"/>
  <c r="N1006" i="3"/>
  <c r="K1006" i="3"/>
  <c r="K1005" i="3"/>
  <c r="K1004" i="3"/>
  <c r="K1003" i="3"/>
  <c r="K1002" i="3"/>
  <c r="M999" i="3"/>
  <c r="K999" i="3"/>
  <c r="N998" i="3"/>
  <c r="K998" i="3"/>
  <c r="K997" i="3"/>
  <c r="K996" i="3"/>
  <c r="K995" i="3"/>
  <c r="K994" i="3"/>
  <c r="M956" i="3"/>
  <c r="K956" i="3"/>
  <c r="M955" i="3"/>
  <c r="K955" i="3"/>
  <c r="K954" i="3"/>
  <c r="K953" i="3"/>
  <c r="K952" i="3"/>
  <c r="K951" i="3"/>
  <c r="C948" i="3"/>
  <c r="B948" i="3"/>
  <c r="X947" i="3"/>
  <c r="R945" i="3"/>
  <c r="L944" i="3"/>
  <c r="J944" i="3"/>
  <c r="K650" i="3"/>
  <c r="K649" i="3"/>
  <c r="K648" i="3"/>
  <c r="K647" i="3"/>
  <c r="N646" i="3"/>
  <c r="K646" i="3"/>
  <c r="J646" i="3" s="1"/>
  <c r="K645" i="3"/>
  <c r="K644" i="3"/>
  <c r="K643" i="3"/>
  <c r="J643" i="3" s="1"/>
  <c r="K642" i="3"/>
  <c r="O639" i="3"/>
  <c r="K636" i="3"/>
  <c r="K635" i="3"/>
  <c r="K634" i="3"/>
  <c r="K633" i="3"/>
  <c r="N632" i="3"/>
  <c r="K632" i="3"/>
  <c r="J632" i="3" s="1"/>
  <c r="K631" i="3"/>
  <c r="K630" i="3"/>
  <c r="K629" i="3"/>
  <c r="J629" i="3" s="1"/>
  <c r="K628" i="3"/>
  <c r="K625" i="3"/>
  <c r="K624" i="3"/>
  <c r="K623" i="3"/>
  <c r="K622" i="3"/>
  <c r="N621" i="3"/>
  <c r="K621" i="3"/>
  <c r="J621" i="3" s="1"/>
  <c r="K620" i="3"/>
  <c r="K619" i="3"/>
  <c r="K618" i="3"/>
  <c r="J618" i="3" s="1"/>
  <c r="K617" i="3"/>
  <c r="K614" i="3"/>
  <c r="K613" i="3"/>
  <c r="K612" i="3"/>
  <c r="K611" i="3"/>
  <c r="N610" i="3"/>
  <c r="K610" i="3"/>
  <c r="J610" i="3" s="1"/>
  <c r="K609" i="3"/>
  <c r="K608" i="3"/>
  <c r="K607" i="3"/>
  <c r="J607" i="3" s="1"/>
  <c r="K606" i="3"/>
  <c r="K603" i="3"/>
  <c r="K602" i="3"/>
  <c r="J602" i="3" s="1"/>
  <c r="K601" i="3"/>
  <c r="K600" i="3"/>
  <c r="K599" i="3"/>
  <c r="K598" i="3"/>
  <c r="K597" i="3"/>
  <c r="K596" i="3"/>
  <c r="N595" i="3"/>
  <c r="K595" i="3"/>
  <c r="J595" i="3" s="1"/>
  <c r="K594" i="3"/>
  <c r="K593" i="3"/>
  <c r="K592" i="3"/>
  <c r="J592" i="3" s="1"/>
  <c r="K591" i="3"/>
  <c r="C588" i="3"/>
  <c r="B588" i="3"/>
  <c r="X587" i="3"/>
  <c r="R585" i="3"/>
  <c r="L584" i="3"/>
  <c r="J584" i="3"/>
  <c r="X558" i="3"/>
  <c r="K558" i="3"/>
  <c r="X557" i="3"/>
  <c r="C556" i="3"/>
  <c r="B556" i="3"/>
  <c r="X390" i="3"/>
  <c r="N390" i="3"/>
  <c r="K390" i="3"/>
  <c r="X389" i="3"/>
  <c r="N389" i="3"/>
  <c r="K389" i="3"/>
  <c r="X388" i="3"/>
  <c r="N388" i="3"/>
  <c r="K388" i="3"/>
  <c r="X387" i="3"/>
  <c r="N387" i="3"/>
  <c r="K387" i="3"/>
  <c r="X386" i="3"/>
  <c r="X385" i="3"/>
  <c r="X384" i="3"/>
  <c r="N384" i="3"/>
  <c r="R384" i="3" s="1"/>
  <c r="X383" i="3"/>
  <c r="X382" i="3"/>
  <c r="X381" i="3"/>
  <c r="N381" i="3"/>
  <c r="K381" i="3"/>
  <c r="X380" i="3"/>
  <c r="N380" i="3"/>
  <c r="K380" i="3"/>
  <c r="X379" i="3"/>
  <c r="N379" i="3"/>
  <c r="K379" i="3"/>
  <c r="X378" i="3"/>
  <c r="N378" i="3"/>
  <c r="K378" i="3"/>
  <c r="X377" i="3"/>
  <c r="X376" i="3"/>
  <c r="X375" i="3"/>
  <c r="N375" i="3"/>
  <c r="K375" i="3"/>
  <c r="X374" i="3"/>
  <c r="N374" i="3"/>
  <c r="K374" i="3"/>
  <c r="X373" i="3"/>
  <c r="N373" i="3"/>
  <c r="K373" i="3"/>
  <c r="X372" i="3"/>
  <c r="N372" i="3"/>
  <c r="K372" i="3"/>
  <c r="X371" i="3"/>
  <c r="X370" i="3"/>
  <c r="X369" i="3"/>
  <c r="N369" i="3"/>
  <c r="K369" i="3"/>
  <c r="X368" i="3"/>
  <c r="N368" i="3"/>
  <c r="K368" i="3"/>
  <c r="X367" i="3"/>
  <c r="N367" i="3"/>
  <c r="K367" i="3"/>
  <c r="X366" i="3"/>
  <c r="N366" i="3"/>
  <c r="K366" i="3"/>
  <c r="X365" i="3"/>
  <c r="X364" i="3"/>
  <c r="X363" i="3"/>
  <c r="N363" i="3"/>
  <c r="K363" i="3"/>
  <c r="X362" i="3"/>
  <c r="N362" i="3"/>
  <c r="K362" i="3"/>
  <c r="X361" i="3"/>
  <c r="N361" i="3"/>
  <c r="K361" i="3"/>
  <c r="X360" i="3"/>
  <c r="N360" i="3"/>
  <c r="K360" i="3"/>
  <c r="N359" i="3"/>
  <c r="K359" i="3"/>
  <c r="N358" i="3"/>
  <c r="K358" i="3"/>
  <c r="C355" i="3"/>
  <c r="B355" i="3"/>
  <c r="X354" i="3"/>
  <c r="C354" i="3"/>
  <c r="B354" i="3"/>
  <c r="X353" i="3"/>
  <c r="C353" i="3"/>
  <c r="B353" i="3"/>
  <c r="X352" i="3"/>
  <c r="X351" i="3"/>
  <c r="X350" i="3"/>
  <c r="R350" i="3"/>
  <c r="R351" i="3" s="1"/>
  <c r="X349" i="3"/>
  <c r="L349" i="3"/>
  <c r="J349" i="3"/>
  <c r="X310" i="3"/>
  <c r="J310" i="3"/>
  <c r="X309" i="3"/>
  <c r="J309" i="3"/>
  <c r="X308" i="3"/>
  <c r="J308" i="3"/>
  <c r="X307" i="3"/>
  <c r="J307" i="3"/>
  <c r="X306" i="3"/>
  <c r="D306" i="3"/>
  <c r="J306" i="3" s="1"/>
  <c r="X305" i="3"/>
  <c r="J305" i="3"/>
  <c r="X304" i="3"/>
  <c r="J304" i="3"/>
  <c r="X303" i="3"/>
  <c r="J303" i="3"/>
  <c r="X302" i="3"/>
  <c r="J302" i="3"/>
  <c r="X301" i="3"/>
  <c r="X300" i="3"/>
  <c r="C300" i="3"/>
  <c r="B300" i="3"/>
  <c r="X299" i="3"/>
  <c r="X298" i="3"/>
  <c r="X297" i="3"/>
  <c r="R297" i="3"/>
  <c r="X296" i="3"/>
  <c r="R296" i="3"/>
  <c r="L296" i="3"/>
  <c r="J296" i="3"/>
  <c r="X295" i="3"/>
  <c r="X294" i="3"/>
  <c r="X293" i="3"/>
  <c r="X292" i="3"/>
  <c r="X291" i="3"/>
  <c r="C291" i="3"/>
  <c r="B291" i="3"/>
  <c r="X290" i="3"/>
  <c r="C290" i="3"/>
  <c r="B290" i="3"/>
  <c r="X289" i="3"/>
  <c r="X288" i="3"/>
  <c r="X287" i="3"/>
  <c r="R287" i="3"/>
  <c r="L286" i="3"/>
  <c r="J286" i="3"/>
  <c r="J229" i="3"/>
  <c r="X228" i="3"/>
  <c r="J228" i="3"/>
  <c r="X227" i="3"/>
  <c r="J227" i="3"/>
  <c r="X226" i="3"/>
  <c r="J226" i="3"/>
  <c r="X225" i="3"/>
  <c r="D225" i="3"/>
  <c r="J225" i="3" s="1"/>
  <c r="X224" i="3"/>
  <c r="J224" i="3"/>
  <c r="X223" i="3"/>
  <c r="J223" i="3"/>
  <c r="X222" i="3"/>
  <c r="J222" i="3"/>
  <c r="X221" i="3"/>
  <c r="J221" i="3"/>
  <c r="X220" i="3"/>
  <c r="X219" i="3"/>
  <c r="C219" i="3"/>
  <c r="B219" i="3"/>
  <c r="X218" i="3"/>
  <c r="R216" i="3"/>
  <c r="R215" i="3"/>
  <c r="L215" i="3"/>
  <c r="S216" i="3" s="1"/>
  <c r="J215" i="3"/>
  <c r="J168" i="3"/>
  <c r="J167" i="3"/>
  <c r="J166" i="3"/>
  <c r="J165" i="3"/>
  <c r="D164" i="3"/>
  <c r="J164" i="3" s="1"/>
  <c r="J163" i="3"/>
  <c r="J162" i="3"/>
  <c r="J161" i="3"/>
  <c r="J160" i="3"/>
  <c r="X158" i="3"/>
  <c r="C158" i="3"/>
  <c r="B158" i="3"/>
  <c r="X157" i="3"/>
  <c r="X156" i="3"/>
  <c r="X155" i="3"/>
  <c r="R155" i="3"/>
  <c r="R154" i="3"/>
  <c r="L154" i="3"/>
  <c r="S156" i="3" s="1"/>
  <c r="S278" i="3" s="1"/>
  <c r="J154" i="3"/>
  <c r="X115" i="3"/>
  <c r="J115" i="3"/>
  <c r="X114" i="3"/>
  <c r="J114" i="3"/>
  <c r="X113" i="3"/>
  <c r="J113" i="3"/>
  <c r="X112" i="3"/>
  <c r="D112" i="3"/>
  <c r="J112" i="3" s="1"/>
  <c r="X111" i="3"/>
  <c r="J111" i="3"/>
  <c r="X110" i="3"/>
  <c r="J110" i="3"/>
  <c r="X109" i="3"/>
  <c r="J109" i="3"/>
  <c r="X108" i="3"/>
  <c r="J108" i="3"/>
  <c r="X107" i="3"/>
  <c r="X106" i="3"/>
  <c r="C106" i="3"/>
  <c r="B106" i="3"/>
  <c r="X105" i="3"/>
  <c r="X104" i="3"/>
  <c r="X103" i="3"/>
  <c r="R103" i="3"/>
  <c r="X102" i="3"/>
  <c r="R102" i="3"/>
  <c r="L102" i="3"/>
  <c r="S102" i="3" s="1"/>
  <c r="S98" i="3" s="1"/>
  <c r="J102" i="3"/>
  <c r="X101" i="3"/>
  <c r="X100" i="3"/>
  <c r="X99" i="3"/>
  <c r="X98" i="3"/>
  <c r="X97" i="3"/>
  <c r="C97" i="3"/>
  <c r="B97" i="3"/>
  <c r="X96" i="3"/>
  <c r="C96" i="3"/>
  <c r="B96" i="3"/>
  <c r="X95" i="3"/>
  <c r="C95" i="3"/>
  <c r="B95" i="3"/>
  <c r="X94" i="3"/>
  <c r="X93" i="3"/>
  <c r="X92" i="3"/>
  <c r="R92" i="3"/>
  <c r="X91" i="3"/>
  <c r="R91" i="3"/>
  <c r="L91" i="3"/>
  <c r="S92" i="3" s="1"/>
  <c r="J91" i="3"/>
  <c r="X90" i="3"/>
  <c r="X89" i="3"/>
  <c r="X88" i="3"/>
  <c r="X87" i="3"/>
  <c r="X86" i="3"/>
  <c r="C86" i="3"/>
  <c r="B86" i="3"/>
  <c r="X85" i="3"/>
  <c r="C85" i="3"/>
  <c r="B85" i="3"/>
  <c r="X84" i="3"/>
  <c r="X83" i="3"/>
  <c r="X82" i="3"/>
  <c r="R82" i="3"/>
  <c r="X81" i="3"/>
  <c r="L81" i="3"/>
  <c r="S81" i="3" s="1"/>
  <c r="S77" i="3" s="1"/>
  <c r="J81" i="3"/>
  <c r="X80" i="3"/>
  <c r="X79" i="3"/>
  <c r="X78" i="3"/>
  <c r="X77" i="3"/>
  <c r="N77" i="3"/>
  <c r="R77" i="3" s="1"/>
  <c r="R81" i="3" s="1"/>
  <c r="X76" i="3"/>
  <c r="C76" i="3"/>
  <c r="B76" i="3"/>
  <c r="X75" i="3"/>
  <c r="C75" i="3"/>
  <c r="B75" i="3"/>
  <c r="X74" i="3"/>
  <c r="X73" i="3"/>
  <c r="X72" i="3"/>
  <c r="R72" i="3"/>
  <c r="L71" i="3"/>
  <c r="S72" i="3" s="1"/>
  <c r="J71" i="3"/>
  <c r="X58" i="3"/>
  <c r="X57" i="3"/>
  <c r="R57" i="3"/>
  <c r="R71" i="3" s="1"/>
  <c r="X56" i="3"/>
  <c r="C56" i="3"/>
  <c r="B56" i="3"/>
  <c r="X55" i="3"/>
  <c r="C55" i="3"/>
  <c r="B55" i="3"/>
  <c r="X54" i="3"/>
  <c r="X53" i="3"/>
  <c r="X52" i="3"/>
  <c r="R52" i="3"/>
  <c r="X51" i="3"/>
  <c r="L51" i="3"/>
  <c r="J51" i="3"/>
  <c r="X50" i="3"/>
  <c r="X49" i="3"/>
  <c r="X48" i="3"/>
  <c r="X47" i="3"/>
  <c r="R47" i="3"/>
  <c r="R51" i="3" s="1"/>
  <c r="X46" i="3"/>
  <c r="C46" i="3"/>
  <c r="B46" i="3"/>
  <c r="X45" i="3"/>
  <c r="C45" i="3"/>
  <c r="B45" i="3"/>
  <c r="X44" i="3"/>
  <c r="X43" i="3"/>
  <c r="X42" i="3"/>
  <c r="R42" i="3"/>
  <c r="X41" i="3"/>
  <c r="L41" i="3"/>
  <c r="S41" i="3" s="1"/>
  <c r="S37" i="3" s="1"/>
  <c r="J41" i="3"/>
  <c r="X40" i="3"/>
  <c r="X39" i="3"/>
  <c r="X38" i="3"/>
  <c r="X37" i="3"/>
  <c r="R37" i="3"/>
  <c r="R41" i="3" s="1"/>
  <c r="X36" i="3"/>
  <c r="C36" i="3"/>
  <c r="B36" i="3"/>
  <c r="X35" i="3"/>
  <c r="C35" i="3"/>
  <c r="B35" i="3"/>
  <c r="X34" i="3"/>
  <c r="X33" i="3"/>
  <c r="X32" i="3"/>
  <c r="R32" i="3"/>
  <c r="X31" i="3"/>
  <c r="L31" i="3"/>
  <c r="S32" i="3" s="1"/>
  <c r="J31" i="3"/>
  <c r="X30" i="3"/>
  <c r="X29" i="3"/>
  <c r="X28" i="3"/>
  <c r="X27" i="3"/>
  <c r="R27" i="3"/>
  <c r="R31" i="3" s="1"/>
  <c r="X26" i="3"/>
  <c r="C26" i="3"/>
  <c r="B26" i="3"/>
  <c r="X25" i="3"/>
  <c r="C25" i="3"/>
  <c r="B25" i="3"/>
  <c r="X24" i="3"/>
  <c r="X23" i="3"/>
  <c r="X22" i="3"/>
  <c r="R22" i="3"/>
  <c r="X21" i="3"/>
  <c r="L21" i="3"/>
  <c r="S22" i="3" s="1"/>
  <c r="J21" i="3"/>
  <c r="X20" i="3"/>
  <c r="X19" i="3"/>
  <c r="X18" i="3"/>
  <c r="X17" i="3"/>
  <c r="R17" i="3"/>
  <c r="R21" i="3" s="1"/>
  <c r="X16" i="3"/>
  <c r="C16" i="3"/>
  <c r="X15" i="3"/>
  <c r="C15" i="3"/>
  <c r="B15" i="3"/>
  <c r="X14" i="3"/>
  <c r="C14" i="3"/>
  <c r="B14" i="3"/>
  <c r="X13" i="3"/>
  <c r="C13" i="3"/>
  <c r="B13" i="3"/>
  <c r="C9" i="3"/>
  <c r="C8" i="3"/>
  <c r="C7" i="3"/>
  <c r="C6" i="3"/>
  <c r="N327" i="2"/>
  <c r="L327" i="2"/>
  <c r="N324" i="2"/>
  <c r="L324" i="2"/>
  <c r="N321" i="2"/>
  <c r="N320" i="2"/>
  <c r="I277" i="2"/>
  <c r="G277" i="2"/>
  <c r="P277" i="2" s="1"/>
  <c r="I276" i="2"/>
  <c r="G276" i="2"/>
  <c r="P276" i="2" s="1"/>
  <c r="I274" i="2"/>
  <c r="G274" i="2"/>
  <c r="P274" i="2" s="1"/>
  <c r="I273" i="2"/>
  <c r="G273" i="2"/>
  <c r="P273" i="2" s="1"/>
  <c r="I272" i="2"/>
  <c r="G272" i="2"/>
  <c r="P272" i="2" s="1"/>
  <c r="I271" i="2"/>
  <c r="G271" i="2"/>
  <c r="P271" i="2" s="1"/>
  <c r="I270" i="2"/>
  <c r="G270" i="2"/>
  <c r="P270" i="2" s="1"/>
  <c r="I269" i="2"/>
  <c r="G269" i="2"/>
  <c r="P269" i="2" s="1"/>
  <c r="I268" i="2"/>
  <c r="G268" i="2"/>
  <c r="P268" i="2" s="1"/>
  <c r="I267" i="2"/>
  <c r="G267" i="2"/>
  <c r="P267" i="2" s="1"/>
  <c r="I265" i="2"/>
  <c r="G265" i="2"/>
  <c r="P265" i="2" s="1"/>
  <c r="I264" i="2"/>
  <c r="G264" i="2"/>
  <c r="P264" i="2" s="1"/>
  <c r="I263" i="2"/>
  <c r="G263" i="2"/>
  <c r="P263" i="2" s="1"/>
  <c r="I262" i="2"/>
  <c r="P262" i="2"/>
  <c r="I261" i="2"/>
  <c r="P261" i="2"/>
  <c r="I260" i="2"/>
  <c r="P260" i="2"/>
  <c r="I256" i="2"/>
  <c r="G256" i="2"/>
  <c r="P256" i="2" s="1"/>
  <c r="I255" i="2"/>
  <c r="G255" i="2"/>
  <c r="P255" i="2" s="1"/>
  <c r="I254" i="2"/>
  <c r="G254" i="2"/>
  <c r="P254" i="2" s="1"/>
  <c r="I253" i="2"/>
  <c r="G253" i="2"/>
  <c r="P253" i="2" s="1"/>
  <c r="I252" i="2"/>
  <c r="G252" i="2"/>
  <c r="P252" i="2" s="1"/>
  <c r="I251" i="2"/>
  <c r="G251" i="2"/>
  <c r="P251" i="2" s="1"/>
  <c r="I250" i="2"/>
  <c r="G250" i="2"/>
  <c r="P250" i="2" s="1"/>
  <c r="I249" i="2"/>
  <c r="G249" i="2"/>
  <c r="P249" i="2" s="1"/>
  <c r="I248" i="2"/>
  <c r="G248" i="2"/>
  <c r="P248" i="2" s="1"/>
  <c r="I247" i="2"/>
  <c r="G247" i="2"/>
  <c r="P247" i="2" s="1"/>
  <c r="I246" i="2"/>
  <c r="G246" i="2"/>
  <c r="P246" i="2" s="1"/>
  <c r="I245" i="2"/>
  <c r="G245" i="2"/>
  <c r="P245" i="2" s="1"/>
  <c r="I244" i="2"/>
  <c r="G244" i="2"/>
  <c r="P244" i="2" s="1"/>
  <c r="I242" i="2"/>
  <c r="G242" i="2"/>
  <c r="P242" i="2" s="1"/>
  <c r="I241" i="2"/>
  <c r="G241" i="2"/>
  <c r="P241" i="2" s="1"/>
  <c r="I240" i="2"/>
  <c r="G240" i="2"/>
  <c r="P240" i="2" s="1"/>
  <c r="I239" i="2"/>
  <c r="G239" i="2"/>
  <c r="P239" i="2" s="1"/>
  <c r="I238" i="2"/>
  <c r="G238" i="2"/>
  <c r="P238" i="2" s="1"/>
  <c r="I237" i="2"/>
  <c r="G237" i="2"/>
  <c r="P237" i="2" s="1"/>
  <c r="I236" i="2"/>
  <c r="G236" i="2"/>
  <c r="P236" i="2" s="1"/>
  <c r="I235" i="2"/>
  <c r="G235" i="2"/>
  <c r="P235" i="2" s="1"/>
  <c r="I234" i="2"/>
  <c r="G234" i="2"/>
  <c r="P234" i="2" s="1"/>
  <c r="I233" i="2"/>
  <c r="G233" i="2"/>
  <c r="P233" i="2" s="1"/>
  <c r="I232" i="2"/>
  <c r="G232" i="2"/>
  <c r="P232" i="2" s="1"/>
  <c r="I231" i="2"/>
  <c r="G231" i="2"/>
  <c r="P231" i="2" s="1"/>
  <c r="I230" i="2"/>
  <c r="G230" i="2"/>
  <c r="P230" i="2" s="1"/>
  <c r="I228" i="2"/>
  <c r="G228" i="2"/>
  <c r="P228" i="2" s="1"/>
  <c r="I227" i="2"/>
  <c r="G227" i="2"/>
  <c r="P227" i="2" s="1"/>
  <c r="I226" i="2"/>
  <c r="G226" i="2"/>
  <c r="P226" i="2" s="1"/>
  <c r="I225" i="2"/>
  <c r="G225" i="2"/>
  <c r="P225" i="2" s="1"/>
  <c r="I224" i="2"/>
  <c r="G224" i="2"/>
  <c r="P224" i="2" s="1"/>
  <c r="I223" i="2"/>
  <c r="G223" i="2"/>
  <c r="P223" i="2" s="1"/>
  <c r="I222" i="2"/>
  <c r="G222" i="2"/>
  <c r="P222" i="2" s="1"/>
  <c r="I221" i="2"/>
  <c r="G221" i="2"/>
  <c r="P221" i="2" s="1"/>
  <c r="I220" i="2"/>
  <c r="G220" i="2"/>
  <c r="P220" i="2" s="1"/>
  <c r="I219" i="2"/>
  <c r="G219" i="2"/>
  <c r="P219" i="2" s="1"/>
  <c r="I218" i="2"/>
  <c r="G218" i="2"/>
  <c r="P218" i="2" s="1"/>
  <c r="I217" i="2"/>
  <c r="G217" i="2"/>
  <c r="P217" i="2" s="1"/>
  <c r="I216" i="2"/>
  <c r="G216" i="2"/>
  <c r="P216" i="2" s="1"/>
  <c r="I214" i="2"/>
  <c r="G214" i="2"/>
  <c r="P214" i="2" s="1"/>
  <c r="I213" i="2"/>
  <c r="G213" i="2"/>
  <c r="P213" i="2" s="1"/>
  <c r="I212" i="2"/>
  <c r="G212" i="2"/>
  <c r="P212" i="2" s="1"/>
  <c r="I211" i="2"/>
  <c r="G211" i="2"/>
  <c r="P211" i="2" s="1"/>
  <c r="I210" i="2"/>
  <c r="G210" i="2"/>
  <c r="P210" i="2" s="1"/>
  <c r="I209" i="2"/>
  <c r="G209" i="2"/>
  <c r="P209" i="2" s="1"/>
  <c r="I208" i="2"/>
  <c r="G208" i="2"/>
  <c r="P208" i="2" s="1"/>
  <c r="I207" i="2"/>
  <c r="G207" i="2"/>
  <c r="P207" i="2" s="1"/>
  <c r="I206" i="2"/>
  <c r="G206" i="2"/>
  <c r="P206" i="2" s="1"/>
  <c r="I205" i="2"/>
  <c r="G205" i="2"/>
  <c r="P205" i="2" s="1"/>
  <c r="I204" i="2"/>
  <c r="G204" i="2"/>
  <c r="P204" i="2" s="1"/>
  <c r="I203" i="2"/>
  <c r="G203" i="2"/>
  <c r="P203" i="2" s="1"/>
  <c r="I202" i="2"/>
  <c r="G202" i="2"/>
  <c r="P202" i="2" s="1"/>
  <c r="I200" i="2"/>
  <c r="G200" i="2"/>
  <c r="P200" i="2" s="1"/>
  <c r="I199" i="2"/>
  <c r="G199" i="2"/>
  <c r="P199" i="2" s="1"/>
  <c r="I198" i="2"/>
  <c r="G198" i="2"/>
  <c r="P198" i="2" s="1"/>
  <c r="I197" i="2"/>
  <c r="G197" i="2"/>
  <c r="P197" i="2" s="1"/>
  <c r="I196" i="2"/>
  <c r="G196" i="2"/>
  <c r="P196" i="2" s="1"/>
  <c r="I195" i="2"/>
  <c r="G195" i="2"/>
  <c r="P195" i="2" s="1"/>
  <c r="I194" i="2"/>
  <c r="G194" i="2"/>
  <c r="P194" i="2" s="1"/>
  <c r="I193" i="2"/>
  <c r="G193" i="2"/>
  <c r="P193" i="2" s="1"/>
  <c r="I192" i="2"/>
  <c r="G192" i="2"/>
  <c r="P192" i="2" s="1"/>
  <c r="I191" i="2"/>
  <c r="G191" i="2"/>
  <c r="P191" i="2" s="1"/>
  <c r="I190" i="2"/>
  <c r="G190" i="2"/>
  <c r="P190" i="2" s="1"/>
  <c r="I189" i="2"/>
  <c r="G189" i="2"/>
  <c r="P189" i="2" s="1"/>
  <c r="I187" i="2"/>
  <c r="G187" i="2"/>
  <c r="P187" i="2" s="1"/>
  <c r="I186" i="2"/>
  <c r="G186" i="2"/>
  <c r="P186" i="2" s="1"/>
  <c r="I185" i="2"/>
  <c r="G185" i="2"/>
  <c r="P185" i="2" s="1"/>
  <c r="I184" i="2"/>
  <c r="G184" i="2"/>
  <c r="P184" i="2" s="1"/>
  <c r="I183" i="2"/>
  <c r="G183" i="2"/>
  <c r="P183" i="2" s="1"/>
  <c r="I182" i="2"/>
  <c r="G182" i="2"/>
  <c r="P182" i="2" s="1"/>
  <c r="I181" i="2"/>
  <c r="G181" i="2"/>
  <c r="P181" i="2" s="1"/>
  <c r="I180" i="2"/>
  <c r="G180" i="2"/>
  <c r="P180" i="2" s="1"/>
  <c r="I179" i="2"/>
  <c r="G179" i="2"/>
  <c r="P179" i="2" s="1"/>
  <c r="I178" i="2"/>
  <c r="G178" i="2"/>
  <c r="P178" i="2" s="1"/>
  <c r="I177" i="2"/>
  <c r="G177" i="2"/>
  <c r="P177" i="2" s="1"/>
  <c r="I176" i="2"/>
  <c r="G176" i="2"/>
  <c r="P176" i="2" s="1"/>
  <c r="I174" i="2"/>
  <c r="G174" i="2"/>
  <c r="P174" i="2" s="1"/>
  <c r="I173" i="2"/>
  <c r="G173" i="2"/>
  <c r="P173" i="2" s="1"/>
  <c r="I172" i="2"/>
  <c r="G172" i="2"/>
  <c r="P172" i="2" s="1"/>
  <c r="I171" i="2"/>
  <c r="G171" i="2"/>
  <c r="P171" i="2" s="1"/>
  <c r="I170" i="2"/>
  <c r="G170" i="2"/>
  <c r="P170" i="2" s="1"/>
  <c r="I169" i="2"/>
  <c r="G169" i="2"/>
  <c r="P169" i="2" s="1"/>
  <c r="I168" i="2"/>
  <c r="G168" i="2"/>
  <c r="P168" i="2" s="1"/>
  <c r="I167" i="2"/>
  <c r="G167" i="2"/>
  <c r="P167" i="2" s="1"/>
  <c r="I166" i="2"/>
  <c r="G166" i="2"/>
  <c r="P166" i="2" s="1"/>
  <c r="I165" i="2"/>
  <c r="G165" i="2"/>
  <c r="P165" i="2" s="1"/>
  <c r="I164" i="2"/>
  <c r="G164" i="2"/>
  <c r="P164" i="2" s="1"/>
  <c r="I163" i="2"/>
  <c r="G163" i="2"/>
  <c r="P163" i="2" s="1"/>
  <c r="I162" i="2"/>
  <c r="G162" i="2"/>
  <c r="P162" i="2" s="1"/>
  <c r="I158" i="2"/>
  <c r="G158" i="2"/>
  <c r="P158" i="2" s="1"/>
  <c r="I157" i="2"/>
  <c r="G157" i="2"/>
  <c r="P157" i="2" s="1"/>
  <c r="I156" i="2"/>
  <c r="G156" i="2"/>
  <c r="P156" i="2" s="1"/>
  <c r="I154" i="2"/>
  <c r="G154" i="2"/>
  <c r="P154" i="2" s="1"/>
  <c r="I153" i="2"/>
  <c r="G153" i="2"/>
  <c r="P153" i="2" s="1"/>
  <c r="I152" i="2"/>
  <c r="G152" i="2"/>
  <c r="P152" i="2" s="1"/>
  <c r="I150" i="2"/>
  <c r="I149" i="2" s="1"/>
  <c r="G150" i="2"/>
  <c r="I148" i="2"/>
  <c r="G148" i="2"/>
  <c r="P148" i="2" s="1"/>
  <c r="I147" i="2"/>
  <c r="G147" i="2"/>
  <c r="P147" i="2" s="1"/>
  <c r="I146" i="2"/>
  <c r="G146" i="2"/>
  <c r="P146" i="2" s="1"/>
  <c r="I145" i="2"/>
  <c r="G145" i="2"/>
  <c r="P145" i="2" s="1"/>
  <c r="I144" i="2"/>
  <c r="G144" i="2"/>
  <c r="P144" i="2" s="1"/>
  <c r="I143" i="2"/>
  <c r="G143" i="2"/>
  <c r="P143" i="2" s="1"/>
  <c r="I142" i="2"/>
  <c r="G142" i="2"/>
  <c r="P142" i="2" s="1"/>
  <c r="I141" i="2"/>
  <c r="G141" i="2"/>
  <c r="P141" i="2" s="1"/>
  <c r="I140" i="2"/>
  <c r="G140" i="2"/>
  <c r="P140" i="2" s="1"/>
  <c r="I139" i="2"/>
  <c r="G139" i="2"/>
  <c r="P139" i="2" s="1"/>
  <c r="I138" i="2"/>
  <c r="G138" i="2"/>
  <c r="P138" i="2" s="1"/>
  <c r="I137" i="2"/>
  <c r="G137" i="2"/>
  <c r="P137" i="2" s="1"/>
  <c r="I136" i="2"/>
  <c r="G136" i="2"/>
  <c r="P136" i="2" s="1"/>
  <c r="I134" i="2"/>
  <c r="G134" i="2"/>
  <c r="P134" i="2" s="1"/>
  <c r="I133" i="2"/>
  <c r="G133" i="2"/>
  <c r="P133" i="2" s="1"/>
  <c r="I130" i="2"/>
  <c r="I129" i="2" s="1"/>
  <c r="G130" i="2"/>
  <c r="I128" i="2"/>
  <c r="G128" i="2"/>
  <c r="P128" i="2" s="1"/>
  <c r="I127" i="2"/>
  <c r="G127" i="2"/>
  <c r="P127" i="2" s="1"/>
  <c r="I126" i="2"/>
  <c r="G126" i="2"/>
  <c r="P126" i="2" s="1"/>
  <c r="I125" i="2"/>
  <c r="G125" i="2"/>
  <c r="P125" i="2" s="1"/>
  <c r="I124" i="2"/>
  <c r="G124" i="2"/>
  <c r="P124" i="2" s="1"/>
  <c r="I123" i="2"/>
  <c r="G123" i="2"/>
  <c r="P123" i="2" s="1"/>
  <c r="I122" i="2"/>
  <c r="G122" i="2"/>
  <c r="P122" i="2" s="1"/>
  <c r="I121" i="2"/>
  <c r="G121" i="2"/>
  <c r="P121" i="2" s="1"/>
  <c r="I120" i="2"/>
  <c r="G120" i="2"/>
  <c r="P120" i="2" s="1"/>
  <c r="I119" i="2"/>
  <c r="G119" i="2"/>
  <c r="P119" i="2" s="1"/>
  <c r="I118" i="2"/>
  <c r="G118" i="2"/>
  <c r="P118" i="2" s="1"/>
  <c r="I116" i="2"/>
  <c r="G116" i="2"/>
  <c r="P116" i="2" s="1"/>
  <c r="I115" i="2"/>
  <c r="G115" i="2"/>
  <c r="P115" i="2" s="1"/>
  <c r="I114" i="2"/>
  <c r="G114" i="2"/>
  <c r="P114" i="2" s="1"/>
  <c r="I113" i="2"/>
  <c r="G113" i="2"/>
  <c r="P113" i="2" s="1"/>
  <c r="I112" i="2"/>
  <c r="G112" i="2"/>
  <c r="P112" i="2" s="1"/>
  <c r="I111" i="2"/>
  <c r="G111" i="2"/>
  <c r="P111" i="2" s="1"/>
  <c r="I107" i="2"/>
  <c r="G107" i="2"/>
  <c r="P107" i="2" s="1"/>
  <c r="I106" i="2"/>
  <c r="G106" i="2"/>
  <c r="P106" i="2" s="1"/>
  <c r="I105" i="2"/>
  <c r="G105" i="2"/>
  <c r="P105" i="2" s="1"/>
  <c r="I103" i="2"/>
  <c r="G103" i="2"/>
  <c r="P103" i="2" s="1"/>
  <c r="I102" i="2"/>
  <c r="P102" i="2"/>
  <c r="I101" i="2"/>
  <c r="P101" i="2"/>
  <c r="I99" i="2"/>
  <c r="I98" i="2" s="1"/>
  <c r="G99" i="2"/>
  <c r="I97" i="2"/>
  <c r="G97" i="2"/>
  <c r="P97" i="2" s="1"/>
  <c r="I96" i="2"/>
  <c r="G96" i="2"/>
  <c r="P96" i="2" s="1"/>
  <c r="I95" i="2"/>
  <c r="G95" i="2"/>
  <c r="P95" i="2" s="1"/>
  <c r="I94" i="2"/>
  <c r="G94" i="2"/>
  <c r="P94" i="2" s="1"/>
  <c r="I93" i="2"/>
  <c r="G93" i="2"/>
  <c r="P93" i="2" s="1"/>
  <c r="I92" i="2"/>
  <c r="G92" i="2"/>
  <c r="P92" i="2" s="1"/>
  <c r="I91" i="2"/>
  <c r="G91" i="2"/>
  <c r="P91" i="2" s="1"/>
  <c r="I90" i="2"/>
  <c r="G90" i="2"/>
  <c r="P90" i="2" s="1"/>
  <c r="I89" i="2"/>
  <c r="G89" i="2"/>
  <c r="P89" i="2" s="1"/>
  <c r="I88" i="2"/>
  <c r="G88" i="2"/>
  <c r="P88" i="2" s="1"/>
  <c r="I87" i="2"/>
  <c r="G87" i="2"/>
  <c r="P87" i="2" s="1"/>
  <c r="I86" i="2"/>
  <c r="G86" i="2"/>
  <c r="P86" i="2" s="1"/>
  <c r="I85" i="2"/>
  <c r="G85" i="2"/>
  <c r="P85" i="2" s="1"/>
  <c r="I83" i="2"/>
  <c r="G83" i="2"/>
  <c r="P83" i="2" s="1"/>
  <c r="I82" i="2"/>
  <c r="G82" i="2"/>
  <c r="P82" i="2" s="1"/>
  <c r="I79" i="2"/>
  <c r="G79" i="2"/>
  <c r="P79" i="2" s="1"/>
  <c r="I78" i="2"/>
  <c r="G78" i="2"/>
  <c r="P78" i="2" s="1"/>
  <c r="I76" i="2"/>
  <c r="G76" i="2"/>
  <c r="P76" i="2" s="1"/>
  <c r="I75" i="2"/>
  <c r="G75" i="2"/>
  <c r="P75" i="2" s="1"/>
  <c r="I74" i="2"/>
  <c r="G74" i="2"/>
  <c r="P74" i="2" s="1"/>
  <c r="I73" i="2"/>
  <c r="G73" i="2"/>
  <c r="P73" i="2" s="1"/>
  <c r="I72" i="2"/>
  <c r="P72" i="2"/>
  <c r="I71" i="2"/>
  <c r="G71" i="2"/>
  <c r="P71" i="2" s="1"/>
  <c r="I70" i="2"/>
  <c r="G70" i="2"/>
  <c r="P70" i="2" s="1"/>
  <c r="I69" i="2"/>
  <c r="G69" i="2"/>
  <c r="P69" i="2" s="1"/>
  <c r="I68" i="2"/>
  <c r="G68" i="2"/>
  <c r="P68" i="2" s="1"/>
  <c r="I67" i="2"/>
  <c r="G67" i="2"/>
  <c r="P67" i="2" s="1"/>
  <c r="I66" i="2"/>
  <c r="G66" i="2"/>
  <c r="P66" i="2" s="1"/>
  <c r="I65" i="2"/>
  <c r="G65" i="2"/>
  <c r="P65" i="2" s="1"/>
  <c r="I64" i="2"/>
  <c r="G64" i="2"/>
  <c r="P64" i="2" s="1"/>
  <c r="I63" i="2"/>
  <c r="G63" i="2"/>
  <c r="P63" i="2" s="1"/>
  <c r="I62" i="2"/>
  <c r="G62" i="2"/>
  <c r="P62" i="2" s="1"/>
  <c r="I61" i="2"/>
  <c r="G61" i="2"/>
  <c r="P61" i="2" s="1"/>
  <c r="I60" i="2"/>
  <c r="G60" i="2"/>
  <c r="P60" i="2" s="1"/>
  <c r="I59" i="2"/>
  <c r="G59" i="2"/>
  <c r="P59" i="2" s="1"/>
  <c r="I57" i="2"/>
  <c r="I56" i="2" s="1"/>
  <c r="G57" i="2"/>
  <c r="I55" i="2"/>
  <c r="P55" i="2"/>
  <c r="I54" i="2"/>
  <c r="P54" i="2"/>
  <c r="I53" i="2"/>
  <c r="P53" i="2"/>
  <c r="I52" i="2"/>
  <c r="G52" i="2"/>
  <c r="P52" i="2" s="1"/>
  <c r="I51" i="2"/>
  <c r="G51" i="2"/>
  <c r="P51" i="2" s="1"/>
  <c r="I50" i="2"/>
  <c r="G50" i="2"/>
  <c r="P50" i="2" s="1"/>
  <c r="I49" i="2"/>
  <c r="G49" i="2"/>
  <c r="P49" i="2" s="1"/>
  <c r="I47" i="2"/>
  <c r="G47" i="2"/>
  <c r="P47" i="2" s="1"/>
  <c r="I46" i="2"/>
  <c r="G46" i="2"/>
  <c r="P46" i="2" s="1"/>
  <c r="I45" i="2"/>
  <c r="G45" i="2"/>
  <c r="P45" i="2" s="1"/>
  <c r="I44" i="2"/>
  <c r="G44" i="2"/>
  <c r="P44" i="2" s="1"/>
  <c r="I43" i="2"/>
  <c r="G43" i="2"/>
  <c r="P43" i="2" s="1"/>
  <c r="I42" i="2"/>
  <c r="G42" i="2"/>
  <c r="P42" i="2" s="1"/>
  <c r="I41" i="2"/>
  <c r="P41" i="2"/>
  <c r="I40" i="2"/>
  <c r="G40" i="2"/>
  <c r="P40" i="2" s="1"/>
  <c r="I39" i="2"/>
  <c r="P39" i="2"/>
  <c r="I38" i="2"/>
  <c r="G38" i="2"/>
  <c r="P38" i="2" s="1"/>
  <c r="I37" i="2"/>
  <c r="G37" i="2"/>
  <c r="P37" i="2" s="1"/>
  <c r="I36" i="2"/>
  <c r="G36" i="2"/>
  <c r="P36" i="2" s="1"/>
  <c r="I35" i="2"/>
  <c r="G35" i="2"/>
  <c r="P35" i="2" s="1"/>
  <c r="G34" i="2"/>
  <c r="P34" i="2" s="1"/>
  <c r="I30" i="2"/>
  <c r="G30" i="2"/>
  <c r="P30" i="2" s="1"/>
  <c r="I29" i="2"/>
  <c r="G29" i="2"/>
  <c r="P29" i="2" s="1"/>
  <c r="I28" i="2"/>
  <c r="G28" i="2"/>
  <c r="P28" i="2" s="1"/>
  <c r="I27" i="2"/>
  <c r="G27" i="2"/>
  <c r="P27" i="2" s="1"/>
  <c r="I26" i="2"/>
  <c r="G26" i="2"/>
  <c r="I25" i="2"/>
  <c r="G25" i="2"/>
  <c r="P25" i="2" s="1"/>
  <c r="I23" i="2"/>
  <c r="G23" i="2"/>
  <c r="P23" i="2" s="1"/>
  <c r="I22" i="2"/>
  <c r="G22" i="2"/>
  <c r="P22" i="2" s="1"/>
  <c r="I21" i="2"/>
  <c r="G21" i="2"/>
  <c r="I20" i="2"/>
  <c r="G20" i="2"/>
  <c r="P20" i="2" s="1"/>
  <c r="I19" i="2"/>
  <c r="G19" i="2"/>
  <c r="P19" i="2" s="1"/>
  <c r="I18" i="2"/>
  <c r="G18" i="2"/>
  <c r="P18" i="2" s="1"/>
  <c r="I17" i="2"/>
  <c r="G17" i="2"/>
  <c r="F273" i="1"/>
  <c r="E273" i="1"/>
  <c r="C273" i="1"/>
  <c r="B273" i="1"/>
  <c r="F272" i="1"/>
  <c r="E272" i="1"/>
  <c r="C272" i="1"/>
  <c r="B272" i="1"/>
  <c r="F271" i="1"/>
  <c r="C271" i="1"/>
  <c r="B271" i="1"/>
  <c r="F270" i="1"/>
  <c r="E270" i="1"/>
  <c r="C270" i="1"/>
  <c r="B270" i="1"/>
  <c r="F269" i="1"/>
  <c r="E269" i="1"/>
  <c r="C269" i="1"/>
  <c r="B269" i="1"/>
  <c r="F268" i="1"/>
  <c r="E268" i="1"/>
  <c r="C268" i="1"/>
  <c r="B268" i="1"/>
  <c r="F267" i="1"/>
  <c r="E267" i="1"/>
  <c r="C267" i="1"/>
  <c r="B267" i="1"/>
  <c r="F266" i="1"/>
  <c r="E266" i="1"/>
  <c r="C266" i="1"/>
  <c r="B266" i="1"/>
  <c r="F265" i="1"/>
  <c r="E265" i="1"/>
  <c r="C265" i="1"/>
  <c r="B265" i="1"/>
  <c r="F264" i="1"/>
  <c r="E264" i="1"/>
  <c r="C264" i="1"/>
  <c r="B264" i="1"/>
  <c r="F263" i="1"/>
  <c r="E263" i="1"/>
  <c r="C263" i="1"/>
  <c r="B263" i="1"/>
  <c r="F262" i="1"/>
  <c r="C262" i="1"/>
  <c r="B262" i="1"/>
  <c r="F261" i="1"/>
  <c r="E261" i="1"/>
  <c r="C261" i="1"/>
  <c r="B261" i="1"/>
  <c r="F260" i="1"/>
  <c r="E260" i="1"/>
  <c r="C260" i="1"/>
  <c r="B260" i="1"/>
  <c r="F259" i="1"/>
  <c r="E259" i="1"/>
  <c r="C259" i="1"/>
  <c r="B259" i="1"/>
  <c r="F258" i="1"/>
  <c r="E258" i="1"/>
  <c r="C258" i="1"/>
  <c r="B258" i="1"/>
  <c r="F257" i="1"/>
  <c r="E257" i="1"/>
  <c r="C257" i="1"/>
  <c r="B257" i="1"/>
  <c r="F256" i="1"/>
  <c r="E256" i="1"/>
  <c r="C256" i="1"/>
  <c r="B256" i="1"/>
  <c r="F255" i="1"/>
  <c r="C255" i="1"/>
  <c r="B255" i="1"/>
  <c r="F254" i="1"/>
  <c r="C254" i="1"/>
  <c r="B254" i="1"/>
  <c r="F253" i="1"/>
  <c r="E253" i="1"/>
  <c r="C253" i="1"/>
  <c r="B253" i="1"/>
  <c r="F252" i="1"/>
  <c r="E252" i="1"/>
  <c r="C252" i="1"/>
  <c r="B252" i="1"/>
  <c r="F251" i="1"/>
  <c r="E251" i="1"/>
  <c r="C251" i="1"/>
  <c r="B251" i="1"/>
  <c r="F250" i="1"/>
  <c r="E250" i="1"/>
  <c r="C250" i="1"/>
  <c r="B250" i="1"/>
  <c r="F249" i="1"/>
  <c r="E249" i="1"/>
  <c r="C249" i="1"/>
  <c r="B249" i="1"/>
  <c r="F248" i="1"/>
  <c r="E248" i="1"/>
  <c r="C248" i="1"/>
  <c r="B248" i="1"/>
  <c r="F247" i="1"/>
  <c r="E247" i="1"/>
  <c r="C247" i="1"/>
  <c r="B247" i="1"/>
  <c r="F246" i="1"/>
  <c r="E246" i="1"/>
  <c r="C246" i="1"/>
  <c r="B246" i="1"/>
  <c r="F245" i="1"/>
  <c r="E245" i="1"/>
  <c r="C245" i="1"/>
  <c r="B245" i="1"/>
  <c r="F244" i="1"/>
  <c r="E244" i="1"/>
  <c r="C244" i="1"/>
  <c r="B244" i="1"/>
  <c r="F243" i="1"/>
  <c r="E243" i="1"/>
  <c r="C243" i="1"/>
  <c r="B243" i="1"/>
  <c r="F242" i="1"/>
  <c r="E242" i="1"/>
  <c r="C242" i="1"/>
  <c r="B242" i="1"/>
  <c r="F241" i="1"/>
  <c r="E241" i="1"/>
  <c r="C241" i="1"/>
  <c r="B241" i="1"/>
  <c r="F240" i="1"/>
  <c r="C240" i="1"/>
  <c r="B240" i="1"/>
  <c r="F239" i="1"/>
  <c r="E239" i="1"/>
  <c r="C239" i="1"/>
  <c r="B239" i="1"/>
  <c r="F238" i="1"/>
  <c r="E238" i="1"/>
  <c r="C238" i="1"/>
  <c r="B238" i="1"/>
  <c r="F237" i="1"/>
  <c r="E237" i="1"/>
  <c r="C237" i="1"/>
  <c r="B237" i="1"/>
  <c r="F236" i="1"/>
  <c r="E236" i="1"/>
  <c r="C236" i="1"/>
  <c r="B236" i="1"/>
  <c r="F235" i="1"/>
  <c r="E235" i="1"/>
  <c r="C235" i="1"/>
  <c r="B235" i="1"/>
  <c r="F234" i="1"/>
  <c r="E234" i="1"/>
  <c r="C234" i="1"/>
  <c r="B234" i="1"/>
  <c r="F233" i="1"/>
  <c r="E233" i="1"/>
  <c r="C233" i="1"/>
  <c r="B233" i="1"/>
  <c r="F232" i="1"/>
  <c r="E232" i="1"/>
  <c r="C232" i="1"/>
  <c r="B232" i="1"/>
  <c r="F231" i="1"/>
  <c r="E231" i="1"/>
  <c r="C231" i="1"/>
  <c r="B231" i="1"/>
  <c r="F230" i="1"/>
  <c r="E230" i="1"/>
  <c r="C230" i="1"/>
  <c r="B230" i="1"/>
  <c r="F229" i="1"/>
  <c r="E229" i="1"/>
  <c r="C229" i="1"/>
  <c r="B229" i="1"/>
  <c r="F228" i="1"/>
  <c r="E228" i="1"/>
  <c r="C228" i="1"/>
  <c r="B228" i="1"/>
  <c r="F227" i="1"/>
  <c r="E227" i="1"/>
  <c r="C227" i="1"/>
  <c r="B227" i="1"/>
  <c r="F226" i="1"/>
  <c r="C226" i="1"/>
  <c r="B226" i="1"/>
  <c r="F225" i="1"/>
  <c r="E225" i="1"/>
  <c r="C225" i="1"/>
  <c r="B225" i="1"/>
  <c r="F224" i="1"/>
  <c r="E224" i="1"/>
  <c r="C224" i="1"/>
  <c r="B224" i="1"/>
  <c r="F223" i="1"/>
  <c r="E223" i="1"/>
  <c r="C223" i="1"/>
  <c r="B223" i="1"/>
  <c r="F222" i="1"/>
  <c r="E222" i="1"/>
  <c r="C222" i="1"/>
  <c r="B222" i="1"/>
  <c r="F221" i="1"/>
  <c r="E221" i="1"/>
  <c r="C221" i="1"/>
  <c r="B221" i="1"/>
  <c r="F220" i="1"/>
  <c r="E220" i="1"/>
  <c r="C220" i="1"/>
  <c r="B220" i="1"/>
  <c r="F219" i="1"/>
  <c r="E219" i="1"/>
  <c r="C219" i="1"/>
  <c r="B219" i="1"/>
  <c r="F218" i="1"/>
  <c r="E218" i="1"/>
  <c r="C218" i="1"/>
  <c r="B218" i="1"/>
  <c r="F217" i="1"/>
  <c r="E217" i="1"/>
  <c r="C217" i="1"/>
  <c r="B217" i="1"/>
  <c r="F216" i="1"/>
  <c r="E216" i="1"/>
  <c r="C216" i="1"/>
  <c r="B216" i="1"/>
  <c r="F215" i="1"/>
  <c r="E215" i="1"/>
  <c r="C215" i="1"/>
  <c r="B215" i="1"/>
  <c r="F214" i="1"/>
  <c r="E214" i="1"/>
  <c r="C214" i="1"/>
  <c r="B214" i="1"/>
  <c r="F213" i="1"/>
  <c r="E213" i="1"/>
  <c r="C213" i="1"/>
  <c r="B213" i="1"/>
  <c r="F212" i="1"/>
  <c r="C212" i="1"/>
  <c r="B212" i="1"/>
  <c r="F211" i="1"/>
  <c r="E211" i="1"/>
  <c r="C211" i="1"/>
  <c r="B211" i="1"/>
  <c r="F210" i="1"/>
  <c r="E210" i="1"/>
  <c r="C210" i="1"/>
  <c r="B210" i="1"/>
  <c r="F209" i="1"/>
  <c r="E209" i="1"/>
  <c r="C209" i="1"/>
  <c r="B209" i="1"/>
  <c r="F208" i="1"/>
  <c r="E208" i="1"/>
  <c r="C208" i="1"/>
  <c r="B208" i="1"/>
  <c r="F207" i="1"/>
  <c r="E207" i="1"/>
  <c r="C207" i="1"/>
  <c r="B207" i="1"/>
  <c r="F206" i="1"/>
  <c r="E206" i="1"/>
  <c r="C206" i="1"/>
  <c r="B206" i="1"/>
  <c r="F205" i="1"/>
  <c r="E205" i="1"/>
  <c r="C205" i="1"/>
  <c r="B205" i="1"/>
  <c r="F204" i="1"/>
  <c r="E204" i="1"/>
  <c r="C204" i="1"/>
  <c r="B204" i="1"/>
  <c r="F203" i="1"/>
  <c r="E203" i="1"/>
  <c r="C203" i="1"/>
  <c r="B203" i="1"/>
  <c r="F202" i="1"/>
  <c r="E202" i="1"/>
  <c r="C202" i="1"/>
  <c r="B202" i="1"/>
  <c r="F201" i="1"/>
  <c r="E201" i="1"/>
  <c r="C201" i="1"/>
  <c r="B201" i="1"/>
  <c r="F200" i="1"/>
  <c r="E200" i="1"/>
  <c r="C200" i="1"/>
  <c r="B200" i="1"/>
  <c r="F199" i="1"/>
  <c r="E199" i="1"/>
  <c r="C199" i="1"/>
  <c r="B199" i="1"/>
  <c r="F198" i="1"/>
  <c r="C198" i="1"/>
  <c r="B198" i="1"/>
  <c r="F197" i="1"/>
  <c r="E197" i="1"/>
  <c r="C197" i="1"/>
  <c r="B197" i="1"/>
  <c r="F196" i="1"/>
  <c r="E196" i="1"/>
  <c r="C196" i="1"/>
  <c r="B196" i="1"/>
  <c r="F195" i="1"/>
  <c r="E195" i="1"/>
  <c r="C195" i="1"/>
  <c r="B195" i="1"/>
  <c r="F194" i="1"/>
  <c r="E194" i="1"/>
  <c r="C194" i="1"/>
  <c r="B194" i="1"/>
  <c r="F193" i="1"/>
  <c r="E193" i="1"/>
  <c r="C193" i="1"/>
  <c r="B193" i="1"/>
  <c r="F192" i="1"/>
  <c r="E192" i="1"/>
  <c r="C192" i="1"/>
  <c r="B192" i="1"/>
  <c r="F191" i="1"/>
  <c r="E191" i="1"/>
  <c r="C191" i="1"/>
  <c r="B191" i="1"/>
  <c r="F190" i="1"/>
  <c r="E190" i="1"/>
  <c r="C190" i="1"/>
  <c r="B190" i="1"/>
  <c r="F189" i="1"/>
  <c r="E189" i="1"/>
  <c r="C189" i="1"/>
  <c r="B189" i="1"/>
  <c r="F188" i="1"/>
  <c r="E188" i="1"/>
  <c r="C188" i="1"/>
  <c r="B188" i="1"/>
  <c r="F187" i="1"/>
  <c r="E187" i="1"/>
  <c r="C187" i="1"/>
  <c r="B187" i="1"/>
  <c r="F186" i="1"/>
  <c r="E186" i="1"/>
  <c r="C186" i="1"/>
  <c r="F185" i="1"/>
  <c r="C185" i="1"/>
  <c r="B185" i="1"/>
  <c r="F184" i="1"/>
  <c r="E184" i="1"/>
  <c r="C184" i="1"/>
  <c r="B184" i="1"/>
  <c r="F183" i="1"/>
  <c r="E183" i="1"/>
  <c r="C183" i="1"/>
  <c r="B183" i="1"/>
  <c r="F182" i="1"/>
  <c r="E182" i="1"/>
  <c r="C182" i="1"/>
  <c r="B182" i="1"/>
  <c r="F181" i="1"/>
  <c r="E181" i="1"/>
  <c r="C181" i="1"/>
  <c r="B181" i="1"/>
  <c r="F180" i="1"/>
  <c r="E180" i="1"/>
  <c r="C180" i="1"/>
  <c r="B180" i="1"/>
  <c r="F179" i="1"/>
  <c r="E179" i="1"/>
  <c r="C179" i="1"/>
  <c r="B179" i="1"/>
  <c r="F178" i="1"/>
  <c r="E178" i="1"/>
  <c r="C178" i="1"/>
  <c r="B178" i="1"/>
  <c r="F177" i="1"/>
  <c r="E177" i="1"/>
  <c r="C177" i="1"/>
  <c r="B177" i="1"/>
  <c r="F176" i="1"/>
  <c r="E176" i="1"/>
  <c r="C176" i="1"/>
  <c r="B176" i="1"/>
  <c r="F175" i="1"/>
  <c r="E175" i="1"/>
  <c r="C175" i="1"/>
  <c r="B175" i="1"/>
  <c r="F174" i="1"/>
  <c r="E174" i="1"/>
  <c r="C174" i="1"/>
  <c r="B174" i="1"/>
  <c r="F173" i="1"/>
  <c r="E173" i="1"/>
  <c r="C173" i="1"/>
  <c r="B173" i="1"/>
  <c r="F172" i="1"/>
  <c r="C172" i="1"/>
  <c r="B172" i="1"/>
  <c r="F171" i="1"/>
  <c r="E171" i="1"/>
  <c r="C171" i="1"/>
  <c r="B171" i="1"/>
  <c r="F170" i="1"/>
  <c r="E170" i="1"/>
  <c r="C170" i="1"/>
  <c r="B170" i="1"/>
  <c r="F169" i="1"/>
  <c r="E169" i="1"/>
  <c r="C169" i="1"/>
  <c r="B169" i="1"/>
  <c r="F168" i="1"/>
  <c r="E168" i="1"/>
  <c r="C168" i="1"/>
  <c r="B168" i="1"/>
  <c r="F167" i="1"/>
  <c r="E167" i="1"/>
  <c r="C167" i="1"/>
  <c r="B167" i="1"/>
  <c r="F166" i="1"/>
  <c r="E166" i="1"/>
  <c r="C166" i="1"/>
  <c r="B166" i="1"/>
  <c r="F165" i="1"/>
  <c r="E165" i="1"/>
  <c r="C165" i="1"/>
  <c r="B165" i="1"/>
  <c r="F164" i="1"/>
  <c r="E164" i="1"/>
  <c r="C164" i="1"/>
  <c r="B164" i="1"/>
  <c r="F163" i="1"/>
  <c r="E163" i="1"/>
  <c r="C163" i="1"/>
  <c r="B163" i="1"/>
  <c r="F162" i="1"/>
  <c r="E162" i="1"/>
  <c r="C162" i="1"/>
  <c r="B162" i="1"/>
  <c r="F161" i="1"/>
  <c r="E161" i="1"/>
  <c r="C161" i="1"/>
  <c r="B161" i="1"/>
  <c r="F160" i="1"/>
  <c r="E160" i="1"/>
  <c r="C160" i="1"/>
  <c r="B160" i="1"/>
  <c r="F159" i="1"/>
  <c r="E159" i="1"/>
  <c r="C159" i="1"/>
  <c r="B159" i="1"/>
  <c r="F158" i="1"/>
  <c r="C158" i="1"/>
  <c r="B158" i="1"/>
  <c r="F157" i="1"/>
  <c r="C157" i="1"/>
  <c r="B157" i="1"/>
  <c r="F156" i="1"/>
  <c r="E156" i="1"/>
  <c r="C156" i="1"/>
  <c r="B156" i="1"/>
  <c r="F155" i="1"/>
  <c r="E155" i="1"/>
  <c r="C155" i="1"/>
  <c r="B155" i="1"/>
  <c r="F154" i="1"/>
  <c r="E154" i="1"/>
  <c r="C154" i="1"/>
  <c r="B154" i="1"/>
  <c r="F153" i="1"/>
  <c r="C153" i="1"/>
  <c r="B153" i="1"/>
  <c r="F152" i="1"/>
  <c r="E152" i="1"/>
  <c r="C152" i="1"/>
  <c r="B152" i="1"/>
  <c r="F151" i="1"/>
  <c r="E151" i="1"/>
  <c r="C151" i="1"/>
  <c r="B151" i="1"/>
  <c r="F150" i="1"/>
  <c r="E150" i="1"/>
  <c r="C150" i="1"/>
  <c r="B150" i="1"/>
  <c r="F149" i="1"/>
  <c r="C149" i="1"/>
  <c r="B149" i="1"/>
  <c r="F148" i="1"/>
  <c r="E148" i="1"/>
  <c r="C148" i="1"/>
  <c r="B148" i="1"/>
  <c r="F147" i="1"/>
  <c r="C147" i="1"/>
  <c r="B147" i="1"/>
  <c r="F146" i="1"/>
  <c r="E146" i="1"/>
  <c r="C146" i="1"/>
  <c r="B146" i="1"/>
  <c r="F145" i="1"/>
  <c r="E145" i="1"/>
  <c r="C145" i="1"/>
  <c r="B145" i="1"/>
  <c r="F144" i="1"/>
  <c r="E144" i="1"/>
  <c r="C144" i="1"/>
  <c r="B144" i="1"/>
  <c r="F143" i="1"/>
  <c r="E143" i="1"/>
  <c r="C143" i="1"/>
  <c r="B143" i="1"/>
  <c r="F142" i="1"/>
  <c r="E142" i="1"/>
  <c r="C142" i="1"/>
  <c r="B142" i="1"/>
  <c r="F141" i="1"/>
  <c r="E141" i="1"/>
  <c r="C141" i="1"/>
  <c r="B141" i="1"/>
  <c r="F140" i="1"/>
  <c r="E140" i="1"/>
  <c r="C140" i="1"/>
  <c r="B140" i="1"/>
  <c r="F139" i="1"/>
  <c r="E139" i="1"/>
  <c r="C139" i="1"/>
  <c r="B139" i="1"/>
  <c r="F138" i="1"/>
  <c r="E138" i="1"/>
  <c r="C138" i="1"/>
  <c r="B138" i="1"/>
  <c r="F137" i="1"/>
  <c r="E137" i="1"/>
  <c r="C137" i="1"/>
  <c r="B137" i="1"/>
  <c r="F136" i="1"/>
  <c r="E136" i="1"/>
  <c r="C136" i="1"/>
  <c r="F135" i="1"/>
  <c r="E135" i="1"/>
  <c r="C135" i="1"/>
  <c r="F134" i="1"/>
  <c r="E134" i="1"/>
  <c r="C134" i="1"/>
  <c r="F133" i="1"/>
  <c r="C133" i="1"/>
  <c r="B133" i="1"/>
  <c r="F132" i="1"/>
  <c r="E132" i="1"/>
  <c r="C132" i="1"/>
  <c r="B132" i="1"/>
  <c r="F131" i="1"/>
  <c r="E131" i="1"/>
  <c r="C131" i="1"/>
  <c r="B131" i="1"/>
  <c r="G130" i="1"/>
  <c r="F130" i="1"/>
  <c r="C130" i="1"/>
  <c r="B130" i="1"/>
  <c r="G129" i="1"/>
  <c r="F129" i="1"/>
  <c r="C129" i="1"/>
  <c r="B129" i="1"/>
  <c r="F128" i="1"/>
  <c r="E128" i="1"/>
  <c r="C128" i="1"/>
  <c r="B128" i="1"/>
  <c r="F127" i="1"/>
  <c r="C127" i="1"/>
  <c r="B127" i="1"/>
  <c r="F126" i="1"/>
  <c r="E126" i="1"/>
  <c r="C126" i="1"/>
  <c r="B126" i="1"/>
  <c r="F125" i="1"/>
  <c r="E125" i="1"/>
  <c r="C125" i="1"/>
  <c r="B125" i="1"/>
  <c r="F124" i="1"/>
  <c r="E124" i="1"/>
  <c r="C124" i="1"/>
  <c r="B124" i="1"/>
  <c r="F123" i="1"/>
  <c r="E123" i="1"/>
  <c r="C123" i="1"/>
  <c r="B123" i="1"/>
  <c r="F122" i="1"/>
  <c r="E122" i="1"/>
  <c r="C122" i="1"/>
  <c r="B122" i="1"/>
  <c r="F121" i="1"/>
  <c r="E121" i="1"/>
  <c r="C121" i="1"/>
  <c r="B121" i="1"/>
  <c r="F120" i="1"/>
  <c r="E120" i="1"/>
  <c r="C120" i="1"/>
  <c r="B120" i="1"/>
  <c r="F119" i="1"/>
  <c r="E119" i="1"/>
  <c r="C119" i="1"/>
  <c r="F118" i="1"/>
  <c r="E118" i="1"/>
  <c r="C118" i="1"/>
  <c r="B118" i="1"/>
  <c r="F117" i="1"/>
  <c r="E117" i="1"/>
  <c r="C117" i="1"/>
  <c r="B117" i="1"/>
  <c r="F116" i="1"/>
  <c r="E116" i="1"/>
  <c r="C116" i="1"/>
  <c r="B116" i="1"/>
  <c r="F115" i="1"/>
  <c r="C115" i="1"/>
  <c r="B115" i="1"/>
  <c r="F114" i="1"/>
  <c r="E114" i="1"/>
  <c r="C114" i="1"/>
  <c r="B114" i="1"/>
  <c r="F113" i="1"/>
  <c r="E113" i="1"/>
  <c r="C113" i="1"/>
  <c r="B113" i="1"/>
  <c r="F112" i="1"/>
  <c r="E112" i="1"/>
  <c r="C112" i="1"/>
  <c r="B112" i="1"/>
  <c r="F111" i="1"/>
  <c r="E111" i="1"/>
  <c r="C111" i="1"/>
  <c r="B111" i="1"/>
  <c r="F110" i="1"/>
  <c r="E110" i="1"/>
  <c r="C110" i="1"/>
  <c r="B110" i="1"/>
  <c r="F109" i="1"/>
  <c r="E109" i="1"/>
  <c r="C109" i="1"/>
  <c r="B109" i="1"/>
  <c r="F108" i="1"/>
  <c r="C108" i="1"/>
  <c r="B108" i="1"/>
  <c r="F107" i="1"/>
  <c r="C107" i="1"/>
  <c r="B107" i="1"/>
  <c r="F106" i="1"/>
  <c r="E106" i="1"/>
  <c r="C106" i="1"/>
  <c r="B106" i="1"/>
  <c r="F105" i="1"/>
  <c r="E105" i="1"/>
  <c r="C105" i="1"/>
  <c r="B105" i="1"/>
  <c r="F104" i="1"/>
  <c r="E104" i="1"/>
  <c r="C104" i="1"/>
  <c r="B104" i="1"/>
  <c r="F103" i="1"/>
  <c r="C103" i="1"/>
  <c r="B103" i="1"/>
  <c r="F102" i="1"/>
  <c r="E102" i="1"/>
  <c r="C102" i="1"/>
  <c r="B102" i="1"/>
  <c r="F101" i="1"/>
  <c r="E101" i="1"/>
  <c r="C101" i="1"/>
  <c r="B101" i="1"/>
  <c r="F100" i="1"/>
  <c r="E100" i="1"/>
  <c r="C100" i="1"/>
  <c r="B100" i="1"/>
  <c r="F99" i="1"/>
  <c r="C99" i="1"/>
  <c r="B99" i="1"/>
  <c r="F98" i="1"/>
  <c r="E98" i="1"/>
  <c r="C98" i="1"/>
  <c r="B98" i="1"/>
  <c r="F97" i="1"/>
  <c r="C97" i="1"/>
  <c r="B97" i="1"/>
  <c r="F96" i="1"/>
  <c r="E96" i="1"/>
  <c r="C96" i="1"/>
  <c r="B96" i="1"/>
  <c r="F95" i="1"/>
  <c r="E95" i="1"/>
  <c r="C95" i="1"/>
  <c r="B95" i="1"/>
  <c r="F94" i="1"/>
  <c r="E94" i="1"/>
  <c r="C94" i="1"/>
  <c r="B94" i="1"/>
  <c r="F93" i="1"/>
  <c r="E93" i="1"/>
  <c r="C93" i="1"/>
  <c r="B93" i="1"/>
  <c r="F92" i="1"/>
  <c r="E92" i="1"/>
  <c r="C92" i="1"/>
  <c r="B92" i="1"/>
  <c r="F91" i="1"/>
  <c r="E91" i="1"/>
  <c r="C91" i="1"/>
  <c r="B91" i="1"/>
  <c r="F90" i="1"/>
  <c r="E90" i="1"/>
  <c r="C90" i="1"/>
  <c r="B90" i="1"/>
  <c r="F89" i="1"/>
  <c r="E89" i="1"/>
  <c r="C89" i="1"/>
  <c r="B89" i="1"/>
  <c r="F88" i="1"/>
  <c r="E88" i="1"/>
  <c r="C88" i="1"/>
  <c r="B88" i="1"/>
  <c r="F87" i="1"/>
  <c r="E87" i="1"/>
  <c r="C87" i="1"/>
  <c r="B87" i="1"/>
  <c r="F86" i="1"/>
  <c r="E86" i="1"/>
  <c r="C86" i="1"/>
  <c r="B86" i="1"/>
  <c r="F85" i="1"/>
  <c r="E85" i="1"/>
  <c r="C85" i="1"/>
  <c r="B85" i="1"/>
  <c r="F84" i="1"/>
  <c r="E84" i="1"/>
  <c r="C84" i="1"/>
  <c r="B84" i="1"/>
  <c r="F83" i="1"/>
  <c r="C83" i="1"/>
  <c r="F82" i="1"/>
  <c r="E82" i="1"/>
  <c r="C82" i="1"/>
  <c r="B82" i="1"/>
  <c r="F81" i="1"/>
  <c r="E81" i="1"/>
  <c r="C81" i="1"/>
  <c r="B81" i="1"/>
  <c r="F80" i="1"/>
  <c r="C80" i="1"/>
  <c r="B80" i="1"/>
  <c r="F79" i="1"/>
  <c r="C79" i="1"/>
  <c r="B79" i="1"/>
  <c r="F78" i="1"/>
  <c r="E78" i="1"/>
  <c r="C78" i="1"/>
  <c r="F77" i="1"/>
  <c r="E77" i="1"/>
  <c r="C77" i="1"/>
  <c r="B77" i="1"/>
  <c r="F76" i="1"/>
  <c r="C76" i="1"/>
  <c r="B76" i="1"/>
  <c r="F75" i="1"/>
  <c r="E75" i="1"/>
  <c r="C75" i="1"/>
  <c r="B75" i="1"/>
  <c r="F74" i="1"/>
  <c r="E74" i="1"/>
  <c r="C74" i="1"/>
  <c r="B74" i="1"/>
  <c r="F73" i="1"/>
  <c r="E73" i="1"/>
  <c r="C73" i="1"/>
  <c r="B73" i="1"/>
  <c r="F72" i="1"/>
  <c r="E72" i="1"/>
  <c r="C72" i="1"/>
  <c r="B72" i="1"/>
  <c r="F71" i="1"/>
  <c r="E71" i="1"/>
  <c r="C71" i="1"/>
  <c r="B71" i="1"/>
  <c r="F70" i="1"/>
  <c r="E70" i="1"/>
  <c r="C70" i="1"/>
  <c r="B70" i="1"/>
  <c r="F69" i="1"/>
  <c r="E69" i="1"/>
  <c r="C69" i="1"/>
  <c r="B69" i="1"/>
  <c r="F68" i="1"/>
  <c r="E68" i="1"/>
  <c r="C68" i="1"/>
  <c r="B68" i="1"/>
  <c r="F67" i="1"/>
  <c r="E67" i="1"/>
  <c r="C67" i="1"/>
  <c r="B67" i="1"/>
  <c r="F66" i="1"/>
  <c r="E66" i="1"/>
  <c r="C66" i="1"/>
  <c r="B66" i="1"/>
  <c r="F65" i="1"/>
  <c r="E65" i="1"/>
  <c r="C65" i="1"/>
  <c r="B65" i="1"/>
  <c r="F64" i="1"/>
  <c r="E64" i="1"/>
  <c r="C64" i="1"/>
  <c r="B64" i="1"/>
  <c r="F63" i="1"/>
  <c r="E63" i="1"/>
  <c r="C63" i="1"/>
  <c r="B63" i="1"/>
  <c r="F62" i="1"/>
  <c r="E62" i="1"/>
  <c r="C62" i="1"/>
  <c r="B62" i="1"/>
  <c r="F61" i="1"/>
  <c r="E61" i="1"/>
  <c r="C61" i="1"/>
  <c r="B61" i="1"/>
  <c r="F60" i="1"/>
  <c r="E60" i="1"/>
  <c r="C60" i="1"/>
  <c r="B60" i="1"/>
  <c r="F59" i="1"/>
  <c r="E59" i="1"/>
  <c r="C59" i="1"/>
  <c r="B59" i="1"/>
  <c r="F58" i="1"/>
  <c r="E58" i="1"/>
  <c r="C58" i="1"/>
  <c r="F57" i="1"/>
  <c r="C57" i="1"/>
  <c r="B57" i="1"/>
  <c r="F56" i="1"/>
  <c r="E56" i="1"/>
  <c r="C56" i="1"/>
  <c r="B56" i="1"/>
  <c r="F55" i="1"/>
  <c r="C55" i="1"/>
  <c r="B55" i="1"/>
  <c r="F54" i="1"/>
  <c r="E54" i="1"/>
  <c r="C54" i="1"/>
  <c r="B54" i="1"/>
  <c r="F53" i="1"/>
  <c r="E53" i="1"/>
  <c r="C53" i="1"/>
  <c r="B53" i="1"/>
  <c r="F52" i="1"/>
  <c r="E52" i="1"/>
  <c r="C52" i="1"/>
  <c r="B52" i="1"/>
  <c r="F51" i="1"/>
  <c r="E51" i="1"/>
  <c r="C51" i="1"/>
  <c r="B51" i="1"/>
  <c r="F50" i="1"/>
  <c r="E50" i="1"/>
  <c r="C50" i="1"/>
  <c r="B50" i="1"/>
  <c r="F49" i="1"/>
  <c r="E49" i="1"/>
  <c r="C49" i="1"/>
  <c r="B49" i="1"/>
  <c r="F48" i="1"/>
  <c r="E48" i="1"/>
  <c r="C48" i="1"/>
  <c r="B48" i="1"/>
  <c r="F47" i="1"/>
  <c r="C47" i="1"/>
  <c r="B47" i="1"/>
  <c r="F46" i="1"/>
  <c r="E46" i="1"/>
  <c r="C46" i="1"/>
  <c r="B46" i="1"/>
  <c r="F45" i="1"/>
  <c r="E45" i="1"/>
  <c r="C45" i="1"/>
  <c r="B45" i="1"/>
  <c r="F44" i="1"/>
  <c r="E44" i="1"/>
  <c r="C44" i="1"/>
  <c r="B44" i="1"/>
  <c r="F43" i="1"/>
  <c r="E43" i="1"/>
  <c r="C43" i="1"/>
  <c r="B43" i="1"/>
  <c r="F42" i="1"/>
  <c r="E42" i="1"/>
  <c r="C42" i="1"/>
  <c r="B42" i="1"/>
  <c r="F41" i="1"/>
  <c r="E41" i="1"/>
  <c r="C41" i="1"/>
  <c r="B41" i="1"/>
  <c r="F40" i="1"/>
  <c r="E40" i="1"/>
  <c r="C40" i="1"/>
  <c r="B40" i="1"/>
  <c r="F39" i="1"/>
  <c r="E39" i="1"/>
  <c r="C39" i="1"/>
  <c r="B39" i="1"/>
  <c r="F38" i="1"/>
  <c r="E38" i="1"/>
  <c r="C38" i="1"/>
  <c r="B38" i="1"/>
  <c r="F37" i="1"/>
  <c r="E37" i="1"/>
  <c r="C37" i="1"/>
  <c r="B37" i="1"/>
  <c r="F36" i="1"/>
  <c r="E36" i="1"/>
  <c r="C36" i="1"/>
  <c r="B36" i="1"/>
  <c r="F35" i="1"/>
  <c r="E35" i="1"/>
  <c r="C35" i="1"/>
  <c r="B35" i="1"/>
  <c r="F34" i="1"/>
  <c r="E34" i="1"/>
  <c r="C34" i="1"/>
  <c r="B34" i="1"/>
  <c r="F33" i="1"/>
  <c r="E33" i="1"/>
  <c r="C33" i="1"/>
  <c r="B33" i="1"/>
  <c r="F32" i="1"/>
  <c r="C32" i="1"/>
  <c r="B32" i="1"/>
  <c r="F31" i="1"/>
  <c r="C31" i="1"/>
  <c r="B31" i="1"/>
  <c r="F30" i="1"/>
  <c r="E30" i="1"/>
  <c r="C30" i="1"/>
  <c r="B30" i="1"/>
  <c r="F29" i="1"/>
  <c r="E29" i="1"/>
  <c r="C29" i="1"/>
  <c r="B29" i="1"/>
  <c r="F28" i="1"/>
  <c r="E28" i="1"/>
  <c r="C28" i="1"/>
  <c r="B28" i="1"/>
  <c r="F27" i="1"/>
  <c r="E27" i="1"/>
  <c r="C27" i="1"/>
  <c r="B27" i="1"/>
  <c r="F26" i="1"/>
  <c r="E26" i="1"/>
  <c r="C26" i="1"/>
  <c r="B26" i="1"/>
  <c r="F25" i="1"/>
  <c r="E25" i="1"/>
  <c r="C25" i="1"/>
  <c r="B25" i="1"/>
  <c r="F24" i="1"/>
  <c r="C24" i="1"/>
  <c r="F23" i="1"/>
  <c r="E23" i="1"/>
  <c r="C23" i="1"/>
  <c r="B23" i="1"/>
  <c r="F22" i="1"/>
  <c r="E22" i="1"/>
  <c r="C22" i="1"/>
  <c r="B22" i="1"/>
  <c r="F21" i="1"/>
  <c r="E21" i="1"/>
  <c r="C21" i="1"/>
  <c r="B21" i="1"/>
  <c r="F20" i="1"/>
  <c r="E20" i="1"/>
  <c r="C20" i="1"/>
  <c r="B20" i="1"/>
  <c r="F19" i="1"/>
  <c r="E19" i="1"/>
  <c r="C19" i="1"/>
  <c r="B19" i="1"/>
  <c r="F18" i="1"/>
  <c r="E18" i="1"/>
  <c r="C18" i="1"/>
  <c r="B18" i="1"/>
  <c r="F17" i="1"/>
  <c r="E17" i="1"/>
  <c r="C17" i="1"/>
  <c r="B17" i="1"/>
  <c r="G16" i="1"/>
  <c r="F16" i="1"/>
  <c r="C16" i="1"/>
  <c r="B16" i="1"/>
  <c r="G15" i="1"/>
  <c r="F15" i="1"/>
  <c r="C15" i="1"/>
  <c r="B15" i="1"/>
  <c r="B14" i="1"/>
  <c r="C12" i="1"/>
  <c r="C11" i="1"/>
  <c r="C9" i="1"/>
  <c r="C8" i="1"/>
  <c r="W164" i="3"/>
  <c r="W1813" i="3"/>
  <c r="W3692" i="3"/>
  <c r="W2420" i="3"/>
  <c r="W1632" i="3"/>
  <c r="W2756" i="3"/>
  <c r="W1278" i="3"/>
  <c r="W3694" i="3"/>
  <c r="W355" i="3"/>
  <c r="W163" i="3"/>
  <c r="W3756" i="3"/>
  <c r="W165" i="3"/>
  <c r="W3642" i="3"/>
  <c r="W3927" i="3"/>
  <c r="W2303" i="3"/>
  <c r="W588" i="3"/>
  <c r="W2143" i="3"/>
  <c r="W1631" i="3"/>
  <c r="W1436" i="3"/>
  <c r="W1495" i="3"/>
  <c r="W1784" i="3"/>
  <c r="W1786" i="3"/>
  <c r="W1475" i="3"/>
  <c r="W948" i="3"/>
  <c r="W3940" i="3"/>
  <c r="W556" i="3"/>
  <c r="W278" i="3"/>
  <c r="S3931" i="3" l="1"/>
  <c r="S3933" i="3"/>
  <c r="S3936" i="3"/>
  <c r="S3937" i="3"/>
  <c r="S3932" i="3"/>
  <c r="S3934" i="3"/>
  <c r="S3935" i="3"/>
  <c r="S3938" i="3"/>
  <c r="S3944" i="3"/>
  <c r="S3930" i="3"/>
  <c r="S1775" i="3"/>
  <c r="S4150" i="3"/>
  <c r="S4148" i="3"/>
  <c r="S4149" i="3"/>
  <c r="S1745" i="3"/>
  <c r="S1746" i="3"/>
  <c r="S1747" i="3"/>
  <c r="S1679" i="3"/>
  <c r="S1680" i="3"/>
  <c r="S1678" i="3"/>
  <c r="S3880" i="3"/>
  <c r="S3881" i="3"/>
  <c r="S3882" i="3"/>
  <c r="S3883" i="3"/>
  <c r="S3884" i="3"/>
  <c r="S3885" i="3"/>
  <c r="S3886" i="3"/>
  <c r="S3887" i="3"/>
  <c r="S3888" i="3"/>
  <c r="S3889" i="3"/>
  <c r="S3879" i="3"/>
  <c r="S3893" i="3"/>
  <c r="S3878" i="3"/>
  <c r="S2241" i="3"/>
  <c r="S2243" i="3"/>
  <c r="S2242" i="3"/>
  <c r="S1445" i="3"/>
  <c r="S1467" i="3"/>
  <c r="S1397" i="3"/>
  <c r="S1429" i="3"/>
  <c r="S1360" i="3"/>
  <c r="S1361" i="3"/>
  <c r="S1362" i="3"/>
  <c r="S1363" i="3"/>
  <c r="S1364" i="3"/>
  <c r="S1365" i="3"/>
  <c r="S1366" i="3"/>
  <c r="S1367" i="3"/>
  <c r="S1368" i="3"/>
  <c r="S1369" i="3"/>
  <c r="S1370" i="3"/>
  <c r="S1371" i="3"/>
  <c r="S1372" i="3"/>
  <c r="S1373" i="3"/>
  <c r="S1374" i="3"/>
  <c r="S1375" i="3"/>
  <c r="S1376" i="3"/>
  <c r="S1377" i="3"/>
  <c r="S1378" i="3"/>
  <c r="S1379" i="3"/>
  <c r="S1352" i="3"/>
  <c r="S1353" i="3"/>
  <c r="S1354" i="3"/>
  <c r="S1355" i="3"/>
  <c r="S1356" i="3"/>
  <c r="S1357" i="3"/>
  <c r="S1351" i="3"/>
  <c r="S1165" i="3"/>
  <c r="S1166" i="3"/>
  <c r="S1169" i="3"/>
  <c r="S1167" i="3"/>
  <c r="S1168" i="3"/>
  <c r="S1170" i="3"/>
  <c r="S1157" i="3"/>
  <c r="S1158" i="3"/>
  <c r="S1160" i="3"/>
  <c r="S1162" i="3"/>
  <c r="S1159" i="3"/>
  <c r="S1161" i="3"/>
  <c r="S938" i="3"/>
  <c r="S937" i="3"/>
  <c r="S936" i="3"/>
  <c r="S935" i="3"/>
  <c r="S934" i="3"/>
  <c r="S933" i="3"/>
  <c r="S932" i="3"/>
  <c r="S931" i="3"/>
  <c r="S930" i="3"/>
  <c r="S929" i="3"/>
  <c r="S928" i="3"/>
  <c r="S927" i="3"/>
  <c r="S926" i="3"/>
  <c r="S915" i="3"/>
  <c r="S916" i="3"/>
  <c r="S917" i="3"/>
  <c r="S918" i="3"/>
  <c r="S919" i="3"/>
  <c r="S920" i="3"/>
  <c r="S921" i="3"/>
  <c r="S922" i="3"/>
  <c r="S923" i="3"/>
  <c r="R3117" i="3"/>
  <c r="J196" i="2" s="1"/>
  <c r="L196" i="2" s="1"/>
  <c r="M196" i="2" s="1"/>
  <c r="N196" i="2" s="1"/>
  <c r="P21" i="2"/>
  <c r="S1634" i="3"/>
  <c r="S1636" i="3"/>
  <c r="S1664" i="3"/>
  <c r="S1637" i="3"/>
  <c r="S1665" i="3"/>
  <c r="S1638" i="3"/>
  <c r="S1666" i="3"/>
  <c r="S1639" i="3"/>
  <c r="S1667" i="3"/>
  <c r="S1640" i="3"/>
  <c r="S1668" i="3"/>
  <c r="S1641" i="3"/>
  <c r="S1669" i="3"/>
  <c r="S1642" i="3"/>
  <c r="S1670" i="3"/>
  <c r="S1643" i="3"/>
  <c r="S1671" i="3"/>
  <c r="S1644" i="3"/>
  <c r="S1672" i="3"/>
  <c r="S1645" i="3"/>
  <c r="S1673" i="3"/>
  <c r="S1646" i="3"/>
  <c r="S1674" i="3"/>
  <c r="S1647" i="3"/>
  <c r="S1675" i="3"/>
  <c r="S1648" i="3"/>
  <c r="S1676" i="3"/>
  <c r="S1649" i="3"/>
  <c r="S1677" i="3"/>
  <c r="S1650" i="3"/>
  <c r="S1651" i="3"/>
  <c r="S1652" i="3"/>
  <c r="S1653" i="3"/>
  <c r="S1654" i="3"/>
  <c r="S1655" i="3"/>
  <c r="S1656" i="3"/>
  <c r="S1657" i="3"/>
  <c r="S1658" i="3"/>
  <c r="S1659" i="3"/>
  <c r="S1660" i="3"/>
  <c r="S1661" i="3"/>
  <c r="S1662" i="3"/>
  <c r="S1635" i="3"/>
  <c r="S1663" i="3"/>
  <c r="S1683" i="3"/>
  <c r="S1633" i="3"/>
  <c r="R2328" i="3"/>
  <c r="S2278" i="3"/>
  <c r="S2280" i="3"/>
  <c r="S2279" i="3"/>
  <c r="S2240" i="3"/>
  <c r="S2244" i="3"/>
  <c r="R1507" i="3"/>
  <c r="R1509" i="3" s="1"/>
  <c r="S1494" i="3"/>
  <c r="S1498" i="3"/>
  <c r="S1465" i="3"/>
  <c r="S1466" i="3"/>
  <c r="S1443" i="3"/>
  <c r="S1444" i="3"/>
  <c r="S1425" i="3"/>
  <c r="S1426" i="3"/>
  <c r="S1427" i="3"/>
  <c r="S1428" i="3"/>
  <c r="S1392" i="3"/>
  <c r="S1393" i="3"/>
  <c r="S1394" i="3"/>
  <c r="S1395" i="3"/>
  <c r="S1396" i="3"/>
  <c r="S1350" i="3"/>
  <c r="S1149" i="3"/>
  <c r="S1150" i="3"/>
  <c r="S1151" i="3"/>
  <c r="S1152" i="3"/>
  <c r="S1153" i="3"/>
  <c r="S1154" i="3"/>
  <c r="S1141" i="3"/>
  <c r="S1142" i="3"/>
  <c r="S1143" i="3"/>
  <c r="S1144" i="3"/>
  <c r="S1145" i="3"/>
  <c r="S1146" i="3"/>
  <c r="S900" i="3"/>
  <c r="S902" i="3"/>
  <c r="S903" i="3"/>
  <c r="S912" i="3"/>
  <c r="S901" i="3"/>
  <c r="S904" i="3"/>
  <c r="S905" i="3"/>
  <c r="S906" i="3"/>
  <c r="S907" i="3"/>
  <c r="S908" i="3"/>
  <c r="S909" i="3"/>
  <c r="S910" i="3"/>
  <c r="S911" i="3"/>
  <c r="S889" i="3"/>
  <c r="S890" i="3"/>
  <c r="S893" i="3"/>
  <c r="S891" i="3"/>
  <c r="S892" i="3"/>
  <c r="S894" i="3"/>
  <c r="S895" i="3"/>
  <c r="S896" i="3"/>
  <c r="S897" i="3"/>
  <c r="S309" i="3"/>
  <c r="S337" i="3"/>
  <c r="S321" i="3"/>
  <c r="S327" i="3"/>
  <c r="S329" i="3"/>
  <c r="S332" i="3"/>
  <c r="S335" i="3"/>
  <c r="S310" i="3"/>
  <c r="S338" i="3"/>
  <c r="S311" i="3"/>
  <c r="S339" i="3"/>
  <c r="S312" i="3"/>
  <c r="S340" i="3"/>
  <c r="S313" i="3"/>
  <c r="S341" i="3"/>
  <c r="S314" i="3"/>
  <c r="S342" i="3"/>
  <c r="S315" i="3"/>
  <c r="S343" i="3"/>
  <c r="S316" i="3"/>
  <c r="S344" i="3"/>
  <c r="S317" i="3"/>
  <c r="S345" i="3"/>
  <c r="S318" i="3"/>
  <c r="S319" i="3"/>
  <c r="S320" i="3"/>
  <c r="S323" i="3"/>
  <c r="S325" i="3"/>
  <c r="S326" i="3"/>
  <c r="S328" i="3"/>
  <c r="S330" i="3"/>
  <c r="S333" i="3"/>
  <c r="S322" i="3"/>
  <c r="S324" i="3"/>
  <c r="S331" i="3"/>
  <c r="S334" i="3"/>
  <c r="S336" i="3"/>
  <c r="S984" i="3"/>
  <c r="S981" i="3"/>
  <c r="S980" i="3"/>
  <c r="S979" i="3"/>
  <c r="S983" i="3"/>
  <c r="S982" i="3"/>
  <c r="S2277" i="3"/>
  <c r="S2245" i="3"/>
  <c r="S2239" i="3"/>
  <c r="S1476" i="3"/>
  <c r="S1480" i="3"/>
  <c r="S1481" i="3"/>
  <c r="S1482" i="3"/>
  <c r="S1483" i="3"/>
  <c r="S1484" i="3"/>
  <c r="S1485" i="3"/>
  <c r="S1486" i="3"/>
  <c r="S1487" i="3"/>
  <c r="S1488" i="3"/>
  <c r="S1489" i="3"/>
  <c r="S1490" i="3"/>
  <c r="S1491" i="3"/>
  <c r="S1492" i="3"/>
  <c r="S1493" i="3"/>
  <c r="S1477" i="3"/>
  <c r="S1478" i="3"/>
  <c r="S1479" i="3"/>
  <c r="S1499" i="3"/>
  <c r="S1503" i="3"/>
  <c r="S1504" i="3"/>
  <c r="S1500" i="3"/>
  <c r="S1501" i="3"/>
  <c r="S1502" i="3"/>
  <c r="S1133" i="3"/>
  <c r="S1136" i="3"/>
  <c r="S1137" i="3"/>
  <c r="S1138" i="3"/>
  <c r="S1134" i="3"/>
  <c r="S1135" i="3"/>
  <c r="S986" i="3"/>
  <c r="S987" i="3"/>
  <c r="S988" i="3"/>
  <c r="S989" i="3"/>
  <c r="S990" i="3"/>
  <c r="S991" i="3"/>
  <c r="S876" i="3"/>
  <c r="S877" i="3"/>
  <c r="S878" i="3"/>
  <c r="S879" i="3"/>
  <c r="S880" i="3"/>
  <c r="S881" i="3"/>
  <c r="S882" i="3"/>
  <c r="S883" i="3"/>
  <c r="S884" i="3"/>
  <c r="S885" i="3"/>
  <c r="S886" i="3"/>
  <c r="S875" i="3"/>
  <c r="S864" i="3"/>
  <c r="S865" i="3"/>
  <c r="S866" i="3"/>
  <c r="S867" i="3"/>
  <c r="S868" i="3"/>
  <c r="S869" i="3"/>
  <c r="S870" i="3"/>
  <c r="S871" i="3"/>
  <c r="S863" i="3"/>
  <c r="S874" i="3"/>
  <c r="S560" i="3"/>
  <c r="S561" i="3"/>
  <c r="S562" i="3"/>
  <c r="S563" i="3"/>
  <c r="S564" i="3"/>
  <c r="S565" i="3"/>
  <c r="S566" i="3"/>
  <c r="S567" i="3"/>
  <c r="S568" i="3"/>
  <c r="S569" i="3"/>
  <c r="S570" i="3"/>
  <c r="S571" i="3"/>
  <c r="S572" i="3"/>
  <c r="S573" i="3"/>
  <c r="S574" i="3"/>
  <c r="S575" i="3"/>
  <c r="S576" i="3"/>
  <c r="S577" i="3"/>
  <c r="S848" i="3"/>
  <c r="S849" i="3"/>
  <c r="S850" i="3"/>
  <c r="S851" i="3"/>
  <c r="S852" i="3"/>
  <c r="S853" i="3"/>
  <c r="S854" i="3"/>
  <c r="S855" i="3"/>
  <c r="S856" i="3"/>
  <c r="S857" i="3"/>
  <c r="S858" i="3"/>
  <c r="S859" i="3"/>
  <c r="S860" i="3"/>
  <c r="S837" i="3"/>
  <c r="S838" i="3"/>
  <c r="S839" i="3"/>
  <c r="S840" i="3"/>
  <c r="S841" i="3"/>
  <c r="S842" i="3"/>
  <c r="S843" i="3"/>
  <c r="S845" i="3"/>
  <c r="S844" i="3"/>
  <c r="S1774" i="3"/>
  <c r="S2275" i="3"/>
  <c r="S2276" i="3"/>
  <c r="S2238" i="3"/>
  <c r="S1508" i="3"/>
  <c r="S1442" i="3"/>
  <c r="S1464" i="3"/>
  <c r="S1126" i="3"/>
  <c r="S1127" i="3"/>
  <c r="S1128" i="3"/>
  <c r="S1129" i="3"/>
  <c r="S1130" i="3"/>
  <c r="S1131" i="3"/>
  <c r="Y3514" i="3"/>
  <c r="S3645" i="3"/>
  <c r="S3641" i="3"/>
  <c r="S2273" i="3"/>
  <c r="S2274" i="3"/>
  <c r="S2246" i="3"/>
  <c r="S2247" i="3"/>
  <c r="S2237" i="3"/>
  <c r="S2003" i="3"/>
  <c r="S2004" i="3"/>
  <c r="S1441" i="3"/>
  <c r="S1463" i="3"/>
  <c r="S977" i="3"/>
  <c r="S976" i="3"/>
  <c r="S974" i="3"/>
  <c r="S973" i="3"/>
  <c r="S972" i="3"/>
  <c r="S975" i="3"/>
  <c r="S1118" i="3"/>
  <c r="S1120" i="3"/>
  <c r="S1121" i="3"/>
  <c r="S1122" i="3"/>
  <c r="S1123" i="3"/>
  <c r="S1119" i="3"/>
  <c r="S822" i="3"/>
  <c r="S823" i="3"/>
  <c r="S824" i="3"/>
  <c r="S825" i="3"/>
  <c r="S826" i="3"/>
  <c r="S827" i="3"/>
  <c r="S828" i="3"/>
  <c r="S829" i="3"/>
  <c r="S830" i="3"/>
  <c r="S831" i="3"/>
  <c r="S832" i="3"/>
  <c r="S833" i="3"/>
  <c r="S834" i="3"/>
  <c r="S811" i="3"/>
  <c r="S812" i="3"/>
  <c r="S813" i="3"/>
  <c r="S814" i="3"/>
  <c r="S815" i="3"/>
  <c r="S816" i="3"/>
  <c r="S817" i="3"/>
  <c r="S818" i="3"/>
  <c r="S819" i="3"/>
  <c r="S1600" i="3"/>
  <c r="S1590" i="3"/>
  <c r="S1599" i="3"/>
  <c r="S1588" i="3"/>
  <c r="S1598" i="3"/>
  <c r="S1587" i="3"/>
  <c r="S1597" i="3"/>
  <c r="S1586" i="3"/>
  <c r="S1596" i="3"/>
  <c r="S1585" i="3"/>
  <c r="S1595" i="3"/>
  <c r="S1577" i="3"/>
  <c r="S1594" i="3"/>
  <c r="S1576" i="3"/>
  <c r="S1593" i="3"/>
  <c r="S1592" i="3"/>
  <c r="S1591" i="3"/>
  <c r="S796" i="3"/>
  <c r="S797" i="3"/>
  <c r="S798" i="3"/>
  <c r="S799" i="3"/>
  <c r="S800" i="3"/>
  <c r="S801" i="3"/>
  <c r="S802" i="3"/>
  <c r="S803" i="3"/>
  <c r="S804" i="3"/>
  <c r="S805" i="3"/>
  <c r="S806" i="3"/>
  <c r="S807" i="3"/>
  <c r="S808" i="3"/>
  <c r="S2265" i="3"/>
  <c r="S2269" i="3"/>
  <c r="S2270" i="3"/>
  <c r="S2271" i="3"/>
  <c r="S2236" i="3"/>
  <c r="S1772" i="3"/>
  <c r="S1773" i="3"/>
  <c r="S1440" i="3"/>
  <c r="S1462" i="3"/>
  <c r="S1424" i="3"/>
  <c r="S965" i="3"/>
  <c r="S966" i="3"/>
  <c r="S968" i="3"/>
  <c r="S969" i="3"/>
  <c r="S970" i="3"/>
  <c r="S967" i="3"/>
  <c r="S1111" i="3"/>
  <c r="S1112" i="3"/>
  <c r="S1116" i="3"/>
  <c r="S1113" i="3"/>
  <c r="S1114" i="3"/>
  <c r="S1115" i="3"/>
  <c r="S786" i="3"/>
  <c r="S787" i="3"/>
  <c r="S788" i="3"/>
  <c r="S789" i="3"/>
  <c r="S790" i="3"/>
  <c r="S791" i="3"/>
  <c r="S792" i="3"/>
  <c r="S793" i="3"/>
  <c r="S782" i="3"/>
  <c r="S785" i="3"/>
  <c r="S201" i="3"/>
  <c r="S202" i="3"/>
  <c r="S147" i="3"/>
  <c r="S2272" i="3"/>
  <c r="S2252" i="3"/>
  <c r="S2235" i="3"/>
  <c r="S2248" i="3"/>
  <c r="S1391" i="3"/>
  <c r="S1423" i="3"/>
  <c r="S1438" i="3"/>
  <c r="S1439" i="3"/>
  <c r="S1448" i="3"/>
  <c r="S1461" i="3"/>
  <c r="S1449" i="3"/>
  <c r="S1452" i="3"/>
  <c r="S1453" i="3"/>
  <c r="S1455" i="3"/>
  <c r="S1459" i="3"/>
  <c r="S1450" i="3"/>
  <c r="S1451" i="3"/>
  <c r="S1454" i="3"/>
  <c r="S1456" i="3"/>
  <c r="S1457" i="3"/>
  <c r="S1458" i="3"/>
  <c r="S1460" i="3"/>
  <c r="S1469" i="3"/>
  <c r="S1447" i="3"/>
  <c r="S1324" i="3"/>
  <c r="S1325" i="3"/>
  <c r="S1227" i="3"/>
  <c r="S1228" i="3"/>
  <c r="S1221" i="3"/>
  <c r="S1224" i="3"/>
  <c r="S958" i="3"/>
  <c r="S959" i="3"/>
  <c r="S960" i="3"/>
  <c r="S961" i="3"/>
  <c r="S962" i="3"/>
  <c r="S963" i="3"/>
  <c r="S1104" i="3"/>
  <c r="S1105" i="3"/>
  <c r="S1108" i="3"/>
  <c r="S1109" i="3"/>
  <c r="S1106" i="3"/>
  <c r="S1107" i="3"/>
  <c r="S770" i="3"/>
  <c r="S771" i="3"/>
  <c r="S773" i="3"/>
  <c r="S774" i="3"/>
  <c r="S775" i="3"/>
  <c r="S776" i="3"/>
  <c r="S777" i="3"/>
  <c r="S778" i="3"/>
  <c r="S779" i="3"/>
  <c r="S780" i="3"/>
  <c r="S781" i="3"/>
  <c r="S772" i="3"/>
  <c r="S759" i="3"/>
  <c r="S760" i="3"/>
  <c r="S761" i="3"/>
  <c r="S762" i="3"/>
  <c r="S765" i="3"/>
  <c r="S763" i="3"/>
  <c r="S764" i="3"/>
  <c r="S766" i="3"/>
  <c r="S767" i="3"/>
  <c r="S200" i="3"/>
  <c r="S277" i="3"/>
  <c r="S146" i="3"/>
  <c r="S199" i="3"/>
  <c r="S1770" i="3"/>
  <c r="S1771" i="3"/>
  <c r="S3287" i="3"/>
  <c r="S3282" i="3"/>
  <c r="S3276" i="3"/>
  <c r="S3272" i="3"/>
  <c r="S3267" i="3"/>
  <c r="S3262" i="3"/>
  <c r="S3236" i="3"/>
  <c r="S3232" i="3"/>
  <c r="S3227" i="3"/>
  <c r="S3222" i="3"/>
  <c r="S3216" i="3"/>
  <c r="S3212" i="3"/>
  <c r="S3207" i="3"/>
  <c r="S3202" i="3"/>
  <c r="S2267" i="3"/>
  <c r="S2268" i="3"/>
  <c r="S2233" i="3"/>
  <c r="S2234" i="3"/>
  <c r="S1752" i="3"/>
  <c r="S1717" i="3" s="1"/>
  <c r="S1744" i="3"/>
  <c r="S1421" i="3"/>
  <c r="S1422" i="3"/>
  <c r="S1279" i="3"/>
  <c r="S1307" i="3"/>
  <c r="S1280" i="3"/>
  <c r="S1308" i="3"/>
  <c r="S1281" i="3"/>
  <c r="S1309" i="3"/>
  <c r="S1282" i="3"/>
  <c r="S1310" i="3"/>
  <c r="S1283" i="3"/>
  <c r="S1311" i="3"/>
  <c r="S1284" i="3"/>
  <c r="S1312" i="3"/>
  <c r="S1285" i="3"/>
  <c r="S1313" i="3"/>
  <c r="S1286" i="3"/>
  <c r="S1314" i="3"/>
  <c r="S1287" i="3"/>
  <c r="S1315" i="3"/>
  <c r="S1338" i="3" s="1"/>
  <c r="S1288" i="3"/>
  <c r="S1316" i="3"/>
  <c r="S1289" i="3"/>
  <c r="S1317" i="3"/>
  <c r="S1290" i="3"/>
  <c r="S1318" i="3"/>
  <c r="S1291" i="3"/>
  <c r="S1319" i="3"/>
  <c r="S1292" i="3"/>
  <c r="S1320" i="3"/>
  <c r="S1293" i="3"/>
  <c r="S1321" i="3"/>
  <c r="S1294" i="3"/>
  <c r="S1322" i="3"/>
  <c r="S1295" i="3"/>
  <c r="S1323" i="3"/>
  <c r="S1296" i="3"/>
  <c r="S1297" i="3"/>
  <c r="S1298" i="3"/>
  <c r="S1299" i="3"/>
  <c r="S1300" i="3"/>
  <c r="S1301" i="3"/>
  <c r="S1302" i="3"/>
  <c r="S1303" i="3"/>
  <c r="S1304" i="3"/>
  <c r="S1305" i="3"/>
  <c r="S1306" i="3"/>
  <c r="S1345" i="3"/>
  <c r="S1097" i="3"/>
  <c r="S1098" i="3"/>
  <c r="S1099" i="3"/>
  <c r="S1100" i="3"/>
  <c r="S1101" i="3"/>
  <c r="S1102" i="3"/>
  <c r="S748" i="3"/>
  <c r="S749" i="3"/>
  <c r="S750" i="3"/>
  <c r="S751" i="3"/>
  <c r="S752" i="3"/>
  <c r="S753" i="3"/>
  <c r="S754" i="3"/>
  <c r="S755" i="3"/>
  <c r="S756" i="3"/>
  <c r="S558" i="3"/>
  <c r="S559" i="3"/>
  <c r="S584" i="3"/>
  <c r="S395" i="3" s="1"/>
  <c r="S302" i="3"/>
  <c r="S306" i="3"/>
  <c r="S307" i="3"/>
  <c r="S303" i="3"/>
  <c r="S304" i="3"/>
  <c r="S305" i="3"/>
  <c r="S308" i="3"/>
  <c r="S276" i="3"/>
  <c r="J287" i="3"/>
  <c r="S145" i="3"/>
  <c r="S197" i="3"/>
  <c r="S198" i="3"/>
  <c r="S3863" i="3"/>
  <c r="S3857" i="3"/>
  <c r="S2329" i="3"/>
  <c r="S2333" i="3"/>
  <c r="S2334" i="3"/>
  <c r="S2330" i="3"/>
  <c r="S2331" i="3"/>
  <c r="S2332" i="3"/>
  <c r="S2335" i="3"/>
  <c r="S2336" i="3"/>
  <c r="S2349" i="3"/>
  <c r="S2328" i="3"/>
  <c r="S2035" i="3"/>
  <c r="S2025" i="3" s="1"/>
  <c r="S2030" i="3"/>
  <c r="S1215" i="3"/>
  <c r="S1218" i="3"/>
  <c r="S1090" i="3"/>
  <c r="S1091" i="3"/>
  <c r="S1092" i="3"/>
  <c r="S1093" i="3"/>
  <c r="S1094" i="3"/>
  <c r="S1095" i="3"/>
  <c r="S737" i="3"/>
  <c r="S738" i="3"/>
  <c r="S739" i="3"/>
  <c r="S740" i="3"/>
  <c r="S741" i="3"/>
  <c r="S742" i="3"/>
  <c r="S743" i="3"/>
  <c r="S744" i="3"/>
  <c r="S745" i="3"/>
  <c r="S275" i="3"/>
  <c r="S144" i="3"/>
  <c r="S196" i="3"/>
  <c r="S726" i="3"/>
  <c r="S727" i="3"/>
  <c r="S728" i="3"/>
  <c r="S729" i="3"/>
  <c r="S730" i="3"/>
  <c r="S731" i="3"/>
  <c r="S732" i="3"/>
  <c r="S733" i="3"/>
  <c r="S734" i="3"/>
  <c r="S715" i="3"/>
  <c r="S716" i="3"/>
  <c r="S717" i="3"/>
  <c r="S718" i="3"/>
  <c r="S719" i="3"/>
  <c r="S720" i="3"/>
  <c r="S721" i="3"/>
  <c r="S722" i="3"/>
  <c r="S723" i="3"/>
  <c r="S704" i="3"/>
  <c r="S705" i="3"/>
  <c r="S706" i="3"/>
  <c r="S707" i="3"/>
  <c r="S708" i="3"/>
  <c r="S709" i="3"/>
  <c r="S710" i="3"/>
  <c r="S712" i="3"/>
  <c r="S711" i="3"/>
  <c r="S693" i="3"/>
  <c r="S694" i="3"/>
  <c r="S696" i="3"/>
  <c r="S697" i="3"/>
  <c r="S698" i="3"/>
  <c r="S699" i="3"/>
  <c r="S700" i="3"/>
  <c r="S701" i="3"/>
  <c r="S695" i="3"/>
  <c r="S682" i="3"/>
  <c r="S683" i="3"/>
  <c r="S684" i="3"/>
  <c r="S685" i="3"/>
  <c r="S686" i="3"/>
  <c r="S687" i="3"/>
  <c r="S688" i="3"/>
  <c r="S689" i="3"/>
  <c r="S690" i="3"/>
  <c r="S671" i="3"/>
  <c r="S672" i="3"/>
  <c r="S673" i="3"/>
  <c r="S674" i="3"/>
  <c r="S675" i="3"/>
  <c r="S676" i="3"/>
  <c r="S677" i="3"/>
  <c r="S678" i="3"/>
  <c r="S679" i="3"/>
  <c r="S664" i="3"/>
  <c r="S665" i="3"/>
  <c r="S666" i="3"/>
  <c r="S667" i="3"/>
  <c r="S668" i="3"/>
  <c r="S653" i="3"/>
  <c r="S654" i="3"/>
  <c r="S655" i="3"/>
  <c r="S656" i="3"/>
  <c r="S657" i="3"/>
  <c r="S658" i="3"/>
  <c r="S659" i="3"/>
  <c r="S660" i="3"/>
  <c r="S661" i="3"/>
  <c r="S642" i="3"/>
  <c r="S644" i="3"/>
  <c r="S645" i="3"/>
  <c r="S646" i="3"/>
  <c r="S647" i="3"/>
  <c r="S648" i="3"/>
  <c r="S649" i="3"/>
  <c r="S650" i="3"/>
  <c r="S643" i="3"/>
  <c r="S628" i="3"/>
  <c r="S630" i="3"/>
  <c r="S631" i="3"/>
  <c r="S632" i="3"/>
  <c r="S633" i="3"/>
  <c r="S634" i="3"/>
  <c r="S635" i="3"/>
  <c r="S636" i="3"/>
  <c r="S629" i="3"/>
  <c r="S617" i="3"/>
  <c r="S618" i="3"/>
  <c r="S619" i="3"/>
  <c r="S620" i="3"/>
  <c r="S621" i="3"/>
  <c r="S622" i="3"/>
  <c r="S623" i="3"/>
  <c r="S624" i="3"/>
  <c r="S625" i="3"/>
  <c r="S606" i="3"/>
  <c r="S607" i="3"/>
  <c r="S608" i="3"/>
  <c r="S609" i="3"/>
  <c r="S610" i="3"/>
  <c r="S611" i="3"/>
  <c r="S612" i="3"/>
  <c r="S613" i="3"/>
  <c r="S614" i="3"/>
  <c r="S591" i="3"/>
  <c r="S592" i="3"/>
  <c r="S594" i="3"/>
  <c r="S595" i="3"/>
  <c r="S596" i="3"/>
  <c r="S597" i="3"/>
  <c r="S598" i="3"/>
  <c r="S599" i="3"/>
  <c r="S600" i="3"/>
  <c r="S602" i="3"/>
  <c r="S603" i="3"/>
  <c r="S593" i="3"/>
  <c r="S601" i="3"/>
  <c r="S1766" i="3"/>
  <c r="S1769" i="3"/>
  <c r="S1757" i="3"/>
  <c r="S1758" i="3"/>
  <c r="S1759" i="3"/>
  <c r="S1760" i="3"/>
  <c r="S1761" i="3"/>
  <c r="S1762" i="3"/>
  <c r="S1763" i="3"/>
  <c r="S1764" i="3"/>
  <c r="S1765" i="3"/>
  <c r="S2413" i="3"/>
  <c r="S1616" i="3"/>
  <c r="S1612" i="3"/>
  <c r="R3299" i="3"/>
  <c r="J216" i="2" s="1"/>
  <c r="S350" i="3"/>
  <c r="P26" i="2"/>
  <c r="R1815" i="3"/>
  <c r="S2259" i="3"/>
  <c r="S2260" i="3"/>
  <c r="S2261" i="3"/>
  <c r="S2262" i="3"/>
  <c r="S2263" i="3"/>
  <c r="S2264" i="3"/>
  <c r="S2266" i="3"/>
  <c r="S2287" i="3"/>
  <c r="S2258" i="3"/>
  <c r="S2226" i="3"/>
  <c r="S2227" i="3"/>
  <c r="S2228" i="3"/>
  <c r="S2229" i="3"/>
  <c r="S2230" i="3"/>
  <c r="S2231" i="3"/>
  <c r="S2232" i="3"/>
  <c r="S1400" i="3"/>
  <c r="S1401" i="3"/>
  <c r="S1402" i="3"/>
  <c r="S1403" i="3"/>
  <c r="S1404" i="3"/>
  <c r="S1405" i="3"/>
  <c r="S1416" i="3"/>
  <c r="S1417" i="3"/>
  <c r="S1418" i="3"/>
  <c r="S1419" i="3"/>
  <c r="S1420" i="3"/>
  <c r="S1399" i="3"/>
  <c r="S1406" i="3"/>
  <c r="S1407" i="3"/>
  <c r="S1408" i="3"/>
  <c r="S1409" i="3"/>
  <c r="S1410" i="3"/>
  <c r="S1411" i="3"/>
  <c r="S1412" i="3"/>
  <c r="S1413" i="3"/>
  <c r="S1414" i="3"/>
  <c r="S1415" i="3"/>
  <c r="S1433" i="3"/>
  <c r="S1390" i="3"/>
  <c r="R2254" i="3"/>
  <c r="S1209" i="3"/>
  <c r="S951" i="3"/>
  <c r="S952" i="3"/>
  <c r="S1015" i="3"/>
  <c r="S1043" i="3"/>
  <c r="S1071" i="3"/>
  <c r="S954" i="3"/>
  <c r="S1045" i="3"/>
  <c r="S1073" i="3"/>
  <c r="S955" i="3"/>
  <c r="S1074" i="3"/>
  <c r="S1019" i="3"/>
  <c r="S1048" i="3"/>
  <c r="S1076" i="3"/>
  <c r="S994" i="3"/>
  <c r="S1050" i="3"/>
  <c r="S1078" i="3"/>
  <c r="S995" i="3"/>
  <c r="S1051" i="3"/>
  <c r="S1079" i="3"/>
  <c r="S1025" i="3"/>
  <c r="S1081" i="3"/>
  <c r="S998" i="3"/>
  <c r="S1027" i="3"/>
  <c r="S1055" i="3"/>
  <c r="S1028" i="3"/>
  <c r="S1057" i="3"/>
  <c r="S1030" i="3"/>
  <c r="S1058" i="3"/>
  <c r="S1086" i="3"/>
  <c r="S1003" i="3"/>
  <c r="S1087" i="3"/>
  <c r="S1004" i="3"/>
  <c r="S1060" i="3"/>
  <c r="S1088" i="3"/>
  <c r="S1033" i="3"/>
  <c r="S1034" i="3"/>
  <c r="S1035" i="3"/>
  <c r="S1036" i="3"/>
  <c r="S1065" i="3"/>
  <c r="S1010" i="3"/>
  <c r="S1066" i="3"/>
  <c r="S1011" i="3"/>
  <c r="S1067" i="3"/>
  <c r="S1040" i="3"/>
  <c r="S1013" i="3"/>
  <c r="S1069" i="3"/>
  <c r="S1014" i="3"/>
  <c r="S1070" i="3"/>
  <c r="S953" i="3"/>
  <c r="S1044" i="3"/>
  <c r="S1072" i="3"/>
  <c r="S1018" i="3"/>
  <c r="S956" i="3"/>
  <c r="S1020" i="3"/>
  <c r="S1021" i="3"/>
  <c r="S1049" i="3"/>
  <c r="S1077" i="3"/>
  <c r="S1022" i="3"/>
  <c r="S996" i="3"/>
  <c r="S1052" i="3"/>
  <c r="S1080" i="3"/>
  <c r="S997" i="3"/>
  <c r="S1053" i="3"/>
  <c r="S1026" i="3"/>
  <c r="S999" i="3"/>
  <c r="S1083" i="3"/>
  <c r="S1056" i="3"/>
  <c r="S1084" i="3"/>
  <c r="S1029" i="3"/>
  <c r="S1085" i="3"/>
  <c r="S1002" i="3"/>
  <c r="S1059" i="3"/>
  <c r="S1032" i="3"/>
  <c r="S1005" i="3"/>
  <c r="S1006" i="3"/>
  <c r="S1062" i="3"/>
  <c r="S1007" i="3"/>
  <c r="S1063" i="3"/>
  <c r="S1064" i="3"/>
  <c r="S1037" i="3"/>
  <c r="S1012" i="3"/>
  <c r="S1041" i="3"/>
  <c r="S1042" i="3"/>
  <c r="S1175" i="3"/>
  <c r="R1837" i="3"/>
  <c r="R3107" i="3"/>
  <c r="J195" i="2" s="1"/>
  <c r="L195" i="2" s="1"/>
  <c r="M195" i="2" s="1"/>
  <c r="N195" i="2" s="1"/>
  <c r="R1847" i="3"/>
  <c r="J60" i="2" s="1"/>
  <c r="R1826" i="3"/>
  <c r="R2515" i="3"/>
  <c r="J126" i="2" s="1"/>
  <c r="L126" i="2" s="1"/>
  <c r="M126" i="2" s="1"/>
  <c r="N126" i="2" s="1"/>
  <c r="J3757" i="3"/>
  <c r="R156" i="3"/>
  <c r="J26" i="2" s="1"/>
  <c r="L26" i="2" s="1"/>
  <c r="M26" i="2" s="1"/>
  <c r="N26" i="2" s="1"/>
  <c r="R298" i="3"/>
  <c r="J29" i="2" s="1"/>
  <c r="D29" i="1" s="1"/>
  <c r="G29" i="1" s="1"/>
  <c r="H29" i="1" s="1"/>
  <c r="R217" i="3"/>
  <c r="R288" i="3"/>
  <c r="G149" i="2"/>
  <c r="P150" i="2"/>
  <c r="G98" i="2"/>
  <c r="P99" i="2"/>
  <c r="G56" i="2"/>
  <c r="P57" i="2"/>
  <c r="G129" i="2"/>
  <c r="P130" i="2"/>
  <c r="O609" i="3"/>
  <c r="O642" i="3"/>
  <c r="O611" i="3"/>
  <c r="O645" i="3"/>
  <c r="O635" i="3"/>
  <c r="O608" i="3"/>
  <c r="O643" i="3"/>
  <c r="O644" i="3"/>
  <c r="O614" i="3"/>
  <c r="O647" i="3"/>
  <c r="O607" i="3"/>
  <c r="R639" i="3"/>
  <c r="O612" i="3"/>
  <c r="O613" i="3"/>
  <c r="O617" i="3"/>
  <c r="O648" i="3"/>
  <c r="O620" i="3"/>
  <c r="O594" i="3"/>
  <c r="O623" i="3"/>
  <c r="O624" i="3"/>
  <c r="O636" i="3"/>
  <c r="O591" i="3"/>
  <c r="O597" i="3"/>
  <c r="O598" i="3"/>
  <c r="O599" i="3"/>
  <c r="O631" i="3"/>
  <c r="O618" i="3"/>
  <c r="O625" i="3"/>
  <c r="O629" i="3"/>
  <c r="O600" i="3"/>
  <c r="O650" i="3"/>
  <c r="O592" i="3"/>
  <c r="O601" i="3"/>
  <c r="O619" i="3"/>
  <c r="O593" i="3"/>
  <c r="O628" i="3"/>
  <c r="O630" i="3"/>
  <c r="O602" i="3"/>
  <c r="O633" i="3"/>
  <c r="O606" i="3"/>
  <c r="O649" i="3"/>
  <c r="O622" i="3"/>
  <c r="O596" i="3"/>
  <c r="O603" i="3"/>
  <c r="O634" i="3"/>
  <c r="R1018" i="3"/>
  <c r="N956" i="3"/>
  <c r="R956" i="3" s="1"/>
  <c r="R1021" i="3"/>
  <c r="N1004" i="3"/>
  <c r="N1007" i="3"/>
  <c r="N952" i="3"/>
  <c r="R1020" i="3"/>
  <c r="O994" i="3"/>
  <c r="R1022" i="3"/>
  <c r="N1015" i="3"/>
  <c r="N995" i="3"/>
  <c r="O1025" i="3"/>
  <c r="N1030" i="3"/>
  <c r="O1010" i="3"/>
  <c r="O1014" i="3"/>
  <c r="N996" i="3"/>
  <c r="O1002" i="3"/>
  <c r="N1003" i="3"/>
  <c r="N954" i="3"/>
  <c r="N997" i="3"/>
  <c r="N1026" i="3"/>
  <c r="O998" i="3"/>
  <c r="N1027" i="3"/>
  <c r="N1012" i="3"/>
  <c r="N1028" i="3"/>
  <c r="N1005" i="3"/>
  <c r="O1006" i="3"/>
  <c r="N1011" i="3"/>
  <c r="N951" i="3"/>
  <c r="N955" i="3"/>
  <c r="R955" i="3" s="1"/>
  <c r="N999" i="3"/>
  <c r="O1029" i="3"/>
  <c r="N1013" i="3"/>
  <c r="N953" i="3"/>
  <c r="R1019" i="3"/>
  <c r="R3383" i="3"/>
  <c r="S1203" i="3"/>
  <c r="R73" i="3"/>
  <c r="J2253" i="3"/>
  <c r="R2731" i="3"/>
  <c r="J153" i="2" s="1"/>
  <c r="L153" i="2" s="1"/>
  <c r="M153" i="2" s="1"/>
  <c r="N153" i="2" s="1"/>
  <c r="J2119" i="3"/>
  <c r="J155" i="3"/>
  <c r="R2047" i="3"/>
  <c r="J78" i="2" s="1"/>
  <c r="D77" i="1" s="1"/>
  <c r="G77" i="1" s="1"/>
  <c r="H77" i="1" s="1"/>
  <c r="R2721" i="3"/>
  <c r="J152" i="2" s="1"/>
  <c r="D150" i="1" s="1"/>
  <c r="G150" i="1" s="1"/>
  <c r="H150" i="1" s="1"/>
  <c r="S2410" i="3"/>
  <c r="S2412" i="3"/>
  <c r="S2411" i="3"/>
  <c r="S2148" i="3"/>
  <c r="S2144" i="3"/>
  <c r="J216" i="3"/>
  <c r="R2150" i="3"/>
  <c r="J3116" i="3"/>
  <c r="J2730" i="3"/>
  <c r="J2046" i="3"/>
  <c r="J2945" i="3"/>
  <c r="R2110" i="3"/>
  <c r="J87" i="2" s="1"/>
  <c r="R2120" i="3"/>
  <c r="J88" i="2" s="1"/>
  <c r="R2394" i="3"/>
  <c r="J1711" i="3"/>
  <c r="J350" i="3"/>
  <c r="T2078" i="3"/>
  <c r="T2045" i="3"/>
  <c r="S2098" i="3"/>
  <c r="S2109" i="3"/>
  <c r="T2149" i="3"/>
  <c r="T2119" i="3"/>
  <c r="T2109" i="3"/>
  <c r="R2286" i="3"/>
  <c r="J30" i="2"/>
  <c r="R3075" i="3"/>
  <c r="J192" i="2" s="1"/>
  <c r="L192" i="2" s="1"/>
  <c r="M192" i="2" s="1"/>
  <c r="N192" i="2" s="1"/>
  <c r="R3087" i="3"/>
  <c r="J193" i="2" s="1"/>
  <c r="R2324" i="3"/>
  <c r="J106" i="2" s="1"/>
  <c r="R1917" i="3"/>
  <c r="N1761" i="3"/>
  <c r="H11" i="4"/>
  <c r="O11" i="4" s="1"/>
  <c r="F52" i="4"/>
  <c r="L52" i="4" s="1"/>
  <c r="I132" i="2"/>
  <c r="I10" i="4"/>
  <c r="G81" i="2"/>
  <c r="L10" i="4"/>
  <c r="L11" i="4" s="1"/>
  <c r="L12" i="4" s="1"/>
  <c r="L13" i="4" s="1"/>
  <c r="L14" i="4" s="1"/>
  <c r="L15" i="4" s="1"/>
  <c r="L16" i="4" s="1"/>
  <c r="L17" i="4" s="1"/>
  <c r="L18" i="4" s="1"/>
  <c r="L20" i="4" s="1"/>
  <c r="L21" i="4" s="1"/>
  <c r="L22" i="4" s="1"/>
  <c r="L23" i="4" s="1"/>
  <c r="L24" i="4" s="1"/>
  <c r="L25" i="4" s="1"/>
  <c r="L26" i="4" s="1"/>
  <c r="L27" i="4" s="1"/>
  <c r="R3956" i="3"/>
  <c r="J72" i="3"/>
  <c r="G77" i="2"/>
  <c r="G201" i="2"/>
  <c r="I266" i="2"/>
  <c r="G243" i="2"/>
  <c r="I84" i="2"/>
  <c r="I275" i="2"/>
  <c r="I201" i="2"/>
  <c r="I243" i="2"/>
  <c r="I259" i="2"/>
  <c r="G275" i="2"/>
  <c r="I77" i="2"/>
  <c r="G84" i="2"/>
  <c r="G259" i="2"/>
  <c r="G155" i="2"/>
  <c r="G188" i="2"/>
  <c r="G229" i="2"/>
  <c r="G58" i="2"/>
  <c r="G266" i="2"/>
  <c r="I16" i="2"/>
  <c r="I188" i="2"/>
  <c r="G33" i="2"/>
  <c r="I100" i="2"/>
  <c r="I117" i="2"/>
  <c r="G110" i="2"/>
  <c r="G117" i="2"/>
  <c r="G135" i="2"/>
  <c r="I151" i="2"/>
  <c r="I215" i="2"/>
  <c r="I24" i="2"/>
  <c r="I31" i="2" s="1"/>
  <c r="G132" i="2"/>
  <c r="G175" i="2"/>
  <c r="G215" i="2"/>
  <c r="I229" i="2"/>
  <c r="G16" i="2"/>
  <c r="I58" i="2"/>
  <c r="I81" i="2"/>
  <c r="G151" i="2"/>
  <c r="I155" i="2"/>
  <c r="I175" i="2"/>
  <c r="G104" i="2"/>
  <c r="G100" i="2"/>
  <c r="G24" i="2"/>
  <c r="O632" i="3"/>
  <c r="R2639" i="3"/>
  <c r="J142" i="2" s="1"/>
  <c r="L142" i="2" s="1"/>
  <c r="M142" i="2" s="1"/>
  <c r="N142" i="2" s="1"/>
  <c r="O621" i="3"/>
  <c r="R1360" i="3"/>
  <c r="R1362" i="3"/>
  <c r="R3218" i="3"/>
  <c r="J207" i="2" s="1"/>
  <c r="D204" i="1" s="1"/>
  <c r="G204" i="1" s="1"/>
  <c r="H204" i="1" s="1"/>
  <c r="R2535" i="3"/>
  <c r="J128" i="2" s="1"/>
  <c r="L128" i="2" s="1"/>
  <c r="M128" i="2" s="1"/>
  <c r="N128" i="2" s="1"/>
  <c r="J2311" i="3"/>
  <c r="L1399" i="3"/>
  <c r="R1399" i="3" s="1"/>
  <c r="R3238" i="3"/>
  <c r="J209" i="2" s="1"/>
  <c r="L209" i="2" s="1"/>
  <c r="M209" i="2" s="1"/>
  <c r="N209" i="2" s="1"/>
  <c r="J2494" i="3"/>
  <c r="J2567" i="3"/>
  <c r="J2698" i="3"/>
  <c r="J2720" i="3"/>
  <c r="J2771" i="3"/>
  <c r="J2925" i="3"/>
  <c r="J3011" i="3"/>
  <c r="J3146" i="3"/>
  <c r="J3328" i="3"/>
  <c r="R3373" i="3"/>
  <c r="J223" i="2" s="1"/>
  <c r="L223" i="2" s="1"/>
  <c r="M223" i="2" s="1"/>
  <c r="N223" i="2" s="1"/>
  <c r="J3414" i="3"/>
  <c r="O610" i="3"/>
  <c r="R1361" i="3"/>
  <c r="R3353" i="3"/>
  <c r="J221" i="2" s="1"/>
  <c r="L221" i="2" s="1"/>
  <c r="M221" i="2" s="1"/>
  <c r="N221" i="2" s="1"/>
  <c r="R2298" i="3"/>
  <c r="J103" i="2" s="1"/>
  <c r="L103" i="2" s="1"/>
  <c r="M103" i="2" s="1"/>
  <c r="N103" i="2" s="1"/>
  <c r="R2445" i="3"/>
  <c r="J119" i="2" s="1"/>
  <c r="L119" i="2" s="1"/>
  <c r="M119" i="2" s="1"/>
  <c r="N119" i="2" s="1"/>
  <c r="J2608" i="3"/>
  <c r="J2688" i="3"/>
  <c r="J2783" i="3"/>
  <c r="J2863" i="3"/>
  <c r="R2905" i="3"/>
  <c r="J174" i="2" s="1"/>
  <c r="L174" i="2" s="1"/>
  <c r="M174" i="2" s="1"/>
  <c r="N174" i="2" s="1"/>
  <c r="J3052" i="3"/>
  <c r="J3267" i="3"/>
  <c r="J3455" i="3"/>
  <c r="J3535" i="3"/>
  <c r="R3506" i="3"/>
  <c r="J237" i="2" s="1"/>
  <c r="L237" i="2" s="1"/>
  <c r="M237" i="2" s="1"/>
  <c r="N237" i="2" s="1"/>
  <c r="J3922" i="3"/>
  <c r="J1856" i="3"/>
  <c r="J1896" i="3"/>
  <c r="J1936" i="3"/>
  <c r="J2008" i="3"/>
  <c r="R2034" i="3"/>
  <c r="J2035" i="3" s="1"/>
  <c r="J2361" i="3"/>
  <c r="J2628" i="3"/>
  <c r="J2884" i="3"/>
  <c r="J3207" i="3"/>
  <c r="J3287" i="3"/>
  <c r="J3475" i="3"/>
  <c r="J3555" i="3"/>
  <c r="L1400" i="3"/>
  <c r="R1400" i="3" s="1"/>
  <c r="R1716" i="3"/>
  <c r="J2220" i="3"/>
  <c r="J2323" i="3"/>
  <c r="J2434" i="3"/>
  <c r="J2638" i="3"/>
  <c r="J2894" i="3"/>
  <c r="J3031" i="3"/>
  <c r="J3086" i="3"/>
  <c r="J3352" i="3"/>
  <c r="R3693" i="3"/>
  <c r="R3710" i="3" s="1"/>
  <c r="R369" i="3"/>
  <c r="R373" i="3"/>
  <c r="R388" i="3"/>
  <c r="J297" i="3"/>
  <c r="R53" i="3"/>
  <c r="J20" i="2" s="1"/>
  <c r="L20" i="2" s="1"/>
  <c r="M20" i="2" s="1"/>
  <c r="N20" i="2" s="1"/>
  <c r="R3863" i="3"/>
  <c r="J269" i="2" s="1"/>
  <c r="L269" i="2" s="1"/>
  <c r="M269" i="2" s="1"/>
  <c r="N269" i="2" s="1"/>
  <c r="R3873" i="3"/>
  <c r="J270" i="2" s="1"/>
  <c r="L270" i="2" s="1"/>
  <c r="M270" i="2" s="1"/>
  <c r="N270" i="2" s="1"/>
  <c r="J3843" i="3"/>
  <c r="I104" i="2"/>
  <c r="I33" i="2"/>
  <c r="R380" i="3"/>
  <c r="AC1180" i="3"/>
  <c r="R1987" i="3"/>
  <c r="J72" i="2" s="1"/>
  <c r="L72" i="2" s="1"/>
  <c r="M72" i="2" s="1"/>
  <c r="N72" i="2" s="1"/>
  <c r="J2018" i="3"/>
  <c r="J2159" i="3"/>
  <c r="J2199" i="3"/>
  <c r="J2297" i="3"/>
  <c r="J2524" i="3"/>
  <c r="J2648" i="3"/>
  <c r="J2904" i="3"/>
  <c r="J3227" i="3"/>
  <c r="J3495" i="3"/>
  <c r="J2534" i="3"/>
  <c r="R2090" i="3"/>
  <c r="J85" i="2" s="1"/>
  <c r="L85" i="2" s="1"/>
  <c r="M85" i="2" s="1"/>
  <c r="N85" i="2" s="1"/>
  <c r="J2089" i="3"/>
  <c r="J2129" i="3"/>
  <c r="J2169" i="3"/>
  <c r="J2209" i="3"/>
  <c r="J2678" i="3"/>
  <c r="J2751" i="3"/>
  <c r="J2985" i="3"/>
  <c r="R368" i="3"/>
  <c r="R372" i="3"/>
  <c r="R2069" i="3"/>
  <c r="J82" i="2" s="1"/>
  <c r="L82" i="2" s="1"/>
  <c r="M82" i="2" s="1"/>
  <c r="N82" i="2" s="1"/>
  <c r="L1188" i="3"/>
  <c r="O1188" i="3" s="1"/>
  <c r="R1188" i="3" s="1"/>
  <c r="R3043" i="3"/>
  <c r="J189" i="2" s="1"/>
  <c r="L189" i="2" s="1"/>
  <c r="M189" i="2" s="1"/>
  <c r="N189" i="2" s="1"/>
  <c r="R3446" i="3"/>
  <c r="J231" i="2" s="1"/>
  <c r="L231" i="2" s="1"/>
  <c r="M231" i="2" s="1"/>
  <c r="N231" i="2" s="1"/>
  <c r="AC1183" i="3"/>
  <c r="R1529" i="3"/>
  <c r="J45" i="2" s="1"/>
  <c r="L45" i="2" s="1"/>
  <c r="M45" i="2" s="1"/>
  <c r="N45" i="2" s="1"/>
  <c r="R2546" i="3"/>
  <c r="J130" i="2" s="1"/>
  <c r="L130" i="2" s="1"/>
  <c r="M130" i="2" s="1"/>
  <c r="N130" i="2" s="1"/>
  <c r="R2762" i="3"/>
  <c r="J157" i="2" s="1"/>
  <c r="D155" i="1" s="1"/>
  <c r="G155" i="1" s="1"/>
  <c r="H155" i="1" s="1"/>
  <c r="R2864" i="3"/>
  <c r="J170" i="2" s="1"/>
  <c r="D167" i="1" s="1"/>
  <c r="G167" i="1" s="1"/>
  <c r="H167" i="1" s="1"/>
  <c r="R3319" i="3"/>
  <c r="J218" i="2" s="1"/>
  <c r="D215" i="1" s="1"/>
  <c r="G215" i="1" s="1"/>
  <c r="H215" i="1" s="1"/>
  <c r="R3405" i="3"/>
  <c r="J226" i="2" s="1"/>
  <c r="L226" i="2" s="1"/>
  <c r="M226" i="2" s="1"/>
  <c r="N226" i="2" s="1"/>
  <c r="R3536" i="3"/>
  <c r="J240" i="2" s="1"/>
  <c r="L240" i="2" s="1"/>
  <c r="M240" i="2" s="1"/>
  <c r="N240" i="2" s="1"/>
  <c r="R1564" i="3"/>
  <c r="R1615" i="3" s="1"/>
  <c r="R2579" i="3"/>
  <c r="J136" i="2" s="1"/>
  <c r="L136" i="2" s="1"/>
  <c r="M136" i="2" s="1"/>
  <c r="N136" i="2" s="1"/>
  <c r="R2100" i="3"/>
  <c r="J86" i="2" s="1"/>
  <c r="L86" i="2" s="1"/>
  <c r="M86" i="2" s="1"/>
  <c r="N86" i="2" s="1"/>
  <c r="R2140" i="3"/>
  <c r="J90" i="2" s="1"/>
  <c r="L90" i="2" s="1"/>
  <c r="M90" i="2" s="1"/>
  <c r="N90" i="2" s="1"/>
  <c r="R2180" i="3"/>
  <c r="J94" i="2" s="1"/>
  <c r="L94" i="2" s="1"/>
  <c r="M94" i="2" s="1"/>
  <c r="N94" i="2" s="1"/>
  <c r="R3567" i="3"/>
  <c r="J244" i="2" s="1"/>
  <c r="L244" i="2" s="1"/>
  <c r="M244" i="2" s="1"/>
  <c r="N244" i="2" s="1"/>
  <c r="R3893" i="3"/>
  <c r="J271" i="2" s="1"/>
  <c r="D267" i="1" s="1"/>
  <c r="G267" i="1" s="1"/>
  <c r="H267" i="1" s="1"/>
  <c r="R2679" i="3"/>
  <c r="J146" i="2" s="1"/>
  <c r="D144" i="1" s="1"/>
  <c r="G144" i="1" s="1"/>
  <c r="H144" i="1" s="1"/>
  <c r="R3309" i="3"/>
  <c r="J217" i="2" s="1"/>
  <c r="D214" i="1" s="1"/>
  <c r="G214" i="1" s="1"/>
  <c r="H214" i="1" s="1"/>
  <c r="R3395" i="3"/>
  <c r="J225" i="2" s="1"/>
  <c r="L225" i="2" s="1"/>
  <c r="M225" i="2" s="1"/>
  <c r="N225" i="2" s="1"/>
  <c r="J92" i="3"/>
  <c r="R363" i="3"/>
  <c r="R367" i="3"/>
  <c r="L1185" i="3"/>
  <c r="O1185" i="3" s="1"/>
  <c r="R1185" i="3" s="1"/>
  <c r="R1448" i="3"/>
  <c r="J1846" i="3"/>
  <c r="R1867" i="3"/>
  <c r="J62" i="2" s="1"/>
  <c r="L62" i="2" s="1"/>
  <c r="M62" i="2" s="1"/>
  <c r="N62" i="2" s="1"/>
  <c r="J1886" i="3"/>
  <c r="R1907" i="3"/>
  <c r="J66" i="2" s="1"/>
  <c r="L66" i="2" s="1"/>
  <c r="M66" i="2" s="1"/>
  <c r="N66" i="2" s="1"/>
  <c r="J1926" i="3"/>
  <c r="R1947" i="3"/>
  <c r="J70" i="2" s="1"/>
  <c r="L70" i="2" s="1"/>
  <c r="M70" i="2" s="1"/>
  <c r="N70" i="2" s="1"/>
  <c r="R2019" i="3"/>
  <c r="J75" i="2" s="1"/>
  <c r="L75" i="2" s="1"/>
  <c r="M75" i="2" s="1"/>
  <c r="N75" i="2" s="1"/>
  <c r="R2505" i="3"/>
  <c r="J125" i="2" s="1"/>
  <c r="L125" i="2" s="1"/>
  <c r="M125" i="2" s="1"/>
  <c r="N125" i="2" s="1"/>
  <c r="S2558" i="3"/>
  <c r="R2619" i="3"/>
  <c r="J140" i="2" s="1"/>
  <c r="D138" i="1" s="1"/>
  <c r="G138" i="1" s="1"/>
  <c r="H138" i="1" s="1"/>
  <c r="J2658" i="3"/>
  <c r="R2699" i="3"/>
  <c r="J148" i="2" s="1"/>
  <c r="L148" i="2" s="1"/>
  <c r="M148" i="2" s="1"/>
  <c r="N148" i="2" s="1"/>
  <c r="J2965" i="3"/>
  <c r="R3063" i="3"/>
  <c r="J191" i="2" s="1"/>
  <c r="L191" i="2" s="1"/>
  <c r="M191" i="2" s="1"/>
  <c r="N191" i="2" s="1"/>
  <c r="J3106" i="3"/>
  <c r="R3147" i="3"/>
  <c r="J199" i="2" s="1"/>
  <c r="L199" i="2" s="1"/>
  <c r="M199" i="2" s="1"/>
  <c r="N199" i="2" s="1"/>
  <c r="R3198" i="3"/>
  <c r="J205" i="2" s="1"/>
  <c r="D202" i="1" s="1"/>
  <c r="G202" i="1" s="1"/>
  <c r="H202" i="1" s="1"/>
  <c r="R3278" i="3"/>
  <c r="J213" i="2" s="1"/>
  <c r="D210" i="1" s="1"/>
  <c r="G210" i="1" s="1"/>
  <c r="H210" i="1" s="1"/>
  <c r="R3329" i="3"/>
  <c r="J219" i="2" s="1"/>
  <c r="L219" i="2" s="1"/>
  <c r="M219" i="2" s="1"/>
  <c r="N219" i="2" s="1"/>
  <c r="J3372" i="3"/>
  <c r="R3415" i="3"/>
  <c r="J227" i="2" s="1"/>
  <c r="L227" i="2" s="1"/>
  <c r="M227" i="2" s="1"/>
  <c r="N227" i="2" s="1"/>
  <c r="R3466" i="3"/>
  <c r="J233" i="2" s="1"/>
  <c r="D230" i="1" s="1"/>
  <c r="G230" i="1" s="1"/>
  <c r="H230" i="1" s="1"/>
  <c r="R3546" i="3"/>
  <c r="J241" i="2" s="1"/>
  <c r="L241" i="2" s="1"/>
  <c r="M241" i="2" s="1"/>
  <c r="N241" i="2" s="1"/>
  <c r="R3677" i="3"/>
  <c r="J255" i="2" s="1"/>
  <c r="L255" i="2" s="1"/>
  <c r="M255" i="2" s="1"/>
  <c r="N255" i="2" s="1"/>
  <c r="J3872" i="3"/>
  <c r="R2465" i="3"/>
  <c r="J121" i="2" s="1"/>
  <c r="L121" i="2" s="1"/>
  <c r="M121" i="2" s="1"/>
  <c r="N121" i="2" s="1"/>
  <c r="R2659" i="3"/>
  <c r="J144" i="2" s="1"/>
  <c r="D142" i="1" s="1"/>
  <c r="G142" i="1" s="1"/>
  <c r="H142" i="1" s="1"/>
  <c r="R1857" i="3"/>
  <c r="J61" i="2" s="1"/>
  <c r="L61" i="2" s="1"/>
  <c r="M61" i="2" s="1"/>
  <c r="N61" i="2" s="1"/>
  <c r="R1897" i="3"/>
  <c r="J65" i="2" s="1"/>
  <c r="L65" i="2" s="1"/>
  <c r="M65" i="2" s="1"/>
  <c r="N65" i="2" s="1"/>
  <c r="R1937" i="3"/>
  <c r="J69" i="2" s="1"/>
  <c r="L69" i="2" s="1"/>
  <c r="M69" i="2" s="1"/>
  <c r="N69" i="2" s="1"/>
  <c r="R2079" i="3"/>
  <c r="J83" i="2" s="1"/>
  <c r="L83" i="2" s="1"/>
  <c r="M83" i="2" s="1"/>
  <c r="N83" i="2" s="1"/>
  <c r="R2485" i="3"/>
  <c r="J123" i="2" s="1"/>
  <c r="L123" i="2" s="1"/>
  <c r="M123" i="2" s="1"/>
  <c r="N123" i="2" s="1"/>
  <c r="R2599" i="3"/>
  <c r="J138" i="2" s="1"/>
  <c r="L138" i="2" s="1"/>
  <c r="M138" i="2" s="1"/>
  <c r="N138" i="2" s="1"/>
  <c r="R3127" i="3"/>
  <c r="J197" i="2" s="1"/>
  <c r="L197" i="2" s="1"/>
  <c r="M197" i="2" s="1"/>
  <c r="N197" i="2" s="1"/>
  <c r="R3258" i="3"/>
  <c r="J211" i="2" s="1"/>
  <c r="L211" i="2" s="1"/>
  <c r="M211" i="2" s="1"/>
  <c r="N211" i="2" s="1"/>
  <c r="R3526" i="3"/>
  <c r="J239" i="2" s="1"/>
  <c r="L239" i="2" s="1"/>
  <c r="M239" i="2" s="1"/>
  <c r="N239" i="2" s="1"/>
  <c r="R358" i="3"/>
  <c r="R374" i="3"/>
  <c r="R378" i="3"/>
  <c r="R389" i="3"/>
  <c r="J1518" i="3"/>
  <c r="R1539" i="3"/>
  <c r="J46" i="2" s="1"/>
  <c r="L46" i="2" s="1"/>
  <c r="M46" i="2" s="1"/>
  <c r="N46" i="2" s="1"/>
  <c r="J2139" i="3"/>
  <c r="J2179" i="3"/>
  <c r="R2372" i="3"/>
  <c r="J112" i="2" s="1"/>
  <c r="L112" i="2" s="1"/>
  <c r="M112" i="2" s="1"/>
  <c r="N112" i="2" s="1"/>
  <c r="J2588" i="3"/>
  <c r="J2668" i="3"/>
  <c r="J2843" i="3"/>
  <c r="R2885" i="3"/>
  <c r="J172" i="2" s="1"/>
  <c r="L172" i="2" s="1"/>
  <c r="M172" i="2" s="1"/>
  <c r="N172" i="2" s="1"/>
  <c r="R3157" i="3"/>
  <c r="J200" i="2" s="1"/>
  <c r="L200" i="2" s="1"/>
  <c r="M200" i="2" s="1"/>
  <c r="N200" i="2" s="1"/>
  <c r="J3247" i="3"/>
  <c r="J3435" i="3"/>
  <c r="J3515" i="3"/>
  <c r="R3556" i="3"/>
  <c r="J242" i="2" s="1"/>
  <c r="L242" i="2" s="1"/>
  <c r="M242" i="2" s="1"/>
  <c r="N242" i="2" s="1"/>
  <c r="J3126" i="3"/>
  <c r="J3308" i="3"/>
  <c r="J3394" i="3"/>
  <c r="R3486" i="3"/>
  <c r="J235" i="2" s="1"/>
  <c r="L235" i="2" s="1"/>
  <c r="M235" i="2" s="1"/>
  <c r="N235" i="2" s="1"/>
  <c r="R3844" i="3"/>
  <c r="J268" i="2" s="1"/>
  <c r="L268" i="2" s="1"/>
  <c r="M268" i="2" s="1"/>
  <c r="N268" i="2" s="1"/>
  <c r="J3955" i="3"/>
  <c r="R359" i="3"/>
  <c r="R362" i="3"/>
  <c r="R366" i="3"/>
  <c r="R375" i="3"/>
  <c r="R379" i="3"/>
  <c r="R390" i="3"/>
  <c r="N1633" i="3"/>
  <c r="R1633" i="3" s="1"/>
  <c r="R3903" i="3"/>
  <c r="J272" i="2" s="1"/>
  <c r="L272" i="2" s="1"/>
  <c r="M272" i="2" s="1"/>
  <c r="N272" i="2" s="1"/>
  <c r="R3923" i="3"/>
  <c r="J274" i="2" s="1"/>
  <c r="L274" i="2" s="1"/>
  <c r="M274" i="2" s="1"/>
  <c r="N274" i="2" s="1"/>
  <c r="J3902" i="3"/>
  <c r="R1344" i="3"/>
  <c r="S2198" i="3"/>
  <c r="J2935" i="3"/>
  <c r="R387" i="3"/>
  <c r="R360" i="3"/>
  <c r="R381" i="3"/>
  <c r="O595" i="3"/>
  <c r="S3208" i="3"/>
  <c r="R361" i="3"/>
  <c r="O646" i="3"/>
  <c r="J3445" i="3"/>
  <c r="R2784" i="3"/>
  <c r="J162" i="2" s="1"/>
  <c r="L162" i="2" s="1"/>
  <c r="M162" i="2" s="1"/>
  <c r="N162" i="2" s="1"/>
  <c r="R2772" i="3"/>
  <c r="J158" i="2" s="1"/>
  <c r="D156" i="1" s="1"/>
  <c r="G156" i="1" s="1"/>
  <c r="H156" i="1" s="1"/>
  <c r="S3657" i="3"/>
  <c r="S2322" i="3"/>
  <c r="J2371" i="3"/>
  <c r="R3137" i="3"/>
  <c r="J198" i="2" s="1"/>
  <c r="S2772" i="3"/>
  <c r="S3002" i="3"/>
  <c r="S3901" i="3"/>
  <c r="R2741" i="3"/>
  <c r="J154" i="2" s="1"/>
  <c r="L154" i="2" s="1"/>
  <c r="M154" i="2" s="1"/>
  <c r="N154" i="2" s="1"/>
  <c r="S2834" i="3"/>
  <c r="R3228" i="3"/>
  <c r="J208" i="2" s="1"/>
  <c r="L208" i="2" s="1"/>
  <c r="M208" i="2" s="1"/>
  <c r="N208" i="2" s="1"/>
  <c r="R3288" i="3"/>
  <c r="J214" i="2" s="1"/>
  <c r="J3424" i="3"/>
  <c r="S1927" i="3"/>
  <c r="S1935" i="3"/>
  <c r="J2068" i="3"/>
  <c r="S2739" i="3"/>
  <c r="J3237" i="3"/>
  <c r="S3534" i="3"/>
  <c r="S3786" i="3"/>
  <c r="S3637" i="3"/>
  <c r="S2475" i="3"/>
  <c r="S83" i="3"/>
  <c r="S104" i="3"/>
  <c r="S1925" i="3"/>
  <c r="J1986" i="3"/>
  <c r="S2017" i="3"/>
  <c r="R3208" i="3"/>
  <c r="J206" i="2" s="1"/>
  <c r="L206" i="2" s="1"/>
  <c r="M206" i="2" s="1"/>
  <c r="N206" i="2" s="1"/>
  <c r="S3788" i="3"/>
  <c r="R2312" i="3"/>
  <c r="J105" i="2" s="1"/>
  <c r="L105" i="2" s="1"/>
  <c r="M105" i="2" s="1"/>
  <c r="N105" i="2" s="1"/>
  <c r="S2453" i="3"/>
  <c r="S2589" i="3"/>
  <c r="S3248" i="3"/>
  <c r="S3266" i="3"/>
  <c r="J1916" i="3"/>
  <c r="R2844" i="3"/>
  <c r="J168" i="2" s="1"/>
  <c r="L168" i="2" s="1"/>
  <c r="M168" i="2" s="1"/>
  <c r="N168" i="2" s="1"/>
  <c r="S3156" i="3"/>
  <c r="S3496" i="3"/>
  <c r="S2802" i="3"/>
  <c r="S2842" i="3"/>
  <c r="J3062" i="3"/>
  <c r="J3525" i="3"/>
  <c r="S3597" i="3"/>
  <c r="J3676" i="3"/>
  <c r="I48" i="2"/>
  <c r="S1509" i="3"/>
  <c r="S2473" i="3"/>
  <c r="J2955" i="3"/>
  <c r="S3226" i="3"/>
  <c r="J3485" i="3"/>
  <c r="S3862" i="3"/>
  <c r="S2710" i="3"/>
  <c r="S3299" i="3"/>
  <c r="R2435" i="3"/>
  <c r="J118" i="2" s="1"/>
  <c r="L118" i="2" s="1"/>
  <c r="M118" i="2" s="1"/>
  <c r="N118" i="2" s="1"/>
  <c r="R2824" i="3"/>
  <c r="J166" i="2" s="1"/>
  <c r="S3384" i="3"/>
  <c r="S3617" i="3"/>
  <c r="S154" i="3"/>
  <c r="S4358" i="3" s="1"/>
  <c r="J1538" i="3"/>
  <c r="S2210" i="3"/>
  <c r="R2495" i="3"/>
  <c r="J124" i="2" s="1"/>
  <c r="R2589" i="3"/>
  <c r="J137" i="2" s="1"/>
  <c r="L137" i="2" s="1"/>
  <c r="M137" i="2" s="1"/>
  <c r="N137" i="2" s="1"/>
  <c r="S2804" i="3"/>
  <c r="S2822" i="3"/>
  <c r="S2844" i="3"/>
  <c r="S3137" i="3"/>
  <c r="S3155" i="3"/>
  <c r="S3595" i="3"/>
  <c r="R93" i="3"/>
  <c r="J23" i="2" s="1"/>
  <c r="S2455" i="3"/>
  <c r="R2609" i="3"/>
  <c r="J139" i="2" s="1"/>
  <c r="S2741" i="3"/>
  <c r="S2824" i="3"/>
  <c r="S2915" i="3"/>
  <c r="S3554" i="3"/>
  <c r="S3607" i="3"/>
  <c r="R1887" i="3"/>
  <c r="J64" i="2" s="1"/>
  <c r="S2649" i="3"/>
  <c r="R2669" i="3"/>
  <c r="J145" i="2" s="1"/>
  <c r="S2689" i="3"/>
  <c r="S2916" i="3"/>
  <c r="R3012" i="3"/>
  <c r="J185" i="2" s="1"/>
  <c r="S3168" i="3"/>
  <c r="S3577" i="3"/>
  <c r="S349" i="3"/>
  <c r="S1837" i="3"/>
  <c r="J2761" i="3"/>
  <c r="J3021" i="3"/>
  <c r="S3371" i="3"/>
  <c r="S3436" i="3"/>
  <c r="R3456" i="3"/>
  <c r="J232" i="2" s="1"/>
  <c r="S3685" i="3"/>
  <c r="S3494" i="3"/>
  <c r="S33" i="3"/>
  <c r="S1917" i="3"/>
  <c r="S2200" i="3"/>
  <c r="S2208" i="3"/>
  <c r="S2587" i="3"/>
  <c r="J1906" i="3"/>
  <c r="S2647" i="3"/>
  <c r="S3166" i="3"/>
  <c r="S3575" i="3"/>
  <c r="S351" i="3"/>
  <c r="R2475" i="3"/>
  <c r="J122" i="2" s="1"/>
  <c r="R2895" i="3"/>
  <c r="J173" i="2" s="1"/>
  <c r="S3022" i="3"/>
  <c r="J3156" i="3"/>
  <c r="S3351" i="3"/>
  <c r="S3434" i="3"/>
  <c r="S3456" i="3"/>
  <c r="R3476" i="3"/>
  <c r="J234" i="2" s="1"/>
  <c r="S3647" i="3"/>
  <c r="S3687" i="3"/>
  <c r="R3788" i="3"/>
  <c r="J264" i="2" s="1"/>
  <c r="L264" i="2" s="1"/>
  <c r="M264" i="2" s="1"/>
  <c r="N264" i="2" s="1"/>
  <c r="S71" i="3"/>
  <c r="S1344" i="3"/>
  <c r="R3913" i="3"/>
  <c r="J273" i="2" s="1"/>
  <c r="S21" i="3"/>
  <c r="S17" i="3" s="1"/>
  <c r="S91" i="3"/>
  <c r="S1432" i="3"/>
  <c r="S1845" i="3"/>
  <c r="J2099" i="3"/>
  <c r="S2110" i="3"/>
  <c r="S2118" i="3"/>
  <c r="S2130" i="3"/>
  <c r="S2607" i="3"/>
  <c r="J2813" i="3"/>
  <c r="S2986" i="3"/>
  <c r="S3097" i="3"/>
  <c r="J3177" i="3"/>
  <c r="S3188" i="3"/>
  <c r="J3257" i="3"/>
  <c r="S3286" i="3"/>
  <c r="J3318" i="3"/>
  <c r="J3362" i="3"/>
  <c r="S3393" i="3"/>
  <c r="S3474" i="3"/>
  <c r="J3586" i="3"/>
  <c r="S3710" i="3"/>
  <c r="S3693" i="3" s="1"/>
  <c r="S3768" i="3"/>
  <c r="J3833" i="3"/>
  <c r="S3911" i="3"/>
  <c r="S2057" i="3"/>
  <c r="S2160" i="3"/>
  <c r="S2168" i="3"/>
  <c r="R2200" i="3"/>
  <c r="J96" i="2" s="1"/>
  <c r="S2221" i="3"/>
  <c r="S2296" i="3"/>
  <c r="J2504" i="3"/>
  <c r="S2629" i="3"/>
  <c r="S2770" i="3"/>
  <c r="J2853" i="3"/>
  <c r="S2946" i="3"/>
  <c r="S3010" i="3"/>
  <c r="J3042" i="3"/>
  <c r="S3053" i="3"/>
  <c r="S3206" i="3"/>
  <c r="S3385" i="3"/>
  <c r="J3404" i="3"/>
  <c r="S3454" i="3"/>
  <c r="J3505" i="3"/>
  <c r="S3516" i="3"/>
  <c r="S3777" i="3"/>
  <c r="J3892" i="3"/>
  <c r="R2649" i="3"/>
  <c r="J143" i="2" s="1"/>
  <c r="R3268" i="3"/>
  <c r="J212" i="2" s="1"/>
  <c r="R3436" i="3"/>
  <c r="J230" i="2" s="1"/>
  <c r="S3891" i="3"/>
  <c r="S73" i="3"/>
  <c r="S1346" i="3"/>
  <c r="S1507" i="3"/>
  <c r="R2130" i="3"/>
  <c r="J89" i="2" s="1"/>
  <c r="R2362" i="3"/>
  <c r="J111" i="2" s="1"/>
  <c r="J2514" i="3"/>
  <c r="R2629" i="3"/>
  <c r="J141" i="2" s="1"/>
  <c r="R2986" i="3"/>
  <c r="J183" i="2" s="1"/>
  <c r="R3053" i="3"/>
  <c r="J190" i="2" s="1"/>
  <c r="S3117" i="3"/>
  <c r="S3177" i="3"/>
  <c r="R3188" i="3"/>
  <c r="J204" i="2" s="1"/>
  <c r="S3318" i="3"/>
  <c r="R3516" i="3"/>
  <c r="J238" i="2" s="1"/>
  <c r="S3778" i="3"/>
  <c r="S3912" i="3"/>
  <c r="S3921" i="3"/>
  <c r="S23" i="3"/>
  <c r="S31" i="3"/>
  <c r="S27" i="3" s="1"/>
  <c r="S43" i="3"/>
  <c r="S93" i="3"/>
  <c r="S1434" i="3"/>
  <c r="J1836" i="3"/>
  <c r="S1847" i="3"/>
  <c r="S1855" i="3"/>
  <c r="R2009" i="3"/>
  <c r="J74" i="2" s="1"/>
  <c r="S2108" i="3"/>
  <c r="S2120" i="3"/>
  <c r="S2128" i="3"/>
  <c r="R2160" i="3"/>
  <c r="J92" i="2" s="1"/>
  <c r="R2221" i="3"/>
  <c r="J99" i="2" s="1"/>
  <c r="L99" i="2" s="1"/>
  <c r="M99" i="2" s="1"/>
  <c r="N99" i="2" s="1"/>
  <c r="S2360" i="3"/>
  <c r="J2444" i="3"/>
  <c r="S2609" i="3"/>
  <c r="S2627" i="3"/>
  <c r="R2689" i="3"/>
  <c r="J147" i="2" s="1"/>
  <c r="R2752" i="3"/>
  <c r="J156" i="2" s="1"/>
  <c r="J2793" i="3"/>
  <c r="S2944" i="3"/>
  <c r="S2984" i="3"/>
  <c r="R3032" i="3"/>
  <c r="J187" i="2" s="1"/>
  <c r="S3051" i="3"/>
  <c r="R3097" i="3"/>
  <c r="J194" i="2" s="1"/>
  <c r="S3186" i="3"/>
  <c r="J3217" i="3"/>
  <c r="S3228" i="3"/>
  <c r="R3248" i="3"/>
  <c r="J210" i="2" s="1"/>
  <c r="J3339" i="3"/>
  <c r="S3413" i="3"/>
  <c r="J3465" i="3"/>
  <c r="S3514" i="3"/>
  <c r="J3545" i="3"/>
  <c r="J3566" i="3"/>
  <c r="S3627" i="3"/>
  <c r="S3667" i="3"/>
  <c r="S3712" i="3"/>
  <c r="S3766" i="3"/>
  <c r="J3862" i="3"/>
  <c r="S3946" i="3"/>
  <c r="R33" i="3"/>
  <c r="J18" i="2" s="1"/>
  <c r="J52" i="3"/>
  <c r="R1927" i="3"/>
  <c r="J68" i="2" s="1"/>
  <c r="S1999" i="3"/>
  <c r="S2055" i="3"/>
  <c r="S2158" i="3"/>
  <c r="S2170" i="3"/>
  <c r="S2219" i="3"/>
  <c r="R2525" i="3"/>
  <c r="J127" i="2" s="1"/>
  <c r="L127" i="2" s="1"/>
  <c r="M127" i="2" s="1"/>
  <c r="N127" i="2" s="1"/>
  <c r="S2557" i="3"/>
  <c r="J2598" i="3"/>
  <c r="S2687" i="3"/>
  <c r="J2709" i="3"/>
  <c r="R2804" i="3"/>
  <c r="J164" i="2" s="1"/>
  <c r="S2854" i="3"/>
  <c r="R2875" i="3"/>
  <c r="J171" i="2" s="1"/>
  <c r="S2976" i="3"/>
  <c r="S3030" i="3"/>
  <c r="S3075" i="3"/>
  <c r="S3145" i="3"/>
  <c r="S3178" i="3"/>
  <c r="S3246" i="3"/>
  <c r="J3277" i="3"/>
  <c r="S3476" i="3"/>
  <c r="R3496" i="3"/>
  <c r="J236" i="2" s="1"/>
  <c r="R3577" i="3"/>
  <c r="J245" i="2" s="1"/>
  <c r="S3676" i="3"/>
  <c r="S1781" i="3"/>
  <c r="S1782" i="3"/>
  <c r="S1780" i="3"/>
  <c r="S2008" i="3"/>
  <c r="S2007" i="3"/>
  <c r="S2864" i="3"/>
  <c r="S2862" i="3"/>
  <c r="S2894" i="3"/>
  <c r="S2895" i="3"/>
  <c r="S2893" i="3"/>
  <c r="S286" i="3"/>
  <c r="S288" i="3"/>
  <c r="S945" i="3"/>
  <c r="S944" i="3"/>
  <c r="S1174" i="3"/>
  <c r="S1176" i="3"/>
  <c r="S1711" i="3"/>
  <c r="S1710" i="3"/>
  <c r="S1897" i="3"/>
  <c r="S1895" i="3"/>
  <c r="S1969" i="3"/>
  <c r="S1967" i="3"/>
  <c r="S1981" i="3" s="1"/>
  <c r="S2311" i="3"/>
  <c r="S2312" i="3"/>
  <c r="S2310" i="3"/>
  <c r="S2434" i="3"/>
  <c r="S2435" i="3"/>
  <c r="S2433" i="3"/>
  <c r="S2524" i="3"/>
  <c r="S2525" i="3"/>
  <c r="S2523" i="3"/>
  <c r="S2668" i="3"/>
  <c r="S2669" i="3"/>
  <c r="S2667" i="3"/>
  <c r="S2751" i="3"/>
  <c r="S2752" i="3"/>
  <c r="S2750" i="3"/>
  <c r="S2812" i="3"/>
  <c r="S2814" i="3"/>
  <c r="S1519" i="3"/>
  <c r="S1517" i="3"/>
  <c r="S1875" i="3"/>
  <c r="S1877" i="3"/>
  <c r="S2090" i="3"/>
  <c r="S2088" i="3"/>
  <c r="S2934" i="3"/>
  <c r="S2936" i="3"/>
  <c r="S1555" i="3"/>
  <c r="S1548" i="3" s="1"/>
  <c r="S1557" i="3"/>
  <c r="S1886" i="3"/>
  <c r="S1887" i="3"/>
  <c r="S1885" i="3"/>
  <c r="S2009" i="3"/>
  <c r="S2406" i="3"/>
  <c r="S2404" i="3"/>
  <c r="S2568" i="3"/>
  <c r="S2566" i="3"/>
  <c r="S2925" i="3"/>
  <c r="S2926" i="3"/>
  <c r="S2924" i="3"/>
  <c r="S297" i="3"/>
  <c r="S298" i="3"/>
  <c r="S296" i="3"/>
  <c r="S1712" i="3"/>
  <c r="S2047" i="3"/>
  <c r="S2045" i="3"/>
  <c r="S2046" i="3"/>
  <c r="S2386" i="3"/>
  <c r="S2384" i="3"/>
  <c r="S2494" i="3"/>
  <c r="S2495" i="3"/>
  <c r="S2493" i="3"/>
  <c r="S2720" i="3"/>
  <c r="S2721" i="3"/>
  <c r="S2719" i="3"/>
  <c r="S2783" i="3"/>
  <c r="S2784" i="3"/>
  <c r="S2782" i="3"/>
  <c r="S2885" i="3"/>
  <c r="S2883" i="3"/>
  <c r="S2884" i="3"/>
  <c r="S2965" i="3"/>
  <c r="S2966" i="3"/>
  <c r="S2964" i="3"/>
  <c r="J1528" i="3"/>
  <c r="J1876" i="3"/>
  <c r="J2078" i="3"/>
  <c r="S2324" i="3"/>
  <c r="S2362" i="3"/>
  <c r="R2966" i="3"/>
  <c r="J1825" i="3"/>
  <c r="J1866" i="3"/>
  <c r="J1946" i="3"/>
  <c r="J1998" i="3"/>
  <c r="J2545" i="3"/>
  <c r="J2578" i="3"/>
  <c r="J2618" i="3"/>
  <c r="J2833" i="3"/>
  <c r="J2915" i="3"/>
  <c r="S2150" i="3"/>
  <c r="R2170" i="3"/>
  <c r="S2190" i="3"/>
  <c r="R2210" i="3"/>
  <c r="S2286" i="3"/>
  <c r="S2288" i="3"/>
  <c r="S2348" i="3"/>
  <c r="S2350" i="3"/>
  <c r="G48" i="2"/>
  <c r="I110" i="2"/>
  <c r="I135" i="2"/>
  <c r="J32" i="3"/>
  <c r="S51" i="3"/>
  <c r="S47" i="3" s="1"/>
  <c r="S53" i="3"/>
  <c r="S52" i="3"/>
  <c r="R23" i="3"/>
  <c r="J22" i="3"/>
  <c r="J42" i="3"/>
  <c r="R43" i="3"/>
  <c r="J82" i="3"/>
  <c r="R83" i="3"/>
  <c r="R1555" i="3"/>
  <c r="R1557" i="3" s="1"/>
  <c r="G161" i="2"/>
  <c r="J103" i="3"/>
  <c r="R104" i="3"/>
  <c r="I161" i="2"/>
  <c r="S215" i="3"/>
  <c r="S217" i="3"/>
  <c r="J1814" i="3"/>
  <c r="S42" i="3"/>
  <c r="S82" i="3"/>
  <c r="S103" i="3"/>
  <c r="S287" i="3"/>
  <c r="S946" i="3"/>
  <c r="O1191" i="3"/>
  <c r="S1181" i="3"/>
  <c r="L1401" i="3"/>
  <c r="L1449" i="3"/>
  <c r="L1438" i="3"/>
  <c r="L1450" i="3"/>
  <c r="S1538" i="3"/>
  <c r="S1539" i="3"/>
  <c r="S1615" i="3"/>
  <c r="S1617" i="3"/>
  <c r="S585" i="3"/>
  <c r="S1384" i="3"/>
  <c r="S1386" i="3"/>
  <c r="R1390" i="3"/>
  <c r="S1527" i="3"/>
  <c r="S1529" i="3"/>
  <c r="S155" i="3"/>
  <c r="S586" i="3"/>
  <c r="O1182" i="3"/>
  <c r="R1350" i="3"/>
  <c r="R1363" i="3"/>
  <c r="S1385" i="3"/>
  <c r="S1470" i="3"/>
  <c r="S1471" i="3"/>
  <c r="R1519" i="3"/>
  <c r="S1628" i="3"/>
  <c r="S1629" i="3"/>
  <c r="S1684" i="3"/>
  <c r="S1685" i="3"/>
  <c r="O1181" i="3"/>
  <c r="O1194" i="3"/>
  <c r="R1402" i="3"/>
  <c r="R1447" i="3"/>
  <c r="S1528" i="3"/>
  <c r="S1751" i="3"/>
  <c r="S1716" i="3" s="1"/>
  <c r="S1753" i="3"/>
  <c r="S1718" i="3" s="1"/>
  <c r="S1814" i="3"/>
  <c r="S1815" i="3"/>
  <c r="R1969" i="3"/>
  <c r="J1968" i="3"/>
  <c r="S1825" i="3"/>
  <c r="S1836" i="3"/>
  <c r="S1876" i="3"/>
  <c r="R1877" i="3"/>
  <c r="S1916" i="3"/>
  <c r="S1998" i="3"/>
  <c r="R1999" i="3"/>
  <c r="S2036" i="3"/>
  <c r="S2026" i="3" s="1"/>
  <c r="R2057" i="3"/>
  <c r="J2056" i="3"/>
  <c r="S2068" i="3"/>
  <c r="S2372" i="3"/>
  <c r="S2370" i="3"/>
  <c r="S2395" i="3"/>
  <c r="S2394" i="3"/>
  <c r="R2455" i="3"/>
  <c r="J2454" i="3"/>
  <c r="S1826" i="3"/>
  <c r="S1866" i="3"/>
  <c r="S1906" i="3"/>
  <c r="S1946" i="3"/>
  <c r="S1986" i="3"/>
  <c r="S2069" i="3"/>
  <c r="S2077" i="3"/>
  <c r="S2089" i="3"/>
  <c r="S2099" i="3"/>
  <c r="S2100" i="3"/>
  <c r="J2109" i="3"/>
  <c r="S2140" i="3"/>
  <c r="S2138" i="3"/>
  <c r="S2180" i="3"/>
  <c r="S2178" i="3"/>
  <c r="S2371" i="3"/>
  <c r="S2422" i="3"/>
  <c r="S2424" i="3"/>
  <c r="S2423" i="3"/>
  <c r="S2513" i="3"/>
  <c r="S2515" i="3"/>
  <c r="S2514" i="3"/>
  <c r="S1518" i="3"/>
  <c r="S1856" i="3"/>
  <c r="S1867" i="3"/>
  <c r="S1896" i="3"/>
  <c r="S1907" i="3"/>
  <c r="S1936" i="3"/>
  <c r="S1947" i="3"/>
  <c r="S1968" i="3"/>
  <c r="S1987" i="3"/>
  <c r="S2018" i="3"/>
  <c r="S2034" i="3"/>
  <c r="J2149" i="3"/>
  <c r="J2189" i="3"/>
  <c r="R2190" i="3"/>
  <c r="S2254" i="3"/>
  <c r="S2253" i="3"/>
  <c r="S2396" i="3"/>
  <c r="S2503" i="3"/>
  <c r="S2505" i="3"/>
  <c r="S2504" i="3"/>
  <c r="S2078" i="3"/>
  <c r="J2557" i="3"/>
  <c r="R2558" i="3"/>
  <c r="S2298" i="3"/>
  <c r="S2385" i="3"/>
  <c r="S2463" i="3"/>
  <c r="S2465" i="3"/>
  <c r="J2474" i="3"/>
  <c r="J2484" i="3"/>
  <c r="S2545" i="3"/>
  <c r="S2546" i="3"/>
  <c r="S2617" i="3"/>
  <c r="S2619" i="3"/>
  <c r="S2149" i="3"/>
  <c r="S2189" i="3"/>
  <c r="S2443" i="3"/>
  <c r="S2445" i="3"/>
  <c r="J2464" i="3"/>
  <c r="S2533" i="3"/>
  <c r="S2535" i="3"/>
  <c r="R2568" i="3"/>
  <c r="S2618" i="3"/>
  <c r="S2637" i="3"/>
  <c r="S2639" i="3"/>
  <c r="S2577" i="3"/>
  <c r="S2579" i="3"/>
  <c r="S2657" i="3"/>
  <c r="S2659" i="3"/>
  <c r="S2483" i="3"/>
  <c r="S2485" i="3"/>
  <c r="S2578" i="3"/>
  <c r="S2597" i="3"/>
  <c r="S2599" i="3"/>
  <c r="S2658" i="3"/>
  <c r="S2677" i="3"/>
  <c r="S2679" i="3"/>
  <c r="S2709" i="3"/>
  <c r="R2710" i="3"/>
  <c r="S2761" i="3"/>
  <c r="S2793" i="3"/>
  <c r="R2794" i="3"/>
  <c r="J2803" i="3"/>
  <c r="S2813" i="3"/>
  <c r="R2814" i="3"/>
  <c r="J2823" i="3"/>
  <c r="S2833" i="3"/>
  <c r="R2834" i="3"/>
  <c r="S2853" i="3"/>
  <c r="R2854" i="3"/>
  <c r="S2875" i="3"/>
  <c r="S2903" i="3"/>
  <c r="S2905" i="3"/>
  <c r="J3001" i="3"/>
  <c r="S2698" i="3"/>
  <c r="S2730" i="3"/>
  <c r="J2740" i="3"/>
  <c r="S2762" i="3"/>
  <c r="S2794" i="3"/>
  <c r="J2874" i="3"/>
  <c r="J2975" i="3"/>
  <c r="R2976" i="3"/>
  <c r="S2405" i="3"/>
  <c r="S2567" i="3"/>
  <c r="S2699" i="3"/>
  <c r="S2731" i="3"/>
  <c r="S2873" i="3"/>
  <c r="R2916" i="3"/>
  <c r="R2926" i="3"/>
  <c r="R2936" i="3"/>
  <c r="R2956" i="3"/>
  <c r="S2863" i="3"/>
  <c r="S2955" i="3"/>
  <c r="S2956" i="3"/>
  <c r="S2975" i="3"/>
  <c r="S3001" i="3"/>
  <c r="S3021" i="3"/>
  <c r="R3022" i="3"/>
  <c r="S3196" i="3"/>
  <c r="S3198" i="3"/>
  <c r="S3042" i="3"/>
  <c r="S3062" i="3"/>
  <c r="S3073" i="3"/>
  <c r="J3074" i="3"/>
  <c r="S3086" i="3"/>
  <c r="S3095" i="3"/>
  <c r="J3096" i="3"/>
  <c r="S3106" i="3"/>
  <c r="S3115" i="3"/>
  <c r="S3126" i="3"/>
  <c r="S3135" i="3"/>
  <c r="J3136" i="3"/>
  <c r="S3146" i="3"/>
  <c r="J3187" i="3"/>
  <c r="J3197" i="3"/>
  <c r="S3011" i="3"/>
  <c r="S3031" i="3"/>
  <c r="S3043" i="3"/>
  <c r="S3063" i="3"/>
  <c r="S3087" i="3"/>
  <c r="S3107" i="3"/>
  <c r="S3127" i="3"/>
  <c r="R3168" i="3"/>
  <c r="J3167" i="3"/>
  <c r="S3197" i="3"/>
  <c r="R3178" i="3"/>
  <c r="S3268" i="3"/>
  <c r="S3288" i="3"/>
  <c r="S3297" i="3"/>
  <c r="J3298" i="3"/>
  <c r="S3319" i="3"/>
  <c r="S3328" i="3"/>
  <c r="S3339" i="3"/>
  <c r="S3340" i="3"/>
  <c r="S3424" i="3"/>
  <c r="S3425" i="3"/>
  <c r="S3217" i="3"/>
  <c r="S3237" i="3"/>
  <c r="S3257" i="3"/>
  <c r="S3277" i="3"/>
  <c r="S3307" i="3"/>
  <c r="S3404" i="3"/>
  <c r="S3405" i="3"/>
  <c r="S3218" i="3"/>
  <c r="S3238" i="3"/>
  <c r="S3258" i="3"/>
  <c r="S3278" i="3"/>
  <c r="S3327" i="3"/>
  <c r="R3363" i="3"/>
  <c r="S3444" i="3"/>
  <c r="S3446" i="3"/>
  <c r="S3308" i="3"/>
  <c r="R3340" i="3"/>
  <c r="S3362" i="3"/>
  <c r="S3363" i="3"/>
  <c r="R3425" i="3"/>
  <c r="S3445" i="3"/>
  <c r="S3464" i="3"/>
  <c r="S3466" i="3"/>
  <c r="S3536" i="3"/>
  <c r="S3556" i="3"/>
  <c r="S3565" i="3"/>
  <c r="J3626" i="3"/>
  <c r="R3627" i="3"/>
  <c r="R3657" i="3"/>
  <c r="J3666" i="3"/>
  <c r="R3667" i="3"/>
  <c r="S3485" i="3"/>
  <c r="S3505" i="3"/>
  <c r="S3525" i="3"/>
  <c r="S3545" i="3"/>
  <c r="J3576" i="3"/>
  <c r="R3597" i="3"/>
  <c r="J3596" i="3"/>
  <c r="J3777" i="3"/>
  <c r="R3778" i="3"/>
  <c r="S3352" i="3"/>
  <c r="S3372" i="3"/>
  <c r="S3394" i="3"/>
  <c r="S3414" i="3"/>
  <c r="S3486" i="3"/>
  <c r="S3506" i="3"/>
  <c r="S3526" i="3"/>
  <c r="S3546" i="3"/>
  <c r="S3566" i="3"/>
  <c r="R3587" i="3"/>
  <c r="J3606" i="3"/>
  <c r="R3607" i="3"/>
  <c r="R3617" i="3"/>
  <c r="J3616" i="3"/>
  <c r="R3637" i="3"/>
  <c r="J3646" i="3"/>
  <c r="R3647" i="3"/>
  <c r="S3586" i="3"/>
  <c r="S3587" i="3"/>
  <c r="S3606" i="3"/>
  <c r="S3615" i="3"/>
  <c r="S3626" i="3"/>
  <c r="S3635" i="3"/>
  <c r="J3636" i="3"/>
  <c r="S3646" i="3"/>
  <c r="S3655" i="3"/>
  <c r="J3656" i="3"/>
  <c r="S3666" i="3"/>
  <c r="S3844" i="3"/>
  <c r="S3842" i="3"/>
  <c r="J3912" i="3"/>
  <c r="S3677" i="3"/>
  <c r="R3687" i="3"/>
  <c r="J3686" i="3"/>
  <c r="S3832" i="3"/>
  <c r="S3833" i="3"/>
  <c r="S3757" i="3"/>
  <c r="S3758" i="3"/>
  <c r="R3768" i="3"/>
  <c r="J3767" i="3"/>
  <c r="S3797" i="3"/>
  <c r="S3798" i="3"/>
  <c r="R3834" i="3"/>
  <c r="S3861" i="3"/>
  <c r="S3871" i="3"/>
  <c r="S3922" i="3"/>
  <c r="S3955" i="3"/>
  <c r="J3945" i="3"/>
  <c r="R3946" i="3"/>
  <c r="J3787" i="3"/>
  <c r="S3872" i="3"/>
  <c r="S3892" i="3"/>
  <c r="J3797" i="3"/>
  <c r="R3798" i="3"/>
  <c r="S3902" i="3"/>
  <c r="S3954" i="3"/>
  <c r="S3945" i="3"/>
  <c r="W1040" i="3"/>
  <c r="W1036" i="3"/>
  <c r="W906" i="3"/>
  <c r="W1218" i="3"/>
  <c r="W2272" i="3"/>
  <c r="W894" i="3"/>
  <c r="W657" i="3"/>
  <c r="W974" i="3"/>
  <c r="W802" i="3"/>
  <c r="W1596" i="3"/>
  <c r="W748" i="3"/>
  <c r="W1658" i="3"/>
  <c r="W3945" i="3"/>
  <c r="W1150" i="3"/>
  <c r="W1227" i="3"/>
  <c r="W2241" i="3"/>
  <c r="W962" i="3"/>
  <c r="W1107" i="3"/>
  <c r="W1648" i="3"/>
  <c r="W345" i="3"/>
  <c r="W789" i="3"/>
  <c r="W1355" i="3"/>
  <c r="W1129" i="3"/>
  <c r="W825" i="3"/>
  <c r="W2243" i="3"/>
  <c r="W276" i="3"/>
  <c r="W1111" i="3"/>
  <c r="W1679" i="3"/>
  <c r="W819" i="3"/>
  <c r="W3935" i="3"/>
  <c r="W987" i="3"/>
  <c r="W3936" i="3"/>
  <c r="W566" i="3"/>
  <c r="W572" i="3"/>
  <c r="W693" i="3"/>
  <c r="W1487" i="3"/>
  <c r="W842" i="3"/>
  <c r="W1114" i="3"/>
  <c r="W921" i="3"/>
  <c r="W1020" i="3"/>
  <c r="W1486" i="3"/>
  <c r="W196" i="3"/>
  <c r="W1649" i="3"/>
  <c r="W1066" i="3"/>
  <c r="W3878" i="3"/>
  <c r="W1504" i="3"/>
  <c r="W1097" i="3"/>
  <c r="W1170" i="3"/>
  <c r="W2270" i="3"/>
  <c r="W1056" i="3"/>
  <c r="W1643" i="3"/>
  <c r="W806" i="3"/>
  <c r="W564" i="3"/>
  <c r="W1634" i="3"/>
  <c r="W1169" i="3"/>
  <c r="W2150" i="3"/>
  <c r="W1159" i="3"/>
  <c r="W2330" i="3"/>
  <c r="W1666" i="3"/>
  <c r="W1462" i="3"/>
  <c r="W1676" i="3"/>
  <c r="W2149" i="3"/>
  <c r="W1378" i="3"/>
  <c r="W2273" i="3"/>
  <c r="W1771" i="3"/>
  <c r="W815" i="3"/>
  <c r="W1597" i="3"/>
  <c r="W740" i="3"/>
  <c r="W1356" i="3"/>
  <c r="W1443" i="3"/>
  <c r="W145" i="3"/>
  <c r="W3881" i="3"/>
  <c r="W1745" i="3"/>
  <c r="W1138" i="3"/>
  <c r="W2253" i="3"/>
  <c r="W1043" i="3"/>
  <c r="W559" i="3"/>
  <c r="W2333" i="3"/>
  <c r="W905" i="3"/>
  <c r="W970" i="3"/>
  <c r="W2322" i="3"/>
  <c r="W1022" i="3"/>
  <c r="W1421" i="3"/>
  <c r="W1406" i="3"/>
  <c r="W796" i="3"/>
  <c r="W1394" i="3"/>
  <c r="W687" i="3"/>
  <c r="W1655" i="3"/>
  <c r="W4977" i="3"/>
  <c r="W1360" i="3"/>
  <c r="W573" i="3"/>
  <c r="W1494" i="3"/>
  <c r="W1612" i="3"/>
  <c r="W1052" i="3"/>
  <c r="W1041" i="3"/>
  <c r="W1392" i="3"/>
  <c r="W709" i="3"/>
  <c r="W1083" i="3"/>
  <c r="W788" i="3"/>
  <c r="W1105" i="3"/>
  <c r="W3888" i="3"/>
  <c r="W1441" i="3"/>
  <c r="W562" i="3"/>
  <c r="W1064" i="3"/>
  <c r="W908" i="3"/>
  <c r="W900" i="3"/>
  <c r="W1130" i="3"/>
  <c r="W976" i="3"/>
  <c r="W2277" i="3"/>
  <c r="W1425" i="3"/>
  <c r="W202" i="3"/>
  <c r="W1615" i="3"/>
  <c r="W3946" i="3"/>
  <c r="W1121" i="3"/>
  <c r="W660" i="3"/>
  <c r="W1405" i="3"/>
  <c r="W711" i="3"/>
  <c r="W718" i="3"/>
  <c r="W3885" i="3"/>
  <c r="W2242" i="3"/>
  <c r="W2252" i="3"/>
  <c r="W1445" i="3"/>
  <c r="W720" i="3"/>
  <c r="W829" i="3"/>
  <c r="W1647" i="3"/>
  <c r="W1600" i="3"/>
  <c r="W1152" i="3"/>
  <c r="W1669" i="3"/>
  <c r="W737" i="3"/>
  <c r="W1457" i="3"/>
  <c r="W773" i="3"/>
  <c r="W2244" i="3"/>
  <c r="W3882" i="3"/>
  <c r="W730" i="3"/>
  <c r="W569" i="3"/>
  <c r="W686" i="3"/>
  <c r="W685" i="3"/>
  <c r="W2233" i="3"/>
  <c r="W1645" i="3"/>
  <c r="W1633" i="3"/>
  <c r="W1062" i="3"/>
  <c r="W1776" i="3"/>
  <c r="W1591" i="3"/>
  <c r="W759" i="3"/>
  <c r="W915" i="3"/>
  <c r="W1081" i="3"/>
  <c r="W777" i="3"/>
  <c r="W3710" i="3"/>
  <c r="W1426" i="3"/>
  <c r="W197" i="3"/>
  <c r="W958" i="3"/>
  <c r="W1228" i="3"/>
  <c r="W741" i="3"/>
  <c r="W1465" i="3"/>
  <c r="W2254" i="3"/>
  <c r="W765" i="3"/>
  <c r="W2329" i="3"/>
  <c r="W2234" i="3"/>
  <c r="W1019" i="3"/>
  <c r="W1408" i="3"/>
  <c r="W977" i="3"/>
  <c r="W818" i="3"/>
  <c r="W1509" i="3"/>
  <c r="W785" i="3"/>
  <c r="W1766" i="3"/>
  <c r="W1664" i="3"/>
  <c r="W563" i="3"/>
  <c r="W2261" i="3"/>
  <c r="W1162" i="3"/>
  <c r="W2331" i="3"/>
  <c r="W832" i="3"/>
  <c r="W1500" i="3"/>
  <c r="W886" i="3"/>
  <c r="W3887" i="3"/>
  <c r="W395" i="3"/>
  <c r="W1424" i="3"/>
  <c r="W1077" i="3"/>
  <c r="W1667" i="3"/>
  <c r="W790" i="3"/>
  <c r="W4984" i="3"/>
  <c r="W1587" i="3"/>
  <c r="W797" i="3"/>
  <c r="W800" i="3"/>
  <c r="W1493" i="3"/>
  <c r="W827" i="3"/>
  <c r="W750" i="3"/>
  <c r="W1209" i="3"/>
  <c r="W1488" i="3"/>
  <c r="W907" i="3"/>
  <c r="W743" i="3"/>
  <c r="W577" i="3"/>
  <c r="W817" i="3"/>
  <c r="W1154" i="3"/>
  <c r="W675" i="3"/>
  <c r="W1078" i="3"/>
  <c r="W1120" i="3"/>
  <c r="W868" i="3"/>
  <c r="W917" i="3"/>
  <c r="W1710" i="3"/>
  <c r="W1672" i="3"/>
  <c r="W722" i="3"/>
  <c r="W215" i="3"/>
  <c r="W965" i="3"/>
  <c r="W2235" i="3"/>
  <c r="W1423" i="3"/>
  <c r="W1158" i="3"/>
  <c r="W701" i="3"/>
  <c r="W1095" i="3"/>
  <c r="W4980" i="3"/>
  <c r="W699" i="3"/>
  <c r="W1657" i="3"/>
  <c r="W751" i="3"/>
  <c r="W664" i="3"/>
  <c r="W199" i="3"/>
  <c r="W1037" i="3"/>
  <c r="W2336" i="3"/>
  <c r="W1094" i="3"/>
  <c r="W2335" i="3"/>
  <c r="W1428" i="3"/>
  <c r="W892" i="3"/>
  <c r="W991" i="3"/>
  <c r="W980" i="3"/>
  <c r="W1769" i="3"/>
  <c r="W1374" i="3"/>
  <c r="W1485" i="3"/>
  <c r="W1141" i="3"/>
  <c r="W791" i="3"/>
  <c r="W2332" i="3"/>
  <c r="W1659" i="3"/>
  <c r="W146" i="3"/>
  <c r="W721" i="3"/>
  <c r="W1071" i="3"/>
  <c r="W1775" i="3"/>
  <c r="W841" i="3"/>
  <c r="W1135" i="3"/>
  <c r="W731" i="3"/>
  <c r="W1055" i="3"/>
  <c r="W2237" i="3"/>
  <c r="W3832" i="3"/>
  <c r="W1598" i="3"/>
  <c r="W726" i="3"/>
  <c r="W1480" i="3"/>
  <c r="W1641" i="3"/>
  <c r="W1375" i="3"/>
  <c r="W698" i="3"/>
  <c r="W689" i="3"/>
  <c r="W1123" i="3"/>
  <c r="W708" i="3"/>
  <c r="W1133" i="3"/>
  <c r="W3886" i="3"/>
  <c r="W780" i="3"/>
  <c r="W561" i="3"/>
  <c r="W1399" i="3"/>
  <c r="W668" i="3"/>
  <c r="W275" i="3"/>
  <c r="W1637" i="3"/>
  <c r="W683" i="3"/>
  <c r="W717" i="3"/>
  <c r="W2259" i="3"/>
  <c r="W1087" i="3"/>
  <c r="W3879" i="3"/>
  <c r="W1656" i="3"/>
  <c r="W2229" i="3"/>
  <c r="W200" i="3"/>
  <c r="W1099" i="3"/>
  <c r="W201" i="3"/>
  <c r="W840" i="3"/>
  <c r="W1044" i="3"/>
  <c r="W1085" i="3"/>
  <c r="W1491" i="3"/>
  <c r="W1453" i="3"/>
  <c r="W812" i="3"/>
  <c r="W1060" i="3"/>
  <c r="W844" i="3"/>
  <c r="W839" i="3"/>
  <c r="W1482" i="3"/>
  <c r="W920" i="3"/>
  <c r="W1479" i="3"/>
  <c r="W1157" i="3"/>
  <c r="W2267" i="3"/>
  <c r="W1146" i="3"/>
  <c r="W983" i="3"/>
  <c r="W3930" i="3"/>
  <c r="W565" i="3"/>
  <c r="W1395" i="3"/>
  <c r="W4983" i="3"/>
  <c r="W2245" i="3"/>
  <c r="W732" i="3"/>
  <c r="W1377" i="3"/>
  <c r="W671" i="3"/>
  <c r="W1109" i="3"/>
  <c r="W838" i="3"/>
  <c r="W1053" i="3"/>
  <c r="W1091" i="3"/>
  <c r="W727" i="3"/>
  <c r="W1127" i="3"/>
  <c r="W1484" i="3"/>
  <c r="W807" i="3"/>
  <c r="W1048" i="3"/>
  <c r="W1126" i="3"/>
  <c r="W1042" i="3"/>
  <c r="W4986" i="3"/>
  <c r="W1498" i="3"/>
  <c r="W655" i="3"/>
  <c r="W1057" i="3"/>
  <c r="W1161" i="3"/>
  <c r="W761" i="3"/>
  <c r="W1059" i="3"/>
  <c r="W967" i="3"/>
  <c r="W147" i="3"/>
  <c r="W700" i="3"/>
  <c r="W903" i="3"/>
  <c r="W1594" i="3"/>
  <c r="W3883" i="3"/>
  <c r="W764" i="3"/>
  <c r="W744" i="3"/>
  <c r="W963" i="3"/>
  <c r="W1502" i="3"/>
  <c r="W1451" i="3"/>
  <c r="W1595" i="3"/>
  <c r="W831" i="3"/>
  <c r="W742" i="3"/>
  <c r="W981" i="3"/>
  <c r="W833" i="3"/>
  <c r="W1590" i="3"/>
  <c r="W1112" i="3"/>
  <c r="W1153" i="3"/>
  <c r="W1063" i="3"/>
  <c r="W1499" i="3"/>
  <c r="W1759" i="3"/>
  <c r="W1652" i="3"/>
  <c r="W1653" i="3"/>
  <c r="W574" i="3"/>
  <c r="W1045" i="3"/>
  <c r="W1409" i="3"/>
  <c r="W1675" i="3"/>
  <c r="W1104" i="3"/>
  <c r="W1763" i="3"/>
  <c r="W1131" i="3"/>
  <c r="W1101" i="3"/>
  <c r="W676" i="3"/>
  <c r="W1365" i="3"/>
  <c r="W575" i="3"/>
  <c r="W1440" i="3"/>
  <c r="W684" i="3"/>
  <c r="W1137" i="3"/>
  <c r="W568" i="3"/>
  <c r="W656" i="3"/>
  <c r="W1116" i="3"/>
  <c r="W694" i="3"/>
  <c r="W816" i="3"/>
  <c r="W909" i="3"/>
  <c r="W71" i="3"/>
  <c r="W1034" i="3"/>
  <c r="W1640" i="3"/>
  <c r="W4149" i="3"/>
  <c r="W3857" i="3"/>
  <c r="W340" i="3"/>
  <c r="W1376" i="3"/>
  <c r="W804" i="3"/>
  <c r="W560" i="3"/>
  <c r="W770" i="3"/>
  <c r="W144" i="3"/>
  <c r="W2246" i="3"/>
  <c r="W1422" i="3"/>
  <c r="W2232" i="3"/>
  <c r="W1403" i="3"/>
  <c r="W1660" i="3"/>
  <c r="W1113" i="3"/>
  <c r="W776" i="3"/>
  <c r="W1136" i="3"/>
  <c r="W1221" i="3"/>
  <c r="W1080" i="3"/>
  <c r="W1363" i="3"/>
  <c r="W1364" i="3"/>
  <c r="W793" i="3"/>
  <c r="W1661" i="3"/>
  <c r="W679" i="3"/>
  <c r="W4150" i="3"/>
  <c r="W805" i="3"/>
  <c r="W1448" i="3"/>
  <c r="W754" i="3"/>
  <c r="W2035" i="3"/>
  <c r="W919" i="3"/>
  <c r="W1100" i="3"/>
  <c r="W1490" i="3"/>
  <c r="W1481" i="3"/>
  <c r="W1149" i="3"/>
  <c r="W982" i="3"/>
  <c r="W707" i="3"/>
  <c r="W1021" i="3"/>
  <c r="W912" i="3"/>
  <c r="W884" i="3"/>
  <c r="W216" i="3"/>
  <c r="W3889" i="3"/>
  <c r="W1477" i="3"/>
  <c r="W799" i="3"/>
  <c r="W801" i="3"/>
  <c r="W1106" i="3"/>
  <c r="W695" i="3"/>
  <c r="W752" i="3"/>
  <c r="W771" i="3"/>
  <c r="W916" i="3"/>
  <c r="W1203" i="3"/>
  <c r="W2265" i="3"/>
  <c r="W1362" i="3"/>
  <c r="W1478" i="3"/>
  <c r="W990" i="3"/>
  <c r="W813" i="3"/>
  <c r="W1079" i="3"/>
  <c r="W4394" i="3"/>
  <c r="W959" i="3"/>
  <c r="W3693" i="3"/>
  <c r="W639" i="3"/>
  <c r="W682" i="3"/>
  <c r="W674" i="3"/>
  <c r="W1108" i="3"/>
  <c r="W2278" i="3"/>
  <c r="W1454" i="3"/>
  <c r="W1651" i="3"/>
  <c r="W792" i="3"/>
  <c r="W837" i="3"/>
  <c r="W1588" i="3"/>
  <c r="W1224" i="3"/>
  <c r="W1092" i="3"/>
  <c r="W786" i="3"/>
  <c r="W2248" i="3"/>
  <c r="W1404" i="3"/>
  <c r="W775" i="3"/>
  <c r="W706" i="3"/>
  <c r="W1774" i="3"/>
  <c r="W988" i="3"/>
  <c r="W1599" i="3"/>
  <c r="W2239" i="3"/>
  <c r="W922" i="3"/>
  <c r="W1367" i="3"/>
  <c r="W979" i="3"/>
  <c r="W1466" i="3"/>
  <c r="W828" i="3"/>
  <c r="W1086" i="3"/>
  <c r="W961" i="3"/>
  <c r="W867" i="3"/>
  <c r="W1463" i="3"/>
  <c r="W1427" i="3"/>
  <c r="W756" i="3"/>
  <c r="W1746" i="3"/>
  <c r="W1711" i="3"/>
  <c r="W1400" i="3"/>
  <c r="W1712" i="3"/>
  <c r="W2279" i="3"/>
  <c r="W576" i="3"/>
  <c r="W1673" i="3"/>
  <c r="W1455" i="3"/>
  <c r="W712" i="3"/>
  <c r="W1459" i="3"/>
  <c r="W1501" i="3"/>
  <c r="W869" i="3"/>
  <c r="W1396" i="3"/>
  <c r="W803" i="3"/>
  <c r="W1070" i="3"/>
  <c r="W729" i="3"/>
  <c r="W897" i="3"/>
  <c r="W2268" i="3"/>
  <c r="W673" i="3"/>
  <c r="W1069" i="3"/>
  <c r="W3861" i="3"/>
  <c r="W3933" i="3"/>
  <c r="W845" i="3"/>
  <c r="W653" i="3"/>
  <c r="W705" i="3"/>
  <c r="W2240" i="3"/>
  <c r="W733" i="3"/>
  <c r="W1050" i="3"/>
  <c r="W1668" i="3"/>
  <c r="W338" i="3"/>
  <c r="W2266" i="3"/>
  <c r="W4979" i="3"/>
  <c r="W760" i="3"/>
  <c r="W1058" i="3"/>
  <c r="W2334" i="3"/>
  <c r="W739" i="3"/>
  <c r="W661" i="3"/>
  <c r="W1390" i="3"/>
  <c r="W4978" i="3"/>
  <c r="W1122" i="3"/>
  <c r="W3937" i="3"/>
  <c r="W1067" i="3"/>
  <c r="W969" i="3"/>
  <c r="W2247" i="3"/>
  <c r="W4985" i="3"/>
  <c r="W811" i="3"/>
  <c r="W341" i="3"/>
  <c r="W1167" i="3"/>
  <c r="W4148" i="3"/>
  <c r="W1142" i="3"/>
  <c r="W753" i="3"/>
  <c r="W834" i="3"/>
  <c r="W697" i="3"/>
  <c r="W749" i="3"/>
  <c r="W719" i="3"/>
  <c r="W2144" i="3"/>
  <c r="W911" i="3"/>
  <c r="W1361" i="3"/>
  <c r="W893" i="3"/>
  <c r="W666" i="3"/>
  <c r="W286" i="3"/>
  <c r="W1397" i="3"/>
  <c r="W2274" i="3"/>
  <c r="W2271" i="3"/>
  <c r="W1318" i="3"/>
  <c r="W1391" i="3"/>
  <c r="W2238" i="3"/>
  <c r="W891" i="3"/>
  <c r="W918" i="3"/>
  <c r="W782" i="3"/>
  <c r="W1461" i="3"/>
  <c r="W781" i="3"/>
  <c r="W2230" i="3"/>
  <c r="W1489" i="3"/>
  <c r="W696" i="3"/>
  <c r="W1410" i="3"/>
  <c r="W986" i="3"/>
  <c r="W808" i="3"/>
  <c r="W1650" i="3"/>
  <c r="W2026" i="3"/>
  <c r="W1439" i="3"/>
  <c r="W1166" i="3"/>
  <c r="W989" i="3"/>
  <c r="W198" i="3"/>
  <c r="W973" i="3"/>
  <c r="W823" i="3"/>
  <c r="W1671" i="3"/>
  <c r="W1035" i="3"/>
  <c r="W896" i="3"/>
  <c r="W1662" i="3"/>
  <c r="W1773" i="3"/>
  <c r="W1429" i="3"/>
  <c r="W779" i="3"/>
  <c r="W2286" i="3"/>
  <c r="W1088" i="3"/>
  <c r="W895" i="3"/>
  <c r="W774" i="3"/>
  <c r="W1674" i="3"/>
  <c r="W863" i="3"/>
  <c r="W1507" i="3"/>
  <c r="W1215" i="3"/>
  <c r="W968" i="3"/>
  <c r="W2873" i="3"/>
  <c r="W4987" i="3"/>
  <c r="W1102" i="3"/>
  <c r="W1118" i="3"/>
  <c r="W1744" i="3"/>
  <c r="W1644" i="3"/>
  <c r="W1492" i="3"/>
  <c r="W570" i="3"/>
  <c r="W772" i="3"/>
  <c r="W824" i="3"/>
  <c r="W2328" i="3"/>
  <c r="W4358" i="3"/>
  <c r="W1592" i="3"/>
  <c r="W984" i="3"/>
  <c r="W1407" i="3"/>
  <c r="W1074" i="3"/>
  <c r="W763" i="3"/>
  <c r="W1073" i="3"/>
  <c r="W1815" i="3"/>
  <c r="W1032" i="3"/>
  <c r="W659" i="3"/>
  <c r="W830" i="3"/>
  <c r="W667" i="3"/>
  <c r="W738" i="3"/>
  <c r="W1576" i="3"/>
  <c r="W4989" i="3"/>
  <c r="W1128" i="3"/>
  <c r="W1764" i="3"/>
  <c r="W1393" i="3"/>
  <c r="W654" i="3"/>
  <c r="W1419" i="3"/>
  <c r="W975" i="3"/>
  <c r="W1338" i="3"/>
  <c r="W872" i="3"/>
  <c r="W1814" i="3"/>
  <c r="W1411" i="3"/>
  <c r="W3934" i="3"/>
  <c r="W1076" i="3"/>
  <c r="W3938" i="3"/>
  <c r="W2030" i="3"/>
  <c r="W2236" i="3"/>
  <c r="W1772" i="3"/>
  <c r="W3383" i="3"/>
  <c r="W728" i="3"/>
  <c r="W217" i="3"/>
  <c r="W1134" i="3"/>
  <c r="W2413" i="3"/>
  <c r="W885" i="3"/>
  <c r="W826" i="3"/>
  <c r="W2323" i="3"/>
  <c r="W2276" i="3"/>
  <c r="W1467" i="3"/>
  <c r="W960" i="3"/>
  <c r="W1093" i="3"/>
  <c r="W1098" i="3"/>
  <c r="W1168" i="3"/>
  <c r="W1084" i="3"/>
  <c r="W798" i="3"/>
  <c r="W716" i="3"/>
  <c r="W734" i="3"/>
  <c r="W3880" i="3"/>
  <c r="W690" i="3"/>
  <c r="W704" i="3"/>
  <c r="W1680" i="3"/>
  <c r="W3932" i="3"/>
  <c r="W3884" i="3"/>
  <c r="W972" i="3"/>
  <c r="W154" i="3"/>
  <c r="W1444" i="3"/>
  <c r="W889" i="3"/>
  <c r="W762" i="3"/>
  <c r="W1414" i="3"/>
  <c r="W755" i="3"/>
  <c r="W1413" i="3"/>
  <c r="W1033" i="3"/>
  <c r="W871" i="3"/>
  <c r="W1119" i="3"/>
  <c r="W1635" i="3"/>
  <c r="W745" i="3"/>
  <c r="W4976" i="3"/>
  <c r="W1586" i="3"/>
  <c r="W1072" i="3"/>
  <c r="W870" i="3"/>
  <c r="W665" i="3"/>
  <c r="W1452" i="3"/>
  <c r="W4988" i="3"/>
  <c r="W1677" i="3"/>
  <c r="W571" i="3"/>
  <c r="W2034" i="3"/>
  <c r="W1770" i="3"/>
  <c r="W778" i="3"/>
  <c r="W1049" i="3"/>
  <c r="W277" i="3"/>
  <c r="W1151" i="3"/>
  <c r="W1366" i="3"/>
  <c r="W1483" i="3"/>
  <c r="W1981" i="3"/>
  <c r="W1585" i="3"/>
  <c r="W866" i="3"/>
  <c r="W1090" i="3"/>
  <c r="W723" i="3"/>
  <c r="W2148" i="3"/>
  <c r="W1460" i="3"/>
  <c r="W1144" i="3"/>
  <c r="W1143" i="3"/>
  <c r="W766" i="3"/>
  <c r="W678" i="3"/>
  <c r="W1678" i="3"/>
  <c r="W1476" i="3"/>
  <c r="W2422" i="3"/>
  <c r="W1765" i="3"/>
  <c r="W1747" i="3"/>
  <c r="W1018" i="3"/>
  <c r="W1160" i="3"/>
  <c r="W688" i="3"/>
  <c r="W1115" i="3"/>
  <c r="W1464" i="3"/>
  <c r="W904" i="3"/>
  <c r="W1447" i="3"/>
  <c r="W1145" i="3"/>
  <c r="W2275" i="3"/>
  <c r="W822" i="3"/>
  <c r="W1165" i="3"/>
  <c r="W1639" i="3"/>
  <c r="W339" i="3"/>
  <c r="W767" i="3"/>
  <c r="W567" i="3"/>
  <c r="W1344" i="3"/>
  <c r="W1665" i="3"/>
  <c r="W1442" i="3"/>
  <c r="W2263" i="3"/>
  <c r="W710" i="3"/>
  <c r="W910" i="3"/>
  <c r="W1593" i="3"/>
  <c r="W1646" i="3"/>
  <c r="W1654" i="3"/>
  <c r="W1638" i="3"/>
  <c r="W672" i="3"/>
  <c r="W2269" i="3"/>
  <c r="W902" i="3"/>
  <c r="W843" i="3"/>
  <c r="W1663" i="3"/>
  <c r="W1402" i="3"/>
  <c r="W1317" i="3"/>
  <c r="W1642" i="3"/>
  <c r="W1636" i="3"/>
  <c r="W3944" i="3"/>
  <c r="W865" i="3"/>
  <c r="W3931" i="3"/>
  <c r="W2262" i="3"/>
  <c r="W1456" i="3"/>
  <c r="W1051" i="3"/>
  <c r="W1577" i="3"/>
  <c r="W814" i="3"/>
  <c r="W2231" i="3"/>
  <c r="W890" i="3"/>
  <c r="W1458" i="3"/>
  <c r="W715" i="3"/>
  <c r="W677" i="3"/>
  <c r="W923" i="3"/>
  <c r="W2264" i="3"/>
  <c r="W1065" i="3"/>
  <c r="W787" i="3"/>
  <c r="W658" i="3"/>
  <c r="W1503" i="3"/>
  <c r="W1670" i="3"/>
  <c r="W901" i="3"/>
  <c r="W864" i="3"/>
  <c r="W966" i="3"/>
  <c r="W2280" i="3"/>
  <c r="S4686" i="3" l="1"/>
  <c r="S4687" i="3"/>
  <c r="S4685" i="3"/>
  <c r="S4683" i="3"/>
  <c r="S4684" i="3"/>
  <c r="S4676" i="3"/>
  <c r="S4675" i="3"/>
  <c r="S4674" i="3"/>
  <c r="S4673" i="3"/>
  <c r="S4677" i="3"/>
  <c r="V4988" i="3"/>
  <c r="V4987" i="3" s="1"/>
  <c r="V4986" i="3" s="1"/>
  <c r="V4985" i="3" s="1"/>
  <c r="V4984" i="3" s="1"/>
  <c r="V4983" i="3" s="1"/>
  <c r="V4982" i="3" s="1"/>
  <c r="V4981" i="3" s="1"/>
  <c r="V4980" i="3" s="1"/>
  <c r="V4979" i="3" s="1"/>
  <c r="V4978" i="3" s="1"/>
  <c r="V4977" i="3" s="1"/>
  <c r="V4976" i="3" s="1"/>
  <c r="V4975" i="3" s="1"/>
  <c r="V4974" i="3" s="1"/>
  <c r="V5003" i="3" s="1"/>
  <c r="J3384" i="3"/>
  <c r="S2316" i="3"/>
  <c r="R1346" i="3"/>
  <c r="J39" i="2" s="1"/>
  <c r="L39" i="2" s="1"/>
  <c r="J27" i="2"/>
  <c r="D27" i="1" s="1"/>
  <c r="G27" i="1" s="1"/>
  <c r="H27" i="1" s="1"/>
  <c r="S57" i="3"/>
  <c r="J1508" i="3"/>
  <c r="R3712" i="3"/>
  <c r="J260" i="2" s="1"/>
  <c r="L260" i="2" s="1"/>
  <c r="R2348" i="3"/>
  <c r="J101" i="2"/>
  <c r="L101" i="2" s="1"/>
  <c r="M101" i="2" s="1"/>
  <c r="N101" i="2" s="1"/>
  <c r="S1336" i="3"/>
  <c r="S1337" i="3"/>
  <c r="S579" i="3"/>
  <c r="S578" i="3"/>
  <c r="S151" i="3"/>
  <c r="S4868" i="3" s="1"/>
  <c r="S282" i="3"/>
  <c r="S4357" i="3"/>
  <c r="R999" i="3"/>
  <c r="P1006" i="3"/>
  <c r="R1006" i="3" s="1"/>
  <c r="R1007" i="3"/>
  <c r="P994" i="3"/>
  <c r="P998" i="3"/>
  <c r="P1014" i="3"/>
  <c r="P1029" i="3"/>
  <c r="R1029" i="3" s="1"/>
  <c r="S1335" i="3"/>
  <c r="S1334" i="3"/>
  <c r="S150" i="3"/>
  <c r="S281" i="3"/>
  <c r="S1333" i="3"/>
  <c r="S1332" i="3"/>
  <c r="S1331" i="3"/>
  <c r="S280" i="3"/>
  <c r="S149" i="3"/>
  <c r="S1329" i="3"/>
  <c r="S1330" i="3"/>
  <c r="S492" i="3"/>
  <c r="S491" i="3"/>
  <c r="S490" i="3"/>
  <c r="S489" i="3"/>
  <c r="S488" i="3"/>
  <c r="S487" i="3"/>
  <c r="S279" i="3"/>
  <c r="S204" i="3"/>
  <c r="S203" i="3"/>
  <c r="S129" i="3"/>
  <c r="S148" i="3"/>
  <c r="S1327" i="3"/>
  <c r="S1326" i="3"/>
  <c r="S1328" i="3"/>
  <c r="S372" i="3"/>
  <c r="S368" i="3"/>
  <c r="S380" i="3"/>
  <c r="S367" i="3"/>
  <c r="S389" i="3"/>
  <c r="S359" i="3"/>
  <c r="S358" i="3"/>
  <c r="S362" i="3"/>
  <c r="S393" i="3"/>
  <c r="S363" i="3"/>
  <c r="S366" i="3"/>
  <c r="S369" i="3"/>
  <c r="S388" i="3"/>
  <c r="S378" i="3"/>
  <c r="S361" i="3"/>
  <c r="S375" i="3"/>
  <c r="S379" i="3"/>
  <c r="S374" i="3"/>
  <c r="S381" i="3"/>
  <c r="S420" i="3"/>
  <c r="S387" i="3"/>
  <c r="S419" i="3"/>
  <c r="S373" i="3"/>
  <c r="S394" i="3"/>
  <c r="S418" i="3"/>
  <c r="S417" i="3"/>
  <c r="S360" i="3"/>
  <c r="S390" i="3"/>
  <c r="S396" i="3"/>
  <c r="S222" i="3"/>
  <c r="Z2032" i="3"/>
  <c r="R1617" i="3"/>
  <c r="S273" i="3"/>
  <c r="S274" i="3"/>
  <c r="S272" i="3"/>
  <c r="S193" i="3"/>
  <c r="S194" i="3"/>
  <c r="S195" i="3"/>
  <c r="S141" i="3"/>
  <c r="S142" i="3"/>
  <c r="S143" i="3"/>
  <c r="R2288" i="3"/>
  <c r="R3385" i="3"/>
  <c r="J224" i="2" s="1"/>
  <c r="R625" i="3"/>
  <c r="R631" i="3"/>
  <c r="R599" i="3"/>
  <c r="R591" i="3"/>
  <c r="R598" i="3"/>
  <c r="R636" i="3"/>
  <c r="R597" i="3"/>
  <c r="R624" i="3"/>
  <c r="R623" i="3"/>
  <c r="R646" i="3"/>
  <c r="R594" i="3"/>
  <c r="R634" i="3"/>
  <c r="R620" i="3"/>
  <c r="R603" i="3"/>
  <c r="R648" i="3"/>
  <c r="R622" i="3"/>
  <c r="R613" i="3"/>
  <c r="R649" i="3"/>
  <c r="R612" i="3"/>
  <c r="R606" i="3"/>
  <c r="R632" i="3"/>
  <c r="R630" i="3"/>
  <c r="R614" i="3"/>
  <c r="R602" i="3"/>
  <c r="R647" i="3"/>
  <c r="R628" i="3"/>
  <c r="R644" i="3"/>
  <c r="R1449" i="3"/>
  <c r="R621" i="3"/>
  <c r="R601" i="3"/>
  <c r="R635" i="3"/>
  <c r="R617" i="3"/>
  <c r="R592" i="3"/>
  <c r="R645" i="3"/>
  <c r="R619" i="3"/>
  <c r="R650" i="3"/>
  <c r="R611" i="3"/>
  <c r="R595" i="3"/>
  <c r="R607" i="3"/>
  <c r="R593" i="3"/>
  <c r="R608" i="3"/>
  <c r="R610" i="3"/>
  <c r="R600" i="3"/>
  <c r="R642" i="3"/>
  <c r="R618" i="3"/>
  <c r="R596" i="3"/>
  <c r="R633" i="3"/>
  <c r="R643" i="3"/>
  <c r="R629" i="3"/>
  <c r="R609" i="3"/>
  <c r="R1011" i="3"/>
  <c r="R1028" i="3"/>
  <c r="R1012" i="3"/>
  <c r="R1026" i="3"/>
  <c r="R1027" i="3"/>
  <c r="R997" i="3"/>
  <c r="R954" i="3"/>
  <c r="R1003" i="3"/>
  <c r="P1025" i="3"/>
  <c r="R995" i="3"/>
  <c r="R953" i="3"/>
  <c r="R952" i="3"/>
  <c r="R1013" i="3"/>
  <c r="R996" i="3"/>
  <c r="R1030" i="3"/>
  <c r="R1015" i="3"/>
  <c r="R1004" i="3"/>
  <c r="R1005" i="3"/>
  <c r="P1010" i="3"/>
  <c r="P1002" i="3"/>
  <c r="R951" i="3"/>
  <c r="R1761" i="3"/>
  <c r="K138" i="2"/>
  <c r="K268" i="2"/>
  <c r="K123" i="2"/>
  <c r="K66" i="2"/>
  <c r="K223" i="2"/>
  <c r="K196" i="2"/>
  <c r="K235" i="2"/>
  <c r="K83" i="2"/>
  <c r="K130" i="2"/>
  <c r="K129" i="2" s="1"/>
  <c r="K72" i="2"/>
  <c r="K105" i="2"/>
  <c r="K69" i="2"/>
  <c r="K62" i="2"/>
  <c r="K45" i="2"/>
  <c r="K162" i="2"/>
  <c r="K26" i="2"/>
  <c r="K189" i="2"/>
  <c r="K61" i="2"/>
  <c r="K121" i="2"/>
  <c r="K206" i="2"/>
  <c r="K242" i="2"/>
  <c r="K118" i="2"/>
  <c r="K82" i="2"/>
  <c r="K231" i="2"/>
  <c r="K255" i="2"/>
  <c r="K200" i="2"/>
  <c r="K241" i="2"/>
  <c r="K270" i="2"/>
  <c r="K269" i="2"/>
  <c r="K209" i="2"/>
  <c r="K225" i="2"/>
  <c r="K128" i="2"/>
  <c r="K227" i="2"/>
  <c r="K174" i="2"/>
  <c r="K274" i="2"/>
  <c r="K46" i="2"/>
  <c r="K191" i="2"/>
  <c r="K94" i="2"/>
  <c r="K142" i="2"/>
  <c r="K244" i="2"/>
  <c r="K272" i="2"/>
  <c r="K90" i="2"/>
  <c r="K237" i="2"/>
  <c r="K85" i="2"/>
  <c r="K148" i="2"/>
  <c r="K86" i="2"/>
  <c r="K153" i="2"/>
  <c r="K126" i="2"/>
  <c r="K112" i="2"/>
  <c r="K208" i="2"/>
  <c r="K195" i="2"/>
  <c r="K20" i="2"/>
  <c r="K136" i="2"/>
  <c r="K119" i="2"/>
  <c r="K127" i="2"/>
  <c r="K103" i="2"/>
  <c r="K219" i="2"/>
  <c r="K168" i="2"/>
  <c r="K239" i="2"/>
  <c r="K125" i="2"/>
  <c r="K240" i="2"/>
  <c r="K221" i="2"/>
  <c r="K172" i="2"/>
  <c r="K99" i="2"/>
  <c r="K98" i="2" s="1"/>
  <c r="K211" i="2"/>
  <c r="K75" i="2"/>
  <c r="K226" i="2"/>
  <c r="K192" i="2"/>
  <c r="K65" i="2"/>
  <c r="K199" i="2"/>
  <c r="K137" i="2"/>
  <c r="K197" i="2"/>
  <c r="K70" i="2"/>
  <c r="J3711" i="3"/>
  <c r="G31" i="2"/>
  <c r="J2287" i="3"/>
  <c r="I159" i="2"/>
  <c r="S1573" i="3"/>
  <c r="S1574" i="3"/>
  <c r="R552" i="3"/>
  <c r="S271" i="3"/>
  <c r="S140" i="3"/>
  <c r="S192" i="3"/>
  <c r="S191" i="3"/>
  <c r="S270" i="3"/>
  <c r="S4519" i="3"/>
  <c r="S139" i="3"/>
  <c r="S4458" i="3"/>
  <c r="S190" i="3"/>
  <c r="S269" i="3"/>
  <c r="S4518" i="3"/>
  <c r="S138" i="3"/>
  <c r="S4457" i="3"/>
  <c r="S268" i="3"/>
  <c r="S137" i="3"/>
  <c r="S189" i="3"/>
  <c r="S4456" i="3"/>
  <c r="S4517" i="3"/>
  <c r="S1196" i="3"/>
  <c r="S1206" i="3"/>
  <c r="S267" i="3"/>
  <c r="S136" i="3"/>
  <c r="S187" i="3"/>
  <c r="S4455" i="3"/>
  <c r="S4516" i="3"/>
  <c r="V4393" i="3"/>
  <c r="S266" i="3"/>
  <c r="S135" i="3"/>
  <c r="S188" i="3"/>
  <c r="J2395" i="3"/>
  <c r="R2396" i="3"/>
  <c r="J114" i="2" s="1"/>
  <c r="R1751" i="3"/>
  <c r="K1757" i="3" s="1"/>
  <c r="N1757" i="3" s="1"/>
  <c r="S4454" i="3"/>
  <c r="S4515" i="3"/>
  <c r="S186" i="3"/>
  <c r="S265" i="3"/>
  <c r="S134" i="3"/>
  <c r="S4453" i="3"/>
  <c r="S4514" i="3"/>
  <c r="S185" i="3"/>
  <c r="S264" i="3"/>
  <c r="S4513" i="3"/>
  <c r="S133" i="3"/>
  <c r="S1964" i="3"/>
  <c r="S1965" i="3"/>
  <c r="S1979" i="3"/>
  <c r="S1980" i="3"/>
  <c r="S1978" i="3"/>
  <c r="S1993" i="3"/>
  <c r="S1994" i="3"/>
  <c r="S4452" i="3"/>
  <c r="S184" i="3"/>
  <c r="S263" i="3"/>
  <c r="S4512" i="3"/>
  <c r="S132" i="3"/>
  <c r="I11" i="4"/>
  <c r="H12" i="4"/>
  <c r="J52" i="2"/>
  <c r="D51" i="1" s="1"/>
  <c r="G51" i="1" s="1"/>
  <c r="H51" i="1" s="1"/>
  <c r="S4451" i="3"/>
  <c r="S262" i="3"/>
  <c r="S131" i="3"/>
  <c r="S183" i="3"/>
  <c r="S4450" i="3"/>
  <c r="S4511" i="3"/>
  <c r="S261" i="3"/>
  <c r="S130" i="3"/>
  <c r="S182" i="3"/>
  <c r="S4449" i="3"/>
  <c r="S4510" i="3"/>
  <c r="S181" i="3"/>
  <c r="S260" i="3"/>
  <c r="S4509" i="3"/>
  <c r="I257" i="2"/>
  <c r="S4448" i="3"/>
  <c r="S180" i="3"/>
  <c r="S259" i="3"/>
  <c r="S4508" i="3"/>
  <c r="S128" i="3"/>
  <c r="I278" i="2"/>
  <c r="G278" i="2"/>
  <c r="S4447" i="3"/>
  <c r="S258" i="3"/>
  <c r="S127" i="3"/>
  <c r="S179" i="3"/>
  <c r="G108" i="2"/>
  <c r="R2036" i="3"/>
  <c r="J76" i="2" s="1"/>
  <c r="L76" i="2" s="1"/>
  <c r="M76" i="2" s="1"/>
  <c r="N76" i="2" s="1"/>
  <c r="S1623" i="3"/>
  <c r="S1624" i="3"/>
  <c r="S1571" i="3"/>
  <c r="S1572" i="3"/>
  <c r="S1977" i="3"/>
  <c r="S1976" i="3"/>
  <c r="S1975" i="3"/>
  <c r="S1974" i="3"/>
  <c r="S1992" i="3"/>
  <c r="S1962" i="3"/>
  <c r="S1963" i="3"/>
  <c r="S1960" i="3"/>
  <c r="S1961" i="3"/>
  <c r="S1973" i="3"/>
  <c r="S1959" i="3"/>
  <c r="S1958" i="3"/>
  <c r="S1991" i="3"/>
  <c r="S1956" i="3"/>
  <c r="S1957" i="3"/>
  <c r="S1952" i="3"/>
  <c r="S1953" i="3" s="1"/>
  <c r="S1955" i="3"/>
  <c r="S1954" i="3"/>
  <c r="S1566" i="3"/>
  <c r="S1570" i="3"/>
  <c r="S4506" i="3"/>
  <c r="S4498" i="3"/>
  <c r="S4501" i="3"/>
  <c r="S4504" i="3"/>
  <c r="S4496" i="3"/>
  <c r="S4507" i="3"/>
  <c r="S4499" i="3"/>
  <c r="S4502" i="3"/>
  <c r="S4505" i="3"/>
  <c r="S4497" i="3"/>
  <c r="S4503" i="3"/>
  <c r="S4495" i="3"/>
  <c r="S4500" i="3"/>
  <c r="S4440" i="3"/>
  <c r="S4443" i="3"/>
  <c r="S4435" i="3"/>
  <c r="S4446" i="3"/>
  <c r="S4438" i="3"/>
  <c r="S4441" i="3"/>
  <c r="S4444" i="3"/>
  <c r="S4436" i="3"/>
  <c r="S4439" i="3"/>
  <c r="S4442" i="3"/>
  <c r="S4445" i="3"/>
  <c r="S4437" i="3"/>
  <c r="S4434" i="3"/>
  <c r="J1345" i="3"/>
  <c r="D220" i="1"/>
  <c r="G220" i="1" s="1"/>
  <c r="H220" i="1" s="1"/>
  <c r="I108" i="2"/>
  <c r="G159" i="2"/>
  <c r="G257" i="2"/>
  <c r="K264" i="2"/>
  <c r="J277" i="2"/>
  <c r="D273" i="1" s="1"/>
  <c r="G273" i="1" s="1"/>
  <c r="H273" i="1" s="1"/>
  <c r="S245" i="3"/>
  <c r="S237" i="3"/>
  <c r="S241" i="3"/>
  <c r="S236" i="3"/>
  <c r="S240" i="3"/>
  <c r="S244" i="3"/>
  <c r="S243" i="3"/>
  <c r="S246" i="3"/>
  <c r="S238" i="3"/>
  <c r="S239" i="3"/>
  <c r="S242" i="3"/>
  <c r="S256" i="3"/>
  <c r="S248" i="3"/>
  <c r="S257" i="3"/>
  <c r="S252" i="3"/>
  <c r="S253" i="3"/>
  <c r="S251" i="3"/>
  <c r="S254" i="3"/>
  <c r="S249" i="3"/>
  <c r="S255" i="3"/>
  <c r="S250" i="3"/>
  <c r="S177" i="3"/>
  <c r="S169" i="3"/>
  <c r="S176" i="3"/>
  <c r="S171" i="3"/>
  <c r="S172" i="3"/>
  <c r="S178" i="3"/>
  <c r="S170" i="3"/>
  <c r="S174" i="3"/>
  <c r="S175" i="3"/>
  <c r="S173" i="3"/>
  <c r="S120" i="3"/>
  <c r="S121" i="3"/>
  <c r="S118" i="3"/>
  <c r="S119" i="3"/>
  <c r="S116" i="3"/>
  <c r="S117" i="3"/>
  <c r="D140" i="1"/>
  <c r="G140" i="1" s="1"/>
  <c r="H140" i="1" s="1"/>
  <c r="S108" i="3"/>
  <c r="S125" i="3"/>
  <c r="S122" i="3"/>
  <c r="S126" i="3"/>
  <c r="S123" i="3"/>
  <c r="S124" i="3"/>
  <c r="L207" i="2"/>
  <c r="M207" i="2" s="1"/>
  <c r="N207" i="2" s="1"/>
  <c r="D126" i="1"/>
  <c r="G126" i="1" s="1"/>
  <c r="H126" i="1" s="1"/>
  <c r="D206" i="1"/>
  <c r="G206" i="1" s="1"/>
  <c r="H206" i="1" s="1"/>
  <c r="L78" i="2"/>
  <c r="M78" i="2" s="1"/>
  <c r="N78" i="2" s="1"/>
  <c r="D218" i="1"/>
  <c r="G218" i="1" s="1"/>
  <c r="H218" i="1" s="1"/>
  <c r="D102" i="1"/>
  <c r="G102" i="1" s="1"/>
  <c r="H102" i="1" s="1"/>
  <c r="D266" i="1"/>
  <c r="G266" i="1" s="1"/>
  <c r="H266" i="1" s="1"/>
  <c r="D117" i="1"/>
  <c r="G117" i="1" s="1"/>
  <c r="H117" i="1" s="1"/>
  <c r="D171" i="1"/>
  <c r="G171" i="1" s="1"/>
  <c r="H171" i="1" s="1"/>
  <c r="D234" i="1"/>
  <c r="G234" i="1" s="1"/>
  <c r="H234" i="1" s="1"/>
  <c r="D265" i="1"/>
  <c r="G265" i="1" s="1"/>
  <c r="H265" i="1" s="1"/>
  <c r="D20" i="1"/>
  <c r="G20" i="1" s="1"/>
  <c r="H20" i="1" s="1"/>
  <c r="D222" i="1"/>
  <c r="G222" i="1" s="1"/>
  <c r="H222" i="1" s="1"/>
  <c r="D71" i="1"/>
  <c r="G71" i="1" s="1"/>
  <c r="H71" i="1" s="1"/>
  <c r="D194" i="1"/>
  <c r="G194" i="1" s="1"/>
  <c r="H194" i="1" s="1"/>
  <c r="M129" i="2"/>
  <c r="D188" i="1"/>
  <c r="G188" i="1" s="1"/>
  <c r="H188" i="1" s="1"/>
  <c r="L233" i="2"/>
  <c r="M233" i="2" s="1"/>
  <c r="N233" i="2" s="1"/>
  <c r="D208" i="1"/>
  <c r="G208" i="1" s="1"/>
  <c r="H208" i="1" s="1"/>
  <c r="D84" i="1"/>
  <c r="G84" i="1" s="1"/>
  <c r="H84" i="1" s="1"/>
  <c r="D85" i="1"/>
  <c r="G85" i="1" s="1"/>
  <c r="H85" i="1" s="1"/>
  <c r="D69" i="1"/>
  <c r="G69" i="1" s="1"/>
  <c r="H69" i="1" s="1"/>
  <c r="L157" i="2"/>
  <c r="M157" i="2" s="1"/>
  <c r="N157" i="2" s="1"/>
  <c r="D45" i="1"/>
  <c r="G45" i="1" s="1"/>
  <c r="H45" i="1" s="1"/>
  <c r="D128" i="1"/>
  <c r="G128" i="1" s="1"/>
  <c r="H128" i="1" s="1"/>
  <c r="H127" i="1" s="1"/>
  <c r="D224" i="1"/>
  <c r="G224" i="1" s="1"/>
  <c r="H224" i="1" s="1"/>
  <c r="D192" i="1"/>
  <c r="G192" i="1" s="1"/>
  <c r="H192" i="1" s="1"/>
  <c r="D193" i="1"/>
  <c r="G193" i="1" s="1"/>
  <c r="H193" i="1" s="1"/>
  <c r="D81" i="1"/>
  <c r="G81" i="1" s="1"/>
  <c r="H81" i="1" s="1"/>
  <c r="D93" i="1"/>
  <c r="G93" i="1" s="1"/>
  <c r="H93" i="1" s="1"/>
  <c r="S110" i="3"/>
  <c r="S112" i="3"/>
  <c r="S109" i="3"/>
  <c r="S111" i="3"/>
  <c r="D232" i="1"/>
  <c r="G232" i="1" s="1"/>
  <c r="H232" i="1" s="1"/>
  <c r="D89" i="1"/>
  <c r="G89" i="1" s="1"/>
  <c r="H89" i="1" s="1"/>
  <c r="D186" i="1"/>
  <c r="G186" i="1" s="1"/>
  <c r="H186" i="1" s="1"/>
  <c r="S228" i="3"/>
  <c r="D238" i="1"/>
  <c r="G238" i="1" s="1"/>
  <c r="H238" i="1" s="1"/>
  <c r="D64" i="1"/>
  <c r="G64" i="1" s="1"/>
  <c r="H64" i="1" s="1"/>
  <c r="L218" i="2"/>
  <c r="M218" i="2" s="1"/>
  <c r="N218" i="2" s="1"/>
  <c r="D236" i="1"/>
  <c r="G236" i="1" s="1"/>
  <c r="H236" i="1" s="1"/>
  <c r="D228" i="1"/>
  <c r="G228" i="1" s="1"/>
  <c r="H228" i="1" s="1"/>
  <c r="D60" i="1"/>
  <c r="G60" i="1" s="1"/>
  <c r="H60" i="1" s="1"/>
  <c r="D169" i="1"/>
  <c r="G169" i="1" s="1"/>
  <c r="H169" i="1" s="1"/>
  <c r="S166" i="3"/>
  <c r="D197" i="1"/>
  <c r="G197" i="1" s="1"/>
  <c r="H197" i="1" s="1"/>
  <c r="L170" i="2"/>
  <c r="M170" i="2" s="1"/>
  <c r="N170" i="2" s="1"/>
  <c r="L158" i="2"/>
  <c r="M158" i="2" s="1"/>
  <c r="N158" i="2" s="1"/>
  <c r="D74" i="1"/>
  <c r="G74" i="1" s="1"/>
  <c r="H74" i="1" s="1"/>
  <c r="S113" i="3"/>
  <c r="L217" i="2"/>
  <c r="M217" i="2" s="1"/>
  <c r="N217" i="2" s="1"/>
  <c r="L271" i="2"/>
  <c r="M271" i="2" s="1"/>
  <c r="N271" i="2" s="1"/>
  <c r="D134" i="1"/>
  <c r="G134" i="1" s="1"/>
  <c r="H134" i="1" s="1"/>
  <c r="D264" i="1"/>
  <c r="G264" i="1" s="1"/>
  <c r="H264" i="1" s="1"/>
  <c r="L144" i="2"/>
  <c r="M144" i="2" s="1"/>
  <c r="N144" i="2" s="1"/>
  <c r="D146" i="1"/>
  <c r="G146" i="1" s="1"/>
  <c r="H146" i="1" s="1"/>
  <c r="D196" i="1"/>
  <c r="G196" i="1" s="1"/>
  <c r="H196" i="1" s="1"/>
  <c r="D123" i="1"/>
  <c r="G123" i="1" s="1"/>
  <c r="H123" i="1" s="1"/>
  <c r="D136" i="1"/>
  <c r="G136" i="1" s="1"/>
  <c r="H136" i="1" s="1"/>
  <c r="D252" i="1"/>
  <c r="G252" i="1" s="1"/>
  <c r="H252" i="1" s="1"/>
  <c r="D110" i="1"/>
  <c r="G110" i="1" s="1"/>
  <c r="H110" i="1" s="1"/>
  <c r="D151" i="1"/>
  <c r="G151" i="1" s="1"/>
  <c r="H151" i="1" s="1"/>
  <c r="D44" i="1"/>
  <c r="G44" i="1" s="1"/>
  <c r="H44" i="1" s="1"/>
  <c r="D268" i="1"/>
  <c r="G268" i="1" s="1"/>
  <c r="H268" i="1" s="1"/>
  <c r="D61" i="1"/>
  <c r="G61" i="1" s="1"/>
  <c r="H61" i="1" s="1"/>
  <c r="L146" i="2"/>
  <c r="M146" i="2" s="1"/>
  <c r="N146" i="2" s="1"/>
  <c r="D241" i="1"/>
  <c r="G241" i="1" s="1"/>
  <c r="H241" i="1" s="1"/>
  <c r="D270" i="1"/>
  <c r="G270" i="1" s="1"/>
  <c r="H270" i="1" s="1"/>
  <c r="D121" i="1"/>
  <c r="G121" i="1" s="1"/>
  <c r="H121" i="1" s="1"/>
  <c r="D239" i="1"/>
  <c r="G239" i="1" s="1"/>
  <c r="H239" i="1" s="1"/>
  <c r="D124" i="1"/>
  <c r="G124" i="1" s="1"/>
  <c r="H124" i="1" s="1"/>
  <c r="D82" i="1"/>
  <c r="G82" i="1" s="1"/>
  <c r="H82" i="1" s="1"/>
  <c r="D65" i="1"/>
  <c r="G65" i="1" s="1"/>
  <c r="H65" i="1" s="1"/>
  <c r="L213" i="2"/>
  <c r="M213" i="2" s="1"/>
  <c r="N213" i="2" s="1"/>
  <c r="D223" i="1"/>
  <c r="G223" i="1" s="1"/>
  <c r="H223" i="1" s="1"/>
  <c r="L205" i="2"/>
  <c r="M205" i="2" s="1"/>
  <c r="N205" i="2" s="1"/>
  <c r="D237" i="1"/>
  <c r="G237" i="1" s="1"/>
  <c r="H237" i="1" s="1"/>
  <c r="D68" i="1"/>
  <c r="G68" i="1" s="1"/>
  <c r="H68" i="1" s="1"/>
  <c r="L140" i="2"/>
  <c r="M140" i="2" s="1"/>
  <c r="N140" i="2" s="1"/>
  <c r="D216" i="1"/>
  <c r="G216" i="1" s="1"/>
  <c r="H216" i="1" s="1"/>
  <c r="D119" i="1"/>
  <c r="G119" i="1" s="1"/>
  <c r="H119" i="1" s="1"/>
  <c r="R1758" i="3"/>
  <c r="R1683" i="3"/>
  <c r="S229" i="3"/>
  <c r="S167" i="3"/>
  <c r="S227" i="3"/>
  <c r="D165" i="1"/>
  <c r="G165" i="1" s="1"/>
  <c r="H165" i="1" s="1"/>
  <c r="S114" i="3"/>
  <c r="L152" i="2"/>
  <c r="M152" i="2" s="1"/>
  <c r="N152" i="2" s="1"/>
  <c r="D26" i="1"/>
  <c r="G26" i="1" s="1"/>
  <c r="H26" i="1" s="1"/>
  <c r="S1951" i="3"/>
  <c r="D159" i="1"/>
  <c r="G159" i="1" s="1"/>
  <c r="H159" i="1" s="1"/>
  <c r="M81" i="2"/>
  <c r="L29" i="2"/>
  <c r="M29" i="2" s="1"/>
  <c r="N29" i="2" s="1"/>
  <c r="D152" i="1"/>
  <c r="G152" i="1" s="1"/>
  <c r="H152" i="1" s="1"/>
  <c r="L198" i="2"/>
  <c r="M198" i="2" s="1"/>
  <c r="N198" i="2" s="1"/>
  <c r="D195" i="1"/>
  <c r="G195" i="1" s="1"/>
  <c r="H195" i="1" s="1"/>
  <c r="D135" i="1"/>
  <c r="G135" i="1" s="1"/>
  <c r="H135" i="1" s="1"/>
  <c r="S223" i="3"/>
  <c r="K154" i="2"/>
  <c r="D205" i="1"/>
  <c r="G205" i="1" s="1"/>
  <c r="H205" i="1" s="1"/>
  <c r="D203" i="1"/>
  <c r="G203" i="1" s="1"/>
  <c r="H203" i="1" s="1"/>
  <c r="D104" i="1"/>
  <c r="G104" i="1" s="1"/>
  <c r="H104" i="1" s="1"/>
  <c r="L214" i="2"/>
  <c r="M214" i="2" s="1"/>
  <c r="N214" i="2" s="1"/>
  <c r="D211" i="1"/>
  <c r="G211" i="1" s="1"/>
  <c r="H211" i="1" s="1"/>
  <c r="L124" i="2"/>
  <c r="M124" i="2" s="1"/>
  <c r="N124" i="2" s="1"/>
  <c r="D122" i="1"/>
  <c r="G122" i="1" s="1"/>
  <c r="H122" i="1" s="1"/>
  <c r="D116" i="1"/>
  <c r="G116" i="1" s="1"/>
  <c r="H116" i="1" s="1"/>
  <c r="S168" i="3"/>
  <c r="S115" i="3"/>
  <c r="L166" i="2"/>
  <c r="M166" i="2" s="1"/>
  <c r="N166" i="2" s="1"/>
  <c r="D163" i="1"/>
  <c r="G163" i="1" s="1"/>
  <c r="H163" i="1" s="1"/>
  <c r="S1549" i="3"/>
  <c r="L193" i="2"/>
  <c r="M193" i="2" s="1"/>
  <c r="N193" i="2" s="1"/>
  <c r="D190" i="1"/>
  <c r="G190" i="1" s="1"/>
  <c r="H190" i="1" s="1"/>
  <c r="L145" i="2"/>
  <c r="M145" i="2" s="1"/>
  <c r="N145" i="2" s="1"/>
  <c r="D143" i="1"/>
  <c r="G143" i="1" s="1"/>
  <c r="H143" i="1" s="1"/>
  <c r="M98" i="2"/>
  <c r="L173" i="2"/>
  <c r="M173" i="2" s="1"/>
  <c r="N173" i="2" s="1"/>
  <c r="D170" i="1"/>
  <c r="G170" i="1" s="1"/>
  <c r="H170" i="1" s="1"/>
  <c r="D125" i="1"/>
  <c r="G125" i="1" s="1"/>
  <c r="H125" i="1" s="1"/>
  <c r="L234" i="2"/>
  <c r="M234" i="2" s="1"/>
  <c r="N234" i="2" s="1"/>
  <c r="D231" i="1"/>
  <c r="G231" i="1" s="1"/>
  <c r="H231" i="1" s="1"/>
  <c r="L122" i="2"/>
  <c r="M122" i="2" s="1"/>
  <c r="N122" i="2" s="1"/>
  <c r="D120" i="1"/>
  <c r="G120" i="1" s="1"/>
  <c r="H120" i="1" s="1"/>
  <c r="L64" i="2"/>
  <c r="M64" i="2" s="1"/>
  <c r="N64" i="2" s="1"/>
  <c r="D63" i="1"/>
  <c r="G63" i="1" s="1"/>
  <c r="H63" i="1" s="1"/>
  <c r="L139" i="2"/>
  <c r="M139" i="2" s="1"/>
  <c r="N139" i="2" s="1"/>
  <c r="D137" i="1"/>
  <c r="G137" i="1" s="1"/>
  <c r="H137" i="1" s="1"/>
  <c r="D98" i="1"/>
  <c r="G98" i="1" s="1"/>
  <c r="H98" i="1" s="1"/>
  <c r="H97" i="1" s="1"/>
  <c r="L88" i="2"/>
  <c r="M88" i="2" s="1"/>
  <c r="N88" i="2" s="1"/>
  <c r="D87" i="1"/>
  <c r="G87" i="1" s="1"/>
  <c r="H87" i="1" s="1"/>
  <c r="L60" i="2"/>
  <c r="M60" i="2" s="1"/>
  <c r="N60" i="2" s="1"/>
  <c r="D59" i="1"/>
  <c r="G59" i="1" s="1"/>
  <c r="H59" i="1" s="1"/>
  <c r="D260" i="1"/>
  <c r="G260" i="1" s="1"/>
  <c r="H260" i="1" s="1"/>
  <c r="D182" i="1"/>
  <c r="G182" i="1" s="1"/>
  <c r="H182" i="1" s="1"/>
  <c r="L185" i="2"/>
  <c r="M185" i="2" s="1"/>
  <c r="N185" i="2" s="1"/>
  <c r="L23" i="2"/>
  <c r="M23" i="2" s="1"/>
  <c r="N23" i="2" s="1"/>
  <c r="D23" i="1"/>
  <c r="G23" i="1" s="1"/>
  <c r="H23" i="1" s="1"/>
  <c r="L232" i="2"/>
  <c r="M232" i="2" s="1"/>
  <c r="N232" i="2" s="1"/>
  <c r="D229" i="1"/>
  <c r="G229" i="1" s="1"/>
  <c r="H229" i="1" s="1"/>
  <c r="D189" i="1"/>
  <c r="G189" i="1" s="1"/>
  <c r="H189" i="1" s="1"/>
  <c r="S1547" i="3"/>
  <c r="S1546" i="3"/>
  <c r="L216" i="2"/>
  <c r="M216" i="2" s="1"/>
  <c r="N216" i="2" s="1"/>
  <c r="D213" i="1"/>
  <c r="G213" i="1" s="1"/>
  <c r="H213" i="1" s="1"/>
  <c r="L171" i="2"/>
  <c r="M171" i="2" s="1"/>
  <c r="N171" i="2" s="1"/>
  <c r="D168" i="1"/>
  <c r="G168" i="1" s="1"/>
  <c r="H168" i="1" s="1"/>
  <c r="L92" i="2"/>
  <c r="M92" i="2" s="1"/>
  <c r="N92" i="2" s="1"/>
  <c r="D91" i="1"/>
  <c r="G91" i="1" s="1"/>
  <c r="H91" i="1" s="1"/>
  <c r="L190" i="2"/>
  <c r="M190" i="2" s="1"/>
  <c r="N190" i="2" s="1"/>
  <c r="D187" i="1"/>
  <c r="G187" i="1" s="1"/>
  <c r="H187" i="1" s="1"/>
  <c r="L273" i="2"/>
  <c r="M273" i="2" s="1"/>
  <c r="N273" i="2" s="1"/>
  <c r="D269" i="1"/>
  <c r="G269" i="1" s="1"/>
  <c r="H269" i="1" s="1"/>
  <c r="L183" i="2"/>
  <c r="M183" i="2" s="1"/>
  <c r="N183" i="2" s="1"/>
  <c r="D180" i="1"/>
  <c r="G180" i="1" s="1"/>
  <c r="H180" i="1" s="1"/>
  <c r="L164" i="2"/>
  <c r="M164" i="2" s="1"/>
  <c r="N164" i="2" s="1"/>
  <c r="D161" i="1"/>
  <c r="G161" i="1" s="1"/>
  <c r="H161" i="1" s="1"/>
  <c r="L147" i="2"/>
  <c r="M147" i="2" s="1"/>
  <c r="N147" i="2" s="1"/>
  <c r="D145" i="1"/>
  <c r="G145" i="1" s="1"/>
  <c r="H145" i="1" s="1"/>
  <c r="L141" i="2"/>
  <c r="M141" i="2" s="1"/>
  <c r="N141" i="2" s="1"/>
  <c r="D139" i="1"/>
  <c r="G139" i="1" s="1"/>
  <c r="H139" i="1" s="1"/>
  <c r="L96" i="2"/>
  <c r="M96" i="2" s="1"/>
  <c r="N96" i="2" s="1"/>
  <c r="D95" i="1"/>
  <c r="G95" i="1" s="1"/>
  <c r="H95" i="1" s="1"/>
  <c r="L18" i="2"/>
  <c r="M18" i="2" s="1"/>
  <c r="N18" i="2" s="1"/>
  <c r="D18" i="1"/>
  <c r="G18" i="1" s="1"/>
  <c r="H18" i="1" s="1"/>
  <c r="S1551" i="3"/>
  <c r="S1545" i="3"/>
  <c r="L194" i="2"/>
  <c r="M194" i="2" s="1"/>
  <c r="N194" i="2" s="1"/>
  <c r="D191" i="1"/>
  <c r="G191" i="1" s="1"/>
  <c r="H191" i="1" s="1"/>
  <c r="L238" i="2"/>
  <c r="M238" i="2" s="1"/>
  <c r="N238" i="2" s="1"/>
  <c r="D235" i="1"/>
  <c r="G235" i="1" s="1"/>
  <c r="H235" i="1" s="1"/>
  <c r="L230" i="2"/>
  <c r="M230" i="2" s="1"/>
  <c r="N230" i="2" s="1"/>
  <c r="D227" i="1"/>
  <c r="G227" i="1" s="1"/>
  <c r="H227" i="1" s="1"/>
  <c r="L156" i="2"/>
  <c r="M156" i="2" s="1"/>
  <c r="N156" i="2" s="1"/>
  <c r="D154" i="1"/>
  <c r="G154" i="1" s="1"/>
  <c r="H154" i="1" s="1"/>
  <c r="H153" i="1" s="1"/>
  <c r="L111" i="2"/>
  <c r="M111" i="2" s="1"/>
  <c r="N111" i="2" s="1"/>
  <c r="D109" i="1"/>
  <c r="G109" i="1" s="1"/>
  <c r="H109" i="1" s="1"/>
  <c r="L212" i="2"/>
  <c r="M212" i="2" s="1"/>
  <c r="N212" i="2" s="1"/>
  <c r="D209" i="1"/>
  <c r="G209" i="1" s="1"/>
  <c r="H209" i="1" s="1"/>
  <c r="L245" i="2"/>
  <c r="M245" i="2" s="1"/>
  <c r="N245" i="2" s="1"/>
  <c r="D242" i="1"/>
  <c r="G242" i="1" s="1"/>
  <c r="H242" i="1" s="1"/>
  <c r="L187" i="2"/>
  <c r="M187" i="2" s="1"/>
  <c r="N187" i="2" s="1"/>
  <c r="D184" i="1"/>
  <c r="G184" i="1" s="1"/>
  <c r="H184" i="1" s="1"/>
  <c r="L74" i="2"/>
  <c r="M74" i="2" s="1"/>
  <c r="N74" i="2" s="1"/>
  <c r="D73" i="1"/>
  <c r="G73" i="1" s="1"/>
  <c r="H73" i="1" s="1"/>
  <c r="L204" i="2"/>
  <c r="M204" i="2" s="1"/>
  <c r="N204" i="2" s="1"/>
  <c r="D201" i="1"/>
  <c r="G201" i="1" s="1"/>
  <c r="H201" i="1" s="1"/>
  <c r="L89" i="2"/>
  <c r="M89" i="2" s="1"/>
  <c r="N89" i="2" s="1"/>
  <c r="D88" i="1"/>
  <c r="G88" i="1" s="1"/>
  <c r="H88" i="1" s="1"/>
  <c r="L143" i="2"/>
  <c r="M143" i="2" s="1"/>
  <c r="N143" i="2" s="1"/>
  <c r="D141" i="1"/>
  <c r="G141" i="1" s="1"/>
  <c r="H141" i="1" s="1"/>
  <c r="S1550" i="3"/>
  <c r="S221" i="3"/>
  <c r="L236" i="2"/>
  <c r="M236" i="2" s="1"/>
  <c r="N236" i="2" s="1"/>
  <c r="D233" i="1"/>
  <c r="G233" i="1" s="1"/>
  <c r="H233" i="1" s="1"/>
  <c r="L68" i="2"/>
  <c r="M68" i="2" s="1"/>
  <c r="N68" i="2" s="1"/>
  <c r="D67" i="1"/>
  <c r="G67" i="1" s="1"/>
  <c r="H67" i="1" s="1"/>
  <c r="L87" i="2"/>
  <c r="M87" i="2" s="1"/>
  <c r="N87" i="2" s="1"/>
  <c r="D86" i="1"/>
  <c r="G86" i="1" s="1"/>
  <c r="H86" i="1" s="1"/>
  <c r="L106" i="2"/>
  <c r="M106" i="2" s="1"/>
  <c r="N106" i="2" s="1"/>
  <c r="D105" i="1"/>
  <c r="G105" i="1" s="1"/>
  <c r="H105" i="1" s="1"/>
  <c r="S1544" i="3"/>
  <c r="L30" i="2"/>
  <c r="M30" i="2" s="1"/>
  <c r="N30" i="2" s="1"/>
  <c r="D30" i="1"/>
  <c r="G30" i="1" s="1"/>
  <c r="H30" i="1" s="1"/>
  <c r="L210" i="2"/>
  <c r="M210" i="2" s="1"/>
  <c r="N210" i="2" s="1"/>
  <c r="D207" i="1"/>
  <c r="G207" i="1" s="1"/>
  <c r="H207" i="1" s="1"/>
  <c r="J93" i="2"/>
  <c r="S1552" i="3"/>
  <c r="S1543" i="3"/>
  <c r="J97" i="2"/>
  <c r="S2512" i="3"/>
  <c r="J181" i="2"/>
  <c r="J248" i="2"/>
  <c r="J186" i="2"/>
  <c r="J179" i="2"/>
  <c r="J167" i="2"/>
  <c r="J1556" i="3"/>
  <c r="J22" i="2"/>
  <c r="J254" i="2"/>
  <c r="J178" i="2"/>
  <c r="J182" i="2"/>
  <c r="J150" i="2"/>
  <c r="J67" i="2"/>
  <c r="R1191" i="3"/>
  <c r="J267" i="2"/>
  <c r="J262" i="2"/>
  <c r="J256" i="2"/>
  <c r="J252" i="2"/>
  <c r="J249" i="2"/>
  <c r="J247" i="2"/>
  <c r="J253" i="2"/>
  <c r="J220" i="2"/>
  <c r="J222" i="2"/>
  <c r="J203" i="2"/>
  <c r="J180" i="2"/>
  <c r="J176" i="2"/>
  <c r="J165" i="2"/>
  <c r="S2509" i="3"/>
  <c r="J73" i="2"/>
  <c r="J63" i="2"/>
  <c r="J57" i="2"/>
  <c r="R1181" i="3"/>
  <c r="J44" i="2"/>
  <c r="R1450" i="3"/>
  <c r="R1401" i="3"/>
  <c r="J21" i="2"/>
  <c r="J228" i="2"/>
  <c r="J95" i="2"/>
  <c r="R1384" i="3"/>
  <c r="R1438" i="3"/>
  <c r="J184" i="2"/>
  <c r="J133" i="2"/>
  <c r="J79" i="2"/>
  <c r="S1563" i="3"/>
  <c r="S1564" i="3"/>
  <c r="J55" i="2"/>
  <c r="J261" i="2"/>
  <c r="J263" i="2"/>
  <c r="J250" i="2"/>
  <c r="S2024" i="3"/>
  <c r="S2023" i="3"/>
  <c r="S1188" i="3"/>
  <c r="S1212" i="3" s="1"/>
  <c r="S1182" i="3"/>
  <c r="S1191" i="3"/>
  <c r="S1194" i="3"/>
  <c r="S1185" i="3"/>
  <c r="J276" i="2"/>
  <c r="J251" i="2"/>
  <c r="J59" i="2"/>
  <c r="R1182" i="3"/>
  <c r="J17" i="2"/>
  <c r="J265" i="2"/>
  <c r="J246" i="2"/>
  <c r="J202" i="2"/>
  <c r="J177" i="2"/>
  <c r="J169" i="2"/>
  <c r="J163" i="2"/>
  <c r="J134" i="2"/>
  <c r="S2073" i="3"/>
  <c r="J91" i="2"/>
  <c r="J120" i="2"/>
  <c r="J71" i="2"/>
  <c r="R1194" i="3"/>
  <c r="S160" i="3"/>
  <c r="S161" i="3"/>
  <c r="S162" i="3"/>
  <c r="J25" i="2"/>
  <c r="J43" i="2"/>
  <c r="L43" i="2" s="1"/>
  <c r="J28" i="2"/>
  <c r="L28" i="2" s="1"/>
  <c r="J19" i="2"/>
  <c r="W1234" i="3"/>
  <c r="W478" i="3"/>
  <c r="W610" i="3"/>
  <c r="W143" i="3"/>
  <c r="W149" i="3"/>
  <c r="W1333" i="3"/>
  <c r="W4639" i="3"/>
  <c r="W612" i="3"/>
  <c r="W591" i="3"/>
  <c r="W1979" i="3"/>
  <c r="W628" i="3"/>
  <c r="W272" i="3"/>
  <c r="W515" i="3"/>
  <c r="W4673" i="3"/>
  <c r="W4683" i="3"/>
  <c r="W4519" i="3"/>
  <c r="W1978" i="3"/>
  <c r="W649" i="3"/>
  <c r="W1030" i="3"/>
  <c r="W1438" i="3"/>
  <c r="W141" i="3"/>
  <c r="W172" i="3"/>
  <c r="W1351" i="3"/>
  <c r="W168" i="3"/>
  <c r="W189" i="3"/>
  <c r="W4647" i="3"/>
  <c r="W618" i="3"/>
  <c r="W607" i="3"/>
  <c r="W504" i="3"/>
  <c r="W2287" i="3"/>
  <c r="W4684" i="3"/>
  <c r="W1571" i="3"/>
  <c r="W170" i="3"/>
  <c r="W161" i="3"/>
  <c r="W636" i="3"/>
  <c r="W3712" i="3"/>
  <c r="W4868" i="3"/>
  <c r="W184" i="3"/>
  <c r="W1563" i="3"/>
  <c r="W1372" i="3"/>
  <c r="W204" i="3"/>
  <c r="W281" i="3"/>
  <c r="W4458" i="3"/>
  <c r="W632" i="3"/>
  <c r="W245" i="3"/>
  <c r="W1012" i="3"/>
  <c r="W1384" i="3"/>
  <c r="W342" i="3"/>
  <c r="W162" i="3"/>
  <c r="W178" i="3"/>
  <c r="W1508" i="3"/>
  <c r="W1028" i="3"/>
  <c r="W1314" i="3"/>
  <c r="W4634" i="3"/>
  <c r="W487" i="3"/>
  <c r="W139" i="3"/>
  <c r="W578" i="3"/>
  <c r="W182" i="3"/>
  <c r="W1959" i="3"/>
  <c r="W4643" i="3"/>
  <c r="W4629" i="3"/>
  <c r="W1994" i="3"/>
  <c r="W332" i="3"/>
  <c r="W186" i="3"/>
  <c r="W552" i="3"/>
  <c r="W4355" i="3"/>
  <c r="W270" i="3"/>
  <c r="W246" i="3"/>
  <c r="W532" i="3"/>
  <c r="W237" i="3"/>
  <c r="W642" i="3"/>
  <c r="W238" i="3"/>
  <c r="W593" i="3"/>
  <c r="W476" i="3"/>
  <c r="W614" i="3"/>
  <c r="W1315" i="3"/>
  <c r="W490" i="3"/>
  <c r="W4642" i="3"/>
  <c r="W502" i="3"/>
  <c r="W4645" i="3"/>
  <c r="W176" i="3"/>
  <c r="W4638" i="3"/>
  <c r="W334" i="3"/>
  <c r="W241" i="3"/>
  <c r="W337" i="3"/>
  <c r="W194" i="3"/>
  <c r="W1957" i="3"/>
  <c r="W531" i="3"/>
  <c r="W4630" i="3"/>
  <c r="W952" i="3"/>
  <c r="W179" i="3"/>
  <c r="W592" i="3"/>
  <c r="W160" i="3"/>
  <c r="W533" i="3"/>
  <c r="W1006" i="3"/>
  <c r="W229" i="3"/>
  <c r="W195" i="3"/>
  <c r="W1328" i="3"/>
  <c r="W1027" i="3"/>
  <c r="W1015" i="3"/>
  <c r="W4641" i="3"/>
  <c r="W177" i="3"/>
  <c r="W180" i="3"/>
  <c r="W518" i="3"/>
  <c r="W4456" i="3"/>
  <c r="W608" i="3"/>
  <c r="W1332" i="3"/>
  <c r="W236" i="3"/>
  <c r="W1953" i="3"/>
  <c r="W4294" i="3"/>
  <c r="W997" i="3"/>
  <c r="W1956" i="3"/>
  <c r="W622" i="3"/>
  <c r="W150" i="3"/>
  <c r="W4628" i="3"/>
  <c r="W996" i="3"/>
  <c r="W4636" i="3"/>
  <c r="W333" i="3"/>
  <c r="W419" i="3"/>
  <c r="W477" i="3"/>
  <c r="W620" i="3"/>
  <c r="W633" i="3"/>
  <c r="W142" i="3"/>
  <c r="W185" i="3"/>
  <c r="W4453" i="3"/>
  <c r="W647" i="3"/>
  <c r="W1331" i="3"/>
  <c r="W1963" i="3"/>
  <c r="W1026" i="3"/>
  <c r="W4665" i="3"/>
  <c r="W140" i="3"/>
  <c r="W492" i="3"/>
  <c r="W631" i="3"/>
  <c r="W4346" i="3"/>
  <c r="W475" i="3"/>
  <c r="W1450" i="3"/>
  <c r="W1962" i="3"/>
  <c r="W595" i="3"/>
  <c r="W1418" i="3"/>
  <c r="W1683" i="3"/>
  <c r="W624" i="3"/>
  <c r="W1369" i="3"/>
  <c r="W183" i="3"/>
  <c r="W619" i="3"/>
  <c r="W999" i="3"/>
  <c r="W193" i="3"/>
  <c r="W169" i="3"/>
  <c r="W242" i="3"/>
  <c r="W240" i="3"/>
  <c r="W243" i="3"/>
  <c r="W1007" i="3"/>
  <c r="W191" i="3"/>
  <c r="W151" i="3"/>
  <c r="W4452" i="3"/>
  <c r="W606" i="3"/>
  <c r="W4675" i="3"/>
  <c r="W598" i="3"/>
  <c r="W1235" i="3"/>
  <c r="W335" i="3"/>
  <c r="W594" i="3"/>
  <c r="W1570" i="3"/>
  <c r="W474" i="3"/>
  <c r="W995" i="3"/>
  <c r="W282" i="3"/>
  <c r="W1420" i="3"/>
  <c r="W187" i="3"/>
  <c r="W501" i="3"/>
  <c r="W519" i="3"/>
  <c r="W4455" i="3"/>
  <c r="W4454" i="3"/>
  <c r="W4637" i="3"/>
  <c r="W4674" i="3"/>
  <c r="W1964" i="3"/>
  <c r="W601" i="3"/>
  <c r="W1417" i="3"/>
  <c r="W1955" i="3"/>
  <c r="W4686" i="3"/>
  <c r="W173" i="3"/>
  <c r="W4631" i="3"/>
  <c r="W1449" i="3"/>
  <c r="W4357" i="3"/>
  <c r="W1323" i="3"/>
  <c r="W1566" i="3"/>
  <c r="W648" i="3"/>
  <c r="W579" i="3"/>
  <c r="W1357" i="3"/>
  <c r="W599" i="3"/>
  <c r="W336" i="3"/>
  <c r="W617" i="3"/>
  <c r="W1313" i="3"/>
  <c r="W1334" i="3"/>
  <c r="W1325" i="3"/>
  <c r="W644" i="3"/>
  <c r="W1370" i="3"/>
  <c r="W1337" i="3"/>
  <c r="W1975" i="3"/>
  <c r="W613" i="3"/>
  <c r="W1373" i="3"/>
  <c r="W248" i="3"/>
  <c r="W1572" i="3"/>
  <c r="W1345" i="3"/>
  <c r="W603" i="3"/>
  <c r="W635" i="3"/>
  <c r="W630" i="3"/>
  <c r="W190" i="3"/>
  <c r="W239" i="3"/>
  <c r="W188" i="3"/>
  <c r="W274" i="3"/>
  <c r="W1011" i="3"/>
  <c r="W629" i="3"/>
  <c r="W1617" i="3"/>
  <c r="W4293" i="3"/>
  <c r="W166" i="3"/>
  <c r="W1324" i="3"/>
  <c r="W1573" i="3"/>
  <c r="W181" i="3"/>
  <c r="W650" i="3"/>
  <c r="W1327" i="3"/>
  <c r="W1004" i="3"/>
  <c r="W600" i="3"/>
  <c r="W623" i="3"/>
  <c r="W396" i="3"/>
  <c r="W359" i="3"/>
  <c r="W175" i="3"/>
  <c r="W1961" i="3"/>
  <c r="W503" i="3"/>
  <c r="W1992" i="3"/>
  <c r="W3711" i="3"/>
  <c r="W171" i="3"/>
  <c r="W344" i="3"/>
  <c r="W4685" i="3"/>
  <c r="W954" i="3"/>
  <c r="W271" i="3"/>
  <c r="W489" i="3"/>
  <c r="W1329" i="3"/>
  <c r="W491" i="3"/>
  <c r="W174" i="3"/>
  <c r="W1954" i="3"/>
  <c r="W1564" i="3"/>
  <c r="W4646" i="3"/>
  <c r="W167" i="3"/>
  <c r="W516" i="3"/>
  <c r="W611" i="3"/>
  <c r="W4345" i="3"/>
  <c r="W1346" i="3"/>
  <c r="W597" i="3"/>
  <c r="W4450" i="3"/>
  <c r="W473" i="3"/>
  <c r="W506" i="3"/>
  <c r="W192" i="3"/>
  <c r="W418" i="3"/>
  <c r="W1960" i="3"/>
  <c r="W148" i="3"/>
  <c r="W244" i="3"/>
  <c r="W4632" i="3"/>
  <c r="W529" i="3"/>
  <c r="W1980" i="3"/>
  <c r="W394" i="3"/>
  <c r="W621" i="3"/>
  <c r="W1212" i="3"/>
  <c r="W609" i="3"/>
  <c r="W1958" i="3"/>
  <c r="W393" i="3"/>
  <c r="W4644" i="3"/>
  <c r="W953" i="3"/>
  <c r="W1371" i="3"/>
  <c r="W203" i="3"/>
  <c r="W1353" i="3"/>
  <c r="W279" i="3"/>
  <c r="W517" i="3"/>
  <c r="W1401" i="3"/>
  <c r="W280" i="3"/>
  <c r="W1336" i="3"/>
  <c r="W273" i="3"/>
  <c r="W1005" i="3"/>
  <c r="W1574" i="3"/>
  <c r="W4635" i="3"/>
  <c r="W643" i="3"/>
  <c r="W646" i="3"/>
  <c r="W634" i="3"/>
  <c r="W2288" i="3"/>
  <c r="W1993" i="3"/>
  <c r="W602" i="3"/>
  <c r="W2348" i="3"/>
  <c r="W1379" i="3"/>
  <c r="W530" i="3"/>
  <c r="W1368" i="3"/>
  <c r="W1330" i="3"/>
  <c r="W1352" i="3"/>
  <c r="W1316" i="3"/>
  <c r="W488" i="3"/>
  <c r="W951" i="3"/>
  <c r="W4687" i="3"/>
  <c r="W420" i="3"/>
  <c r="W625" i="3"/>
  <c r="W505" i="3"/>
  <c r="W4451" i="3"/>
  <c r="W1977" i="3"/>
  <c r="W1003" i="3"/>
  <c r="W1976" i="3"/>
  <c r="W1335" i="3"/>
  <c r="W4677" i="3"/>
  <c r="W596" i="3"/>
  <c r="W343" i="3"/>
  <c r="W1029" i="3"/>
  <c r="W417" i="3"/>
  <c r="W4676" i="3"/>
  <c r="W1761" i="3"/>
  <c r="W1326" i="3"/>
  <c r="W4457" i="3"/>
  <c r="W358" i="3"/>
  <c r="W1013" i="3"/>
  <c r="W645" i="3"/>
  <c r="V4686" i="3" l="1"/>
  <c r="V4685" i="3" s="1"/>
  <c r="V4684" i="3" s="1"/>
  <c r="V4683" i="3" s="1"/>
  <c r="V4682" i="3" s="1"/>
  <c r="V4681" i="3" s="1"/>
  <c r="V4680" i="3" s="1"/>
  <c r="V4679" i="3" s="1"/>
  <c r="V4678" i="3" s="1"/>
  <c r="V4677" i="3" s="1"/>
  <c r="V4676" i="3" s="1"/>
  <c r="V4675" i="3" s="1"/>
  <c r="V4674" i="3" s="1"/>
  <c r="V4673" i="3" s="1"/>
  <c r="V4672" i="3" s="1"/>
  <c r="V4671" i="3" s="1"/>
  <c r="V4670" i="3" s="1"/>
  <c r="V4669" i="3" s="1"/>
  <c r="V4668" i="3" s="1"/>
  <c r="V4667" i="3" s="1"/>
  <c r="V4666" i="3" s="1"/>
  <c r="V4646" i="3"/>
  <c r="V4645" i="3" s="1"/>
  <c r="V4644" i="3" s="1"/>
  <c r="V4643" i="3" s="1"/>
  <c r="V4642" i="3" s="1"/>
  <c r="V4641" i="3" s="1"/>
  <c r="V4640" i="3" s="1"/>
  <c r="V4639" i="3" s="1"/>
  <c r="V4638" i="3" s="1"/>
  <c r="V4637" i="3" s="1"/>
  <c r="V4636" i="3" s="1"/>
  <c r="V4635" i="3" s="1"/>
  <c r="V4634" i="3" s="1"/>
  <c r="V4633" i="3" s="1"/>
  <c r="S4307" i="3"/>
  <c r="S4359" i="3"/>
  <c r="L27" i="2"/>
  <c r="M27" i="2" s="1"/>
  <c r="N27" i="2" s="1"/>
  <c r="S283" i="3"/>
  <c r="S346" i="3"/>
  <c r="S212" i="3"/>
  <c r="S211" i="3"/>
  <c r="S210" i="3"/>
  <c r="S209" i="3"/>
  <c r="S208" i="3"/>
  <c r="S207" i="3"/>
  <c r="S206" i="3"/>
  <c r="S205" i="3"/>
  <c r="S152" i="3"/>
  <c r="K101" i="2"/>
  <c r="D100" i="1"/>
  <c r="G100" i="1" s="1"/>
  <c r="H100" i="1" s="1"/>
  <c r="J2349" i="3"/>
  <c r="R2350" i="3"/>
  <c r="J102" i="2"/>
  <c r="L102" i="2" s="1"/>
  <c r="M102" i="2" s="1"/>
  <c r="N102" i="2" s="1"/>
  <c r="V4867" i="3"/>
  <c r="V4866" i="3" s="1"/>
  <c r="V4865" i="3" s="1"/>
  <c r="V4889" i="3" s="1"/>
  <c r="R1010" i="3"/>
  <c r="R1014" i="3"/>
  <c r="R998" i="3"/>
  <c r="R994" i="3"/>
  <c r="R1002" i="3"/>
  <c r="R1025" i="3"/>
  <c r="R1272" i="3"/>
  <c r="R1685" i="3"/>
  <c r="R554" i="3"/>
  <c r="I318" i="2"/>
  <c r="J1752" i="3"/>
  <c r="R1753" i="3"/>
  <c r="J53" i="2" s="1"/>
  <c r="R944" i="3"/>
  <c r="V4457" i="3"/>
  <c r="V4456" i="3" s="1"/>
  <c r="V4455" i="3" s="1"/>
  <c r="V4454" i="3" s="1"/>
  <c r="V4518" i="3"/>
  <c r="K81" i="2"/>
  <c r="K18" i="2"/>
  <c r="K173" i="2"/>
  <c r="K198" i="2"/>
  <c r="K74" i="2"/>
  <c r="K204" i="2"/>
  <c r="K187" i="2"/>
  <c r="K144" i="2"/>
  <c r="K232" i="2"/>
  <c r="K193" i="2"/>
  <c r="K185" i="2"/>
  <c r="K166" i="2"/>
  <c r="K217" i="2"/>
  <c r="K164" i="2"/>
  <c r="K60" i="2"/>
  <c r="K213" i="2"/>
  <c r="K158" i="2"/>
  <c r="K78" i="2"/>
  <c r="K245" i="2"/>
  <c r="K30" i="2"/>
  <c r="K170" i="2"/>
  <c r="K145" i="2"/>
  <c r="K23" i="2"/>
  <c r="K271" i="2"/>
  <c r="K147" i="2"/>
  <c r="K205" i="2"/>
  <c r="K236" i="2"/>
  <c r="K238" i="2"/>
  <c r="K64" i="2"/>
  <c r="K214" i="2"/>
  <c r="K233" i="2"/>
  <c r="K207" i="2"/>
  <c r="K218" i="2"/>
  <c r="K194" i="2"/>
  <c r="K92" i="2"/>
  <c r="K122" i="2"/>
  <c r="K146" i="2"/>
  <c r="K96" i="2"/>
  <c r="K88" i="2"/>
  <c r="K124" i="2"/>
  <c r="K140" i="2"/>
  <c r="K87" i="2"/>
  <c r="K183" i="2"/>
  <c r="K273" i="2"/>
  <c r="K143" i="2"/>
  <c r="K171" i="2"/>
  <c r="K234" i="2"/>
  <c r="K210" i="2"/>
  <c r="K68" i="2"/>
  <c r="K139" i="2"/>
  <c r="K152" i="2"/>
  <c r="K151" i="2" s="1"/>
  <c r="K76" i="2"/>
  <c r="K29" i="2"/>
  <c r="K111" i="2"/>
  <c r="K157" i="2"/>
  <c r="K89" i="2"/>
  <c r="K216" i="2"/>
  <c r="K212" i="2"/>
  <c r="J49" i="2"/>
  <c r="J1616" i="3"/>
  <c r="J1684" i="3"/>
  <c r="R2404" i="3"/>
  <c r="J2405" i="3" s="1"/>
  <c r="J553" i="3"/>
  <c r="L52" i="2"/>
  <c r="M52" i="2" s="1"/>
  <c r="N52" i="2" s="1"/>
  <c r="H13" i="4"/>
  <c r="I12" i="4"/>
  <c r="O12" i="4"/>
  <c r="D75" i="1"/>
  <c r="G75" i="1" s="1"/>
  <c r="H75" i="1" s="1"/>
  <c r="V4606" i="3"/>
  <c r="V4605" i="3" s="1"/>
  <c r="V4604" i="3" s="1"/>
  <c r="V4612" i="3" s="1"/>
  <c r="V4594" i="3"/>
  <c r="V4593" i="3" s="1"/>
  <c r="V4592" i="3" s="1"/>
  <c r="V4591" i="3" s="1"/>
  <c r="V4603" i="3" s="1"/>
  <c r="V4558" i="3"/>
  <c r="V4557" i="3" s="1"/>
  <c r="V4556" i="3" s="1"/>
  <c r="V4555" i="3" s="1"/>
  <c r="V4590" i="3" s="1"/>
  <c r="V4543" i="3"/>
  <c r="V4542" i="3" s="1"/>
  <c r="V4541" i="3" s="1"/>
  <c r="V4540" i="3" s="1"/>
  <c r="V4554" i="3" s="1"/>
  <c r="V4368" i="3"/>
  <c r="V4367" i="3" s="1"/>
  <c r="V4366" i="3" s="1"/>
  <c r="V4379" i="3" s="1"/>
  <c r="H80" i="1"/>
  <c r="L277" i="2"/>
  <c r="M277" i="2" s="1"/>
  <c r="N277" i="2" s="1"/>
  <c r="H149" i="1"/>
  <c r="M151" i="2"/>
  <c r="H185" i="1"/>
  <c r="H133" i="1"/>
  <c r="K141" i="2"/>
  <c r="M135" i="2"/>
  <c r="K106" i="2"/>
  <c r="K156" i="2"/>
  <c r="M155" i="2"/>
  <c r="H226" i="1"/>
  <c r="K190" i="2"/>
  <c r="M188" i="2"/>
  <c r="K230" i="2"/>
  <c r="M229" i="2"/>
  <c r="L97" i="2"/>
  <c r="M97" i="2" s="1"/>
  <c r="N97" i="2" s="1"/>
  <c r="D96" i="1"/>
  <c r="G96" i="1" s="1"/>
  <c r="H96" i="1" s="1"/>
  <c r="L93" i="2"/>
  <c r="M93" i="2" s="1"/>
  <c r="N93" i="2" s="1"/>
  <c r="D92" i="1"/>
  <c r="G92" i="1" s="1"/>
  <c r="H92" i="1" s="1"/>
  <c r="D178" i="1"/>
  <c r="G178" i="1" s="1"/>
  <c r="H178" i="1" s="1"/>
  <c r="L181" i="2"/>
  <c r="M181" i="2" s="1"/>
  <c r="N181" i="2" s="1"/>
  <c r="M43" i="2"/>
  <c r="N43" i="2" s="1"/>
  <c r="D42" i="1"/>
  <c r="G42" i="1" s="1"/>
  <c r="H42" i="1" s="1"/>
  <c r="L44" i="2"/>
  <c r="M44" i="2" s="1"/>
  <c r="N44" i="2" s="1"/>
  <c r="D43" i="1"/>
  <c r="G43" i="1" s="1"/>
  <c r="H43" i="1" s="1"/>
  <c r="L177" i="2"/>
  <c r="M177" i="2" s="1"/>
  <c r="N177" i="2" s="1"/>
  <c r="D174" i="1"/>
  <c r="G174" i="1" s="1"/>
  <c r="H174" i="1" s="1"/>
  <c r="L251" i="2"/>
  <c r="M251" i="2" s="1"/>
  <c r="N251" i="2" s="1"/>
  <c r="D248" i="1"/>
  <c r="G248" i="1" s="1"/>
  <c r="H248" i="1" s="1"/>
  <c r="D78" i="1"/>
  <c r="G78" i="1" s="1"/>
  <c r="H78" i="1" s="1"/>
  <c r="L79" i="2"/>
  <c r="M79" i="2" s="1"/>
  <c r="N79" i="2" s="1"/>
  <c r="R1469" i="3"/>
  <c r="D250" i="1"/>
  <c r="G250" i="1" s="1"/>
  <c r="H250" i="1" s="1"/>
  <c r="L253" i="2"/>
  <c r="M253" i="2" s="1"/>
  <c r="N253" i="2" s="1"/>
  <c r="M28" i="2"/>
  <c r="N28" i="2" s="1"/>
  <c r="D28" i="1"/>
  <c r="G28" i="1" s="1"/>
  <c r="H28" i="1" s="1"/>
  <c r="L134" i="2"/>
  <c r="M134" i="2" s="1"/>
  <c r="N134" i="2" s="1"/>
  <c r="D132" i="1"/>
  <c r="G132" i="1" s="1"/>
  <c r="H132" i="1" s="1"/>
  <c r="L276" i="2"/>
  <c r="M276" i="2" s="1"/>
  <c r="N276" i="2" s="1"/>
  <c r="D272" i="1"/>
  <c r="G272" i="1" s="1"/>
  <c r="H272" i="1" s="1"/>
  <c r="H271" i="1" s="1"/>
  <c r="L55" i="2"/>
  <c r="M55" i="2" s="1"/>
  <c r="N55" i="2" s="1"/>
  <c r="D54" i="1"/>
  <c r="G54" i="1" s="1"/>
  <c r="H54" i="1" s="1"/>
  <c r="L165" i="2"/>
  <c r="M165" i="2" s="1"/>
  <c r="N165" i="2" s="1"/>
  <c r="D162" i="1"/>
  <c r="G162" i="1" s="1"/>
  <c r="H162" i="1" s="1"/>
  <c r="D25" i="1"/>
  <c r="G25" i="1" s="1"/>
  <c r="H25" i="1" s="1"/>
  <c r="L25" i="2"/>
  <c r="M25" i="2" s="1"/>
  <c r="N25" i="2" s="1"/>
  <c r="L91" i="2"/>
  <c r="M91" i="2" s="1"/>
  <c r="N91" i="2" s="1"/>
  <c r="D90" i="1"/>
  <c r="G90" i="1" s="1"/>
  <c r="H90" i="1" s="1"/>
  <c r="D160" i="1"/>
  <c r="G160" i="1" s="1"/>
  <c r="H160" i="1" s="1"/>
  <c r="L163" i="2"/>
  <c r="M163" i="2" s="1"/>
  <c r="N163" i="2" s="1"/>
  <c r="L246" i="2"/>
  <c r="M246" i="2" s="1"/>
  <c r="N246" i="2" s="1"/>
  <c r="D243" i="1"/>
  <c r="G243" i="1" s="1"/>
  <c r="H243" i="1" s="1"/>
  <c r="D17" i="1"/>
  <c r="G17" i="1" s="1"/>
  <c r="H17" i="1" s="1"/>
  <c r="L17" i="2"/>
  <c r="M17" i="2" s="1"/>
  <c r="D112" i="1"/>
  <c r="G112" i="1" s="1"/>
  <c r="H112" i="1" s="1"/>
  <c r="L114" i="2"/>
  <c r="M114" i="2" s="1"/>
  <c r="N114" i="2" s="1"/>
  <c r="D181" i="1"/>
  <c r="G181" i="1" s="1"/>
  <c r="H181" i="1" s="1"/>
  <c r="L184" i="2"/>
  <c r="M184" i="2" s="1"/>
  <c r="N184" i="2" s="1"/>
  <c r="J1385" i="3"/>
  <c r="R1386" i="3"/>
  <c r="D21" i="1"/>
  <c r="G21" i="1" s="1"/>
  <c r="H21" i="1" s="1"/>
  <c r="L21" i="2"/>
  <c r="M21" i="2" s="1"/>
  <c r="N21" i="2" s="1"/>
  <c r="D62" i="1"/>
  <c r="G62" i="1" s="1"/>
  <c r="H62" i="1" s="1"/>
  <c r="L63" i="2"/>
  <c r="M63" i="2" s="1"/>
  <c r="N63" i="2" s="1"/>
  <c r="D173" i="1"/>
  <c r="G173" i="1" s="1"/>
  <c r="H173" i="1" s="1"/>
  <c r="L176" i="2"/>
  <c r="M176" i="2" s="1"/>
  <c r="N176" i="2" s="1"/>
  <c r="D219" i="1"/>
  <c r="G219" i="1" s="1"/>
  <c r="H219" i="1" s="1"/>
  <c r="L222" i="2"/>
  <c r="M222" i="2" s="1"/>
  <c r="N222" i="2" s="1"/>
  <c r="D246" i="1"/>
  <c r="G246" i="1" s="1"/>
  <c r="H246" i="1" s="1"/>
  <c r="L249" i="2"/>
  <c r="M249" i="2" s="1"/>
  <c r="N249" i="2" s="1"/>
  <c r="L267" i="2"/>
  <c r="M267" i="2" s="1"/>
  <c r="N267" i="2" s="1"/>
  <c r="D263" i="1"/>
  <c r="G263" i="1" s="1"/>
  <c r="H263" i="1" s="1"/>
  <c r="H262" i="1" s="1"/>
  <c r="D66" i="1"/>
  <c r="G66" i="1" s="1"/>
  <c r="H66" i="1" s="1"/>
  <c r="L67" i="2"/>
  <c r="M67" i="2" s="1"/>
  <c r="N67" i="2" s="1"/>
  <c r="L254" i="2"/>
  <c r="M254" i="2" s="1"/>
  <c r="N254" i="2" s="1"/>
  <c r="D251" i="1"/>
  <c r="G251" i="1" s="1"/>
  <c r="H251" i="1" s="1"/>
  <c r="J47" i="2"/>
  <c r="L186" i="2"/>
  <c r="M186" i="2" s="1"/>
  <c r="N186" i="2" s="1"/>
  <c r="D183" i="1"/>
  <c r="G183" i="1" s="1"/>
  <c r="H183" i="1" s="1"/>
  <c r="D58" i="1"/>
  <c r="G58" i="1" s="1"/>
  <c r="H58" i="1" s="1"/>
  <c r="L59" i="2"/>
  <c r="M59" i="2" s="1"/>
  <c r="N59" i="2" s="1"/>
  <c r="M39" i="2"/>
  <c r="N39" i="2" s="1"/>
  <c r="D38" i="1"/>
  <c r="G38" i="1" s="1"/>
  <c r="H38" i="1" s="1"/>
  <c r="D148" i="1"/>
  <c r="G148" i="1" s="1"/>
  <c r="H148" i="1" s="1"/>
  <c r="H147" i="1" s="1"/>
  <c r="L150" i="2"/>
  <c r="M150" i="2" s="1"/>
  <c r="N150" i="2" s="1"/>
  <c r="L169" i="2"/>
  <c r="M169" i="2" s="1"/>
  <c r="N169" i="2" s="1"/>
  <c r="D166" i="1"/>
  <c r="G166" i="1" s="1"/>
  <c r="H166" i="1" s="1"/>
  <c r="L73" i="2"/>
  <c r="M73" i="2" s="1"/>
  <c r="N73" i="2" s="1"/>
  <c r="D72" i="1"/>
  <c r="G72" i="1" s="1"/>
  <c r="H72" i="1" s="1"/>
  <c r="L220" i="2"/>
  <c r="M220" i="2" s="1"/>
  <c r="N220" i="2" s="1"/>
  <c r="D217" i="1"/>
  <c r="G217" i="1" s="1"/>
  <c r="H217" i="1" s="1"/>
  <c r="D245" i="1"/>
  <c r="G245" i="1" s="1"/>
  <c r="H245" i="1" s="1"/>
  <c r="L248" i="2"/>
  <c r="M248" i="2" s="1"/>
  <c r="N248" i="2" s="1"/>
  <c r="D253" i="1"/>
  <c r="G253" i="1" s="1"/>
  <c r="H253" i="1" s="1"/>
  <c r="L256" i="2"/>
  <c r="M256" i="2" s="1"/>
  <c r="N256" i="2" s="1"/>
  <c r="R1757" i="3"/>
  <c r="R1777" i="3" s="1"/>
  <c r="L182" i="2"/>
  <c r="M182" i="2" s="1"/>
  <c r="N182" i="2" s="1"/>
  <c r="D179" i="1"/>
  <c r="G179" i="1" s="1"/>
  <c r="H179" i="1" s="1"/>
  <c r="L22" i="2"/>
  <c r="M22" i="2" s="1"/>
  <c r="N22" i="2" s="1"/>
  <c r="D22" i="1"/>
  <c r="G22" i="1" s="1"/>
  <c r="H22" i="1" s="1"/>
  <c r="D164" i="1"/>
  <c r="G164" i="1" s="1"/>
  <c r="H164" i="1" s="1"/>
  <c r="L167" i="2"/>
  <c r="M167" i="2" s="1"/>
  <c r="N167" i="2" s="1"/>
  <c r="L265" i="2"/>
  <c r="M265" i="2" s="1"/>
  <c r="N265" i="2" s="1"/>
  <c r="D261" i="1"/>
  <c r="G261" i="1" s="1"/>
  <c r="H261" i="1" s="1"/>
  <c r="L250" i="2"/>
  <c r="M250" i="2" s="1"/>
  <c r="N250" i="2" s="1"/>
  <c r="D247" i="1"/>
  <c r="G247" i="1" s="1"/>
  <c r="H247" i="1" s="1"/>
  <c r="L95" i="2"/>
  <c r="M95" i="2" s="1"/>
  <c r="N95" i="2" s="1"/>
  <c r="D94" i="1"/>
  <c r="G94" i="1" s="1"/>
  <c r="H94" i="1" s="1"/>
  <c r="D177" i="1"/>
  <c r="G177" i="1" s="1"/>
  <c r="H177" i="1" s="1"/>
  <c r="L180" i="2"/>
  <c r="M180" i="2" s="1"/>
  <c r="N180" i="2" s="1"/>
  <c r="D249" i="1"/>
  <c r="G249" i="1" s="1"/>
  <c r="H249" i="1" s="1"/>
  <c r="L252" i="2"/>
  <c r="M252" i="2" s="1"/>
  <c r="N252" i="2" s="1"/>
  <c r="M260" i="2"/>
  <c r="N260" i="2" s="1"/>
  <c r="D256" i="1"/>
  <c r="G256" i="1" s="1"/>
  <c r="H256" i="1" s="1"/>
  <c r="L19" i="2"/>
  <c r="M19" i="2" s="1"/>
  <c r="N19" i="2" s="1"/>
  <c r="D19" i="1"/>
  <c r="G19" i="1" s="1"/>
  <c r="H19" i="1" s="1"/>
  <c r="D70" i="1"/>
  <c r="G70" i="1" s="1"/>
  <c r="H70" i="1" s="1"/>
  <c r="L71" i="2"/>
  <c r="M71" i="2" s="1"/>
  <c r="N71" i="2" s="1"/>
  <c r="D259" i="1"/>
  <c r="G259" i="1" s="1"/>
  <c r="H259" i="1" s="1"/>
  <c r="L263" i="2"/>
  <c r="M263" i="2" s="1"/>
  <c r="N263" i="2" s="1"/>
  <c r="L228" i="2"/>
  <c r="M228" i="2" s="1"/>
  <c r="N228" i="2" s="1"/>
  <c r="D225" i="1"/>
  <c r="G225" i="1" s="1"/>
  <c r="H225" i="1" s="1"/>
  <c r="L203" i="2"/>
  <c r="M203" i="2" s="1"/>
  <c r="N203" i="2" s="1"/>
  <c r="D200" i="1"/>
  <c r="G200" i="1" s="1"/>
  <c r="H200" i="1" s="1"/>
  <c r="L120" i="2"/>
  <c r="M120" i="2" s="1"/>
  <c r="N120" i="2" s="1"/>
  <c r="D118" i="1"/>
  <c r="G118" i="1" s="1"/>
  <c r="H118" i="1" s="1"/>
  <c r="H115" i="1" s="1"/>
  <c r="D199" i="1"/>
  <c r="G199" i="1" s="1"/>
  <c r="H199" i="1" s="1"/>
  <c r="L202" i="2"/>
  <c r="M202" i="2" s="1"/>
  <c r="N202" i="2" s="1"/>
  <c r="L261" i="2"/>
  <c r="M261" i="2" s="1"/>
  <c r="N261" i="2" s="1"/>
  <c r="D257" i="1"/>
  <c r="G257" i="1" s="1"/>
  <c r="H257" i="1" s="1"/>
  <c r="L133" i="2"/>
  <c r="M133" i="2" s="1"/>
  <c r="N133" i="2" s="1"/>
  <c r="D131" i="1"/>
  <c r="G131" i="1" s="1"/>
  <c r="H131" i="1" s="1"/>
  <c r="L57" i="2"/>
  <c r="M57" i="2" s="1"/>
  <c r="N57" i="2" s="1"/>
  <c r="D56" i="1"/>
  <c r="G56" i="1" s="1"/>
  <c r="H56" i="1" s="1"/>
  <c r="H55" i="1" s="1"/>
  <c r="L224" i="2"/>
  <c r="M224" i="2" s="1"/>
  <c r="N224" i="2" s="1"/>
  <c r="D221" i="1"/>
  <c r="G221" i="1" s="1"/>
  <c r="H221" i="1" s="1"/>
  <c r="L247" i="2"/>
  <c r="M247" i="2" s="1"/>
  <c r="N247" i="2" s="1"/>
  <c r="D244" i="1"/>
  <c r="G244" i="1" s="1"/>
  <c r="H244" i="1" s="1"/>
  <c r="L262" i="2"/>
  <c r="M262" i="2" s="1"/>
  <c r="N262" i="2" s="1"/>
  <c r="D258" i="1"/>
  <c r="G258" i="1" s="1"/>
  <c r="H258" i="1" s="1"/>
  <c r="L178" i="2"/>
  <c r="M178" i="2" s="1"/>
  <c r="N178" i="2" s="1"/>
  <c r="D175" i="1"/>
  <c r="G175" i="1" s="1"/>
  <c r="H175" i="1" s="1"/>
  <c r="L179" i="2"/>
  <c r="M179" i="2" s="1"/>
  <c r="N179" i="2" s="1"/>
  <c r="D176" i="1"/>
  <c r="G176" i="1" s="1"/>
  <c r="H176" i="1" s="1"/>
  <c r="W1684" i="3"/>
  <c r="W4502" i="3"/>
  <c r="W4330" i="3"/>
  <c r="W4307" i="3"/>
  <c r="W1301" i="3"/>
  <c r="W4619" i="3"/>
  <c r="W4331" i="3"/>
  <c r="W1309" i="3"/>
  <c r="W116" i="3"/>
  <c r="W4633" i="3"/>
  <c r="W4501" i="3"/>
  <c r="W131" i="3"/>
  <c r="W263" i="3"/>
  <c r="W1002" i="3"/>
  <c r="W4342" i="3"/>
  <c r="W4327" i="3"/>
  <c r="W134" i="3"/>
  <c r="W4518" i="3"/>
  <c r="W955" i="3"/>
  <c r="W1297" i="3"/>
  <c r="W4438" i="3"/>
  <c r="W318" i="3"/>
  <c r="W1416" i="3"/>
  <c r="W4329" i="3"/>
  <c r="W206" i="3"/>
  <c r="W250" i="3"/>
  <c r="W1196" i="3"/>
  <c r="W4338" i="3"/>
  <c r="W125" i="3"/>
  <c r="W4336" i="3"/>
  <c r="W4662" i="3"/>
  <c r="W4627" i="3"/>
  <c r="W4283" i="3"/>
  <c r="W208" i="3"/>
  <c r="W266" i="3"/>
  <c r="W1306" i="3"/>
  <c r="W136" i="3"/>
  <c r="W4277" i="3"/>
  <c r="W256" i="3"/>
  <c r="W119" i="3"/>
  <c r="W320" i="3"/>
  <c r="W132" i="3"/>
  <c r="W207" i="3"/>
  <c r="W122" i="3"/>
  <c r="W267" i="3"/>
  <c r="W994" i="3"/>
  <c r="W251" i="3"/>
  <c r="W316" i="3"/>
  <c r="W4624" i="3"/>
  <c r="W4661" i="3"/>
  <c r="W4325" i="3"/>
  <c r="W1685" i="3"/>
  <c r="W324" i="3"/>
  <c r="W4285" i="3"/>
  <c r="W4272" i="3"/>
  <c r="W1300" i="3"/>
  <c r="W1320" i="3"/>
  <c r="W4442" i="3"/>
  <c r="W1272" i="3"/>
  <c r="W4332" i="3"/>
  <c r="W211" i="3"/>
  <c r="W138" i="3"/>
  <c r="W554" i="3"/>
  <c r="W4513" i="3"/>
  <c r="W1624" i="3"/>
  <c r="W1295" i="3"/>
  <c r="W4510" i="3"/>
  <c r="W4278" i="3"/>
  <c r="W130" i="3"/>
  <c r="W4449" i="3"/>
  <c r="W268" i="3"/>
  <c r="W129" i="3"/>
  <c r="W4341" i="3"/>
  <c r="W330" i="3"/>
  <c r="W121" i="3"/>
  <c r="W4281" i="3"/>
  <c r="W4505" i="3"/>
  <c r="W4664" i="3"/>
  <c r="W321" i="3"/>
  <c r="W1319" i="3"/>
  <c r="W4270" i="3"/>
  <c r="W2349" i="3"/>
  <c r="W260" i="3"/>
  <c r="W4284" i="3"/>
  <c r="W956" i="3"/>
  <c r="W312" i="3"/>
  <c r="W329" i="3"/>
  <c r="W265" i="3"/>
  <c r="W4622" i="3"/>
  <c r="W1303" i="3"/>
  <c r="W258" i="3"/>
  <c r="W209" i="3"/>
  <c r="W4621" i="3"/>
  <c r="W257" i="3"/>
  <c r="W4437" i="3"/>
  <c r="W4274" i="3"/>
  <c r="W4269" i="3"/>
  <c r="W998" i="3"/>
  <c r="W1299" i="3"/>
  <c r="W1206" i="3"/>
  <c r="W4511" i="3"/>
  <c r="W314" i="3"/>
  <c r="W283" i="3"/>
  <c r="W1014" i="3"/>
  <c r="W4337" i="3"/>
  <c r="W264" i="3"/>
  <c r="W4290" i="3"/>
  <c r="W4618" i="3"/>
  <c r="W326" i="3"/>
  <c r="W1312" i="3"/>
  <c r="W327" i="3"/>
  <c r="W4333" i="3"/>
  <c r="W1307" i="3"/>
  <c r="W4436" i="3"/>
  <c r="W253" i="3"/>
  <c r="W4509" i="3"/>
  <c r="W1298" i="3"/>
  <c r="W1469" i="3"/>
  <c r="W4659" i="3"/>
  <c r="W212" i="3"/>
  <c r="W4508" i="3"/>
  <c r="W4359" i="3"/>
  <c r="W4273" i="3"/>
  <c r="W4340" i="3"/>
  <c r="W249" i="3"/>
  <c r="W4617" i="3"/>
  <c r="W133" i="3"/>
  <c r="W4512" i="3"/>
  <c r="W1623" i="3"/>
  <c r="W4328" i="3"/>
  <c r="W4271" i="3"/>
  <c r="W4503" i="3"/>
  <c r="W269" i="3"/>
  <c r="W1321" i="3"/>
  <c r="W4515" i="3"/>
  <c r="W4324" i="3"/>
  <c r="W1310" i="3"/>
  <c r="W323" i="3"/>
  <c r="W261" i="3"/>
  <c r="W1777" i="3"/>
  <c r="W118" i="3"/>
  <c r="W4663" i="3"/>
  <c r="W4289" i="3"/>
  <c r="W4507" i="3"/>
  <c r="W4434" i="3"/>
  <c r="W4393" i="3"/>
  <c r="W4291" i="3"/>
  <c r="W4446" i="3"/>
  <c r="W1415" i="3"/>
  <c r="W4282" i="3"/>
  <c r="W124" i="3"/>
  <c r="W4498" i="3"/>
  <c r="W1010" i="3"/>
  <c r="W152" i="3"/>
  <c r="W4616" i="3"/>
  <c r="W4496" i="3"/>
  <c r="W313" i="3"/>
  <c r="W4276" i="3"/>
  <c r="W254" i="3"/>
  <c r="W311" i="3"/>
  <c r="W4626" i="3"/>
  <c r="W4292" i="3"/>
  <c r="W4499" i="3"/>
  <c r="W2350" i="3"/>
  <c r="W4516" i="3"/>
  <c r="W4280" i="3"/>
  <c r="W1296" i="3"/>
  <c r="W255" i="3"/>
  <c r="W1025" i="3"/>
  <c r="W1308" i="3"/>
  <c r="W2003" i="3"/>
  <c r="W4445" i="3"/>
  <c r="W4448" i="3"/>
  <c r="W4339" i="3"/>
  <c r="W315" i="3"/>
  <c r="W553" i="3"/>
  <c r="W4441" i="3"/>
  <c r="W4504" i="3"/>
  <c r="W252" i="3"/>
  <c r="W4658" i="3"/>
  <c r="W1311" i="3"/>
  <c r="W4335" i="3"/>
  <c r="W128" i="3"/>
  <c r="W135" i="3"/>
  <c r="W4275" i="3"/>
  <c r="W205" i="3"/>
  <c r="W4435" i="3"/>
  <c r="W4287" i="3"/>
  <c r="W4439" i="3"/>
  <c r="W1354" i="3"/>
  <c r="W322" i="3"/>
  <c r="W1304" i="3"/>
  <c r="W4321" i="3"/>
  <c r="W4497" i="3"/>
  <c r="W328" i="3"/>
  <c r="W4500" i="3"/>
  <c r="W210" i="3"/>
  <c r="W331" i="3"/>
  <c r="W4286" i="3"/>
  <c r="W1616" i="3"/>
  <c r="W4279" i="3"/>
  <c r="W4660" i="3"/>
  <c r="W4334" i="3"/>
  <c r="W127" i="3"/>
  <c r="W4444" i="3"/>
  <c r="W123" i="3"/>
  <c r="W1385" i="3"/>
  <c r="W317" i="3"/>
  <c r="W4514" i="3"/>
  <c r="W4326" i="3"/>
  <c r="W4620" i="3"/>
  <c r="W259" i="3"/>
  <c r="W4506" i="3"/>
  <c r="W944" i="3"/>
  <c r="W120" i="3"/>
  <c r="W262" i="3"/>
  <c r="W137" i="3"/>
  <c r="W4344" i="3"/>
  <c r="W4517" i="3"/>
  <c r="W325" i="3"/>
  <c r="W4447" i="3"/>
  <c r="W4657" i="3"/>
  <c r="W1305" i="3"/>
  <c r="W4440" i="3"/>
  <c r="W1965" i="3"/>
  <c r="W4495" i="3"/>
  <c r="W4623" i="3"/>
  <c r="W117" i="3"/>
  <c r="W1302" i="3"/>
  <c r="W4323" i="3"/>
  <c r="W126" i="3"/>
  <c r="W4443" i="3"/>
  <c r="W1322" i="3"/>
  <c r="W4322" i="3"/>
  <c r="W346" i="3"/>
  <c r="W4343" i="3"/>
  <c r="W319" i="3"/>
  <c r="W4288" i="3"/>
  <c r="V4632" i="3" l="1"/>
  <c r="V4631" i="3" s="1"/>
  <c r="V4630" i="3" s="1"/>
  <c r="V4629" i="3" s="1"/>
  <c r="V4628" i="3" s="1"/>
  <c r="V4627" i="3" s="1"/>
  <c r="V4626" i="3" s="1"/>
  <c r="V4625" i="3" s="1"/>
  <c r="V4624" i="3" s="1"/>
  <c r="V4623" i="3" s="1"/>
  <c r="V4622" i="3" s="1"/>
  <c r="V4621" i="3" s="1"/>
  <c r="V4620" i="3" s="1"/>
  <c r="V4619" i="3" s="1"/>
  <c r="V4618" i="3" s="1"/>
  <c r="V4617" i="3" s="1"/>
  <c r="V4616" i="3" s="1"/>
  <c r="V4615" i="3" s="1"/>
  <c r="V4614" i="3" s="1"/>
  <c r="V4613" i="3" s="1"/>
  <c r="V4358" i="3"/>
  <c r="V4357" i="3" s="1"/>
  <c r="V4356" i="3" s="1"/>
  <c r="V4355" i="3" s="1"/>
  <c r="V4354" i="3" s="1"/>
  <c r="V4353" i="3" s="1"/>
  <c r="V4352" i="3" s="1"/>
  <c r="V4351" i="3" s="1"/>
  <c r="V4350" i="3" s="1"/>
  <c r="V4349" i="3" s="1"/>
  <c r="V4348" i="3" s="1"/>
  <c r="V4347" i="3" s="1"/>
  <c r="V4346" i="3" s="1"/>
  <c r="V4345" i="3" s="1"/>
  <c r="V4344" i="3" s="1"/>
  <c r="V4306" i="3"/>
  <c r="V4305" i="3" s="1"/>
  <c r="V4304" i="3" s="1"/>
  <c r="V4303" i="3" s="1"/>
  <c r="V4302" i="3" s="1"/>
  <c r="V4301" i="3" s="1"/>
  <c r="V4300" i="3" s="1"/>
  <c r="V4299" i="3" s="1"/>
  <c r="V4298" i="3" s="1"/>
  <c r="V4297" i="3" s="1"/>
  <c r="V4296" i="3" s="1"/>
  <c r="V4295" i="3" s="1"/>
  <c r="V4294" i="3" s="1"/>
  <c r="V4293" i="3" s="1"/>
  <c r="V4292" i="3" s="1"/>
  <c r="V4291" i="3" s="1"/>
  <c r="V4290" i="3" s="1"/>
  <c r="V4289" i="3" s="1"/>
  <c r="V4288" i="3" s="1"/>
  <c r="V4287" i="3" s="1"/>
  <c r="V4286" i="3" s="1"/>
  <c r="V4285" i="3" s="1"/>
  <c r="V4284" i="3" s="1"/>
  <c r="V4283" i="3" s="1"/>
  <c r="V4282" i="3" s="1"/>
  <c r="V4281" i="3" s="1"/>
  <c r="V4280" i="3" s="1"/>
  <c r="V4279" i="3" s="1"/>
  <c r="V4278" i="3" s="1"/>
  <c r="V4277" i="3" s="1"/>
  <c r="V4276" i="3" s="1"/>
  <c r="V4275" i="3" s="1"/>
  <c r="V4274" i="3" s="1"/>
  <c r="V4273" i="3" s="1"/>
  <c r="V4272" i="3" s="1"/>
  <c r="V4271" i="3" s="1"/>
  <c r="V4270" i="3" s="1"/>
  <c r="V4269" i="3" s="1"/>
  <c r="V4268" i="3" s="1"/>
  <c r="V4267" i="3" s="1"/>
  <c r="V4266" i="3" s="1"/>
  <c r="V4265" i="3" s="1"/>
  <c r="V4264" i="3" s="1"/>
  <c r="V4263" i="3" s="1"/>
  <c r="V4262" i="3" s="1"/>
  <c r="V4261" i="3" s="1"/>
  <c r="V4313" i="3" s="1"/>
  <c r="K27" i="2"/>
  <c r="J34" i="2"/>
  <c r="L34" i="2" s="1"/>
  <c r="M34" i="2" s="1"/>
  <c r="N34" i="2" s="1"/>
  <c r="V554" i="3"/>
  <c r="V553" i="3" s="1"/>
  <c r="V552" i="3" s="1"/>
  <c r="V551" i="3" s="1"/>
  <c r="V550" i="3" s="1"/>
  <c r="V549" i="3" s="1"/>
  <c r="V548" i="3" s="1"/>
  <c r="V547" i="3" s="1"/>
  <c r="V546" i="3" s="1"/>
  <c r="V545" i="3" s="1"/>
  <c r="V544" i="3" s="1"/>
  <c r="V543" i="3" s="1"/>
  <c r="V542" i="3" s="1"/>
  <c r="V541" i="3" s="1"/>
  <c r="V540" i="3" s="1"/>
  <c r="J107" i="2"/>
  <c r="D101" i="1"/>
  <c r="G101" i="1" s="1"/>
  <c r="H101" i="1" s="1"/>
  <c r="H99" i="1" s="1"/>
  <c r="M100" i="2"/>
  <c r="K102" i="2"/>
  <c r="K100" i="2" s="1"/>
  <c r="R1174" i="3"/>
  <c r="N17" i="2"/>
  <c r="J1273" i="3"/>
  <c r="R1274" i="3"/>
  <c r="R946" i="3"/>
  <c r="H24" i="1"/>
  <c r="H15" i="1" s="1"/>
  <c r="J945" i="3"/>
  <c r="S1201" i="3"/>
  <c r="K249" i="2"/>
  <c r="K43" i="2"/>
  <c r="K67" i="2"/>
  <c r="K55" i="2"/>
  <c r="K261" i="2"/>
  <c r="K167" i="2"/>
  <c r="K178" i="2"/>
  <c r="K73" i="2"/>
  <c r="K181" i="2"/>
  <c r="K203" i="2"/>
  <c r="K248" i="2"/>
  <c r="K252" i="2"/>
  <c r="K155" i="2"/>
  <c r="K254" i="2"/>
  <c r="K277" i="2"/>
  <c r="K263" i="2"/>
  <c r="K256" i="2"/>
  <c r="K97" i="2"/>
  <c r="K179" i="2"/>
  <c r="K253" i="2"/>
  <c r="K71" i="2"/>
  <c r="K134" i="2"/>
  <c r="K229" i="2"/>
  <c r="K28" i="2"/>
  <c r="K19" i="2"/>
  <c r="K188" i="2"/>
  <c r="K52" i="2"/>
  <c r="K247" i="2"/>
  <c r="K135" i="2"/>
  <c r="K63" i="2"/>
  <c r="K21" i="2"/>
  <c r="K180" i="2"/>
  <c r="K224" i="2"/>
  <c r="K95" i="2"/>
  <c r="K39" i="2"/>
  <c r="K177" i="2"/>
  <c r="K186" i="2"/>
  <c r="K184" i="2"/>
  <c r="K59" i="2"/>
  <c r="K22" i="2"/>
  <c r="K165" i="2"/>
  <c r="K182" i="2"/>
  <c r="K228" i="2"/>
  <c r="K222" i="2"/>
  <c r="K93" i="2"/>
  <c r="K262" i="2"/>
  <c r="K169" i="2"/>
  <c r="K251" i="2"/>
  <c r="K250" i="2"/>
  <c r="K44" i="2"/>
  <c r="R2406" i="3"/>
  <c r="J115" i="2" s="1"/>
  <c r="L115" i="2" s="1"/>
  <c r="M115" i="2" s="1"/>
  <c r="N115" i="2" s="1"/>
  <c r="V4453" i="3"/>
  <c r="V4452" i="3" s="1"/>
  <c r="V4451" i="3" s="1"/>
  <c r="V4450" i="3" s="1"/>
  <c r="V4449" i="3" s="1"/>
  <c r="V4448" i="3" s="1"/>
  <c r="V4447" i="3" s="1"/>
  <c r="V4446" i="3" s="1"/>
  <c r="V4445" i="3" s="1"/>
  <c r="V4444" i="3" s="1"/>
  <c r="V4443" i="3" s="1"/>
  <c r="V4442" i="3" s="1"/>
  <c r="V4441" i="3" s="1"/>
  <c r="V4440" i="3" s="1"/>
  <c r="V4439" i="3" s="1"/>
  <c r="V4438" i="3" s="1"/>
  <c r="V4437" i="3" s="1"/>
  <c r="V4436" i="3" s="1"/>
  <c r="V4435" i="3" s="1"/>
  <c r="V4434" i="3" s="1"/>
  <c r="V4433" i="3" s="1"/>
  <c r="V4432" i="3" s="1"/>
  <c r="V4431" i="3" s="1"/>
  <c r="V4430" i="3" s="1"/>
  <c r="V4429" i="3" s="1"/>
  <c r="V4428" i="3" s="1"/>
  <c r="V4427" i="3" s="1"/>
  <c r="V4426" i="3" s="1"/>
  <c r="V4392" i="3"/>
  <c r="V4391" i="3" s="1"/>
  <c r="V4390" i="3" s="1"/>
  <c r="V4389" i="3" s="1"/>
  <c r="V4388" i="3" s="1"/>
  <c r="V4387" i="3" s="1"/>
  <c r="V4386" i="3" s="1"/>
  <c r="V4385" i="3" s="1"/>
  <c r="V4384" i="3" s="1"/>
  <c r="V4383" i="3" s="1"/>
  <c r="V4382" i="3" s="1"/>
  <c r="V4381" i="3" s="1"/>
  <c r="V4380" i="3" s="1"/>
  <c r="V4425" i="3" s="1"/>
  <c r="V4517" i="3"/>
  <c r="V4516" i="3" s="1"/>
  <c r="V4515" i="3" s="1"/>
  <c r="V4514" i="3" s="1"/>
  <c r="V4513" i="3" s="1"/>
  <c r="V4512" i="3" s="1"/>
  <c r="V4511" i="3" s="1"/>
  <c r="V4510" i="3" s="1"/>
  <c r="V4509" i="3" s="1"/>
  <c r="V4508" i="3" s="1"/>
  <c r="V4507" i="3" s="1"/>
  <c r="V4506" i="3" s="1"/>
  <c r="V4505" i="3" s="1"/>
  <c r="V4504" i="3" s="1"/>
  <c r="V4503" i="3" s="1"/>
  <c r="V4502" i="3" s="1"/>
  <c r="V4501" i="3" s="1"/>
  <c r="V4500" i="3" s="1"/>
  <c r="V4499" i="3" s="1"/>
  <c r="V4498" i="3" s="1"/>
  <c r="V4497" i="3" s="1"/>
  <c r="V4496" i="3" s="1"/>
  <c r="V4495" i="3" s="1"/>
  <c r="V4494" i="3" s="1"/>
  <c r="V4493" i="3" s="1"/>
  <c r="V4492" i="3" s="1"/>
  <c r="V4491" i="3" s="1"/>
  <c r="V4490" i="3" s="1"/>
  <c r="V4489" i="3" s="1"/>
  <c r="V4488" i="3" s="1"/>
  <c r="V4487" i="3" s="1"/>
  <c r="V4539" i="3" s="1"/>
  <c r="V4343" i="3"/>
  <c r="V4342" i="3" s="1"/>
  <c r="V4341" i="3" s="1"/>
  <c r="V4340" i="3" s="1"/>
  <c r="V4339" i="3" s="1"/>
  <c r="V4338" i="3" s="1"/>
  <c r="V4337" i="3" s="1"/>
  <c r="V4336" i="3" s="1"/>
  <c r="V4335" i="3" s="1"/>
  <c r="V4334" i="3" s="1"/>
  <c r="V4333" i="3" s="1"/>
  <c r="V4332" i="3" s="1"/>
  <c r="V4331" i="3" s="1"/>
  <c r="V4330" i="3" s="1"/>
  <c r="V4329" i="3" s="1"/>
  <c r="V4328" i="3" s="1"/>
  <c r="V4327" i="3" s="1"/>
  <c r="V4326" i="3" s="1"/>
  <c r="V4325" i="3" s="1"/>
  <c r="V4324" i="3" s="1"/>
  <c r="V4323" i="3" s="1"/>
  <c r="V4322" i="3" s="1"/>
  <c r="V4321" i="3" s="1"/>
  <c r="V4320" i="3" s="1"/>
  <c r="V4319" i="3" s="1"/>
  <c r="V4318" i="3" s="1"/>
  <c r="V4317" i="3" s="1"/>
  <c r="V4316" i="3" s="1"/>
  <c r="V4315" i="3" s="1"/>
  <c r="V4314" i="3" s="1"/>
  <c r="V4365" i="3" s="1"/>
  <c r="H14" i="4"/>
  <c r="I13" i="4"/>
  <c r="O13" i="4"/>
  <c r="J51" i="2"/>
  <c r="L51" i="2" s="1"/>
  <c r="K265" i="2"/>
  <c r="H130" i="1"/>
  <c r="H129" i="1" s="1"/>
  <c r="K202" i="2"/>
  <c r="M201" i="2"/>
  <c r="K133" i="2"/>
  <c r="M132" i="2"/>
  <c r="H198" i="1"/>
  <c r="H255" i="1"/>
  <c r="H254" i="1" s="1"/>
  <c r="K176" i="2"/>
  <c r="M175" i="2"/>
  <c r="K17" i="2"/>
  <c r="M16" i="2"/>
  <c r="K163" i="2"/>
  <c r="M161" i="2"/>
  <c r="K25" i="2"/>
  <c r="M24" i="2"/>
  <c r="K79" i="2"/>
  <c r="M77" i="2"/>
  <c r="R584" i="3"/>
  <c r="D52" i="1"/>
  <c r="G52" i="1" s="1"/>
  <c r="H52" i="1" s="1"/>
  <c r="L53" i="2"/>
  <c r="M53" i="2" s="1"/>
  <c r="N53" i="2" s="1"/>
  <c r="K260" i="2"/>
  <c r="M259" i="2"/>
  <c r="L47" i="2"/>
  <c r="M47" i="2" s="1"/>
  <c r="N47" i="2" s="1"/>
  <c r="D46" i="1"/>
  <c r="G46" i="1" s="1"/>
  <c r="H46" i="1" s="1"/>
  <c r="H172" i="1"/>
  <c r="H16" i="1"/>
  <c r="H158" i="1"/>
  <c r="K276" i="2"/>
  <c r="M275" i="2"/>
  <c r="L49" i="2"/>
  <c r="M49" i="2" s="1"/>
  <c r="N49" i="2" s="1"/>
  <c r="D48" i="1"/>
  <c r="G48" i="1" s="1"/>
  <c r="H48" i="1" s="1"/>
  <c r="K57" i="2"/>
  <c r="K56" i="2" s="1"/>
  <c r="M56" i="2"/>
  <c r="K120" i="2"/>
  <c r="K117" i="2" s="1"/>
  <c r="M117" i="2"/>
  <c r="H212" i="1"/>
  <c r="K150" i="2"/>
  <c r="K149" i="2" s="1"/>
  <c r="M149" i="2"/>
  <c r="M58" i="2"/>
  <c r="J40" i="2"/>
  <c r="L40" i="2" s="1"/>
  <c r="K114" i="2"/>
  <c r="H240" i="1"/>
  <c r="H83" i="1"/>
  <c r="K220" i="2"/>
  <c r="M215" i="2"/>
  <c r="H57" i="1"/>
  <c r="K267" i="2"/>
  <c r="M266" i="2"/>
  <c r="K246" i="2"/>
  <c r="M243" i="2"/>
  <c r="K91" i="2"/>
  <c r="M84" i="2"/>
  <c r="J1470" i="3"/>
  <c r="R1471" i="3"/>
  <c r="W1273" i="3"/>
  <c r="W1470" i="3"/>
  <c r="W946" i="3"/>
  <c r="W1274" i="3"/>
  <c r="W584" i="3"/>
  <c r="W945" i="3"/>
  <c r="W1174" i="3"/>
  <c r="W1201" i="3"/>
  <c r="D33" i="1" l="1"/>
  <c r="G33" i="1" s="1"/>
  <c r="H33" i="1" s="1"/>
  <c r="J1175" i="3"/>
  <c r="V539" i="3"/>
  <c r="V538" i="3" s="1"/>
  <c r="V537" i="3" s="1"/>
  <c r="V536" i="3" s="1"/>
  <c r="V535" i="3" s="1"/>
  <c r="V534" i="3" s="1"/>
  <c r="V533" i="3" s="1"/>
  <c r="V532" i="3" s="1"/>
  <c r="V531" i="3" s="1"/>
  <c r="V530" i="3" s="1"/>
  <c r="V529" i="3" s="1"/>
  <c r="V528" i="3" s="1"/>
  <c r="V527" i="3" s="1"/>
  <c r="V526" i="3" s="1"/>
  <c r="V525" i="3" s="1"/>
  <c r="V524" i="3" s="1"/>
  <c r="V523" i="3" s="1"/>
  <c r="V522" i="3" s="1"/>
  <c r="V521" i="3" s="1"/>
  <c r="V520" i="3" s="1"/>
  <c r="R1176" i="3"/>
  <c r="L107" i="2"/>
  <c r="M107" i="2" s="1"/>
  <c r="D106" i="1"/>
  <c r="G106" i="1" s="1"/>
  <c r="H106" i="1" s="1"/>
  <c r="H103" i="1" s="1"/>
  <c r="H79" i="1"/>
  <c r="H76" i="1" s="1"/>
  <c r="J36" i="2"/>
  <c r="L36" i="2" s="1"/>
  <c r="M36" i="2" s="1"/>
  <c r="N36" i="2" s="1"/>
  <c r="CE23" i="5"/>
  <c r="CE22" i="5" s="1"/>
  <c r="V1274" i="3"/>
  <c r="V1273" i="3" s="1"/>
  <c r="V1272" i="3" s="1"/>
  <c r="V1271" i="3" s="1"/>
  <c r="V1270" i="3" s="1"/>
  <c r="V1269" i="3" s="1"/>
  <c r="V1268" i="3" s="1"/>
  <c r="V1267" i="3" s="1"/>
  <c r="V1266" i="3" s="1"/>
  <c r="V1265" i="3" s="1"/>
  <c r="V1264" i="3" s="1"/>
  <c r="V1263" i="3" s="1"/>
  <c r="V1262" i="3" s="1"/>
  <c r="V1261" i="3" s="1"/>
  <c r="V1260" i="3" s="1"/>
  <c r="V1259" i="3" s="1"/>
  <c r="R586" i="3"/>
  <c r="K24" i="2"/>
  <c r="K58" i="2"/>
  <c r="K115" i="2"/>
  <c r="K132" i="2"/>
  <c r="K53" i="2"/>
  <c r="K201" i="2"/>
  <c r="K34" i="2"/>
  <c r="K243" i="2"/>
  <c r="K175" i="2"/>
  <c r="K47" i="2"/>
  <c r="K215" i="2"/>
  <c r="M31" i="2"/>
  <c r="K84" i="2"/>
  <c r="K77" i="2" s="1"/>
  <c r="K275" i="2"/>
  <c r="D113" i="1"/>
  <c r="G113" i="1" s="1"/>
  <c r="H113" i="1" s="1"/>
  <c r="V4653" i="3"/>
  <c r="V4486" i="3"/>
  <c r="DS13" i="5"/>
  <c r="H15" i="4"/>
  <c r="O14" i="4"/>
  <c r="I14" i="4"/>
  <c r="D50" i="1"/>
  <c r="G50" i="1" s="1"/>
  <c r="H50" i="1" s="1"/>
  <c r="CQ13" i="5"/>
  <c r="K266" i="2"/>
  <c r="M51" i="2"/>
  <c r="N51" i="2" s="1"/>
  <c r="M278" i="2"/>
  <c r="M257" i="2"/>
  <c r="K49" i="2"/>
  <c r="K16" i="2"/>
  <c r="H157" i="1"/>
  <c r="J38" i="2"/>
  <c r="L38" i="2" s="1"/>
  <c r="M40" i="2"/>
  <c r="N40" i="2" s="1"/>
  <c r="D39" i="1"/>
  <c r="G39" i="1" s="1"/>
  <c r="H39" i="1" s="1"/>
  <c r="J42" i="2"/>
  <c r="L42" i="2" s="1"/>
  <c r="K161" i="2"/>
  <c r="J37" i="2"/>
  <c r="L37" i="2" s="1"/>
  <c r="K259" i="2"/>
  <c r="J585" i="3"/>
  <c r="W585" i="3"/>
  <c r="W1175" i="3"/>
  <c r="W1176" i="3"/>
  <c r="W586" i="3"/>
  <c r="N107" i="2" l="1"/>
  <c r="M104" i="2"/>
  <c r="K107" i="2"/>
  <c r="K104" i="2" s="1"/>
  <c r="V1258" i="3"/>
  <c r="V1257" i="3" s="1"/>
  <c r="V1256" i="3" s="1"/>
  <c r="V1255" i="3" s="1"/>
  <c r="V1254" i="3" s="1"/>
  <c r="V1253" i="3" s="1"/>
  <c r="V1252" i="3" s="1"/>
  <c r="V1251" i="3" s="1"/>
  <c r="V1250" i="3" s="1"/>
  <c r="V1249" i="3" s="1"/>
  <c r="V1248" i="3" s="1"/>
  <c r="V1247" i="3" s="1"/>
  <c r="V1246" i="3" s="1"/>
  <c r="V1245" i="3" s="1"/>
  <c r="V1244" i="3" s="1"/>
  <c r="V1243" i="3" s="1"/>
  <c r="V1242" i="3" s="1"/>
  <c r="V1241" i="3" s="1"/>
  <c r="V1240" i="3" s="1"/>
  <c r="V1239" i="3" s="1"/>
  <c r="V1238" i="3" s="1"/>
  <c r="V1237" i="3" s="1"/>
  <c r="V1236" i="3" s="1"/>
  <c r="V1235" i="3" s="1"/>
  <c r="V1234" i="3" s="1"/>
  <c r="V1233" i="3" s="1"/>
  <c r="V1232" i="3" s="1"/>
  <c r="V1231" i="3" s="1"/>
  <c r="V1230" i="3" s="1"/>
  <c r="V1229" i="3" s="1"/>
  <c r="V519" i="3"/>
  <c r="V518" i="3" s="1"/>
  <c r="V517" i="3" s="1"/>
  <c r="V516" i="3" s="1"/>
  <c r="V515" i="3" s="1"/>
  <c r="V514" i="3" s="1"/>
  <c r="V513" i="3" s="1"/>
  <c r="V512" i="3" s="1"/>
  <c r="V511" i="3" s="1"/>
  <c r="V510" i="3" s="1"/>
  <c r="V509" i="3" s="1"/>
  <c r="V508" i="3" s="1"/>
  <c r="V507" i="3" s="1"/>
  <c r="V506" i="3" s="1"/>
  <c r="V505" i="3" s="1"/>
  <c r="V504" i="3" s="1"/>
  <c r="V503" i="3" s="1"/>
  <c r="V502" i="3" s="1"/>
  <c r="V501" i="3" s="1"/>
  <c r="V500" i="3" s="1"/>
  <c r="V499" i="3" s="1"/>
  <c r="V498" i="3" s="1"/>
  <c r="V497" i="3" s="1"/>
  <c r="V496" i="3" s="1"/>
  <c r="V495" i="3" s="1"/>
  <c r="V494" i="3" s="1"/>
  <c r="V493" i="3" s="1"/>
  <c r="V492" i="3" s="1"/>
  <c r="V491" i="3" s="1"/>
  <c r="V490" i="3" s="1"/>
  <c r="V489" i="3" s="1"/>
  <c r="V488" i="3" s="1"/>
  <c r="V487" i="3" s="1"/>
  <c r="V486" i="3" s="1"/>
  <c r="V485" i="3" s="1"/>
  <c r="V484" i="3" s="1"/>
  <c r="V483" i="3" s="1"/>
  <c r="V482" i="3" s="1"/>
  <c r="V481" i="3" s="1"/>
  <c r="V480" i="3" s="1"/>
  <c r="V479" i="3" s="1"/>
  <c r="V478" i="3" s="1"/>
  <c r="V477" i="3" s="1"/>
  <c r="V476" i="3" s="1"/>
  <c r="V475" i="3" s="1"/>
  <c r="V474" i="3" s="1"/>
  <c r="V473" i="3" s="1"/>
  <c r="V472" i="3" s="1"/>
  <c r="V471" i="3" s="1"/>
  <c r="V470" i="3" s="1"/>
  <c r="V469" i="3" s="1"/>
  <c r="V468" i="3" s="1"/>
  <c r="V467" i="3" s="1"/>
  <c r="V466" i="3" s="1"/>
  <c r="V465" i="3" s="1"/>
  <c r="V464" i="3" s="1"/>
  <c r="V463" i="3" s="1"/>
  <c r="V462" i="3" s="1"/>
  <c r="V461" i="3" s="1"/>
  <c r="V460" i="3" s="1"/>
  <c r="V459" i="3" s="1"/>
  <c r="V458" i="3" s="1"/>
  <c r="V457" i="3" s="1"/>
  <c r="V456" i="3" s="1"/>
  <c r="V455" i="3" s="1"/>
  <c r="V454" i="3" s="1"/>
  <c r="V453" i="3" s="1"/>
  <c r="V452" i="3" s="1"/>
  <c r="V451" i="3" s="1"/>
  <c r="V450" i="3" s="1"/>
  <c r="V449" i="3" s="1"/>
  <c r="V448" i="3" s="1"/>
  <c r="V447" i="3" s="1"/>
  <c r="V446" i="3" s="1"/>
  <c r="V445" i="3" s="1"/>
  <c r="V444" i="3" s="1"/>
  <c r="V443" i="3" s="1"/>
  <c r="V442" i="3" s="1"/>
  <c r="V441" i="3" s="1"/>
  <c r="V440" i="3" s="1"/>
  <c r="V439" i="3" s="1"/>
  <c r="V438" i="3" s="1"/>
  <c r="V437" i="3" s="1"/>
  <c r="V436" i="3" s="1"/>
  <c r="V435" i="3" s="1"/>
  <c r="V434" i="3" s="1"/>
  <c r="V433" i="3" s="1"/>
  <c r="V432" i="3" s="1"/>
  <c r="V431" i="3" s="1"/>
  <c r="V430" i="3" s="1"/>
  <c r="V429" i="3" s="1"/>
  <c r="V428" i="3" s="1"/>
  <c r="V427" i="3" s="1"/>
  <c r="V426" i="3" s="1"/>
  <c r="V425" i="3" s="1"/>
  <c r="V424" i="3" s="1"/>
  <c r="V423" i="3" s="1"/>
  <c r="V422" i="3" s="1"/>
  <c r="V421" i="3" s="1"/>
  <c r="V420" i="3" s="1"/>
  <c r="V419" i="3" s="1"/>
  <c r="V418" i="3" s="1"/>
  <c r="V417" i="3" s="1"/>
  <c r="V416" i="3" s="1"/>
  <c r="D35" i="1"/>
  <c r="G35" i="1" s="1"/>
  <c r="H35" i="1" s="1"/>
  <c r="K36" i="2"/>
  <c r="EI14" i="5"/>
  <c r="EI13" i="5" s="1"/>
  <c r="CE14" i="5"/>
  <c r="CE13" i="5" s="1"/>
  <c r="K31" i="2"/>
  <c r="K257" i="2"/>
  <c r="K40" i="2"/>
  <c r="EI26" i="5"/>
  <c r="EI25" i="5" s="1"/>
  <c r="K51" i="2"/>
  <c r="K278" i="2"/>
  <c r="EI23" i="5"/>
  <c r="DO22" i="5"/>
  <c r="DS22" i="5"/>
  <c r="DO25" i="5"/>
  <c r="DS25" i="5"/>
  <c r="DO13" i="5"/>
  <c r="DK25" i="5"/>
  <c r="DK22" i="5"/>
  <c r="DK13" i="5"/>
  <c r="DW19" i="5"/>
  <c r="CY19" i="5"/>
  <c r="DW25" i="5"/>
  <c r="CY25" i="5"/>
  <c r="DW22" i="5"/>
  <c r="CY22" i="5"/>
  <c r="CY13" i="5"/>
  <c r="CU13" i="5"/>
  <c r="O15" i="4"/>
  <c r="I15" i="4"/>
  <c r="H16" i="4"/>
  <c r="CM25" i="5"/>
  <c r="CQ25" i="5"/>
  <c r="CI13" i="5"/>
  <c r="CM13" i="5"/>
  <c r="CE25" i="5"/>
  <c r="CI25" i="5"/>
  <c r="J35" i="2"/>
  <c r="L35" i="2" s="1"/>
  <c r="M38" i="2"/>
  <c r="N38" i="2" s="1"/>
  <c r="D37" i="1"/>
  <c r="G37" i="1" s="1"/>
  <c r="H37" i="1" s="1"/>
  <c r="M37" i="2"/>
  <c r="N37" i="2" s="1"/>
  <c r="D36" i="1"/>
  <c r="G36" i="1" s="1"/>
  <c r="H36" i="1" s="1"/>
  <c r="M42" i="2"/>
  <c r="N42" i="2" s="1"/>
  <c r="D41" i="1"/>
  <c r="G41" i="1" s="1"/>
  <c r="H41" i="1" s="1"/>
  <c r="EE26" i="5" l="1"/>
  <c r="EE25" i="5" s="1"/>
  <c r="EE23" i="5"/>
  <c r="EE22" i="5" s="1"/>
  <c r="K42" i="2"/>
  <c r="K37" i="2"/>
  <c r="K38" i="2"/>
  <c r="DW13" i="5"/>
  <c r="O16" i="4"/>
  <c r="I16" i="4"/>
  <c r="H17" i="4"/>
  <c r="M35" i="2"/>
  <c r="N35" i="2" s="1"/>
  <c r="D34" i="1"/>
  <c r="G34" i="1" s="1"/>
  <c r="H34" i="1" s="1"/>
  <c r="H18" i="4" l="1"/>
  <c r="O17" i="4"/>
  <c r="I17" i="4"/>
  <c r="K35" i="2"/>
  <c r="H20" i="4" l="1"/>
  <c r="O18" i="4"/>
  <c r="I18" i="4"/>
  <c r="O20" i="4" l="1"/>
  <c r="I20" i="4"/>
  <c r="H21" i="4"/>
  <c r="CI28" i="5"/>
  <c r="CM28" i="5"/>
  <c r="O21" i="4" l="1"/>
  <c r="I21" i="4"/>
  <c r="H22" i="4"/>
  <c r="O22" i="4" l="1"/>
  <c r="I22" i="4"/>
  <c r="H23" i="4"/>
  <c r="R1621" i="3"/>
  <c r="O23" i="4" l="1"/>
  <c r="I23" i="4"/>
  <c r="H24" i="4"/>
  <c r="R1627" i="3"/>
  <c r="R1629" i="3" s="1"/>
  <c r="H25" i="4" l="1"/>
  <c r="O24" i="4"/>
  <c r="I24" i="4"/>
  <c r="J1628" i="3"/>
  <c r="J50" i="2"/>
  <c r="H26" i="4" l="1"/>
  <c r="I25" i="4"/>
  <c r="O25" i="4"/>
  <c r="D49" i="1"/>
  <c r="G49" i="1" s="1"/>
  <c r="H49" i="1" s="1"/>
  <c r="L50" i="2"/>
  <c r="M50" i="2" s="1"/>
  <c r="N50" i="2" s="1"/>
  <c r="I26" i="4" l="1"/>
  <c r="H27" i="4"/>
  <c r="O26" i="4"/>
  <c r="K50" i="2"/>
  <c r="O27" i="4" l="1"/>
  <c r="I27" i="4"/>
  <c r="CU16" i="5" l="1"/>
  <c r="CQ16" i="5"/>
  <c r="CM16" i="5"/>
  <c r="CI16" i="5"/>
  <c r="K29" i="4"/>
  <c r="N29" i="4"/>
  <c r="H29" i="4"/>
  <c r="I29" i="4" s="1"/>
  <c r="N33" i="4" l="1"/>
  <c r="K33" i="4"/>
  <c r="K32" i="4"/>
  <c r="N32" i="4"/>
  <c r="N31" i="4"/>
  <c r="CE16" i="5"/>
  <c r="O29" i="4"/>
  <c r="H30" i="4"/>
  <c r="K30" i="4"/>
  <c r="N30" i="4"/>
  <c r="I30" i="4" l="1"/>
  <c r="H31" i="4"/>
  <c r="O30" i="4"/>
  <c r="I31" i="4" l="1"/>
  <c r="H32" i="4"/>
  <c r="H33" i="4" s="1"/>
  <c r="O31" i="4"/>
  <c r="O33" i="4" l="1"/>
  <c r="I33" i="4"/>
  <c r="O32" i="4"/>
  <c r="I32" i="4"/>
  <c r="CA31" i="5"/>
  <c r="CM20" i="5" l="1"/>
  <c r="CM32" i="5" s="1"/>
  <c r="CM30" i="5" l="1"/>
  <c r="CQ20" i="5" l="1"/>
  <c r="R1412" i="3" l="1"/>
  <c r="W1412" i="3"/>
  <c r="R1432" i="3" l="1"/>
  <c r="W1432" i="3"/>
  <c r="K1760" i="3" l="1"/>
  <c r="J1433" i="3"/>
  <c r="R1434" i="3"/>
  <c r="W1433" i="3"/>
  <c r="N1760" i="3" l="1"/>
  <c r="R4213" i="3"/>
  <c r="J41" i="2"/>
  <c r="N1762" i="3"/>
  <c r="W4213" i="3"/>
  <c r="R4215" i="3" l="1"/>
  <c r="R1762" i="3"/>
  <c r="R1760" i="3"/>
  <c r="D40" i="1"/>
  <c r="G40" i="1" s="1"/>
  <c r="H40" i="1" s="1"/>
  <c r="H32" i="1" s="1"/>
  <c r="L41" i="2"/>
  <c r="M41" i="2" s="1"/>
  <c r="N41" i="2" s="1"/>
  <c r="J284" i="2"/>
  <c r="L284" i="2" s="1"/>
  <c r="M284" i="2" s="1"/>
  <c r="M317" i="2" s="1"/>
  <c r="J4214" i="3"/>
  <c r="W4215" i="3"/>
  <c r="W4214" i="3"/>
  <c r="W1762" i="3"/>
  <c r="W1760" i="3"/>
  <c r="V4215" i="3" l="1"/>
  <c r="V4214" i="3" s="1"/>
  <c r="V4213" i="3" s="1"/>
  <c r="V4212" i="3" s="1"/>
  <c r="V4211" i="3" s="1"/>
  <c r="V4210" i="3" s="1"/>
  <c r="V4209" i="3" s="1"/>
  <c r="V4208" i="3" s="1"/>
  <c r="V4207" i="3" s="1"/>
  <c r="V4206" i="3" s="1"/>
  <c r="V4205" i="3" s="1"/>
  <c r="V4204" i="3" s="1"/>
  <c r="V4203" i="3" s="1"/>
  <c r="V4202" i="3" s="1"/>
  <c r="V4201" i="3" s="1"/>
  <c r="V4200" i="3" s="1"/>
  <c r="V4199" i="3" s="1"/>
  <c r="V4198" i="3" s="1"/>
  <c r="V4197" i="3" s="1"/>
  <c r="V4196" i="3" s="1"/>
  <c r="V4195" i="3" s="1"/>
  <c r="V4194" i="3" s="1"/>
  <c r="V4193" i="3" s="1"/>
  <c r="V4192" i="3" s="1"/>
  <c r="V4191" i="3" s="1"/>
  <c r="V4190" i="3" s="1"/>
  <c r="V4189" i="3" s="1"/>
  <c r="V4188" i="3" s="1"/>
  <c r="V4187" i="3" s="1"/>
  <c r="V4186" i="3" s="1"/>
  <c r="V4185" i="3" s="1"/>
  <c r="V4184" i="3" s="1"/>
  <c r="V4183" i="3" s="1"/>
  <c r="V4182" i="3" s="1"/>
  <c r="V4181" i="3" s="1"/>
  <c r="V4180" i="3" s="1"/>
  <c r="V4179" i="3" s="1"/>
  <c r="V4178" i="3" s="1"/>
  <c r="V4177" i="3" s="1"/>
  <c r="V4176" i="3" s="1"/>
  <c r="V4175" i="3" s="1"/>
  <c r="V4174" i="3" s="1"/>
  <c r="V4173" i="3" s="1"/>
  <c r="V4172" i="3" s="1"/>
  <c r="V4171" i="3" s="1"/>
  <c r="V4170" i="3" s="1"/>
  <c r="V4169" i="3" s="1"/>
  <c r="V4168" i="3" s="1"/>
  <c r="V4167" i="3" s="1"/>
  <c r="V4166" i="3" s="1"/>
  <c r="V4165" i="3" s="1"/>
  <c r="V4164" i="3" s="1"/>
  <c r="V4163" i="3" s="1"/>
  <c r="V4162" i="3" s="1"/>
  <c r="V4161" i="3" s="1"/>
  <c r="V4160" i="3" s="1"/>
  <c r="V4159" i="3" s="1"/>
  <c r="R1780" i="3"/>
  <c r="R1782" i="3" s="1"/>
  <c r="N284" i="2"/>
  <c r="R2424" i="3"/>
  <c r="J116" i="2" s="1"/>
  <c r="J2423" i="3"/>
  <c r="K41" i="2"/>
  <c r="M33" i="2"/>
  <c r="D279" i="1"/>
  <c r="G279" i="1" s="1"/>
  <c r="H279" i="1" s="1"/>
  <c r="H275" i="1" s="1"/>
  <c r="H274" i="1" s="1"/>
  <c r="M279" i="2"/>
  <c r="M280" i="2"/>
  <c r="K284" i="2"/>
  <c r="K317" i="2" s="1"/>
  <c r="W2423" i="3"/>
  <c r="W1780" i="3"/>
  <c r="V4158" i="3" l="1"/>
  <c r="V4157" i="3" s="1"/>
  <c r="V4156" i="3" s="1"/>
  <c r="V4155" i="3" s="1"/>
  <c r="V4154" i="3" s="1"/>
  <c r="V4153" i="3" s="1"/>
  <c r="V4152" i="3" s="1"/>
  <c r="V4151" i="3" s="1"/>
  <c r="V4150" i="3" s="1"/>
  <c r="V4149" i="3" s="1"/>
  <c r="V4148" i="3" s="1"/>
  <c r="V4147" i="3" s="1"/>
  <c r="V4146" i="3" s="1"/>
  <c r="V4145" i="3" s="1"/>
  <c r="V4144" i="3" s="1"/>
  <c r="V4143" i="3" s="1"/>
  <c r="V4142" i="3" s="1"/>
  <c r="V4141" i="3" s="1"/>
  <c r="V4140" i="3" s="1"/>
  <c r="V4139" i="3" s="1"/>
  <c r="V4138" i="3" s="1"/>
  <c r="V4137" i="3" s="1"/>
  <c r="V4136" i="3" s="1"/>
  <c r="V4135" i="3" s="1"/>
  <c r="V4134" i="3" s="1"/>
  <c r="V4133" i="3" s="1"/>
  <c r="V4132" i="3" s="1"/>
  <c r="V4131" i="3" s="1"/>
  <c r="V4130" i="3" s="1"/>
  <c r="V4129" i="3" s="1"/>
  <c r="V4128" i="3" s="1"/>
  <c r="V4127" i="3" s="1"/>
  <c r="V4126" i="3" s="1"/>
  <c r="V4125" i="3" s="1"/>
  <c r="V4124" i="3" s="1"/>
  <c r="V4123" i="3" s="1"/>
  <c r="V4122" i="3" s="1"/>
  <c r="V4121" i="3" s="1"/>
  <c r="V4120" i="3" s="1"/>
  <c r="V4119" i="3" s="1"/>
  <c r="V4118" i="3" s="1"/>
  <c r="V4117" i="3" s="1"/>
  <c r="V4116" i="3" s="1"/>
  <c r="V4115" i="3" s="1"/>
  <c r="V4114" i="3" s="1"/>
  <c r="V4113" i="3" s="1"/>
  <c r="V4112" i="3" s="1"/>
  <c r="V4111" i="3" s="1"/>
  <c r="V4110" i="3" s="1"/>
  <c r="V4109" i="3" s="1"/>
  <c r="V4108" i="3" s="1"/>
  <c r="V4107" i="3" s="1"/>
  <c r="V4106" i="3" s="1"/>
  <c r="V4105" i="3" s="1"/>
  <c r="V4104" i="3" s="1"/>
  <c r="V4103" i="3" s="1"/>
  <c r="V4102" i="3" s="1"/>
  <c r="V4101" i="3" s="1"/>
  <c r="V4100" i="3" s="1"/>
  <c r="V4099" i="3" s="1"/>
  <c r="V4098" i="3" s="1"/>
  <c r="V4097" i="3" s="1"/>
  <c r="V4096" i="3" s="1"/>
  <c r="V4095" i="3" s="1"/>
  <c r="V4094" i="3" s="1"/>
  <c r="V4093" i="3" s="1"/>
  <c r="V4092" i="3" s="1"/>
  <c r="V4091" i="3" s="1"/>
  <c r="V4090" i="3" s="1"/>
  <c r="V4089" i="3" s="1"/>
  <c r="V4088" i="3" s="1"/>
  <c r="V4087" i="3" s="1"/>
  <c r="V4086" i="3" s="1"/>
  <c r="V4085" i="3" s="1"/>
  <c r="V4084" i="3" s="1"/>
  <c r="K280" i="2"/>
  <c r="J54" i="2"/>
  <c r="L54" i="2" s="1"/>
  <c r="M54" i="2" s="1"/>
  <c r="J1781" i="3"/>
  <c r="EI29" i="5"/>
  <c r="EI28" i="5" s="1"/>
  <c r="DS28" i="5"/>
  <c r="DO28" i="5"/>
  <c r="DK28" i="5"/>
  <c r="L116" i="2"/>
  <c r="M116" i="2" s="1"/>
  <c r="N116" i="2" s="1"/>
  <c r="D114" i="1"/>
  <c r="G114" i="1" s="1"/>
  <c r="H114" i="1" s="1"/>
  <c r="CY28" i="5"/>
  <c r="K33" i="2"/>
  <c r="DW28" i="5"/>
  <c r="K279" i="2"/>
  <c r="W1781" i="3"/>
  <c r="EE29" i="5" l="1"/>
  <c r="EE28" i="5" s="1"/>
  <c r="K54" i="2"/>
  <c r="K48" i="2" s="1"/>
  <c r="K108" i="2" s="1"/>
  <c r="N54" i="2"/>
  <c r="D53" i="1"/>
  <c r="G53" i="1" s="1"/>
  <c r="H53" i="1" s="1"/>
  <c r="H47" i="1" s="1"/>
  <c r="H31" i="1" s="1"/>
  <c r="M48" i="2"/>
  <c r="DS16" i="5"/>
  <c r="DO16" i="5"/>
  <c r="DK16" i="5"/>
  <c r="DK32" i="5"/>
  <c r="DK30" i="5" s="1"/>
  <c r="K116" i="2"/>
  <c r="DW16" i="5"/>
  <c r="V4083" i="3" l="1"/>
  <c r="M108" i="2"/>
  <c r="EI17" i="5" s="1"/>
  <c r="EI16" i="5" s="1"/>
  <c r="EE17" i="5"/>
  <c r="EE16" i="5" s="1"/>
  <c r="EI22" i="5"/>
  <c r="DW32" i="5"/>
  <c r="DW30" i="5" s="1"/>
  <c r="CY16" i="5"/>
  <c r="CY32" i="5"/>
  <c r="CY30" i="5" s="1"/>
  <c r="CQ28" i="5"/>
  <c r="CQ32" i="5"/>
  <c r="DS19" i="5" l="1"/>
  <c r="DS32" i="5"/>
  <c r="DS30" i="5" s="1"/>
  <c r="DO19" i="5"/>
  <c r="DO32" i="5"/>
  <c r="DO30" i="5" s="1"/>
  <c r="K38" i="4"/>
  <c r="N38" i="4"/>
  <c r="K37" i="4"/>
  <c r="N37" i="4"/>
  <c r="CQ30" i="5"/>
  <c r="N35" i="4" l="1"/>
  <c r="K35" i="4"/>
  <c r="N34" i="4"/>
  <c r="K34" i="4"/>
  <c r="H34" i="4"/>
  <c r="N43" i="4" l="1"/>
  <c r="K43" i="4"/>
  <c r="N42" i="4"/>
  <c r="K42" i="4"/>
  <c r="N41" i="4"/>
  <c r="K41" i="4"/>
  <c r="N40" i="4"/>
  <c r="K40" i="4"/>
  <c r="H35" i="4"/>
  <c r="O34" i="4"/>
  <c r="I34" i="4"/>
  <c r="N39" i="4" l="1"/>
  <c r="K39" i="4"/>
  <c r="CU33" i="5"/>
  <c r="H37" i="4"/>
  <c r="CY33" i="5" s="1"/>
  <c r="O35" i="4"/>
  <c r="I35" i="4"/>
  <c r="CU32" i="5"/>
  <c r="CU19" i="5"/>
  <c r="I37" i="4" l="1"/>
  <c r="H38" i="4"/>
  <c r="O37" i="4"/>
  <c r="CU30" i="5"/>
  <c r="DC33" i="5" l="1"/>
  <c r="H39" i="4"/>
  <c r="O38" i="4"/>
  <c r="I38" i="4"/>
  <c r="H40" i="4" l="1"/>
  <c r="O39" i="4"/>
  <c r="H41" i="4"/>
  <c r="O40" i="4"/>
  <c r="DK33" i="5"/>
  <c r="I40" i="4"/>
  <c r="I39" i="4"/>
  <c r="DG33" i="5"/>
  <c r="H42" i="4" l="1"/>
  <c r="DO33" i="5"/>
  <c r="I42" i="4"/>
  <c r="H43" i="4"/>
  <c r="O41" i="4"/>
  <c r="I41" i="4"/>
  <c r="O43" i="4" l="1"/>
  <c r="DS33" i="5"/>
  <c r="O42" i="4"/>
  <c r="I43" i="4"/>
  <c r="DW33" i="5"/>
  <c r="EA33" i="5" l="1"/>
  <c r="V415" i="3" l="1"/>
  <c r="V414" i="3" l="1"/>
  <c r="V413" i="3" s="1"/>
  <c r="V412" i="3" s="1"/>
  <c r="V411" i="3" s="1"/>
  <c r="V410" i="3" s="1"/>
  <c r="V409" i="3" s="1"/>
  <c r="V408" i="3" s="1"/>
  <c r="V407" i="3" s="1"/>
  <c r="V406" i="3" s="1"/>
  <c r="V405" i="3" s="1"/>
  <c r="V404" i="3" s="1"/>
  <c r="V403" i="3" s="1"/>
  <c r="V402" i="3" s="1"/>
  <c r="V401" i="3" s="1"/>
  <c r="V400" i="3" s="1"/>
  <c r="V399" i="3" s="1"/>
  <c r="V398" i="3" s="1"/>
  <c r="V397" i="3" s="1"/>
  <c r="V396" i="3" s="1"/>
  <c r="V395" i="3" s="1"/>
  <c r="V394" i="3" s="1"/>
  <c r="V393" i="3" s="1"/>
  <c r="V392" i="3" s="1"/>
  <c r="V391" i="3" s="1"/>
  <c r="V390" i="3" s="1"/>
  <c r="V4216" i="3" l="1"/>
  <c r="R2384" i="3" l="1"/>
  <c r="J2385" i="3" l="1"/>
  <c r="R2386" i="3"/>
  <c r="J113" i="2" l="1"/>
  <c r="L113" i="2" l="1"/>
  <c r="M113" i="2" s="1"/>
  <c r="N113" i="2" s="1"/>
  <c r="D111" i="1"/>
  <c r="G111" i="1" s="1"/>
  <c r="H111" i="1" s="1"/>
  <c r="H108" i="1" s="1"/>
  <c r="H107" i="1" s="1"/>
  <c r="M159" i="2" l="1"/>
  <c r="K113" i="2"/>
  <c r="M110" i="2"/>
  <c r="M318" i="2" l="1"/>
  <c r="EI20" i="5"/>
  <c r="EI19" i="5" s="1"/>
  <c r="K159" i="2"/>
  <c r="K318" i="2" s="1"/>
  <c r="K110" i="2"/>
  <c r="EI32" i="5" l="1"/>
  <c r="EI30" i="5" s="1"/>
  <c r="EI31" i="5" s="1"/>
  <c r="N318" i="2"/>
  <c r="CE20" i="5"/>
  <c r="EE20" i="5"/>
  <c r="CI20" i="5"/>
  <c r="EI33" i="5" l="1"/>
  <c r="EE19" i="5"/>
  <c r="EE32" i="5"/>
  <c r="EE30" i="5" s="1"/>
  <c r="M1" i="2"/>
  <c r="CI19" i="5"/>
  <c r="CI32" i="5"/>
  <c r="CE32" i="5"/>
  <c r="CE19" i="5"/>
  <c r="CI30" i="5" l="1"/>
  <c r="D319" i="1"/>
  <c r="G45" i="4"/>
  <c r="CE33" i="5"/>
  <c r="CI33" i="5" s="1"/>
  <c r="CM33" i="5" s="1"/>
  <c r="CQ33" i="5" s="1"/>
  <c r="CE30" i="5"/>
  <c r="CE31" i="5" s="1"/>
  <c r="G52" i="4" l="1"/>
  <c r="O52" i="4" s="1"/>
  <c r="K45" i="4"/>
  <c r="K52" i="4" s="1"/>
  <c r="N45" i="4"/>
  <c r="H45" i="4"/>
  <c r="CI31" i="5"/>
  <c r="CM31" i="5" s="1"/>
  <c r="CQ31" i="5" s="1"/>
  <c r="CU31" i="5" s="1"/>
  <c r="CY31" i="5" s="1"/>
  <c r="DC31" i="5" s="1"/>
  <c r="DG31" i="5" s="1"/>
  <c r="DK31" i="5" s="1"/>
  <c r="DO31" i="5" s="1"/>
  <c r="DS31" i="5" s="1"/>
  <c r="DW31" i="5" s="1"/>
  <c r="EA31" i="5" s="1"/>
  <c r="EE31" i="5" s="1"/>
  <c r="O45" i="4" l="1"/>
  <c r="EE33" i="5"/>
  <c r="I45" i="4"/>
  <c r="I52" i="4" s="1"/>
  <c r="V4665" i="3" l="1"/>
  <c r="V4664" i="3" s="1"/>
  <c r="V4663" i="3" s="1"/>
  <c r="V4662" i="3" s="1"/>
  <c r="V4661" i="3" s="1"/>
  <c r="V4660" i="3" s="1"/>
  <c r="V4659" i="3" s="1"/>
  <c r="V4658" i="3" s="1"/>
  <c r="V4657" i="3" s="1"/>
  <c r="V4656" i="3" s="1"/>
  <c r="V4655" i="3" s="1"/>
  <c r="V4654" i="3" s="1"/>
  <c r="V4693" i="3" s="1"/>
  <c r="V3959" i="3" s="1"/>
  <c r="V3958" i="3" s="1"/>
  <c r="V1228" i="3" l="1"/>
  <c r="V1227" i="3" s="1"/>
  <c r="V1226" i="3" s="1"/>
  <c r="V1225" i="3" s="1"/>
  <c r="V1224" i="3" s="1"/>
  <c r="V1223" i="3" s="1"/>
  <c r="V1222" i="3" s="1"/>
  <c r="V1221" i="3" s="1"/>
  <c r="V1220" i="3" s="1"/>
  <c r="V1219" i="3" s="1"/>
  <c r="V1218" i="3" s="1"/>
  <c r="V1217" i="3" s="1"/>
  <c r="V1216" i="3" s="1"/>
  <c r="V1215" i="3" s="1"/>
  <c r="V1214" i="3" s="1"/>
  <c r="V1213" i="3" s="1"/>
  <c r="V1212" i="3" s="1"/>
  <c r="V1211" i="3" s="1"/>
  <c r="V1210" i="3" s="1"/>
  <c r="V1209" i="3" s="1"/>
  <c r="V1208" i="3" s="1"/>
  <c r="V1207" i="3" s="1"/>
  <c r="V1206" i="3" s="1"/>
  <c r="V1205" i="3" s="1"/>
  <c r="V1204" i="3" s="1"/>
  <c r="V1203" i="3" s="1"/>
  <c r="V1202" i="3" s="1"/>
  <c r="V1201" i="3" s="1"/>
  <c r="V1200" i="3" s="1"/>
  <c r="V1199" i="3" s="1"/>
  <c r="V1198" i="3" s="1"/>
  <c r="V1197" i="3" s="1"/>
  <c r="V1196" i="3" s="1"/>
  <c r="V1195" i="3" s="1"/>
  <c r="V1194" i="3" s="1"/>
  <c r="W3656" i="3"/>
  <c r="W3776" i="3"/>
  <c r="W2923" i="3"/>
  <c r="W387" i="3"/>
  <c r="W2893" i="3"/>
  <c r="W2642" i="3"/>
  <c r="W3840" i="3"/>
  <c r="W1891" i="3"/>
  <c r="W3340" i="3"/>
  <c r="W2693" i="3"/>
  <c r="W2203" i="3"/>
  <c r="W47" i="3"/>
  <c r="W3477" i="3"/>
  <c r="W1181" i="3"/>
  <c r="W1387" i="3"/>
  <c r="W3427" i="3"/>
  <c r="W3040" i="3"/>
  <c r="W3072" i="3"/>
  <c r="W3214" i="3"/>
  <c r="W3114" i="3"/>
  <c r="W2429" i="3"/>
  <c r="W2533" i="3"/>
  <c r="W3118" i="3"/>
  <c r="W3415" i="3"/>
  <c r="W1851" i="3"/>
  <c r="W3433" i="3"/>
  <c r="W2064" i="3"/>
  <c r="W2367" i="3"/>
  <c r="W3218" i="3"/>
  <c r="W3303" i="3"/>
  <c r="W3259" i="3"/>
  <c r="W2558" i="3"/>
  <c r="W1754" i="3"/>
  <c r="W3601" i="3"/>
  <c r="W1878" i="3"/>
  <c r="W2753" i="3"/>
  <c r="W3534" i="3"/>
  <c r="W3869" i="3"/>
  <c r="W2484" i="3"/>
  <c r="W3621" i="3"/>
  <c r="W3291" i="3"/>
  <c r="W287" i="3"/>
  <c r="W2638" i="3"/>
  <c r="W3686" i="3"/>
  <c r="W1945" i="3"/>
  <c r="W1560" i="3"/>
  <c r="W3467" i="3"/>
  <c r="W1279" i="3"/>
  <c r="W3834" i="3"/>
  <c r="W2709" i="3"/>
  <c r="W3503" i="3"/>
  <c r="W3278" i="3"/>
  <c r="W2943" i="3"/>
  <c r="W3157" i="3"/>
  <c r="W2219" i="3"/>
  <c r="W3150" i="3"/>
  <c r="W373" i="3"/>
  <c r="W2405" i="3"/>
  <c r="W2782" i="3"/>
  <c r="W3691" i="3"/>
  <c r="W3021" i="3"/>
  <c r="W882" i="3"/>
  <c r="W2129" i="3"/>
  <c r="W3758" i="3"/>
  <c r="W2853" i="3"/>
  <c r="W2399" i="3"/>
  <c r="W2810" i="3"/>
  <c r="W2119" i="3"/>
  <c r="W878" i="3"/>
  <c r="W3417" i="3"/>
  <c r="W88" i="3"/>
  <c r="W2610" i="3"/>
  <c r="W2843" i="3"/>
  <c r="W2751" i="3"/>
  <c r="W3404" i="3"/>
  <c r="W2769" i="3"/>
  <c r="W2001" i="3"/>
  <c r="W1890" i="3"/>
  <c r="W3653" i="3"/>
  <c r="W3475" i="3"/>
  <c r="W1985" i="3"/>
  <c r="W2055" i="3"/>
  <c r="W3913" i="3"/>
  <c r="W299" i="3"/>
  <c r="W2606" i="3"/>
  <c r="W2710" i="3"/>
  <c r="W2517" i="3"/>
  <c r="W2513" i="3"/>
  <c r="W3100" i="3"/>
  <c r="W2777" i="3"/>
  <c r="W2696" i="3"/>
  <c r="W2741" i="3"/>
  <c r="W3179" i="3"/>
  <c r="W3664" i="3"/>
  <c r="W3046" i="3"/>
  <c r="W30" i="3"/>
  <c r="W587" i="3"/>
  <c r="W3180" i="3"/>
  <c r="W17" i="3"/>
  <c r="W1548" i="3"/>
  <c r="W1819" i="3"/>
  <c r="W2214" i="3"/>
  <c r="W2529" i="3"/>
  <c r="W2100" i="3"/>
  <c r="W3630" i="3"/>
  <c r="W93" i="3"/>
  <c r="W3763" i="3"/>
  <c r="W2597" i="3"/>
  <c r="W2443" i="3"/>
  <c r="W3490" i="3"/>
  <c r="W3652" i="3"/>
  <c r="W2134" i="3"/>
  <c r="W79" i="3"/>
  <c r="W2559" i="3"/>
  <c r="W3570" i="3"/>
  <c r="W2095" i="3"/>
  <c r="W2115" i="3"/>
  <c r="W3552" i="3"/>
  <c r="W2160" i="3"/>
  <c r="W3203" i="3"/>
  <c r="W2660" i="3"/>
  <c r="W3269" i="3"/>
  <c r="W3411" i="3"/>
  <c r="W1177" i="3"/>
  <c r="W2571" i="3"/>
  <c r="W2069" i="3"/>
  <c r="W2371" i="3"/>
  <c r="W2686" i="3"/>
  <c r="W3659" i="3"/>
  <c r="W3316" i="3"/>
  <c r="W2984" i="3"/>
  <c r="W3229" i="3"/>
  <c r="W877" i="3"/>
  <c r="W2258" i="3"/>
  <c r="W2637" i="3"/>
  <c r="W2816" i="3"/>
  <c r="W1824" i="3"/>
  <c r="W3196" i="3"/>
  <c r="W3405" i="3"/>
  <c r="W1871" i="3"/>
  <c r="W2907" i="3"/>
  <c r="W3199" i="3"/>
  <c r="W2386" i="3"/>
  <c r="W42" i="3"/>
  <c r="W849" i="3"/>
  <c r="W3163" i="3"/>
  <c r="W2194" i="3"/>
  <c r="W2388" i="3"/>
  <c r="W3472" i="3"/>
  <c r="W3219" i="3"/>
  <c r="W1820" i="3"/>
  <c r="W1283" i="3"/>
  <c r="W1988" i="3"/>
  <c r="W2486" i="3"/>
  <c r="W3505" i="3"/>
  <c r="W2648" i="3"/>
  <c r="W2677" i="3"/>
  <c r="W2528" i="3"/>
  <c r="W1897" i="3"/>
  <c r="W1288" i="3"/>
  <c r="W2221" i="3"/>
  <c r="W2515" i="3"/>
  <c r="W3146" i="3"/>
  <c r="W2045" i="3"/>
  <c r="W2968" i="3"/>
  <c r="W2543" i="3"/>
  <c r="W2647" i="3"/>
  <c r="W2720" i="3"/>
  <c r="W3020" i="3"/>
  <c r="W2189" i="3"/>
  <c r="W1943" i="3"/>
  <c r="W3288" i="3"/>
  <c r="W2103" i="3"/>
  <c r="W2041" i="3"/>
  <c r="W3048" i="3"/>
  <c r="W1941" i="3"/>
  <c r="W2395" i="3"/>
  <c r="W3606" i="3"/>
  <c r="W1435" i="3"/>
  <c r="W15" i="3"/>
  <c r="W851" i="3"/>
  <c r="W349" i="3"/>
  <c r="W1855" i="3"/>
  <c r="W2292" i="3"/>
  <c r="W1826" i="3"/>
  <c r="W2874" i="3"/>
  <c r="W934" i="3"/>
  <c r="W3282" i="3"/>
  <c r="W3651" i="3"/>
  <c r="W51" i="3"/>
  <c r="W2913" i="3"/>
  <c r="W2658" i="3"/>
  <c r="W2876" i="3"/>
  <c r="W2497" i="3"/>
  <c r="W2669" i="3"/>
  <c r="W55" i="3"/>
  <c r="W2662" i="3"/>
  <c r="W2745" i="3"/>
  <c r="W2764" i="3"/>
  <c r="W2425" i="3"/>
  <c r="W3064" i="3"/>
  <c r="W2811" i="3"/>
  <c r="W293" i="3"/>
  <c r="W3091" i="3"/>
  <c r="W3066" i="3"/>
  <c r="W1755" i="3"/>
  <c r="W3456" i="3"/>
  <c r="W3599" i="3"/>
  <c r="W1629" i="3"/>
  <c r="W926" i="3"/>
  <c r="W2598" i="3"/>
  <c r="W3836" i="3"/>
  <c r="W3085" i="3"/>
  <c r="W2706" i="3"/>
  <c r="W3247" i="3"/>
  <c r="W2701" i="3"/>
  <c r="W3532" i="3"/>
  <c r="W3084" i="3"/>
  <c r="W2447" i="3"/>
  <c r="W3272" i="3"/>
  <c r="W2540" i="3"/>
  <c r="W1833" i="3"/>
  <c r="W2190" i="3"/>
  <c r="W2735" i="3"/>
  <c r="W1535" i="3"/>
  <c r="W2396" i="3"/>
  <c r="W2004" i="3"/>
  <c r="W2496" i="3"/>
  <c r="W3277" i="3"/>
  <c r="W3058" i="3"/>
  <c r="W2139" i="3"/>
  <c r="W2738" i="3"/>
  <c r="W2454" i="3"/>
  <c r="W1929" i="3"/>
  <c r="W3145" i="3"/>
  <c r="W2257" i="3"/>
  <c r="W2135" i="3"/>
  <c r="W3169" i="3"/>
  <c r="W3374" i="3"/>
  <c r="W3672" i="3"/>
  <c r="W2313" i="3"/>
  <c r="W3418" i="3"/>
  <c r="W2886" i="3"/>
  <c r="W3579" i="3"/>
  <c r="W3390" i="3"/>
  <c r="W2822" i="3"/>
  <c r="W2489" i="3"/>
  <c r="W2869" i="3"/>
  <c r="W2162" i="3"/>
  <c r="W3110" i="3"/>
  <c r="W1950" i="3"/>
  <c r="W1286" i="3"/>
  <c r="W2919" i="3"/>
  <c r="W1931" i="3"/>
  <c r="W96" i="3"/>
  <c r="W2372" i="3"/>
  <c r="W3535" i="3"/>
  <c r="W3894" i="3"/>
  <c r="W1889" i="3"/>
  <c r="W3024" i="3"/>
  <c r="W2721" i="3"/>
  <c r="W2888" i="3"/>
  <c r="W2445" i="3"/>
  <c r="W3925" i="3"/>
  <c r="W74" i="3"/>
  <c r="W3533" i="3"/>
  <c r="W2825" i="3"/>
  <c r="W3540" i="3"/>
  <c r="W2325" i="3"/>
  <c r="W109" i="3"/>
  <c r="W1991" i="3"/>
  <c r="W2887" i="3"/>
  <c r="W3493" i="3"/>
  <c r="W1618" i="3"/>
  <c r="W2166" i="3"/>
  <c r="W1917" i="3"/>
  <c r="W384" i="3"/>
  <c r="W2481" i="3"/>
  <c r="W3473" i="3"/>
  <c r="W1927" i="3"/>
  <c r="W2186" i="3"/>
  <c r="W2703" i="3"/>
  <c r="W3092" i="3"/>
  <c r="W2375" i="3"/>
  <c r="W1537" i="3"/>
  <c r="W3444" i="3"/>
  <c r="W3170" i="3"/>
  <c r="W2982" i="3"/>
  <c r="W2440" i="3"/>
  <c r="W3509" i="3"/>
  <c r="W2582" i="3"/>
  <c r="W1999" i="3"/>
  <c r="W3424" i="3"/>
  <c r="W308" i="3"/>
  <c r="W2839" i="3"/>
  <c r="W3049" i="3"/>
  <c r="W3365" i="3"/>
  <c r="W310" i="3"/>
  <c r="W2522" i="3"/>
  <c r="W3234" i="3"/>
  <c r="W3338" i="3"/>
  <c r="W2844" i="3"/>
  <c r="W3480" i="3"/>
  <c r="W3491" i="3"/>
  <c r="W3629" i="3"/>
  <c r="W2924" i="3"/>
  <c r="W2211" i="3"/>
  <c r="W3671" i="3"/>
  <c r="W3097" i="3"/>
  <c r="W3243" i="3"/>
  <c r="W1194" i="3"/>
  <c r="W2079" i="3"/>
  <c r="W3875" i="3"/>
  <c r="W3644" i="3"/>
  <c r="W2898" i="3"/>
  <c r="W1831" i="3"/>
  <c r="W2016" i="3"/>
  <c r="W2442" i="3"/>
  <c r="W2519" i="3"/>
  <c r="W2116" i="3"/>
  <c r="W2842" i="3"/>
  <c r="W3158" i="3"/>
  <c r="W2906" i="3"/>
  <c r="W3176" i="3"/>
  <c r="W3766" i="3"/>
  <c r="W2574" i="3"/>
  <c r="W1471" i="3"/>
  <c r="W3658" i="3"/>
  <c r="W3922" i="3"/>
  <c r="W1877" i="3"/>
  <c r="W3209" i="3"/>
  <c r="W2583" i="3"/>
  <c r="W3310" i="3"/>
  <c r="W2102" i="3"/>
  <c r="W2359" i="3"/>
  <c r="W859" i="3"/>
  <c r="W2762" i="3"/>
  <c r="W2780" i="3"/>
  <c r="W2389" i="3"/>
  <c r="W2552" i="3"/>
  <c r="W2526" i="3"/>
  <c r="W2739" i="3"/>
  <c r="W1388" i="3"/>
  <c r="W1294" i="3"/>
  <c r="W3436" i="3"/>
  <c r="W3079" i="3"/>
  <c r="W2205" i="3"/>
  <c r="W2121" i="3"/>
  <c r="W3213" i="3"/>
  <c r="W2611" i="3"/>
  <c r="W3839" i="3"/>
  <c r="W2713" i="3"/>
  <c r="W2140" i="3"/>
  <c r="W2576" i="3"/>
  <c r="W1859" i="3"/>
  <c r="W2949" i="3"/>
  <c r="W3610" i="3"/>
  <c r="W2409" i="3"/>
  <c r="W3135" i="3"/>
  <c r="W2858" i="3"/>
  <c r="W3274" i="3"/>
  <c r="W107" i="3"/>
  <c r="W3384" i="3"/>
  <c r="W3013" i="3"/>
  <c r="W3098" i="3"/>
  <c r="W2591" i="3"/>
  <c r="W3438" i="3"/>
  <c r="W3557" i="3"/>
  <c r="W2174" i="3"/>
  <c r="W3101" i="3"/>
  <c r="W3263" i="3"/>
  <c r="W1986" i="3"/>
  <c r="W2137" i="3"/>
  <c r="W2784" i="3"/>
  <c r="W2947" i="3"/>
  <c r="W3567" i="3"/>
  <c r="W3262" i="3"/>
  <c r="W2207" i="3"/>
  <c r="W45" i="3"/>
  <c r="W2539" i="3"/>
  <c r="W1928" i="3"/>
  <c r="W3140" i="3"/>
  <c r="W3307" i="3"/>
  <c r="W2783" i="3"/>
  <c r="W3373" i="3"/>
  <c r="W3617" i="3"/>
  <c r="W3636" i="3"/>
  <c r="W1182" i="3"/>
  <c r="W3465" i="3"/>
  <c r="W1895" i="3"/>
  <c r="W2192" i="3"/>
  <c r="W2916" i="3"/>
  <c r="W2790" i="3"/>
  <c r="W2532" i="3"/>
  <c r="W2209" i="3"/>
  <c r="W2977" i="3"/>
  <c r="W1557" i="3"/>
  <c r="W2601" i="3"/>
  <c r="W3371" i="3"/>
  <c r="W2863" i="3"/>
  <c r="W3625" i="3"/>
  <c r="W2107" i="3"/>
  <c r="W856" i="3"/>
  <c r="W3604" i="3"/>
  <c r="W2885" i="3"/>
  <c r="W880" i="3"/>
  <c r="W1190" i="3"/>
  <c r="W1757" i="3"/>
  <c r="W2740" i="3"/>
  <c r="W3339" i="3"/>
  <c r="W2038" i="3"/>
  <c r="W2400" i="3"/>
  <c r="W2930" i="3"/>
  <c r="W2585" i="3"/>
  <c r="W2316" i="3"/>
  <c r="W3648" i="3"/>
  <c r="W2755" i="3"/>
  <c r="W3099" i="3"/>
  <c r="W1349" i="3"/>
  <c r="W3266" i="3"/>
  <c r="W3105" i="3"/>
  <c r="W2472" i="3"/>
  <c r="W3675" i="3"/>
  <c r="W2289" i="3"/>
  <c r="W3804" i="3"/>
  <c r="W1189" i="3"/>
  <c r="W2477" i="3"/>
  <c r="W2556" i="3"/>
  <c r="W3437" i="3"/>
  <c r="W2747" i="3"/>
  <c r="W2921" i="3"/>
  <c r="W57" i="3"/>
  <c r="W2820" i="3"/>
  <c r="W2912" i="3"/>
  <c r="W2051" i="3"/>
  <c r="W3779" i="3"/>
  <c r="W3407" i="3"/>
  <c r="W1281" i="3"/>
  <c r="W2493" i="3"/>
  <c r="W2153" i="3"/>
  <c r="W3043" i="3"/>
  <c r="W3838" i="3"/>
  <c r="W1758" i="3"/>
  <c r="W3077" i="3"/>
  <c r="W1528" i="3"/>
  <c r="W2798" i="3"/>
  <c r="W3149" i="3"/>
  <c r="W2695" i="3"/>
  <c r="W2804" i="3"/>
  <c r="W2679" i="3"/>
  <c r="W2795" i="3"/>
  <c r="W3446" i="3"/>
  <c r="W1823" i="3"/>
  <c r="W3790" i="3"/>
  <c r="W2932" i="3"/>
  <c r="W3874" i="3"/>
  <c r="W3877" i="3"/>
  <c r="W3489" i="3"/>
  <c r="W3486" i="3"/>
  <c r="W3543" i="3"/>
  <c r="W3434" i="3"/>
  <c r="W2802" i="3"/>
  <c r="W2181" i="3"/>
  <c r="W3136" i="3"/>
  <c r="W3845" i="3"/>
  <c r="W309" i="3"/>
  <c r="W2985" i="3"/>
  <c r="W3453" i="3"/>
  <c r="W3510" i="3"/>
  <c r="W3001" i="3"/>
  <c r="W2750" i="3"/>
  <c r="W1818" i="3"/>
  <c r="W3370" i="3"/>
  <c r="W3062" i="3"/>
  <c r="W2354" i="3"/>
  <c r="W2057" i="3"/>
  <c r="W3762" i="3"/>
  <c r="W3311" i="3"/>
  <c r="W2963" i="3"/>
  <c r="W3318" i="3"/>
  <c r="W3680" i="3"/>
  <c r="W3258" i="3"/>
  <c r="W3584" i="3"/>
  <c r="W2666" i="3"/>
  <c r="W2052" i="3"/>
  <c r="W3551" i="3"/>
  <c r="W3173" i="3"/>
  <c r="W3261" i="3"/>
  <c r="W2569" i="3"/>
  <c r="W2059" i="3"/>
  <c r="W3159" i="3"/>
  <c r="W3607" i="3"/>
  <c r="W3265" i="3"/>
  <c r="W2634" i="3"/>
  <c r="W2075" i="3"/>
  <c r="W1511" i="3"/>
  <c r="W2092" i="3"/>
  <c r="W3251" i="3"/>
  <c r="W3142" i="3"/>
  <c r="W927" i="3"/>
  <c r="W157" i="3"/>
  <c r="W3094" i="3"/>
  <c r="W2362" i="3"/>
  <c r="W3289" i="3"/>
  <c r="W3130" i="3"/>
  <c r="W3594" i="3"/>
  <c r="W364" i="3"/>
  <c r="W2480" i="3"/>
  <c r="W3398" i="3"/>
  <c r="W2426" i="3"/>
  <c r="W875" i="3"/>
  <c r="W2594" i="3"/>
  <c r="W3474" i="3"/>
  <c r="W2476" i="3"/>
  <c r="W72" i="3"/>
  <c r="W3032" i="3"/>
  <c r="W2360" i="3"/>
  <c r="W155" i="3"/>
  <c r="W2198" i="3"/>
  <c r="W2210" i="3"/>
  <c r="W3586" i="3"/>
  <c r="W3329" i="3"/>
  <c r="W50" i="3"/>
  <c r="W2765" i="3"/>
  <c r="W3560" i="3"/>
  <c r="W2473" i="3"/>
  <c r="W3045" i="3"/>
  <c r="W3800" i="3"/>
  <c r="W3525" i="3"/>
  <c r="W3786" i="3"/>
  <c r="W2917" i="3"/>
  <c r="W2714" i="3"/>
  <c r="W2161" i="3"/>
  <c r="W3596" i="3"/>
  <c r="W108" i="3"/>
  <c r="W1996" i="3"/>
  <c r="W2191" i="3"/>
  <c r="W2120" i="3"/>
  <c r="W35" i="3"/>
  <c r="W3363" i="3"/>
  <c r="W1347" i="3"/>
  <c r="W2171" i="3"/>
  <c r="W3375" i="3"/>
  <c r="W289" i="3"/>
  <c r="W3611" i="3"/>
  <c r="W3780" i="3"/>
  <c r="W2950" i="3"/>
  <c r="W1865" i="3"/>
  <c r="W2778" i="3"/>
  <c r="W2781" i="3"/>
  <c r="W3309" i="3"/>
  <c r="W2746" i="3"/>
  <c r="W3315" i="3"/>
  <c r="W3177" i="3"/>
  <c r="W3302" i="3"/>
  <c r="W1879" i="3"/>
  <c r="W2054" i="3"/>
  <c r="W3129" i="3"/>
  <c r="W3065" i="3"/>
  <c r="W3568" i="3"/>
  <c r="W1542" i="3"/>
  <c r="W2573" i="3"/>
  <c r="W2307" i="3"/>
  <c r="W3107" i="3"/>
  <c r="W3352" i="3"/>
  <c r="W2500" i="3"/>
  <c r="W3428" i="3"/>
  <c r="W3677" i="3"/>
  <c r="W3392" i="3"/>
  <c r="W2806" i="3"/>
  <c r="W2809" i="3"/>
  <c r="W2169" i="3"/>
  <c r="W3633" i="3"/>
  <c r="W876" i="3"/>
  <c r="W1183" i="3"/>
  <c r="W2965" i="3"/>
  <c r="W1846" i="3"/>
  <c r="W1523" i="3"/>
  <c r="W2083" i="3"/>
  <c r="W2933" i="3"/>
  <c r="W1287" i="3"/>
  <c r="W1893" i="3"/>
  <c r="W2435" i="3"/>
  <c r="W2308" i="3"/>
  <c r="W1894" i="3"/>
  <c r="W3323" i="3"/>
  <c r="W2988" i="3"/>
  <c r="W2563" i="3"/>
  <c r="W3117" i="3"/>
  <c r="W3767" i="3"/>
  <c r="W3029" i="3"/>
  <c r="W2525" i="3"/>
  <c r="W2857" i="3"/>
  <c r="W1184" i="3"/>
  <c r="W2467" i="3"/>
  <c r="W2918" i="3"/>
  <c r="W3760" i="3"/>
  <c r="W2903" i="3"/>
  <c r="W2841" i="3"/>
  <c r="W2905" i="3"/>
  <c r="W3904" i="3"/>
  <c r="W2436" i="3"/>
  <c r="W1715" i="3"/>
  <c r="W3496" i="3"/>
  <c r="W3634" i="3"/>
  <c r="W1892" i="3"/>
  <c r="W3223" i="3"/>
  <c r="W1525" i="3"/>
  <c r="W2690" i="3"/>
  <c r="W3151" i="3"/>
  <c r="W3523" i="3"/>
  <c r="W2623" i="3"/>
  <c r="W98" i="3"/>
  <c r="W1973" i="3"/>
  <c r="W3067" i="3"/>
  <c r="W3003" i="3"/>
  <c r="W1856" i="3"/>
  <c r="W3591" i="3"/>
  <c r="W2094" i="3"/>
  <c r="W1510" i="3"/>
  <c r="W2688" i="3"/>
  <c r="W2364" i="3"/>
  <c r="W1752" i="3"/>
  <c r="W2867" i="3"/>
  <c r="W2505" i="3"/>
  <c r="W2437" i="3"/>
  <c r="W1621" i="3"/>
  <c r="W305" i="3"/>
  <c r="W89" i="3"/>
  <c r="W75" i="3"/>
  <c r="W2823" i="3"/>
  <c r="W2836" i="3"/>
  <c r="W2503" i="3"/>
  <c r="W1967" i="3"/>
  <c r="W3056" i="3"/>
  <c r="W1869" i="3"/>
  <c r="W1872" i="3"/>
  <c r="W3260" i="3"/>
  <c r="W3294" i="3"/>
  <c r="W3796" i="3"/>
  <c r="W2165" i="3"/>
  <c r="W2565" i="3"/>
  <c r="W2819" i="3"/>
  <c r="W2851" i="3"/>
  <c r="W3914" i="3"/>
  <c r="W2865" i="3"/>
  <c r="W3627" i="3"/>
  <c r="W2986" i="3"/>
  <c r="W2197" i="3"/>
  <c r="W3124" i="3"/>
  <c r="W2355" i="3"/>
  <c r="W3765" i="3"/>
  <c r="W3620" i="3"/>
  <c r="W3870" i="3"/>
  <c r="W3893" i="3"/>
  <c r="W38" i="3"/>
  <c r="W2560" i="3"/>
  <c r="W2837" i="3"/>
  <c r="W2760" i="3"/>
  <c r="W2298" i="3"/>
  <c r="W2431" i="3"/>
  <c r="W49" i="3"/>
  <c r="W2547" i="3"/>
  <c r="W2512" i="3"/>
  <c r="W2527" i="3"/>
  <c r="W3402" i="3"/>
  <c r="W3036" i="3"/>
  <c r="W1971" i="3"/>
  <c r="W2847" i="3"/>
  <c r="W2093" i="3"/>
  <c r="W2074" i="3"/>
  <c r="W2715" i="3"/>
  <c r="W937" i="3"/>
  <c r="W1628" i="3"/>
  <c r="W3245" i="3"/>
  <c r="W3643" i="3"/>
  <c r="W2466" i="3"/>
  <c r="W2630" i="3"/>
  <c r="W2636" i="3"/>
  <c r="W1942" i="3"/>
  <c r="W3361" i="3"/>
  <c r="W3556" i="3"/>
  <c r="W3892" i="3"/>
  <c r="W2838" i="3"/>
  <c r="W2673" i="3"/>
  <c r="W2156" i="3"/>
  <c r="W2173" i="3"/>
  <c r="W3895" i="3"/>
  <c r="W115" i="3"/>
  <c r="W3622" i="3"/>
  <c r="W2868" i="3"/>
  <c r="W220" i="3"/>
  <c r="W2645" i="3"/>
  <c r="W1521" i="3"/>
  <c r="W2516" i="3"/>
  <c r="W221" i="3"/>
  <c r="W2470" i="3"/>
  <c r="W1191" i="3"/>
  <c r="W1821" i="3"/>
  <c r="W2138" i="3"/>
  <c r="W303" i="3"/>
  <c r="W2369" i="3"/>
  <c r="W1921" i="3"/>
  <c r="W3216" i="3"/>
  <c r="W3342" i="3"/>
  <c r="W2624" i="3"/>
  <c r="W2187" i="3"/>
  <c r="W2183" i="3"/>
  <c r="W1556" i="3"/>
  <c r="W1881" i="3"/>
  <c r="W2687" i="3"/>
  <c r="W2433" i="3"/>
  <c r="W3592" i="3"/>
  <c r="W2818" i="3"/>
  <c r="W2087" i="3"/>
  <c r="W27" i="3"/>
  <c r="W1923" i="3"/>
  <c r="W3326" i="3"/>
  <c r="W3116" i="3"/>
  <c r="W3239" i="3"/>
  <c r="W2596" i="3"/>
  <c r="W3397" i="3"/>
  <c r="W2056" i="3"/>
  <c r="W3527" i="3"/>
  <c r="W3598" i="3"/>
  <c r="W2697" i="3"/>
  <c r="W3899" i="3"/>
  <c r="W2324" i="3"/>
  <c r="W3197" i="3"/>
  <c r="W3225" i="3"/>
  <c r="W2659" i="3"/>
  <c r="W3504" i="3"/>
  <c r="W307" i="3"/>
  <c r="W1520" i="3"/>
  <c r="W2786" i="3"/>
  <c r="W2127" i="3"/>
  <c r="W3304" i="3"/>
  <c r="W298" i="3"/>
  <c r="W2170" i="3"/>
  <c r="W1783" i="3"/>
  <c r="W1866" i="3"/>
  <c r="W2920" i="3"/>
  <c r="W3305" i="3"/>
  <c r="W2099" i="3"/>
  <c r="W3156" i="3"/>
  <c r="W3600" i="3"/>
  <c r="W881" i="3"/>
  <c r="W3448" i="3"/>
  <c r="W2007" i="3"/>
  <c r="W3521" i="3"/>
  <c r="W3078" i="3"/>
  <c r="W2736" i="3"/>
  <c r="W2821" i="3"/>
  <c r="W3516" i="3"/>
  <c r="W2295" i="3"/>
  <c r="W2534" i="3"/>
  <c r="W3949" i="3"/>
  <c r="W2848" i="3"/>
  <c r="W2937" i="3"/>
  <c r="W2000" i="3"/>
  <c r="W1782" i="3"/>
  <c r="W1838" i="3"/>
  <c r="W3635" i="3"/>
  <c r="W2752" i="3"/>
  <c r="W2702" i="3"/>
  <c r="W2711" i="3"/>
  <c r="W3511" i="3"/>
  <c r="W1188" i="3"/>
  <c r="W3583" i="3"/>
  <c r="W3041" i="3"/>
  <c r="W2644" i="3"/>
  <c r="W3123" i="3"/>
  <c r="W1930" i="3"/>
  <c r="W2136" i="3"/>
  <c r="W222" i="3"/>
  <c r="W2987" i="3"/>
  <c r="W3108" i="3"/>
  <c r="W297" i="3"/>
  <c r="W1716" i="3"/>
  <c r="W80" i="3"/>
  <c r="W1882" i="3"/>
  <c r="W3376" i="3"/>
  <c r="W2154" i="3"/>
  <c r="W3276" i="3"/>
  <c r="W2789" i="3"/>
  <c r="W2296" i="3"/>
  <c r="W2878" i="3"/>
  <c r="W2633" i="3"/>
  <c r="W2501" i="3"/>
  <c r="W3900" i="3"/>
  <c r="W2070" i="3"/>
  <c r="W2212" i="3"/>
  <c r="W3482" i="3"/>
  <c r="W3522" i="3"/>
  <c r="W2827" i="3"/>
  <c r="W2222" i="3"/>
  <c r="W3168" i="3"/>
  <c r="W3595" i="3"/>
  <c r="W3471" i="3"/>
  <c r="W3542" i="3"/>
  <c r="W3792" i="3"/>
  <c r="W2700" i="3"/>
  <c r="W2492" i="3"/>
  <c r="W2176" i="3"/>
  <c r="W3280" i="3"/>
  <c r="W2223" i="3"/>
  <c r="W3685" i="3"/>
  <c r="W2398" i="3"/>
  <c r="W350" i="3"/>
  <c r="W2184" i="3"/>
  <c r="W2118" i="3"/>
  <c r="W2479" i="3"/>
  <c r="W3907" i="3"/>
  <c r="W2691" i="3"/>
  <c r="W2832" i="3"/>
  <c r="W2743" i="3"/>
  <c r="W2791" i="3"/>
  <c r="W2557" i="3"/>
  <c r="W32" i="3"/>
  <c r="W2491" i="3"/>
  <c r="W1899" i="3"/>
  <c r="W3573" i="3"/>
  <c r="W3060" i="3"/>
  <c r="W114" i="3"/>
  <c r="W3571" i="3"/>
  <c r="W3253" i="3"/>
  <c r="W41" i="3"/>
  <c r="W2654" i="3"/>
  <c r="W852" i="3"/>
  <c r="W3152" i="3"/>
  <c r="W3920" i="3"/>
  <c r="W3536" i="3"/>
  <c r="W3455" i="3"/>
  <c r="W2830" i="3"/>
  <c r="W2635" i="3"/>
  <c r="W2487" i="3"/>
  <c r="W3038" i="3"/>
  <c r="W2039" i="3"/>
  <c r="W2511" i="3"/>
  <c r="W2826" i="3"/>
  <c r="W2733" i="3"/>
  <c r="W3055" i="3"/>
  <c r="W3228" i="3"/>
  <c r="W2670" i="3"/>
  <c r="W43" i="3"/>
  <c r="W1909" i="3"/>
  <c r="W2226" i="3"/>
  <c r="W2564" i="3"/>
  <c r="W1178" i="3"/>
  <c r="W2813" i="3"/>
  <c r="W224" i="3"/>
  <c r="W3646" i="3"/>
  <c r="W2955" i="3"/>
  <c r="W3833" i="3"/>
  <c r="W2217" i="3"/>
  <c r="W2366" i="3"/>
  <c r="W2572" i="3"/>
  <c r="W2452" i="3"/>
  <c r="W40" i="3"/>
  <c r="W1192" i="3"/>
  <c r="W1907" i="3"/>
  <c r="W3950" i="3"/>
  <c r="W90" i="3"/>
  <c r="W2076" i="3"/>
  <c r="W2178" i="3"/>
  <c r="W3549" i="3"/>
  <c r="W1285" i="3"/>
  <c r="W1906" i="3"/>
  <c r="W2859" i="3"/>
  <c r="W2063" i="3"/>
  <c r="W2326" i="3"/>
  <c r="W2664" i="3"/>
  <c r="W1545" i="3"/>
  <c r="W3254" i="3"/>
  <c r="W352" i="3"/>
  <c r="W2978" i="3"/>
  <c r="W2204" i="3"/>
  <c r="W3906" i="3"/>
  <c r="W1472" i="3"/>
  <c r="W385" i="3"/>
  <c r="W3154" i="3"/>
  <c r="W291" i="3"/>
  <c r="W3529" i="3"/>
  <c r="W3515" i="3"/>
  <c r="W3609" i="3"/>
  <c r="W2130" i="3"/>
  <c r="W853" i="3"/>
  <c r="W3240" i="3"/>
  <c r="W1555" i="3"/>
  <c r="W19" i="3"/>
  <c r="W1886" i="3"/>
  <c r="W110" i="3"/>
  <c r="W3393" i="3"/>
  <c r="W2593" i="3"/>
  <c r="W3637" i="3"/>
  <c r="W3181" i="3"/>
  <c r="W1940" i="3"/>
  <c r="W2683" i="3"/>
  <c r="W3366" i="3"/>
  <c r="W2066" i="3"/>
  <c r="W3412" i="3"/>
  <c r="W3782" i="3"/>
  <c r="W2581" i="3"/>
  <c r="W2196" i="3"/>
  <c r="W2475" i="3"/>
  <c r="W3757" i="3"/>
  <c r="W3037" i="3"/>
  <c r="W3924" i="3"/>
  <c r="W1185" i="3"/>
  <c r="W3174" i="3"/>
  <c r="W2631" i="3"/>
  <c r="W3898" i="3"/>
  <c r="W3386" i="3"/>
  <c r="W1514" i="3"/>
  <c r="W2587" i="3"/>
  <c r="W2294" i="3"/>
  <c r="W2915" i="3"/>
  <c r="W2379" i="3"/>
  <c r="W2553" i="3"/>
  <c r="W3226" i="3"/>
  <c r="W2125" i="3"/>
  <c r="W2723" i="3"/>
  <c r="W2494" i="3"/>
  <c r="W3171" i="3"/>
  <c r="W3764" i="3"/>
  <c r="W3270" i="3"/>
  <c r="W3794" i="3"/>
  <c r="W3638" i="3"/>
  <c r="W2518" i="3"/>
  <c r="W1539" i="3"/>
  <c r="W2958" i="3"/>
  <c r="W3061" i="3"/>
  <c r="W2952" i="3"/>
  <c r="W3059" i="3"/>
  <c r="W288" i="3"/>
  <c r="W854" i="3"/>
  <c r="W3193" i="3"/>
  <c r="W2969" i="3"/>
  <c r="W1516" i="3"/>
  <c r="W2803" i="3"/>
  <c r="W376" i="3"/>
  <c r="W2775" i="3"/>
  <c r="W2490" i="3"/>
  <c r="W3593" i="3"/>
  <c r="W3220" i="3"/>
  <c r="W2459" i="3"/>
  <c r="W2879" i="3"/>
  <c r="W3799" i="3"/>
  <c r="W106" i="3"/>
  <c r="W2845" i="3"/>
  <c r="W33" i="3"/>
  <c r="W2081" i="3"/>
  <c r="W1853" i="3"/>
  <c r="W1926" i="3"/>
  <c r="W2091" i="3"/>
  <c r="W1998" i="3"/>
  <c r="W2629" i="3"/>
  <c r="W2908" i="3"/>
  <c r="W3872" i="3"/>
  <c r="W1933" i="3"/>
  <c r="W2785" i="3"/>
  <c r="W2126" i="3"/>
  <c r="W3187" i="3"/>
  <c r="W2561" i="3"/>
  <c r="W2019" i="3"/>
  <c r="W2441" i="3"/>
  <c r="W3019" i="3"/>
  <c r="W3205" i="3"/>
  <c r="W2945" i="3"/>
  <c r="W3545" i="3"/>
  <c r="W2502" i="3"/>
  <c r="W3683" i="3"/>
  <c r="W3531" i="3"/>
  <c r="W104" i="3"/>
  <c r="W1934" i="3"/>
  <c r="W3517" i="3"/>
  <c r="W1916" i="3"/>
  <c r="W3394" i="3"/>
  <c r="W3956" i="3"/>
  <c r="W2732" i="3"/>
  <c r="W2005" i="3"/>
  <c r="W218" i="3"/>
  <c r="W23" i="3"/>
  <c r="W1538" i="3"/>
  <c r="W3791" i="3"/>
  <c r="W2824" i="3"/>
  <c r="W3241" i="3"/>
  <c r="W3221" i="3"/>
  <c r="W3237" i="3"/>
  <c r="W3553" i="3"/>
  <c r="W3689" i="3"/>
  <c r="W1282" i="3"/>
  <c r="W935" i="3"/>
  <c r="W3802" i="3"/>
  <c r="W2959" i="3"/>
  <c r="W2010" i="3"/>
  <c r="W2006" i="3"/>
  <c r="W3639" i="3"/>
  <c r="W3235" i="3"/>
  <c r="W3285" i="3"/>
  <c r="W2850" i="3"/>
  <c r="W2990" i="3"/>
  <c r="W2101" i="3"/>
  <c r="W3031" i="3"/>
  <c r="W3355" i="3"/>
  <c r="W1862" i="3"/>
  <c r="W860" i="3"/>
  <c r="W3513" i="3"/>
  <c r="W3954" i="3"/>
  <c r="W304" i="3"/>
  <c r="W2050" i="3"/>
  <c r="W2047" i="3"/>
  <c r="W2256" i="3"/>
  <c r="W2376" i="3"/>
  <c r="W2478" i="3"/>
  <c r="W360" i="3"/>
  <c r="W2374" i="3"/>
  <c r="W2216" i="3"/>
  <c r="W3104" i="3"/>
  <c r="W2640" i="3"/>
  <c r="W34" i="3"/>
  <c r="W2727" i="3"/>
  <c r="W2432" i="3"/>
  <c r="W2541" i="3"/>
  <c r="W1832" i="3"/>
  <c r="W1948" i="3"/>
  <c r="W1839" i="3"/>
  <c r="W3042" i="3"/>
  <c r="W3109" i="3"/>
  <c r="W2530" i="3"/>
  <c r="W3501" i="3"/>
  <c r="W3454" i="3"/>
  <c r="W1434" i="3"/>
  <c r="W2834" i="3"/>
  <c r="W3867" i="3"/>
  <c r="W2600" i="3"/>
  <c r="W2570" i="3"/>
  <c r="W2111" i="3"/>
  <c r="W1817" i="3"/>
  <c r="W2471" i="3"/>
  <c r="W372" i="3"/>
  <c r="W3901" i="3"/>
  <c r="W2742" i="3"/>
  <c r="W1550" i="3"/>
  <c r="W3687" i="3"/>
  <c r="W2734" i="3"/>
  <c r="W2586" i="3"/>
  <c r="W3387" i="3"/>
  <c r="W3211" i="3"/>
  <c r="W1714" i="3"/>
  <c r="W3256" i="3"/>
  <c r="W3121" i="3"/>
  <c r="W3127" i="3"/>
  <c r="W2833" i="3"/>
  <c r="W2840" i="3"/>
  <c r="W3524" i="3"/>
  <c r="W2315" i="3"/>
  <c r="W2218" i="3"/>
  <c r="W2012" i="3"/>
  <c r="W2698" i="3"/>
  <c r="W3915" i="3"/>
  <c r="W2551" i="3"/>
  <c r="W2726" i="3"/>
  <c r="W3470" i="3"/>
  <c r="W228" i="3"/>
  <c r="W3232" i="3"/>
  <c r="W2509" i="3"/>
  <c r="W3354" i="3"/>
  <c r="W2976" i="3"/>
  <c r="W2483" i="3"/>
  <c r="W1619" i="3"/>
  <c r="W2605" i="3"/>
  <c r="W111" i="3"/>
  <c r="W3905" i="3"/>
  <c r="W2897" i="3"/>
  <c r="W3210" i="3"/>
  <c r="W3011" i="3"/>
  <c r="W2705" i="3"/>
  <c r="W2151" i="3"/>
  <c r="W2793" i="3"/>
  <c r="W37" i="3"/>
  <c r="W3841" i="3"/>
  <c r="W3341" i="3"/>
  <c r="W3865" i="3"/>
  <c r="W1827" i="3"/>
  <c r="W1861" i="3"/>
  <c r="W2650" i="3"/>
  <c r="W3332" i="3"/>
  <c r="W158" i="3"/>
  <c r="W2114" i="3"/>
  <c r="W2883" i="3"/>
  <c r="W1626" i="3"/>
  <c r="W3004" i="3"/>
  <c r="W3507" i="3"/>
  <c r="W87" i="3"/>
  <c r="W2618" i="3"/>
  <c r="W2024" i="3"/>
  <c r="W1903" i="3"/>
  <c r="W382" i="3"/>
  <c r="W2065" i="3"/>
  <c r="W3772" i="3"/>
  <c r="W3564" i="3"/>
  <c r="W3292" i="3"/>
  <c r="W1825" i="3"/>
  <c r="W1918" i="3"/>
  <c r="W1843" i="3"/>
  <c r="W2797" i="3"/>
  <c r="W2112" i="3"/>
  <c r="W2801" i="3"/>
  <c r="W3669" i="3"/>
  <c r="W3296" i="3"/>
  <c r="W2661" i="3"/>
  <c r="W2953" i="3"/>
  <c r="W3137" i="3"/>
  <c r="W3771" i="3"/>
  <c r="W3175" i="3"/>
  <c r="W3076" i="3"/>
  <c r="W2474" i="3"/>
  <c r="W1974" i="3"/>
  <c r="W2311" i="3"/>
  <c r="W2663" i="3"/>
  <c r="W3445" i="3"/>
  <c r="W3112" i="3"/>
  <c r="W3244" i="3"/>
  <c r="W1541" i="3"/>
  <c r="W2970" i="3"/>
  <c r="W3670" i="3"/>
  <c r="W1858" i="3"/>
  <c r="W2353" i="3"/>
  <c r="W3202" i="3"/>
  <c r="W3086" i="3"/>
  <c r="W3864" i="3"/>
  <c r="W3544" i="3"/>
  <c r="W2073" i="3"/>
  <c r="W2495" i="3"/>
  <c r="W3367" i="3"/>
  <c r="W2626" i="3"/>
  <c r="W3784" i="3"/>
  <c r="W2861" i="3"/>
  <c r="W1473" i="3"/>
  <c r="W1816" i="3"/>
  <c r="W2592" i="3"/>
  <c r="W1938" i="3"/>
  <c r="W1822" i="3"/>
  <c r="W1952" i="3"/>
  <c r="W95" i="3"/>
  <c r="W3690" i="3"/>
  <c r="W1526" i="3"/>
  <c r="W2939" i="3"/>
  <c r="W2674" i="3"/>
  <c r="W3439" i="3"/>
  <c r="W2407" i="3"/>
  <c r="W3673" i="3"/>
  <c r="W3506" i="3"/>
  <c r="W39" i="3"/>
  <c r="W2685" i="3"/>
  <c r="W2668" i="3"/>
  <c r="W2625" i="3"/>
  <c r="W1544" i="3"/>
  <c r="W1289" i="3"/>
  <c r="W933" i="3"/>
  <c r="W3160" i="3"/>
  <c r="W2678" i="3"/>
  <c r="W2852" i="3"/>
  <c r="W2590" i="3"/>
  <c r="W2067" i="3"/>
  <c r="W3413" i="3"/>
  <c r="W1849" i="3"/>
  <c r="W1688" i="3"/>
  <c r="W3324" i="3"/>
  <c r="W2796" i="3"/>
  <c r="W1951" i="3"/>
  <c r="W2536" i="3"/>
  <c r="W2025" i="3"/>
  <c r="W1844" i="3"/>
  <c r="W3421" i="3"/>
  <c r="W2704" i="3"/>
  <c r="W3138" i="3"/>
  <c r="W2788" i="3"/>
  <c r="W3952" i="3"/>
  <c r="W3777" i="3"/>
  <c r="W26" i="3"/>
  <c r="W2675" i="3"/>
  <c r="W2935" i="3"/>
  <c r="W2854" i="3"/>
  <c r="W354" i="3"/>
  <c r="W2351" i="3"/>
  <c r="W3088" i="3"/>
  <c r="W1751" i="3"/>
  <c r="W1904" i="3"/>
  <c r="W2944" i="3"/>
  <c r="W1291" i="3"/>
  <c r="W2546" i="3"/>
  <c r="W3783" i="3"/>
  <c r="W1900" i="3"/>
  <c r="W36" i="3"/>
  <c r="W2363" i="3"/>
  <c r="W3555" i="3"/>
  <c r="W2113" i="3"/>
  <c r="W2014" i="3"/>
  <c r="W3426" i="3"/>
  <c r="W3308" i="3"/>
  <c r="W1187" i="3"/>
  <c r="W3440" i="3"/>
  <c r="W3369" i="3"/>
  <c r="W2402" i="3"/>
  <c r="W3679" i="3"/>
  <c r="W3481" i="3"/>
  <c r="W1193" i="3"/>
  <c r="W1972" i="3"/>
  <c r="W858" i="3"/>
  <c r="W3775" i="3"/>
  <c r="W2105" i="3"/>
  <c r="W2652" i="3"/>
  <c r="W3054" i="3"/>
  <c r="W3561" i="3"/>
  <c r="W2729" i="3"/>
  <c r="W24" i="3"/>
  <c r="W874" i="3"/>
  <c r="W2655" i="3"/>
  <c r="W3052" i="3"/>
  <c r="W2378" i="3"/>
  <c r="W2548" i="3"/>
  <c r="W3661" i="3"/>
  <c r="W2835" i="3"/>
  <c r="W3530" i="3"/>
  <c r="W3951" i="3"/>
  <c r="W2080" i="3"/>
  <c r="W3359" i="3"/>
  <c r="W3589" i="3"/>
  <c r="W2759" i="3"/>
  <c r="W1534" i="3"/>
  <c r="W3198" i="3"/>
  <c r="W3462" i="3"/>
  <c r="W54" i="3"/>
  <c r="W369" i="3"/>
  <c r="W2766" i="3"/>
  <c r="W2017" i="3"/>
  <c r="W2157" i="3"/>
  <c r="W3476" i="3"/>
  <c r="W2514" i="3"/>
  <c r="W3681" i="3"/>
  <c r="W3565" i="3"/>
  <c r="W2449" i="3"/>
  <c r="W3948" i="3"/>
  <c r="W2584" i="3"/>
  <c r="W3089" i="3"/>
  <c r="W3512" i="3"/>
  <c r="W2972" i="3"/>
  <c r="W2909" i="3"/>
  <c r="W2042" i="3"/>
  <c r="W3321" i="3"/>
  <c r="W2152" i="3"/>
  <c r="W2300" i="3"/>
  <c r="W1515" i="3"/>
  <c r="W2085" i="3"/>
  <c r="W3559" i="3"/>
  <c r="W2979" i="3"/>
  <c r="W1876" i="3"/>
  <c r="W3585" i="3"/>
  <c r="W22" i="3"/>
  <c r="W2946" i="3"/>
  <c r="W2856" i="3"/>
  <c r="W3408" i="3"/>
  <c r="W3090" i="3"/>
  <c r="W1987" i="3"/>
  <c r="W3313" i="3"/>
  <c r="W2199" i="3"/>
  <c r="W3343" i="3"/>
  <c r="W3188" i="3"/>
  <c r="W2427" i="3"/>
  <c r="W3487" i="3"/>
  <c r="W2991" i="3"/>
  <c r="W2926" i="3"/>
  <c r="W1919" i="3"/>
  <c r="W558" i="3"/>
  <c r="W1888" i="3"/>
  <c r="W29" i="3"/>
  <c r="W28" i="3"/>
  <c r="W3624" i="3"/>
  <c r="W3908" i="3"/>
  <c r="W932" i="3"/>
  <c r="W381" i="3"/>
  <c r="W3111" i="3"/>
  <c r="W2377" i="3"/>
  <c r="W3576" i="3"/>
  <c r="W2428" i="3"/>
  <c r="W2356" i="3"/>
  <c r="W857" i="3"/>
  <c r="W1753" i="3"/>
  <c r="W3469" i="3"/>
  <c r="W363" i="3"/>
  <c r="W3479" i="3"/>
  <c r="W3457" i="3"/>
  <c r="W2682" i="3"/>
  <c r="W3912" i="3"/>
  <c r="W3184" i="3"/>
  <c r="W1532" i="3"/>
  <c r="W1180" i="3"/>
  <c r="W2401" i="3"/>
  <c r="W3666" i="3"/>
  <c r="W3385" i="3"/>
  <c r="W3678" i="3"/>
  <c r="W2384" i="3"/>
  <c r="W3582" i="3"/>
  <c r="W3215" i="3"/>
  <c r="W3577" i="3"/>
  <c r="W113" i="3"/>
  <c r="W2179" i="3"/>
  <c r="W930" i="3"/>
  <c r="W2301" i="3"/>
  <c r="W3953" i="3"/>
  <c r="W3449" i="3"/>
  <c r="W3186" i="3"/>
  <c r="W3372" i="3"/>
  <c r="W58" i="3"/>
  <c r="W2123" i="3"/>
  <c r="W388" i="3"/>
  <c r="W1970" i="3"/>
  <c r="W2712" i="3"/>
  <c r="W2707" i="3"/>
  <c r="W3654" i="3"/>
  <c r="W2604" i="3"/>
  <c r="W2448" i="3"/>
  <c r="W2758" i="3"/>
  <c r="W2607" i="3"/>
  <c r="W3458" i="3"/>
  <c r="W2656" i="3"/>
  <c r="W2314" i="3"/>
  <c r="W3803" i="3"/>
  <c r="W295" i="3"/>
  <c r="W362" i="3"/>
  <c r="W1887" i="3"/>
  <c r="W2831" i="3"/>
  <c r="W3789" i="3"/>
  <c r="W3257" i="3"/>
  <c r="W2394" i="3"/>
  <c r="W379" i="3"/>
  <c r="W3581" i="3"/>
  <c r="W351" i="3"/>
  <c r="W3073" i="3"/>
  <c r="W2922" i="3"/>
  <c r="W3550" i="3"/>
  <c r="W2895" i="3"/>
  <c r="W2580" i="3"/>
  <c r="W3580" i="3"/>
  <c r="W2227" i="3"/>
  <c r="W2046" i="3"/>
  <c r="W2646" i="3"/>
  <c r="W2393" i="3"/>
  <c r="W2458" i="3"/>
  <c r="W1870" i="3"/>
  <c r="W947" i="3"/>
  <c r="W3492" i="3"/>
  <c r="W3847" i="3"/>
  <c r="W2962" i="3"/>
  <c r="W2020" i="3"/>
  <c r="W2860" i="3"/>
  <c r="W3301" i="3"/>
  <c r="W2455" i="3"/>
  <c r="W3396" i="3"/>
  <c r="W2430" i="3"/>
  <c r="W2175" i="3"/>
  <c r="W3275" i="3"/>
  <c r="W1828" i="3"/>
  <c r="W2589" i="3"/>
  <c r="W1902" i="3"/>
  <c r="W1913" i="3"/>
  <c r="W2617" i="3"/>
  <c r="W3128" i="3"/>
  <c r="W3911" i="3"/>
  <c r="W1519" i="3"/>
  <c r="W3120" i="3"/>
  <c r="W3044" i="3"/>
  <c r="W1908" i="3"/>
  <c r="W3641" i="3"/>
  <c r="W3640" i="3"/>
  <c r="W1864" i="3"/>
  <c r="W103" i="3"/>
  <c r="W1901" i="3"/>
  <c r="W3602" i="3"/>
  <c r="W2106" i="3"/>
  <c r="W2579" i="3"/>
  <c r="W883" i="3"/>
  <c r="W3010" i="3"/>
  <c r="W1860" i="3"/>
  <c r="W2966" i="3"/>
  <c r="W3759" i="3"/>
  <c r="W368" i="3"/>
  <c r="W3317" i="3"/>
  <c r="W3074" i="3"/>
  <c r="W2078" i="3"/>
  <c r="W294" i="3"/>
  <c r="W3113" i="3"/>
  <c r="W3846" i="3"/>
  <c r="W3613" i="3"/>
  <c r="W2200" i="3"/>
  <c r="W1857" i="3"/>
  <c r="W2193" i="3"/>
  <c r="W353" i="3"/>
  <c r="W3668" i="3"/>
  <c r="W3194" i="3"/>
  <c r="W83" i="3"/>
  <c r="W2722" i="3"/>
  <c r="W2817" i="3"/>
  <c r="W2048" i="3"/>
  <c r="W2464" i="3"/>
  <c r="W2951" i="3"/>
  <c r="W375" i="3"/>
  <c r="W2608" i="3"/>
  <c r="W3297" i="3"/>
  <c r="W2410" i="3"/>
  <c r="W2077" i="3"/>
  <c r="W2164" i="3"/>
  <c r="W3518" i="3"/>
  <c r="W3917" i="3"/>
  <c r="W2390" i="3"/>
  <c r="W2043" i="3"/>
  <c r="W3876" i="3"/>
  <c r="W2774" i="3"/>
  <c r="W2297" i="3"/>
  <c r="W2862" i="3"/>
  <c r="W2980" i="3"/>
  <c r="W2291" i="3"/>
  <c r="W2124" i="3"/>
  <c r="W3548" i="3"/>
  <c r="W3514" i="3"/>
  <c r="W3143" i="3"/>
  <c r="W2708" i="3"/>
  <c r="W3432" i="3"/>
  <c r="W2523" i="3"/>
  <c r="W82" i="3"/>
  <c r="W557" i="3"/>
  <c r="W390" i="3"/>
  <c r="W2731" i="3"/>
  <c r="W97" i="3"/>
  <c r="W2310" i="3"/>
  <c r="W2973" i="3"/>
  <c r="W2929" i="3"/>
  <c r="W3713" i="3"/>
  <c r="W227" i="3"/>
  <c r="W1854" i="3"/>
  <c r="W292" i="3"/>
  <c r="W2072" i="3"/>
  <c r="W3005" i="3"/>
  <c r="W2293" i="3"/>
  <c r="W76" i="3"/>
  <c r="W223" i="3"/>
  <c r="W1522" i="3"/>
  <c r="W3590" i="3"/>
  <c r="W3295" i="3"/>
  <c r="W2061" i="3"/>
  <c r="W366" i="3"/>
  <c r="W3115" i="3"/>
  <c r="W1625" i="3"/>
  <c r="W374" i="3"/>
  <c r="W2812" i="3"/>
  <c r="W3461" i="3"/>
  <c r="W2397" i="3"/>
  <c r="W2411" i="3"/>
  <c r="W2612" i="3"/>
  <c r="W2040" i="3"/>
  <c r="W1620" i="3"/>
  <c r="W2521" i="3"/>
  <c r="W2550" i="3"/>
  <c r="W2772" i="3"/>
  <c r="W3632" i="3"/>
  <c r="W2485" i="3"/>
  <c r="W2902" i="3"/>
  <c r="W3608" i="3"/>
  <c r="W3147" i="3"/>
  <c r="W3563" i="3"/>
  <c r="W3183" i="3"/>
  <c r="W2904" i="3"/>
  <c r="W3519" i="3"/>
  <c r="W2361" i="3"/>
  <c r="W3495" i="3"/>
  <c r="W3422" i="3"/>
  <c r="W3485" i="3"/>
  <c r="W931" i="3"/>
  <c r="W1622" i="3"/>
  <c r="W3538" i="3"/>
  <c r="W2983" i="3"/>
  <c r="W2880" i="3"/>
  <c r="W1914" i="3"/>
  <c r="W3007" i="3"/>
  <c r="W2082" i="3"/>
  <c r="W2881" i="3"/>
  <c r="W2438" i="3"/>
  <c r="W3103" i="3"/>
  <c r="W3330" i="3"/>
  <c r="W3075" i="3"/>
  <c r="W3614" i="3"/>
  <c r="W3388" i="3"/>
  <c r="W1630" i="3"/>
  <c r="W3500" i="3"/>
  <c r="W3546" i="3"/>
  <c r="W2767" i="3"/>
  <c r="W3252" i="3"/>
  <c r="W3362" i="3"/>
  <c r="W3328" i="3"/>
  <c r="W2195" i="3"/>
  <c r="W3926" i="3"/>
  <c r="W1834" i="3"/>
  <c r="W3298" i="3"/>
  <c r="W1969" i="3"/>
  <c r="W1966" i="3"/>
  <c r="W1850" i="3"/>
  <c r="W2141" i="3"/>
  <c r="W2800" i="3"/>
  <c r="W1898" i="3"/>
  <c r="W3873" i="3"/>
  <c r="W3217" i="3"/>
  <c r="W2882" i="3"/>
  <c r="W1884" i="3"/>
  <c r="W3787" i="3"/>
  <c r="W2989" i="3"/>
  <c r="W2158" i="3"/>
  <c r="W3284" i="3"/>
  <c r="W226" i="3"/>
  <c r="W3096" i="3"/>
  <c r="W3650" i="3"/>
  <c r="W2462" i="3"/>
  <c r="W1837" i="3"/>
  <c r="W2684" i="3"/>
  <c r="W2531" i="3"/>
  <c r="W3466" i="3"/>
  <c r="W2110" i="3"/>
  <c r="W1936" i="3"/>
  <c r="W1989" i="3"/>
  <c r="W3087" i="3"/>
  <c r="W3153" i="3"/>
  <c r="W2595" i="3"/>
  <c r="W2568" i="3"/>
  <c r="W112" i="3"/>
  <c r="W2015" i="3"/>
  <c r="W2537" i="3"/>
  <c r="W78" i="3"/>
  <c r="W2562" i="3"/>
  <c r="W1946" i="3"/>
  <c r="W3273" i="3"/>
  <c r="W86" i="3"/>
  <c r="W2408" i="3"/>
  <c r="W3248" i="3"/>
  <c r="W3144" i="3"/>
  <c r="W2104" i="3"/>
  <c r="W2163" i="3"/>
  <c r="W3222" i="3"/>
  <c r="W3207" i="3"/>
  <c r="W2725" i="3"/>
  <c r="W1540" i="3"/>
  <c r="W1944" i="3"/>
  <c r="W3377" i="3"/>
  <c r="W3133" i="3"/>
  <c r="W2071" i="3"/>
  <c r="W1627" i="3"/>
  <c r="W2649" i="3"/>
  <c r="W2098" i="3"/>
  <c r="W3662" i="3"/>
  <c r="W3769" i="3"/>
  <c r="W3801" i="3"/>
  <c r="W3793" i="3"/>
  <c r="W3795" i="3"/>
  <c r="W380" i="3"/>
  <c r="W2628" i="3"/>
  <c r="W3645" i="3"/>
  <c r="W2855" i="3"/>
  <c r="W2013" i="3"/>
  <c r="W3391" i="3"/>
  <c r="W2599" i="3"/>
  <c r="W3843" i="3"/>
  <c r="W2465" i="3"/>
  <c r="W2763" i="3"/>
  <c r="W2776" i="3"/>
  <c r="W20" i="3"/>
  <c r="W3063" i="3"/>
  <c r="W1293" i="3"/>
  <c r="W101" i="3"/>
  <c r="W1386" i="3"/>
  <c r="W1868" i="3"/>
  <c r="W2981" i="3"/>
  <c r="W3619" i="3"/>
  <c r="W3012" i="3"/>
  <c r="W2088" i="3"/>
  <c r="W94" i="3"/>
  <c r="W3770" i="3"/>
  <c r="W3300" i="3"/>
  <c r="W3132" i="3"/>
  <c r="W2468" i="3"/>
  <c r="W2718" i="3"/>
  <c r="W3106" i="3"/>
  <c r="W3416" i="3"/>
  <c r="W1554" i="3"/>
  <c r="W2849" i="3"/>
  <c r="W2672" i="3"/>
  <c r="W3526" i="3"/>
  <c r="W2927" i="3"/>
  <c r="W2177" i="3"/>
  <c r="W2290" i="3"/>
  <c r="W3178" i="3"/>
  <c r="W3165" i="3"/>
  <c r="W2967" i="3"/>
  <c r="W2036" i="3"/>
  <c r="W2037" i="3"/>
  <c r="W2463" i="3"/>
  <c r="W850" i="3"/>
  <c r="W2975" i="3"/>
  <c r="W2504" i="3"/>
  <c r="W2544" i="3"/>
  <c r="W3435" i="3"/>
  <c r="W3520" i="3"/>
  <c r="W2520" i="3"/>
  <c r="W3401" i="3"/>
  <c r="W2566" i="3"/>
  <c r="W3615" i="3"/>
  <c r="W3403" i="3"/>
  <c r="W2155" i="3"/>
  <c r="W1179" i="3"/>
  <c r="W2892" i="3"/>
  <c r="W1533" i="3"/>
  <c r="W2096" i="3"/>
  <c r="W2180" i="3"/>
  <c r="W3233" i="3"/>
  <c r="W3000" i="3"/>
  <c r="W3429" i="3"/>
  <c r="W2757" i="3"/>
  <c r="W3588" i="3"/>
  <c r="W3022" i="3"/>
  <c r="W2406" i="3"/>
  <c r="W2128" i="3"/>
  <c r="W2122" i="3"/>
  <c r="W3916" i="3"/>
  <c r="W3268" i="3"/>
  <c r="W936" i="3"/>
  <c r="W2657" i="3"/>
  <c r="W1932" i="3"/>
  <c r="W3896" i="3"/>
  <c r="W1547" i="3"/>
  <c r="W3008" i="3"/>
  <c r="W1990" i="3"/>
  <c r="W2815" i="3"/>
  <c r="W1883" i="3"/>
  <c r="W2002" i="3"/>
  <c r="W2053" i="3"/>
  <c r="W1292" i="3"/>
  <c r="W3798" i="3"/>
  <c r="W2168" i="3"/>
  <c r="W2671" i="3"/>
  <c r="W2086" i="3"/>
  <c r="W3322" i="3"/>
  <c r="W3057" i="3"/>
  <c r="W2960" i="3"/>
  <c r="W3918" i="3"/>
  <c r="W3655" i="3"/>
  <c r="W25" i="3"/>
  <c r="W3684" i="3"/>
  <c r="W3844" i="3"/>
  <c r="W3541" i="3"/>
  <c r="W3356" i="3"/>
  <c r="W3083" i="3"/>
  <c r="W2554" i="3"/>
  <c r="W31" i="3"/>
  <c r="W3364" i="3"/>
  <c r="W3835" i="3"/>
  <c r="W3528" i="3"/>
  <c r="W3395" i="3"/>
  <c r="W3891" i="3"/>
  <c r="W3279" i="3"/>
  <c r="W1915" i="3"/>
  <c r="W3468" i="3"/>
  <c r="W3201" i="3"/>
  <c r="W2387" i="3"/>
  <c r="W2931" i="3"/>
  <c r="W3547" i="3"/>
  <c r="W2370" i="3"/>
  <c r="W2864" i="3"/>
  <c r="W2900" i="3"/>
  <c r="W1997" i="3"/>
  <c r="W3667" i="3"/>
  <c r="W1517" i="3"/>
  <c r="W3200" i="3"/>
  <c r="W2602" i="3"/>
  <c r="W2875" i="3"/>
  <c r="W3320" i="3"/>
  <c r="W938" i="3"/>
  <c r="W2609" i="3"/>
  <c r="W2317" i="3"/>
  <c r="W2622" i="3"/>
  <c r="W3537" i="3"/>
  <c r="W1717" i="3"/>
  <c r="W1559" i="3"/>
  <c r="W2578" i="3"/>
  <c r="W3909" i="3"/>
  <c r="W14" i="3"/>
  <c r="W3231" i="3"/>
  <c r="W3125" i="3"/>
  <c r="W3028" i="3"/>
  <c r="W371" i="3"/>
  <c r="W1935" i="3"/>
  <c r="W3264" i="3"/>
  <c r="W3299" i="3"/>
  <c r="W3238" i="3"/>
  <c r="W2992" i="3"/>
  <c r="W2391" i="3"/>
  <c r="W2439" i="3"/>
  <c r="W77" i="3"/>
  <c r="W2357" i="3"/>
  <c r="W378" i="3"/>
  <c r="W1905" i="3"/>
  <c r="W2009" i="3"/>
  <c r="W3185" i="3"/>
  <c r="W53" i="3"/>
  <c r="W3389" i="3"/>
  <c r="W3246" i="3"/>
  <c r="W2748" i="3"/>
  <c r="W1847" i="3"/>
  <c r="W1924" i="3"/>
  <c r="W2814" i="3"/>
  <c r="W1543" i="3"/>
  <c r="W2488" i="3"/>
  <c r="W2392" i="3"/>
  <c r="W3768" i="3"/>
  <c r="W3910" i="3"/>
  <c r="W2615" i="3"/>
  <c r="W928" i="3"/>
  <c r="W2719" i="3"/>
  <c r="W2957" i="3"/>
  <c r="W848" i="3"/>
  <c r="W3871" i="3"/>
  <c r="W2940" i="3"/>
  <c r="W2632" i="3"/>
  <c r="W3164" i="3"/>
  <c r="W2424" i="3"/>
  <c r="W3443" i="3"/>
  <c r="W2555" i="3"/>
  <c r="W1552" i="3"/>
  <c r="W290" i="3"/>
  <c r="W3131" i="3"/>
  <c r="W13" i="3"/>
  <c r="W2724" i="3"/>
  <c r="W3242" i="3"/>
  <c r="W1840" i="3"/>
  <c r="W1558" i="3"/>
  <c r="W302" i="3"/>
  <c r="W3451" i="3"/>
  <c r="W2737" i="3"/>
  <c r="W3663" i="3"/>
  <c r="W2457" i="3"/>
  <c r="W2884" i="3"/>
  <c r="W3195" i="3"/>
  <c r="W3478" i="3"/>
  <c r="W2167" i="3"/>
  <c r="W2453" i="3"/>
  <c r="W3006" i="3"/>
  <c r="W3647" i="3"/>
  <c r="W301" i="3"/>
  <c r="W2499" i="3"/>
  <c r="W3778" i="3"/>
  <c r="W2627" i="3"/>
  <c r="W3224" i="3"/>
  <c r="W2220" i="3"/>
  <c r="W3773" i="3"/>
  <c r="W1830" i="3"/>
  <c r="W3623" i="3"/>
  <c r="W2692" i="3"/>
  <c r="W3425" i="3"/>
  <c r="W3612" i="3"/>
  <c r="W3618" i="3"/>
  <c r="W2373" i="3"/>
  <c r="W2794" i="3"/>
  <c r="W2023" i="3"/>
  <c r="W1524" i="3"/>
  <c r="W2910" i="3"/>
  <c r="W52" i="3"/>
  <c r="W3603" i="3"/>
  <c r="W46" i="3"/>
  <c r="W386" i="3"/>
  <c r="W3483" i="3"/>
  <c r="W2133" i="3"/>
  <c r="W2542" i="3"/>
  <c r="W2208" i="3"/>
  <c r="W99" i="3"/>
  <c r="W56" i="3"/>
  <c r="W3866" i="3"/>
  <c r="W2202" i="3"/>
  <c r="W1937" i="3"/>
  <c r="W3508" i="3"/>
  <c r="W2728" i="3"/>
  <c r="W3414" i="3"/>
  <c r="W3134" i="3"/>
  <c r="W2044" i="3"/>
  <c r="W306" i="3"/>
  <c r="W2302" i="3"/>
  <c r="W2018" i="3"/>
  <c r="W1939" i="3"/>
  <c r="W3569" i="3"/>
  <c r="W48" i="3"/>
  <c r="W1841" i="3"/>
  <c r="W1925" i="3"/>
  <c r="W1896" i="3"/>
  <c r="W2510" i="3"/>
  <c r="W3167" i="3"/>
  <c r="W3227" i="3"/>
  <c r="W2901" i="3"/>
  <c r="W2716" i="3"/>
  <c r="W3119" i="3"/>
  <c r="W2614" i="3"/>
  <c r="W2215" i="3"/>
  <c r="W3025" i="3"/>
  <c r="W2142" i="3"/>
  <c r="W1836" i="3"/>
  <c r="W3095" i="3"/>
  <c r="W2754" i="3"/>
  <c r="W1549" i="3"/>
  <c r="W2680" i="3"/>
  <c r="W2444" i="3"/>
  <c r="W3463" i="3"/>
  <c r="W2090" i="3"/>
  <c r="W3319" i="3"/>
  <c r="W2653" i="3"/>
  <c r="W3281" i="3"/>
  <c r="W1756" i="3"/>
  <c r="W2799" i="3"/>
  <c r="W2889" i="3"/>
  <c r="W2508" i="3"/>
  <c r="W3306" i="3"/>
  <c r="W3051" i="3"/>
  <c r="W2588" i="3"/>
  <c r="W2412" i="3"/>
  <c r="W2771" i="3"/>
  <c r="W929" i="3"/>
  <c r="W92" i="3"/>
  <c r="W3919" i="3"/>
  <c r="W2956" i="3"/>
  <c r="W3502" i="3"/>
  <c r="W296" i="3"/>
  <c r="W2507" i="3"/>
  <c r="W3842" i="3"/>
  <c r="W3368" i="3"/>
  <c r="W3014" i="3"/>
  <c r="W3230" i="3"/>
  <c r="W3189" i="3"/>
  <c r="W3314" i="3"/>
  <c r="W3572" i="3"/>
  <c r="W2008" i="3"/>
  <c r="W2999" i="3"/>
  <c r="W91" i="3"/>
  <c r="W3450" i="3"/>
  <c r="W2787" i="3"/>
  <c r="W2643" i="3"/>
  <c r="W44" i="3"/>
  <c r="W3002" i="3"/>
  <c r="W1920" i="3"/>
  <c r="W1348" i="3"/>
  <c r="W1912" i="3"/>
  <c r="W105" i="3"/>
  <c r="W2914" i="3"/>
  <c r="W2365" i="3"/>
  <c r="W2545" i="3"/>
  <c r="W3287" i="3"/>
  <c r="W3080" i="3"/>
  <c r="W3290" i="3"/>
  <c r="W1852" i="3"/>
  <c r="W3605" i="3"/>
  <c r="W3141" i="3"/>
  <c r="W3626" i="3"/>
  <c r="W3122" i="3"/>
  <c r="W2132" i="3"/>
  <c r="W16" i="3"/>
  <c r="W2062" i="3"/>
  <c r="W3271" i="3"/>
  <c r="W3148" i="3"/>
  <c r="W3923" i="3"/>
  <c r="W3837" i="3"/>
  <c r="W3035" i="3"/>
  <c r="W2667" i="3"/>
  <c r="W3155" i="3"/>
  <c r="W2846" i="3"/>
  <c r="W3460" i="3"/>
  <c r="W3459" i="3"/>
  <c r="W3430" i="3"/>
  <c r="W3676" i="3"/>
  <c r="W3947" i="3"/>
  <c r="W1518" i="3"/>
  <c r="W3053" i="3"/>
  <c r="W3283" i="3"/>
  <c r="W3353" i="3"/>
  <c r="W3250" i="3"/>
  <c r="W2368" i="3"/>
  <c r="W3286" i="3"/>
  <c r="W225" i="3"/>
  <c r="W3863" i="3"/>
  <c r="W1284" i="3"/>
  <c r="W3774" i="3"/>
  <c r="W1350" i="3"/>
  <c r="W3360" i="3"/>
  <c r="W1687" i="3"/>
  <c r="W2899" i="3"/>
  <c r="W2808" i="3"/>
  <c r="W3236" i="3"/>
  <c r="W1968" i="3"/>
  <c r="W1536" i="3"/>
  <c r="W2651" i="3"/>
  <c r="W2498" i="3"/>
  <c r="W1553" i="3"/>
  <c r="W1880" i="3"/>
  <c r="W2773" i="3"/>
  <c r="W1529" i="3"/>
  <c r="W3191" i="3"/>
  <c r="W3657" i="3"/>
  <c r="W2971" i="3"/>
  <c r="W365" i="3"/>
  <c r="W3921" i="3"/>
  <c r="W2948" i="3"/>
  <c r="W2172" i="3"/>
  <c r="W2255" i="3"/>
  <c r="W3423" i="3"/>
  <c r="W3497" i="3"/>
  <c r="W102" i="3"/>
  <c r="W3554" i="3"/>
  <c r="W3788" i="3"/>
  <c r="W2890" i="3"/>
  <c r="W1186" i="3"/>
  <c r="W3139" i="3"/>
  <c r="W2058" i="3"/>
  <c r="W2699" i="3"/>
  <c r="W3431" i="3"/>
  <c r="W2469" i="3"/>
  <c r="W2603" i="3"/>
  <c r="W3441" i="3"/>
  <c r="W2807" i="3"/>
  <c r="W3166" i="3"/>
  <c r="W2620" i="3"/>
  <c r="W2260" i="3"/>
  <c r="W2188" i="3"/>
  <c r="W3715" i="3"/>
  <c r="W2201" i="3"/>
  <c r="W3406" i="3"/>
  <c r="W2639" i="3"/>
  <c r="W2805" i="3"/>
  <c r="W2694" i="3"/>
  <c r="W1527" i="3"/>
  <c r="W2228" i="3"/>
  <c r="W2938" i="3"/>
  <c r="W85" i="3"/>
  <c r="W2761" i="3"/>
  <c r="W2446" i="3"/>
  <c r="W3015" i="3"/>
  <c r="W2049" i="3"/>
  <c r="W2641" i="3"/>
  <c r="W2974" i="3"/>
  <c r="W3208" i="3"/>
  <c r="W2117" i="3"/>
  <c r="W1531" i="3"/>
  <c r="W3212" i="3"/>
  <c r="W2206" i="3"/>
  <c r="W3785" i="3"/>
  <c r="W367" i="3"/>
  <c r="W2730" i="3"/>
  <c r="W3126" i="3"/>
  <c r="W2934" i="3"/>
  <c r="W2717" i="3"/>
  <c r="W1848" i="3"/>
  <c r="W2021" i="3"/>
  <c r="W3047" i="3"/>
  <c r="W1718" i="3"/>
  <c r="W3697" i="3"/>
  <c r="W2159" i="3"/>
  <c r="W361" i="3"/>
  <c r="W3327" i="3"/>
  <c r="W1689" i="3"/>
  <c r="W2925" i="3"/>
  <c r="W3162" i="3"/>
  <c r="W1290" i="3"/>
  <c r="W1874" i="3"/>
  <c r="W2213" i="3"/>
  <c r="W1949" i="3"/>
  <c r="W2575" i="3"/>
  <c r="W3660" i="3"/>
  <c r="W3484" i="3"/>
  <c r="W3464" i="3"/>
  <c r="W2404" i="3"/>
  <c r="W2068" i="3"/>
  <c r="W1885" i="3"/>
  <c r="W3255" i="3"/>
  <c r="W1863" i="3"/>
  <c r="W84" i="3"/>
  <c r="W2619" i="3"/>
  <c r="W3023" i="3"/>
  <c r="W21" i="3"/>
  <c r="W2450" i="3"/>
  <c r="W2309" i="3"/>
  <c r="W2665" i="3"/>
  <c r="W1845" i="3"/>
  <c r="W2385" i="3"/>
  <c r="W2829" i="3"/>
  <c r="W2022" i="3"/>
  <c r="W3597" i="3"/>
  <c r="W1910" i="3"/>
  <c r="W3190" i="3"/>
  <c r="W1835" i="3"/>
  <c r="W2312" i="3"/>
  <c r="W3558" i="3"/>
  <c r="W2689" i="3"/>
  <c r="W3204" i="3"/>
  <c r="W18" i="3"/>
  <c r="W3325" i="3"/>
  <c r="W2928" i="3"/>
  <c r="W377" i="3"/>
  <c r="W3034" i="3"/>
  <c r="W3628" i="3"/>
  <c r="W2616" i="3"/>
  <c r="W3903" i="3"/>
  <c r="W3206" i="3"/>
  <c r="W1842" i="3"/>
  <c r="W2225" i="3"/>
  <c r="W2524" i="3"/>
  <c r="W389" i="3"/>
  <c r="W3494" i="3"/>
  <c r="W3575" i="3"/>
  <c r="W2676" i="3"/>
  <c r="W2011" i="3"/>
  <c r="W2567" i="3"/>
  <c r="W3093" i="3"/>
  <c r="W1512" i="3"/>
  <c r="W2894" i="3"/>
  <c r="W2779" i="3"/>
  <c r="W3665" i="3"/>
  <c r="W2621" i="3"/>
  <c r="W1829" i="3"/>
  <c r="W2749" i="3"/>
  <c r="W2185" i="3"/>
  <c r="W2182" i="3"/>
  <c r="W1530" i="3"/>
  <c r="W3442" i="3"/>
  <c r="W3631" i="3"/>
  <c r="W1911" i="3"/>
  <c r="W300" i="3"/>
  <c r="W2460" i="3"/>
  <c r="W1875" i="3"/>
  <c r="W2866" i="3"/>
  <c r="W2577" i="3"/>
  <c r="W1947" i="3"/>
  <c r="W879" i="3"/>
  <c r="W2434" i="3"/>
  <c r="W3902" i="3"/>
  <c r="W2352" i="3"/>
  <c r="W3293" i="3"/>
  <c r="W2744" i="3"/>
  <c r="W2891" i="3"/>
  <c r="W3955" i="3"/>
  <c r="W3539" i="3"/>
  <c r="W3781" i="3"/>
  <c r="W2768" i="3"/>
  <c r="W1713" i="3"/>
  <c r="W3331" i="3"/>
  <c r="W3447" i="3"/>
  <c r="W2681" i="3"/>
  <c r="W156" i="3"/>
  <c r="W2097" i="3"/>
  <c r="W3068" i="3"/>
  <c r="W3868" i="3"/>
  <c r="W1922" i="3"/>
  <c r="W3009" i="3"/>
  <c r="W3578" i="3"/>
  <c r="W3574" i="3"/>
  <c r="W2877" i="3"/>
  <c r="W3351" i="3"/>
  <c r="W3182" i="3"/>
  <c r="W1867" i="3"/>
  <c r="W3312" i="3"/>
  <c r="W2964" i="3"/>
  <c r="W3761" i="3"/>
  <c r="W3716" i="3"/>
  <c r="W73" i="3"/>
  <c r="W2108" i="3"/>
  <c r="W3714" i="3"/>
  <c r="W3267" i="3"/>
  <c r="W2613" i="3"/>
  <c r="W3102" i="3"/>
  <c r="W1551" i="3"/>
  <c r="W383" i="3"/>
  <c r="W3488" i="3"/>
  <c r="W3616" i="3"/>
  <c r="W2482" i="3"/>
  <c r="W1513" i="3"/>
  <c r="W2089" i="3"/>
  <c r="W100" i="3"/>
  <c r="W2403" i="3"/>
  <c r="W3797" i="3"/>
  <c r="W3566" i="3"/>
  <c r="W2896" i="3"/>
  <c r="W2770" i="3"/>
  <c r="W3957" i="3"/>
  <c r="W1280" i="3"/>
  <c r="W3033" i="3"/>
  <c r="W3674" i="3"/>
  <c r="W3682" i="3"/>
  <c r="W2538" i="3"/>
  <c r="W3249" i="3"/>
  <c r="W3161" i="3"/>
  <c r="W3499" i="3"/>
  <c r="W1686" i="3"/>
  <c r="W2456" i="3"/>
  <c r="W3050" i="3"/>
  <c r="W2060" i="3"/>
  <c r="W2506" i="3"/>
  <c r="W2828" i="3"/>
  <c r="W3498" i="3"/>
  <c r="W2549" i="3"/>
  <c r="W2358" i="3"/>
  <c r="W3452" i="3"/>
  <c r="W3688" i="3"/>
  <c r="W3587" i="3"/>
  <c r="W2451" i="3"/>
  <c r="W1873" i="3"/>
  <c r="W2961" i="3"/>
  <c r="W219" i="3"/>
  <c r="W2954" i="3"/>
  <c r="W2131" i="3"/>
  <c r="W3192" i="3"/>
  <c r="W3562" i="3"/>
  <c r="W2911" i="3"/>
  <c r="W2224" i="3"/>
  <c r="W370" i="3"/>
  <c r="W2084" i="3"/>
  <c r="W3030" i="3"/>
  <c r="W3862" i="3"/>
  <c r="W855" i="3"/>
  <c r="W2109" i="3"/>
  <c r="W2936" i="3"/>
  <c r="W2299" i="3"/>
  <c r="W2792" i="3"/>
  <c r="W3172" i="3"/>
  <c r="W1546" i="3"/>
  <c r="W3649" i="3"/>
  <c r="W2535" i="3"/>
  <c r="W81" i="3"/>
  <c r="W3897" i="3"/>
  <c r="W2461" i="3"/>
  <c r="V2298" i="3" l="1"/>
  <c r="V2297" i="3" s="1"/>
  <c r="V2296" i="3" s="1"/>
  <c r="V2295" i="3" s="1"/>
  <c r="V2294" i="3" s="1"/>
  <c r="V2293" i="3" s="1"/>
  <c r="V2292" i="3" s="1"/>
  <c r="V2291" i="3" s="1"/>
  <c r="V2290" i="3" s="1"/>
  <c r="V2299" i="3" s="1"/>
  <c r="V2130" i="3"/>
  <c r="V2129" i="3" s="1"/>
  <c r="V2128" i="3" s="1"/>
  <c r="V2127" i="3" s="1"/>
  <c r="V2126" i="3" s="1"/>
  <c r="V2125" i="3" s="1"/>
  <c r="V2124" i="3" s="1"/>
  <c r="V2123" i="3" s="1"/>
  <c r="V2122" i="3" s="1"/>
  <c r="V2131" i="3" s="1"/>
  <c r="V3687" i="3"/>
  <c r="V3686" i="3" s="1"/>
  <c r="V3685" i="3" s="1"/>
  <c r="V3684" i="3" s="1"/>
  <c r="V3683" i="3" s="1"/>
  <c r="V3682" i="3" s="1"/>
  <c r="V3681" i="3" s="1"/>
  <c r="V3680" i="3" s="1"/>
  <c r="V3679" i="3" s="1"/>
  <c r="V3688" i="3" s="1"/>
  <c r="V2505" i="3"/>
  <c r="V2504" i="3" s="1"/>
  <c r="V2503" i="3" s="1"/>
  <c r="V2502" i="3" s="1"/>
  <c r="V2501" i="3" s="1"/>
  <c r="V2500" i="3" s="1"/>
  <c r="V2499" i="3" s="1"/>
  <c r="V2498" i="3" s="1"/>
  <c r="V2497" i="3" s="1"/>
  <c r="V2506" i="3" s="1"/>
  <c r="V2455" i="3"/>
  <c r="V2454" i="3" s="1"/>
  <c r="V2453" i="3" s="1"/>
  <c r="V2452" i="3" s="1"/>
  <c r="V2451" i="3" s="1"/>
  <c r="V2450" i="3" s="1"/>
  <c r="V2449" i="3" s="1"/>
  <c r="V2448" i="3" s="1"/>
  <c r="V2447" i="3" s="1"/>
  <c r="V2456" i="3" s="1"/>
  <c r="V1685" i="3"/>
  <c r="V1684" i="3" s="1"/>
  <c r="V1683" i="3" s="1"/>
  <c r="V1682" i="3" s="1"/>
  <c r="V1681" i="3" s="1"/>
  <c r="V1680" i="3" s="1"/>
  <c r="V1679" i="3" s="1"/>
  <c r="V1678" i="3" s="1"/>
  <c r="V1677" i="3" s="1"/>
  <c r="V1676" i="3" s="1"/>
  <c r="V1675" i="3" s="1"/>
  <c r="V1674" i="3" s="1"/>
  <c r="V1673" i="3" s="1"/>
  <c r="V1672" i="3" s="1"/>
  <c r="V1671" i="3" s="1"/>
  <c r="V1670" i="3" s="1"/>
  <c r="V1669" i="3" s="1"/>
  <c r="V1668" i="3" s="1"/>
  <c r="V1667" i="3" s="1"/>
  <c r="V1666" i="3" s="1"/>
  <c r="V1665" i="3" s="1"/>
  <c r="V1664" i="3" s="1"/>
  <c r="V1663" i="3" s="1"/>
  <c r="V1662" i="3" s="1"/>
  <c r="V1661" i="3" s="1"/>
  <c r="V1660" i="3" s="1"/>
  <c r="V1659" i="3" s="1"/>
  <c r="V1658" i="3" s="1"/>
  <c r="V1657" i="3" s="1"/>
  <c r="V1656" i="3" s="1"/>
  <c r="V1655" i="3" s="1"/>
  <c r="V1654" i="3" s="1"/>
  <c r="V1653" i="3" s="1"/>
  <c r="V1652" i="3" s="1"/>
  <c r="V1651" i="3" s="1"/>
  <c r="V1650" i="3" s="1"/>
  <c r="V1649" i="3" s="1"/>
  <c r="V1648" i="3" s="1"/>
  <c r="V1647" i="3" s="1"/>
  <c r="V1646" i="3" s="1"/>
  <c r="V1645" i="3" s="1"/>
  <c r="V1644" i="3" s="1"/>
  <c r="V1643" i="3" s="1"/>
  <c r="V1642" i="3" s="1"/>
  <c r="V1641" i="3" s="1"/>
  <c r="V1640" i="3" s="1"/>
  <c r="V1639" i="3" s="1"/>
  <c r="V1638" i="3" s="1"/>
  <c r="V1637" i="3" s="1"/>
  <c r="V1636" i="3" s="1"/>
  <c r="V1635" i="3" s="1"/>
  <c r="V1634" i="3" s="1"/>
  <c r="V1633" i="3" s="1"/>
  <c r="V1632" i="3" s="1"/>
  <c r="V1631" i="3" s="1"/>
  <c r="V1686" i="3" s="1"/>
  <c r="V3248" i="3"/>
  <c r="V3247" i="3" s="1"/>
  <c r="V3246" i="3" s="1"/>
  <c r="V3245" i="3" s="1"/>
  <c r="V3244" i="3" s="1"/>
  <c r="V3243" i="3" s="1"/>
  <c r="V3242" i="3" s="1"/>
  <c r="V3241" i="3" s="1"/>
  <c r="V3240" i="3" s="1"/>
  <c r="V3249" i="3" s="1"/>
  <c r="V3032" i="3"/>
  <c r="V3031" i="3" s="1"/>
  <c r="V3030" i="3" s="1"/>
  <c r="V3029" i="3" s="1"/>
  <c r="V3028" i="3" s="1"/>
  <c r="V3027" i="3" s="1"/>
  <c r="V3026" i="3" s="1"/>
  <c r="V3025" i="3" s="1"/>
  <c r="V3024" i="3" s="1"/>
  <c r="V3033" i="3" s="1"/>
  <c r="V3956" i="3"/>
  <c r="V3955" i="3" s="1"/>
  <c r="V3954" i="3" s="1"/>
  <c r="V3953" i="3" s="1"/>
  <c r="V3952" i="3" s="1"/>
  <c r="V3951" i="3" s="1"/>
  <c r="V3950" i="3" s="1"/>
  <c r="V3949" i="3" s="1"/>
  <c r="V3948" i="3" s="1"/>
  <c r="V3957" i="3" s="1"/>
  <c r="V2895" i="3"/>
  <c r="V2894" i="3" s="1"/>
  <c r="V2893" i="3" s="1"/>
  <c r="V2892" i="3" s="1"/>
  <c r="V2891" i="3" s="1"/>
  <c r="V2890" i="3" s="1"/>
  <c r="V2889" i="3" s="1"/>
  <c r="V2888" i="3" s="1"/>
  <c r="V2887" i="3" s="1"/>
  <c r="V2896" i="3" s="1"/>
  <c r="V3577" i="3"/>
  <c r="V3576" i="3" s="1"/>
  <c r="V3575" i="3" s="1"/>
  <c r="V3574" i="3" s="1"/>
  <c r="V3573" i="3" s="1"/>
  <c r="V3572" i="3" s="1"/>
  <c r="V3571" i="3" s="1"/>
  <c r="V3570" i="3" s="1"/>
  <c r="V3569" i="3" s="1"/>
  <c r="V3578" i="3" s="1"/>
  <c r="V3446" i="3"/>
  <c r="V3445" i="3" s="1"/>
  <c r="V3444" i="3" s="1"/>
  <c r="V3443" i="3" s="1"/>
  <c r="V3442" i="3" s="1"/>
  <c r="V3441" i="3" s="1"/>
  <c r="V3440" i="3" s="1"/>
  <c r="V3439" i="3" s="1"/>
  <c r="V3438" i="3" s="1"/>
  <c r="V3447" i="3" s="1"/>
  <c r="V1712" i="3"/>
  <c r="V1711" i="3" s="1"/>
  <c r="V1710" i="3" s="1"/>
  <c r="V1709" i="3" s="1"/>
  <c r="V1708" i="3" s="1"/>
  <c r="V1707" i="3" s="1"/>
  <c r="V1706" i="3" s="1"/>
  <c r="V1705" i="3" s="1"/>
  <c r="V1704" i="3" s="1"/>
  <c r="V1703" i="3" s="1"/>
  <c r="V1702" i="3" s="1"/>
  <c r="V1701" i="3" s="1"/>
  <c r="V1700" i="3" s="1"/>
  <c r="V1699" i="3" s="1"/>
  <c r="V1698" i="3" s="1"/>
  <c r="V1697" i="3" s="1"/>
  <c r="V1696" i="3" s="1"/>
  <c r="V1695" i="3" s="1"/>
  <c r="V1694" i="3" s="1"/>
  <c r="V1693" i="3" s="1"/>
  <c r="V1692" i="3" s="1"/>
  <c r="V1691" i="3" s="1"/>
  <c r="V1690" i="3" s="1"/>
  <c r="V1689" i="3" s="1"/>
  <c r="V1688" i="3" s="1"/>
  <c r="V1687" i="3" s="1"/>
  <c r="V1713" i="3" s="1"/>
  <c r="V1529" i="3"/>
  <c r="V1528" i="3" s="1"/>
  <c r="V1527" i="3" s="1"/>
  <c r="V1526" i="3" s="1"/>
  <c r="V1525" i="3" s="1"/>
  <c r="V1524" i="3" s="1"/>
  <c r="V1523" i="3" s="1"/>
  <c r="V1522" i="3" s="1"/>
  <c r="V1521" i="3" s="1"/>
  <c r="V1530" i="3" s="1"/>
  <c r="V3627" i="3"/>
  <c r="V3626" i="3" s="1"/>
  <c r="V3625" i="3" s="1"/>
  <c r="V3624" i="3" s="1"/>
  <c r="V3623" i="3" s="1"/>
  <c r="V3622" i="3" s="1"/>
  <c r="V3621" i="3" s="1"/>
  <c r="V3620" i="3" s="1"/>
  <c r="V3619" i="3" s="1"/>
  <c r="V3628" i="3" s="1"/>
  <c r="V3022" i="3"/>
  <c r="V3021" i="3" s="1"/>
  <c r="V3020" i="3" s="1"/>
  <c r="V3019" i="3" s="1"/>
  <c r="V3018" i="3" s="1"/>
  <c r="V3017" i="3" s="1"/>
  <c r="V3016" i="3" s="1"/>
  <c r="V3015" i="3" s="1"/>
  <c r="V3014" i="3" s="1"/>
  <c r="V3023" i="3" s="1"/>
  <c r="V83" i="3"/>
  <c r="V82" i="3" s="1"/>
  <c r="V81" i="3" s="1"/>
  <c r="V80" i="3" s="1"/>
  <c r="V79" i="3" s="1"/>
  <c r="V78" i="3" s="1"/>
  <c r="V77" i="3" s="1"/>
  <c r="V76" i="3" s="1"/>
  <c r="V75" i="3" s="1"/>
  <c r="V84" i="3" s="1"/>
  <c r="V1847" i="3"/>
  <c r="V1846" i="3" s="1"/>
  <c r="V1845" i="3" s="1"/>
  <c r="V1844" i="3" s="1"/>
  <c r="V1843" i="3" s="1"/>
  <c r="V1842" i="3" s="1"/>
  <c r="V1841" i="3" s="1"/>
  <c r="V1840" i="3" s="1"/>
  <c r="V1839" i="3" s="1"/>
  <c r="V1848" i="3" s="1"/>
  <c r="V2445" i="3"/>
  <c r="V2444" i="3" s="1"/>
  <c r="V2443" i="3" s="1"/>
  <c r="V2442" i="3" s="1"/>
  <c r="V2441" i="3" s="1"/>
  <c r="V2440" i="3" s="1"/>
  <c r="V2439" i="3" s="1"/>
  <c r="V2438" i="3" s="1"/>
  <c r="V2437" i="3" s="1"/>
  <c r="V2446" i="3" s="1"/>
  <c r="V2804" i="3"/>
  <c r="V2803" i="3" s="1"/>
  <c r="V2802" i="3" s="1"/>
  <c r="V2801" i="3" s="1"/>
  <c r="V2800" i="3" s="1"/>
  <c r="V2799" i="3" s="1"/>
  <c r="V2798" i="3" s="1"/>
  <c r="V2797" i="3" s="1"/>
  <c r="V2796" i="3" s="1"/>
  <c r="V2805" i="3" s="1"/>
  <c r="V3405" i="3"/>
  <c r="V3404" i="3" s="1"/>
  <c r="V3403" i="3" s="1"/>
  <c r="V3402" i="3" s="1"/>
  <c r="V3401" i="3" s="1"/>
  <c r="V3400" i="3" s="1"/>
  <c r="V3399" i="3" s="1"/>
  <c r="V3398" i="3" s="1"/>
  <c r="V3397" i="3" s="1"/>
  <c r="V3406" i="3" s="1"/>
  <c r="V2200" i="3"/>
  <c r="V2199" i="3" s="1"/>
  <c r="V2198" i="3" s="1"/>
  <c r="V2197" i="3" s="1"/>
  <c r="V2196" i="3" s="1"/>
  <c r="V2195" i="3" s="1"/>
  <c r="V2194" i="3" s="1"/>
  <c r="V2193" i="3" s="1"/>
  <c r="V2192" i="3" s="1"/>
  <c r="V2201" i="3" s="1"/>
  <c r="V2619" i="3"/>
  <c r="V2618" i="3" s="1"/>
  <c r="V2617" i="3" s="1"/>
  <c r="V2616" i="3" s="1"/>
  <c r="V2615" i="3" s="1"/>
  <c r="V2614" i="3" s="1"/>
  <c r="V2613" i="3" s="1"/>
  <c r="V2612" i="3" s="1"/>
  <c r="V2611" i="3" s="1"/>
  <c r="V2620" i="3" s="1"/>
  <c r="V2057" i="3"/>
  <c r="V2056" i="3" s="1"/>
  <c r="V2055" i="3" s="1"/>
  <c r="V2054" i="3" s="1"/>
  <c r="V2053" i="3" s="1"/>
  <c r="V2052" i="3" s="1"/>
  <c r="V2051" i="3" s="1"/>
  <c r="V2050" i="3" s="1"/>
  <c r="V2049" i="3" s="1"/>
  <c r="V2058" i="3" s="1"/>
  <c r="V3496" i="3"/>
  <c r="V3495" i="3" s="1"/>
  <c r="V3494" i="3" s="1"/>
  <c r="V3493" i="3" s="1"/>
  <c r="V3492" i="3" s="1"/>
  <c r="V3491" i="3" s="1"/>
  <c r="V3490" i="3" s="1"/>
  <c r="V3489" i="3" s="1"/>
  <c r="V3488" i="3" s="1"/>
  <c r="V3497" i="3" s="1"/>
  <c r="V2254" i="3"/>
  <c r="V2253" i="3" s="1"/>
  <c r="V2252" i="3" s="1"/>
  <c r="V2251" i="3" s="1"/>
  <c r="V2250" i="3" s="1"/>
  <c r="V2249" i="3" s="1"/>
  <c r="V2248" i="3" s="1"/>
  <c r="V2247" i="3" s="1"/>
  <c r="V2246" i="3" s="1"/>
  <c r="V2245" i="3" s="1"/>
  <c r="V2244" i="3" s="1"/>
  <c r="V2243" i="3" s="1"/>
  <c r="V2242" i="3" s="1"/>
  <c r="V2241" i="3" s="1"/>
  <c r="V2240" i="3" s="1"/>
  <c r="V2239" i="3" s="1"/>
  <c r="V2238" i="3" s="1"/>
  <c r="V2237" i="3" s="1"/>
  <c r="V2236" i="3" s="1"/>
  <c r="V2235" i="3" s="1"/>
  <c r="V2234" i="3" s="1"/>
  <c r="V2233" i="3" s="1"/>
  <c r="V2232" i="3" s="1"/>
  <c r="V2231" i="3" s="1"/>
  <c r="V2230" i="3" s="1"/>
  <c r="V2229" i="3" s="1"/>
  <c r="V2228" i="3" s="1"/>
  <c r="V2227" i="3" s="1"/>
  <c r="V2226" i="3" s="1"/>
  <c r="V2225" i="3" s="1"/>
  <c r="V2224" i="3" s="1"/>
  <c r="V2772" i="3"/>
  <c r="V2771" i="3" s="1"/>
  <c r="V2770" i="3" s="1"/>
  <c r="V2769" i="3" s="1"/>
  <c r="V2768" i="3" s="1"/>
  <c r="V2767" i="3" s="1"/>
  <c r="V2766" i="3" s="1"/>
  <c r="V2765" i="3" s="1"/>
  <c r="V2764" i="3" s="1"/>
  <c r="V2773" i="3" s="1"/>
  <c r="V3946" i="3"/>
  <c r="V3945" i="3" s="1"/>
  <c r="V3944" i="3" s="1"/>
  <c r="V3943" i="3" s="1"/>
  <c r="V3942" i="3" s="1"/>
  <c r="V3941" i="3" s="1"/>
  <c r="V3940" i="3" s="1"/>
  <c r="V3939" i="3" s="1"/>
  <c r="V3938" i="3" s="1"/>
  <c r="V3937" i="3" s="1"/>
  <c r="V3936" i="3" s="1"/>
  <c r="V3935" i="3" s="1"/>
  <c r="V3934" i="3" s="1"/>
  <c r="V3933" i="3" s="1"/>
  <c r="V3932" i="3" s="1"/>
  <c r="V3931" i="3" s="1"/>
  <c r="V3930" i="3" s="1"/>
  <c r="V3929" i="3" s="1"/>
  <c r="V3928" i="3" s="1"/>
  <c r="V3927" i="3" s="1"/>
  <c r="V3926" i="3" s="1"/>
  <c r="V3147" i="3"/>
  <c r="V3146" i="3" s="1"/>
  <c r="V3145" i="3" s="1"/>
  <c r="V3144" i="3" s="1"/>
  <c r="V3143" i="3" s="1"/>
  <c r="V3142" i="3" s="1"/>
  <c r="V3141" i="3" s="1"/>
  <c r="V3140" i="3" s="1"/>
  <c r="V3139" i="3" s="1"/>
  <c r="V3148" i="3" s="1"/>
  <c r="V104" i="3"/>
  <c r="V103" i="3" s="1"/>
  <c r="V102" i="3" s="1"/>
  <c r="V101" i="3" s="1"/>
  <c r="V100" i="3" s="1"/>
  <c r="V99" i="3" s="1"/>
  <c r="V98" i="3" s="1"/>
  <c r="V97" i="3" s="1"/>
  <c r="V96" i="3" s="1"/>
  <c r="V105" i="3" s="1"/>
  <c r="V43" i="3"/>
  <c r="V42" i="3" s="1"/>
  <c r="V41" i="3" s="1"/>
  <c r="V40" i="3" s="1"/>
  <c r="V39" i="3" s="1"/>
  <c r="V38" i="3" s="1"/>
  <c r="V37" i="3" s="1"/>
  <c r="V36" i="3" s="1"/>
  <c r="V35" i="3" s="1"/>
  <c r="V44" i="3" s="1"/>
  <c r="V3188" i="3"/>
  <c r="V3187" i="3" s="1"/>
  <c r="V3186" i="3" s="1"/>
  <c r="V3185" i="3" s="1"/>
  <c r="V3184" i="3" s="1"/>
  <c r="V3183" i="3" s="1"/>
  <c r="V3182" i="3" s="1"/>
  <c r="V3181" i="3" s="1"/>
  <c r="V3180" i="3" s="1"/>
  <c r="V3189" i="3" s="1"/>
  <c r="V2679" i="3"/>
  <c r="V2678" i="3" s="1"/>
  <c r="V2677" i="3" s="1"/>
  <c r="V2676" i="3" s="1"/>
  <c r="V2675" i="3" s="1"/>
  <c r="V2674" i="3" s="1"/>
  <c r="V2673" i="3" s="1"/>
  <c r="V2672" i="3" s="1"/>
  <c r="V2671" i="3" s="1"/>
  <c r="V2680" i="3" s="1"/>
  <c r="V2372" i="3"/>
  <c r="V2371" i="3" s="1"/>
  <c r="V2370" i="3" s="1"/>
  <c r="V2369" i="3" s="1"/>
  <c r="V2368" i="3" s="1"/>
  <c r="V2367" i="3" s="1"/>
  <c r="V2366" i="3" s="1"/>
  <c r="V2365" i="3" s="1"/>
  <c r="V2364" i="3" s="1"/>
  <c r="V2373" i="3" s="1"/>
  <c r="V3617" i="3"/>
  <c r="V3616" i="3" s="1"/>
  <c r="V3615" i="3" s="1"/>
  <c r="V3614" i="3" s="1"/>
  <c r="V3613" i="3" s="1"/>
  <c r="V3612" i="3" s="1"/>
  <c r="V3611" i="3" s="1"/>
  <c r="V3610" i="3" s="1"/>
  <c r="V3609" i="3" s="1"/>
  <c r="V3618" i="3" s="1"/>
  <c r="V1557" i="3"/>
  <c r="V1556" i="3" s="1"/>
  <c r="V1555" i="3" s="1"/>
  <c r="V1554" i="3" s="1"/>
  <c r="V1553" i="3" s="1"/>
  <c r="V1552" i="3" s="1"/>
  <c r="V1551" i="3" s="1"/>
  <c r="V1550" i="3" s="1"/>
  <c r="V1549" i="3" s="1"/>
  <c r="V1548" i="3" s="1"/>
  <c r="V1547" i="3" s="1"/>
  <c r="V1546" i="3" s="1"/>
  <c r="V1545" i="3" s="1"/>
  <c r="V1544" i="3" s="1"/>
  <c r="V1543" i="3" s="1"/>
  <c r="V1542" i="3" s="1"/>
  <c r="V1541" i="3" s="1"/>
  <c r="V1558" i="3" s="1"/>
  <c r="V2956" i="3"/>
  <c r="V2955" i="3" s="1"/>
  <c r="V2954" i="3" s="1"/>
  <c r="V2953" i="3" s="1"/>
  <c r="V2952" i="3" s="1"/>
  <c r="V2951" i="3" s="1"/>
  <c r="V2950" i="3" s="1"/>
  <c r="V2949" i="3" s="1"/>
  <c r="V2948" i="3" s="1"/>
  <c r="V2957" i="3" s="1"/>
  <c r="V3536" i="3"/>
  <c r="V3535" i="3" s="1"/>
  <c r="V3534" i="3" s="1"/>
  <c r="V3533" i="3" s="1"/>
  <c r="V3532" i="3" s="1"/>
  <c r="V3531" i="3" s="1"/>
  <c r="V3530" i="3" s="1"/>
  <c r="V3529" i="3" s="1"/>
  <c r="V3528" i="3" s="1"/>
  <c r="V3537" i="3" s="1"/>
  <c r="V3319" i="3"/>
  <c r="V3318" i="3" s="1"/>
  <c r="V3317" i="3" s="1"/>
  <c r="V3316" i="3" s="1"/>
  <c r="V3315" i="3" s="1"/>
  <c r="V3314" i="3" s="1"/>
  <c r="V3313" i="3" s="1"/>
  <c r="V3312" i="3" s="1"/>
  <c r="V3311" i="3" s="1"/>
  <c r="V3320" i="3" s="1"/>
  <c r="V3546" i="3"/>
  <c r="V3545" i="3" s="1"/>
  <c r="V3544" i="3" s="1"/>
  <c r="V3543" i="3" s="1"/>
  <c r="V3542" i="3" s="1"/>
  <c r="V3541" i="3" s="1"/>
  <c r="V3540" i="3" s="1"/>
  <c r="V3539" i="3" s="1"/>
  <c r="V3538" i="3" s="1"/>
  <c r="V3547" i="3" s="1"/>
  <c r="V2386" i="3"/>
  <c r="V2385" i="3" s="1"/>
  <c r="V2384" i="3" s="1"/>
  <c r="V2383" i="3" s="1"/>
  <c r="V2382" i="3" s="1"/>
  <c r="V2381" i="3" s="1"/>
  <c r="V2380" i="3" s="1"/>
  <c r="V2379" i="3" s="1"/>
  <c r="V2378" i="3" s="1"/>
  <c r="V2377" i="3" s="1"/>
  <c r="V2376" i="3" s="1"/>
  <c r="V2375" i="3" s="1"/>
  <c r="V2374" i="3" s="1"/>
  <c r="V2387" i="3" s="1"/>
  <c r="V3278" i="3"/>
  <c r="V3277" i="3" s="1"/>
  <c r="V3276" i="3" s="1"/>
  <c r="V3275" i="3" s="1"/>
  <c r="V3274" i="3" s="1"/>
  <c r="V3273" i="3" s="1"/>
  <c r="V3272" i="3" s="1"/>
  <c r="V3271" i="3" s="1"/>
  <c r="V3270" i="3" s="1"/>
  <c r="V3279" i="3" s="1"/>
  <c r="V3834" i="3"/>
  <c r="V3833" i="3" s="1"/>
  <c r="V3832" i="3" s="1"/>
  <c r="V3831" i="3" s="1"/>
  <c r="V3830" i="3" s="1"/>
  <c r="V3829" i="3" s="1"/>
  <c r="V3828" i="3" s="1"/>
  <c r="V3827" i="3" s="1"/>
  <c r="V3826" i="3" s="1"/>
  <c r="V3825" i="3" s="1"/>
  <c r="V3824" i="3" s="1"/>
  <c r="V3823" i="3" s="1"/>
  <c r="V3822" i="3" s="1"/>
  <c r="V3821" i="3" s="1"/>
  <c r="V3820" i="3" s="1"/>
  <c r="V3819" i="3" s="1"/>
  <c r="V3818" i="3" s="1"/>
  <c r="V3817" i="3" s="1"/>
  <c r="V3816" i="3" s="1"/>
  <c r="V3815" i="3" s="1"/>
  <c r="V3814" i="3" s="1"/>
  <c r="V3813" i="3" s="1"/>
  <c r="V3812" i="3" s="1"/>
  <c r="V3811" i="3" s="1"/>
  <c r="V3810" i="3" s="1"/>
  <c r="V3809" i="3" s="1"/>
  <c r="V3808" i="3" s="1"/>
  <c r="V3807" i="3" s="1"/>
  <c r="V3806" i="3" s="1"/>
  <c r="V3805" i="3" s="1"/>
  <c r="V3804" i="3" s="1"/>
  <c r="V3803" i="3" s="1"/>
  <c r="V3802" i="3" s="1"/>
  <c r="V3801" i="3" s="1"/>
  <c r="V3835" i="3" s="1"/>
  <c r="V3363" i="3"/>
  <c r="V3362" i="3" s="1"/>
  <c r="V3361" i="3" s="1"/>
  <c r="V3360" i="3" s="1"/>
  <c r="V3359" i="3" s="1"/>
  <c r="V3358" i="3" s="1"/>
  <c r="V3357" i="3" s="1"/>
  <c r="V3356" i="3" s="1"/>
  <c r="V3355" i="3" s="1"/>
  <c r="V3364" i="3" s="1"/>
  <c r="V2814" i="3"/>
  <c r="V2813" i="3" s="1"/>
  <c r="V2812" i="3" s="1"/>
  <c r="V2811" i="3" s="1"/>
  <c r="V2810" i="3" s="1"/>
  <c r="V2809" i="3" s="1"/>
  <c r="V2808" i="3" s="1"/>
  <c r="V2807" i="3" s="1"/>
  <c r="V2806" i="3" s="1"/>
  <c r="V2815" i="3" s="1"/>
  <c r="V3587" i="3"/>
  <c r="V3586" i="3" s="1"/>
  <c r="V3585" i="3" s="1"/>
  <c r="V3584" i="3" s="1"/>
  <c r="V3583" i="3" s="1"/>
  <c r="V3582" i="3" s="1"/>
  <c r="V3581" i="3" s="1"/>
  <c r="V3580" i="3" s="1"/>
  <c r="V3579" i="3" s="1"/>
  <c r="V3588" i="3" s="1"/>
  <c r="V2036" i="3"/>
  <c r="V2035" i="3" s="1"/>
  <c r="V2034" i="3" s="1"/>
  <c r="V2033" i="3" s="1"/>
  <c r="V2032" i="3" s="1"/>
  <c r="V2031" i="3" s="1"/>
  <c r="V2030" i="3" s="1"/>
  <c r="V2029" i="3" s="1"/>
  <c r="V2028" i="3" s="1"/>
  <c r="V2027" i="3" s="1"/>
  <c r="V2026" i="3" s="1"/>
  <c r="V2025" i="3" s="1"/>
  <c r="V2024" i="3" s="1"/>
  <c r="V2023" i="3" s="1"/>
  <c r="V2022" i="3" s="1"/>
  <c r="V2021" i="3" s="1"/>
  <c r="V2037" i="3" s="1"/>
  <c r="V2966" i="3"/>
  <c r="V2965" i="3" s="1"/>
  <c r="V2964" i="3" s="1"/>
  <c r="V2963" i="3" s="1"/>
  <c r="V2962" i="3" s="1"/>
  <c r="V2961" i="3" s="1"/>
  <c r="V2960" i="3" s="1"/>
  <c r="V2959" i="3" s="1"/>
  <c r="V2958" i="3" s="1"/>
  <c r="V2967" i="3" s="1"/>
  <c r="V2926" i="3"/>
  <c r="V2925" i="3" s="1"/>
  <c r="V2924" i="3" s="1"/>
  <c r="V2923" i="3" s="1"/>
  <c r="V2922" i="3" s="1"/>
  <c r="V2921" i="3" s="1"/>
  <c r="V2920" i="3" s="1"/>
  <c r="V2919" i="3" s="1"/>
  <c r="V2918" i="3" s="1"/>
  <c r="V2927" i="3" s="1"/>
  <c r="V3415" i="3"/>
  <c r="V3414" i="3" s="1"/>
  <c r="V3413" i="3" s="1"/>
  <c r="V3412" i="3" s="1"/>
  <c r="V3411" i="3" s="1"/>
  <c r="V3410" i="3" s="1"/>
  <c r="V3409" i="3" s="1"/>
  <c r="V3408" i="3" s="1"/>
  <c r="V3407" i="3" s="1"/>
  <c r="V3416" i="3" s="1"/>
  <c r="V3299" i="3"/>
  <c r="V3298" i="3" s="1"/>
  <c r="V3297" i="3" s="1"/>
  <c r="V3296" i="3" s="1"/>
  <c r="V3295" i="3" s="1"/>
  <c r="V3294" i="3" s="1"/>
  <c r="V3293" i="3" s="1"/>
  <c r="V3292" i="3" s="1"/>
  <c r="V3291" i="3" s="1"/>
  <c r="V3300" i="3" s="1"/>
  <c r="V93" i="3"/>
  <c r="V92" i="3" s="1"/>
  <c r="V91" i="3" s="1"/>
  <c r="V90" i="3" s="1"/>
  <c r="V89" i="3" s="1"/>
  <c r="V88" i="3" s="1"/>
  <c r="V87" i="3" s="1"/>
  <c r="V86" i="3" s="1"/>
  <c r="V85" i="3" s="1"/>
  <c r="V94" i="3" s="1"/>
  <c r="V1867" i="3"/>
  <c r="V1866" i="3" s="1"/>
  <c r="V1865" i="3" s="1"/>
  <c r="V1864" i="3" s="1"/>
  <c r="V1863" i="3" s="1"/>
  <c r="V1862" i="3" s="1"/>
  <c r="V1861" i="3" s="1"/>
  <c r="V1860" i="3" s="1"/>
  <c r="V1859" i="3" s="1"/>
  <c r="V1868" i="3" s="1"/>
  <c r="V2762" i="3"/>
  <c r="V2761" i="3" s="1"/>
  <c r="V2760" i="3" s="1"/>
  <c r="V2759" i="3" s="1"/>
  <c r="V2758" i="3" s="1"/>
  <c r="V2757" i="3" s="1"/>
  <c r="V2756" i="3" s="1"/>
  <c r="V2755" i="3" s="1"/>
  <c r="V2754" i="3" s="1"/>
  <c r="V2763" i="3" s="1"/>
  <c r="V2854" i="3"/>
  <c r="V2853" i="3" s="1"/>
  <c r="V2852" i="3" s="1"/>
  <c r="V2851" i="3" s="1"/>
  <c r="V2850" i="3" s="1"/>
  <c r="V2849" i="3" s="1"/>
  <c r="V2848" i="3" s="1"/>
  <c r="V2847" i="3" s="1"/>
  <c r="V2846" i="3" s="1"/>
  <c r="V2855" i="3" s="1"/>
  <c r="V3768" i="3"/>
  <c r="V3767" i="3" s="1"/>
  <c r="V3766" i="3" s="1"/>
  <c r="V3765" i="3" s="1"/>
  <c r="V3764" i="3" s="1"/>
  <c r="V3763" i="3" s="1"/>
  <c r="V3762" i="3" s="1"/>
  <c r="V3761" i="3" s="1"/>
  <c r="V3760" i="3" s="1"/>
  <c r="V3769" i="3" s="1"/>
  <c r="V1539" i="3"/>
  <c r="V1538" i="3" s="1"/>
  <c r="V1537" i="3" s="1"/>
  <c r="V1536" i="3" s="1"/>
  <c r="V1535" i="3" s="1"/>
  <c r="V1534" i="3" s="1"/>
  <c r="V1533" i="3" s="1"/>
  <c r="V1532" i="3" s="1"/>
  <c r="V1531" i="3" s="1"/>
  <c r="V1540" i="3" s="1"/>
  <c r="V1897" i="3"/>
  <c r="V1896" i="3" s="1"/>
  <c r="V1895" i="3" s="1"/>
  <c r="V1894" i="3" s="1"/>
  <c r="V1893" i="3" s="1"/>
  <c r="V1892" i="3" s="1"/>
  <c r="V1891" i="3" s="1"/>
  <c r="V1890" i="3" s="1"/>
  <c r="V1889" i="3" s="1"/>
  <c r="V1898" i="3" s="1"/>
  <c r="V2140" i="3"/>
  <c r="V2139" i="3" s="1"/>
  <c r="V2138" i="3" s="1"/>
  <c r="V2137" i="3" s="1"/>
  <c r="V2136" i="3" s="1"/>
  <c r="V2135" i="3" s="1"/>
  <c r="V2134" i="3" s="1"/>
  <c r="V2133" i="3" s="1"/>
  <c r="V2132" i="3" s="1"/>
  <c r="V2141" i="3" s="1"/>
  <c r="V1629" i="3"/>
  <c r="V1628" i="3" s="1"/>
  <c r="V1627" i="3" s="1"/>
  <c r="V1626" i="3" s="1"/>
  <c r="V1625" i="3" s="1"/>
  <c r="V1624" i="3" s="1"/>
  <c r="V1623" i="3" s="1"/>
  <c r="V1622" i="3" s="1"/>
  <c r="V1621" i="3" s="1"/>
  <c r="V1620" i="3" s="1"/>
  <c r="V1619" i="3" s="1"/>
  <c r="V1630" i="3" s="1"/>
  <c r="V3329" i="3"/>
  <c r="V3328" i="3" s="1"/>
  <c r="V3327" i="3" s="1"/>
  <c r="V3326" i="3" s="1"/>
  <c r="V3325" i="3" s="1"/>
  <c r="V3324" i="3" s="1"/>
  <c r="V3323" i="3" s="1"/>
  <c r="V3322" i="3" s="1"/>
  <c r="V3321" i="3" s="1"/>
  <c r="V3330" i="3" s="1"/>
  <c r="V3607" i="3"/>
  <c r="V3606" i="3" s="1"/>
  <c r="V3605" i="3" s="1"/>
  <c r="V3604" i="3" s="1"/>
  <c r="V3603" i="3" s="1"/>
  <c r="V3602" i="3" s="1"/>
  <c r="V3601" i="3" s="1"/>
  <c r="V3600" i="3" s="1"/>
  <c r="V3599" i="3" s="1"/>
  <c r="V3608" i="3" s="1"/>
  <c r="V2396" i="3"/>
  <c r="V2395" i="3" s="1"/>
  <c r="V2394" i="3" s="1"/>
  <c r="V2393" i="3" s="1"/>
  <c r="V2392" i="3" s="1"/>
  <c r="V2391" i="3" s="1"/>
  <c r="V2390" i="3" s="1"/>
  <c r="V2389" i="3" s="1"/>
  <c r="V2388" i="3" s="1"/>
  <c r="V2397" i="3" s="1"/>
  <c r="V3712" i="3"/>
  <c r="V3711" i="3" s="1"/>
  <c r="V3710" i="3" s="1"/>
  <c r="V3709" i="3" s="1"/>
  <c r="V3708" i="3" s="1"/>
  <c r="V3707" i="3" s="1"/>
  <c r="V3706" i="3" s="1"/>
  <c r="V3705" i="3" s="1"/>
  <c r="V3704" i="3" s="1"/>
  <c r="V3703" i="3" s="1"/>
  <c r="V3702" i="3" s="1"/>
  <c r="V3701" i="3" s="1"/>
  <c r="V3700" i="3" s="1"/>
  <c r="V3699" i="3" s="1"/>
  <c r="V3698" i="3" s="1"/>
  <c r="V3697" i="3" s="1"/>
  <c r="V3696" i="3" s="1"/>
  <c r="V3695" i="3" s="1"/>
  <c r="V3694" i="3" s="1"/>
  <c r="V3693" i="3" s="1"/>
  <c r="V3692" i="3" s="1"/>
  <c r="V3691" i="3" s="1"/>
  <c r="V3713" i="3" s="1"/>
  <c r="V389" i="3"/>
  <c r="V388" i="3" s="1"/>
  <c r="V387" i="3" s="1"/>
  <c r="V386" i="3" s="1"/>
  <c r="V385" i="3" s="1"/>
  <c r="V384" i="3" s="1"/>
  <c r="V383" i="3" s="1"/>
  <c r="V382" i="3" s="1"/>
  <c r="V381" i="3" s="1"/>
  <c r="V380" i="3" s="1"/>
  <c r="V379" i="3" s="1"/>
  <c r="V378" i="3" s="1"/>
  <c r="V377" i="3" s="1"/>
  <c r="V376" i="3" s="1"/>
  <c r="V375" i="3" s="1"/>
  <c r="V374" i="3" s="1"/>
  <c r="V373" i="3" s="1"/>
  <c r="V372" i="3" s="1"/>
  <c r="V371" i="3" s="1"/>
  <c r="V370" i="3" s="1"/>
  <c r="V369" i="3" s="1"/>
  <c r="V368" i="3" s="1"/>
  <c r="V367" i="3" s="1"/>
  <c r="V366" i="3" s="1"/>
  <c r="V365" i="3" s="1"/>
  <c r="V364" i="3" s="1"/>
  <c r="V363" i="3" s="1"/>
  <c r="V362" i="3" s="1"/>
  <c r="V361" i="3" s="1"/>
  <c r="V360" i="3" s="1"/>
  <c r="V359" i="3" s="1"/>
  <c r="V358" i="3" s="1"/>
  <c r="V357" i="3" s="1"/>
  <c r="V356" i="3" s="1"/>
  <c r="V355" i="3" s="1"/>
  <c r="V2047" i="3"/>
  <c r="V2046" i="3" s="1"/>
  <c r="V2045" i="3" s="1"/>
  <c r="V2044" i="3" s="1"/>
  <c r="V2043" i="3" s="1"/>
  <c r="V2042" i="3" s="1"/>
  <c r="V2041" i="3" s="1"/>
  <c r="V2040" i="3" s="1"/>
  <c r="V2039" i="3" s="1"/>
  <c r="V2048" i="3" s="1"/>
  <c r="V2721" i="3"/>
  <c r="V2720" i="3" s="1"/>
  <c r="V2719" i="3" s="1"/>
  <c r="V2718" i="3" s="1"/>
  <c r="V2717" i="3" s="1"/>
  <c r="V2716" i="3" s="1"/>
  <c r="V2715" i="3" s="1"/>
  <c r="V2714" i="3" s="1"/>
  <c r="V2713" i="3" s="1"/>
  <c r="V3667" i="3"/>
  <c r="V3666" i="3" s="1"/>
  <c r="V3665" i="3" s="1"/>
  <c r="V3664" i="3" s="1"/>
  <c r="V3663" i="3" s="1"/>
  <c r="V3662" i="3" s="1"/>
  <c r="V3661" i="3" s="1"/>
  <c r="V3660" i="3" s="1"/>
  <c r="V3659" i="3" s="1"/>
  <c r="V3668" i="3" s="1"/>
  <c r="V3758" i="3"/>
  <c r="V3757" i="3" s="1"/>
  <c r="V3756" i="3" s="1"/>
  <c r="V3755" i="3" s="1"/>
  <c r="V3754" i="3" s="1"/>
  <c r="V3753" i="3" s="1"/>
  <c r="V3752" i="3" s="1"/>
  <c r="V3751" i="3" s="1"/>
  <c r="V3750" i="3" s="1"/>
  <c r="V3749" i="3" s="1"/>
  <c r="V3748" i="3" s="1"/>
  <c r="V3747" i="3" s="1"/>
  <c r="V3746" i="3" s="1"/>
  <c r="V3745" i="3" s="1"/>
  <c r="V3744" i="3" s="1"/>
  <c r="V3743" i="3" s="1"/>
  <c r="V3742" i="3" s="1"/>
  <c r="V3741" i="3" s="1"/>
  <c r="V3740" i="3" s="1"/>
  <c r="V3739" i="3" s="1"/>
  <c r="V3738" i="3" s="1"/>
  <c r="V3737" i="3" s="1"/>
  <c r="V3736" i="3" s="1"/>
  <c r="V3735" i="3" s="1"/>
  <c r="V3734" i="3" s="1"/>
  <c r="V3733" i="3" s="1"/>
  <c r="V3732" i="3" s="1"/>
  <c r="V3731" i="3" s="1"/>
  <c r="V3730" i="3" s="1"/>
  <c r="V3729" i="3" s="1"/>
  <c r="V3728" i="3" s="1"/>
  <c r="V3727" i="3" s="1"/>
  <c r="V3726" i="3" s="1"/>
  <c r="V3725" i="3" s="1"/>
  <c r="V3724" i="3" s="1"/>
  <c r="V3723" i="3" s="1"/>
  <c r="V3722" i="3" s="1"/>
  <c r="V3721" i="3" s="1"/>
  <c r="V3720" i="3" s="1"/>
  <c r="V3719" i="3" s="1"/>
  <c r="V3718" i="3" s="1"/>
  <c r="V3717" i="3" s="1"/>
  <c r="V3716" i="3" s="1"/>
  <c r="V3715" i="3" s="1"/>
  <c r="V3714" i="3" s="1"/>
  <c r="V3759" i="3" s="1"/>
  <c r="V1907" i="3"/>
  <c r="V1906" i="3" s="1"/>
  <c r="V1905" i="3" s="1"/>
  <c r="V1904" i="3" s="1"/>
  <c r="V1903" i="3" s="1"/>
  <c r="V1902" i="3" s="1"/>
  <c r="V1901" i="3" s="1"/>
  <c r="V1900" i="3" s="1"/>
  <c r="V1899" i="3" s="1"/>
  <c r="V1908" i="3" s="1"/>
  <c r="V3043" i="3"/>
  <c r="V3042" i="3" s="1"/>
  <c r="V3041" i="3" s="1"/>
  <c r="V3040" i="3" s="1"/>
  <c r="V3038" i="3" s="1"/>
  <c r="V3037" i="3" s="1"/>
  <c r="V3036" i="3" s="1"/>
  <c r="V3035" i="3" s="1"/>
  <c r="V3127" i="3"/>
  <c r="V3126" i="3" s="1"/>
  <c r="V3125" i="3" s="1"/>
  <c r="V3124" i="3" s="1"/>
  <c r="V3123" i="3" s="1"/>
  <c r="V3122" i="3" s="1"/>
  <c r="V3121" i="3" s="1"/>
  <c r="V3120" i="3" s="1"/>
  <c r="V3119" i="3" s="1"/>
  <c r="V3128" i="3" s="1"/>
  <c r="V3395" i="3"/>
  <c r="V3394" i="3" s="1"/>
  <c r="V3393" i="3" s="1"/>
  <c r="V3392" i="3" s="1"/>
  <c r="V3391" i="3" s="1"/>
  <c r="V3390" i="3" s="1"/>
  <c r="V3389" i="3" s="1"/>
  <c r="V3388" i="3" s="1"/>
  <c r="V3387" i="3" s="1"/>
  <c r="V3396" i="3" s="1"/>
  <c r="V2019" i="3"/>
  <c r="V2018" i="3" s="1"/>
  <c r="V2017" i="3" s="1"/>
  <c r="V2016" i="3" s="1"/>
  <c r="V2015" i="3" s="1"/>
  <c r="V2014" i="3" s="1"/>
  <c r="V2013" i="3" s="1"/>
  <c r="V2012" i="3" s="1"/>
  <c r="V2011" i="3" s="1"/>
  <c r="V2020" i="3" s="1"/>
  <c r="V946" i="3"/>
  <c r="V945" i="3" s="1"/>
  <c r="V944" i="3" s="1"/>
  <c r="V943" i="3" s="1"/>
  <c r="V942" i="3" s="1"/>
  <c r="V941" i="3" s="1"/>
  <c r="V940" i="3" s="1"/>
  <c r="V939" i="3" s="1"/>
  <c r="V938" i="3" s="1"/>
  <c r="V937" i="3" s="1"/>
  <c r="V936" i="3" s="1"/>
  <c r="V935" i="3" s="1"/>
  <c r="V934" i="3" s="1"/>
  <c r="V933" i="3" s="1"/>
  <c r="V932" i="3" s="1"/>
  <c r="V931" i="3" s="1"/>
  <c r="V930" i="3" s="1"/>
  <c r="V929" i="3" s="1"/>
  <c r="V928" i="3" s="1"/>
  <c r="V927" i="3" s="1"/>
  <c r="V926" i="3" s="1"/>
  <c r="V925" i="3" s="1"/>
  <c r="V924" i="3" s="1"/>
  <c r="V923" i="3" s="1"/>
  <c r="V922" i="3" s="1"/>
  <c r="V921" i="3" s="1"/>
  <c r="V920" i="3" s="1"/>
  <c r="V919" i="3" s="1"/>
  <c r="V918" i="3" s="1"/>
  <c r="V917" i="3" s="1"/>
  <c r="V916" i="3" s="1"/>
  <c r="V915" i="3" s="1"/>
  <c r="V914" i="3" s="1"/>
  <c r="V913" i="3" s="1"/>
  <c r="V912" i="3" s="1"/>
  <c r="V911" i="3" s="1"/>
  <c r="V910" i="3" s="1"/>
  <c r="V909" i="3" s="1"/>
  <c r="V908" i="3" s="1"/>
  <c r="V907" i="3" s="1"/>
  <c r="V906" i="3" s="1"/>
  <c r="V905" i="3" s="1"/>
  <c r="V904" i="3" s="1"/>
  <c r="V903" i="3" s="1"/>
  <c r="V902" i="3" s="1"/>
  <c r="V901" i="3" s="1"/>
  <c r="V900" i="3" s="1"/>
  <c r="V899" i="3" s="1"/>
  <c r="V898" i="3" s="1"/>
  <c r="V897" i="3" s="1"/>
  <c r="V896" i="3" s="1"/>
  <c r="V895" i="3" s="1"/>
  <c r="V894" i="3" s="1"/>
  <c r="V893" i="3" s="1"/>
  <c r="V892" i="3" s="1"/>
  <c r="V891" i="3" s="1"/>
  <c r="V890" i="3" s="1"/>
  <c r="V889" i="3" s="1"/>
  <c r="V888" i="3" s="1"/>
  <c r="V887" i="3" s="1"/>
  <c r="V886" i="3" s="1"/>
  <c r="V885" i="3" s="1"/>
  <c r="V884" i="3" s="1"/>
  <c r="V883" i="3" s="1"/>
  <c r="V882" i="3" s="1"/>
  <c r="V881" i="3" s="1"/>
  <c r="V880" i="3" s="1"/>
  <c r="V879" i="3" s="1"/>
  <c r="V878" i="3" s="1"/>
  <c r="V877" i="3" s="1"/>
  <c r="V876" i="3" s="1"/>
  <c r="V875" i="3" s="1"/>
  <c r="V874" i="3" s="1"/>
  <c r="V873" i="3" s="1"/>
  <c r="V872" i="3" s="1"/>
  <c r="V871" i="3" s="1"/>
  <c r="V870" i="3" s="1"/>
  <c r="V869" i="3" s="1"/>
  <c r="V868" i="3" s="1"/>
  <c r="V867" i="3" s="1"/>
  <c r="V866" i="3" s="1"/>
  <c r="V865" i="3" s="1"/>
  <c r="V864" i="3" s="1"/>
  <c r="V863" i="3" s="1"/>
  <c r="V862" i="3" s="1"/>
  <c r="V861" i="3" s="1"/>
  <c r="V860" i="3" s="1"/>
  <c r="V859" i="3" s="1"/>
  <c r="V858" i="3" s="1"/>
  <c r="V857" i="3" s="1"/>
  <c r="V856" i="3" s="1"/>
  <c r="V855" i="3" s="1"/>
  <c r="V854" i="3" s="1"/>
  <c r="V853" i="3" s="1"/>
  <c r="V852" i="3" s="1"/>
  <c r="V851" i="3" s="1"/>
  <c r="V850" i="3" s="1"/>
  <c r="V849" i="3" s="1"/>
  <c r="V848" i="3" s="1"/>
  <c r="V847" i="3" s="1"/>
  <c r="V846" i="3" s="1"/>
  <c r="V845" i="3" s="1"/>
  <c r="V844" i="3" s="1"/>
  <c r="V843" i="3" s="1"/>
  <c r="V842" i="3" s="1"/>
  <c r="V841" i="3" s="1"/>
  <c r="V840" i="3" s="1"/>
  <c r="V839" i="3" s="1"/>
  <c r="V838" i="3" s="1"/>
  <c r="V837" i="3" s="1"/>
  <c r="V836" i="3" s="1"/>
  <c r="V835" i="3" s="1"/>
  <c r="V834" i="3" s="1"/>
  <c r="V833" i="3" s="1"/>
  <c r="V832" i="3" s="1"/>
  <c r="V831" i="3" s="1"/>
  <c r="V830" i="3" s="1"/>
  <c r="V829" i="3" s="1"/>
  <c r="V828" i="3" s="1"/>
  <c r="V827" i="3" s="1"/>
  <c r="V826" i="3" s="1"/>
  <c r="V825" i="3" s="1"/>
  <c r="V824" i="3" s="1"/>
  <c r="V823" i="3" s="1"/>
  <c r="V822" i="3" s="1"/>
  <c r="V821" i="3" s="1"/>
  <c r="V820" i="3" s="1"/>
  <c r="V819" i="3" s="1"/>
  <c r="V818" i="3" s="1"/>
  <c r="V817" i="3" s="1"/>
  <c r="V816" i="3" s="1"/>
  <c r="V815" i="3" s="1"/>
  <c r="V814" i="3" s="1"/>
  <c r="V813" i="3" s="1"/>
  <c r="V812" i="3" s="1"/>
  <c r="V811" i="3" s="1"/>
  <c r="V810" i="3" s="1"/>
  <c r="V809" i="3" s="1"/>
  <c r="V808" i="3" s="1"/>
  <c r="V807" i="3" s="1"/>
  <c r="V806" i="3" s="1"/>
  <c r="V805" i="3" s="1"/>
  <c r="V804" i="3" s="1"/>
  <c r="V803" i="3" s="1"/>
  <c r="V802" i="3" s="1"/>
  <c r="V801" i="3" s="1"/>
  <c r="V800" i="3" s="1"/>
  <c r="V799" i="3" s="1"/>
  <c r="V798" i="3" s="1"/>
  <c r="V797" i="3" s="1"/>
  <c r="V796" i="3" s="1"/>
  <c r="V795" i="3" s="1"/>
  <c r="V794" i="3" s="1"/>
  <c r="V793" i="3" s="1"/>
  <c r="V792" i="3" s="1"/>
  <c r="V791" i="3" s="1"/>
  <c r="V790" i="3" s="1"/>
  <c r="V789" i="3" s="1"/>
  <c r="V788" i="3" s="1"/>
  <c r="V787" i="3" s="1"/>
  <c r="V786" i="3" s="1"/>
  <c r="V785" i="3" s="1"/>
  <c r="V784" i="3" s="1"/>
  <c r="V783" i="3" s="1"/>
  <c r="V782" i="3" s="1"/>
  <c r="V781" i="3" s="1"/>
  <c r="V780" i="3" s="1"/>
  <c r="V779" i="3" s="1"/>
  <c r="V778" i="3" s="1"/>
  <c r="V777" i="3" s="1"/>
  <c r="V776" i="3" s="1"/>
  <c r="V775" i="3" s="1"/>
  <c r="V774" i="3" s="1"/>
  <c r="V773" i="3" s="1"/>
  <c r="V772" i="3" s="1"/>
  <c r="V771" i="3" s="1"/>
  <c r="V770" i="3" s="1"/>
  <c r="V769" i="3" s="1"/>
  <c r="V768" i="3" s="1"/>
  <c r="V767" i="3" s="1"/>
  <c r="V766" i="3" s="1"/>
  <c r="V765" i="3" s="1"/>
  <c r="V764" i="3" s="1"/>
  <c r="V763" i="3" s="1"/>
  <c r="V762" i="3" s="1"/>
  <c r="V761" i="3" s="1"/>
  <c r="V760" i="3" s="1"/>
  <c r="V759" i="3" s="1"/>
  <c r="V758" i="3" s="1"/>
  <c r="V757" i="3" s="1"/>
  <c r="V756" i="3" s="1"/>
  <c r="V755" i="3" s="1"/>
  <c r="V754" i="3" s="1"/>
  <c r="V753" i="3" s="1"/>
  <c r="V752" i="3" s="1"/>
  <c r="V751" i="3" s="1"/>
  <c r="V750" i="3" s="1"/>
  <c r="V749" i="3" s="1"/>
  <c r="V748" i="3" s="1"/>
  <c r="V747" i="3" s="1"/>
  <c r="V746" i="3" s="1"/>
  <c r="V745" i="3" s="1"/>
  <c r="V744" i="3" s="1"/>
  <c r="V743" i="3" s="1"/>
  <c r="V742" i="3" s="1"/>
  <c r="V741" i="3" s="1"/>
  <c r="V740" i="3" s="1"/>
  <c r="V739" i="3" s="1"/>
  <c r="V738" i="3" s="1"/>
  <c r="V737" i="3" s="1"/>
  <c r="V736" i="3" s="1"/>
  <c r="V735" i="3" s="1"/>
  <c r="V734" i="3" s="1"/>
  <c r="V733" i="3" s="1"/>
  <c r="V732" i="3" s="1"/>
  <c r="V731" i="3" s="1"/>
  <c r="V730" i="3" s="1"/>
  <c r="V729" i="3" s="1"/>
  <c r="V728" i="3" s="1"/>
  <c r="V727" i="3" s="1"/>
  <c r="V726" i="3" s="1"/>
  <c r="V725" i="3" s="1"/>
  <c r="V724" i="3" s="1"/>
  <c r="V723" i="3" s="1"/>
  <c r="V722" i="3" s="1"/>
  <c r="V721" i="3" s="1"/>
  <c r="V720" i="3" s="1"/>
  <c r="V719" i="3" s="1"/>
  <c r="V718" i="3" s="1"/>
  <c r="V717" i="3" s="1"/>
  <c r="V716" i="3" s="1"/>
  <c r="V715" i="3" s="1"/>
  <c r="V714" i="3" s="1"/>
  <c r="V713" i="3" s="1"/>
  <c r="V712" i="3" s="1"/>
  <c r="V711" i="3" s="1"/>
  <c r="V710" i="3" s="1"/>
  <c r="V709" i="3" s="1"/>
  <c r="V708" i="3" s="1"/>
  <c r="V707" i="3" s="1"/>
  <c r="V706" i="3" s="1"/>
  <c r="V705" i="3" s="1"/>
  <c r="V704" i="3" s="1"/>
  <c r="V703" i="3" s="1"/>
  <c r="V702" i="3" s="1"/>
  <c r="V701" i="3" s="1"/>
  <c r="V700" i="3" s="1"/>
  <c r="V699" i="3" s="1"/>
  <c r="V698" i="3" s="1"/>
  <c r="V697" i="3" s="1"/>
  <c r="V696" i="3" s="1"/>
  <c r="V695" i="3" s="1"/>
  <c r="V694" i="3" s="1"/>
  <c r="V693" i="3" s="1"/>
  <c r="V692" i="3" s="1"/>
  <c r="V691" i="3" s="1"/>
  <c r="V690" i="3" s="1"/>
  <c r="V689" i="3" s="1"/>
  <c r="V688" i="3" s="1"/>
  <c r="V687" i="3" s="1"/>
  <c r="V686" i="3" s="1"/>
  <c r="V685" i="3" s="1"/>
  <c r="V684" i="3" s="1"/>
  <c r="V683" i="3" s="1"/>
  <c r="V682" i="3" s="1"/>
  <c r="V681" i="3" s="1"/>
  <c r="V680" i="3" s="1"/>
  <c r="V679" i="3" s="1"/>
  <c r="V678" i="3" s="1"/>
  <c r="V677" i="3" s="1"/>
  <c r="V676" i="3" s="1"/>
  <c r="V675" i="3" s="1"/>
  <c r="V674" i="3" s="1"/>
  <c r="V673" i="3" s="1"/>
  <c r="V672" i="3" s="1"/>
  <c r="V671" i="3" s="1"/>
  <c r="V670" i="3" s="1"/>
  <c r="V669" i="3" s="1"/>
  <c r="V668" i="3" s="1"/>
  <c r="V667" i="3" s="1"/>
  <c r="V666" i="3" s="1"/>
  <c r="V665" i="3" s="1"/>
  <c r="V664" i="3" s="1"/>
  <c r="V663" i="3" s="1"/>
  <c r="V662" i="3" s="1"/>
  <c r="V661" i="3" s="1"/>
  <c r="V660" i="3" s="1"/>
  <c r="V659" i="3" s="1"/>
  <c r="V658" i="3" s="1"/>
  <c r="V657" i="3" s="1"/>
  <c r="V656" i="3" s="1"/>
  <c r="V655" i="3" s="1"/>
  <c r="V654" i="3" s="1"/>
  <c r="V653" i="3" s="1"/>
  <c r="V652" i="3" s="1"/>
  <c r="V651" i="3" s="1"/>
  <c r="V650" i="3" s="1"/>
  <c r="V649" i="3" s="1"/>
  <c r="V648" i="3" s="1"/>
  <c r="V647" i="3" s="1"/>
  <c r="V646" i="3" s="1"/>
  <c r="V645" i="3" s="1"/>
  <c r="V644" i="3" s="1"/>
  <c r="V643" i="3" s="1"/>
  <c r="V642" i="3" s="1"/>
  <c r="V641" i="3" s="1"/>
  <c r="V640" i="3" s="1"/>
  <c r="V639" i="3" s="1"/>
  <c r="V638" i="3" s="1"/>
  <c r="V637" i="3" s="1"/>
  <c r="V636" i="3" s="1"/>
  <c r="V635" i="3" s="1"/>
  <c r="V634" i="3" s="1"/>
  <c r="V633" i="3" s="1"/>
  <c r="V632" i="3" s="1"/>
  <c r="V631" i="3" s="1"/>
  <c r="V630" i="3" s="1"/>
  <c r="V629" i="3" s="1"/>
  <c r="V628" i="3" s="1"/>
  <c r="V627" i="3" s="1"/>
  <c r="V626" i="3" s="1"/>
  <c r="V625" i="3" s="1"/>
  <c r="V624" i="3" s="1"/>
  <c r="V623" i="3" s="1"/>
  <c r="V622" i="3" s="1"/>
  <c r="V621" i="3" s="1"/>
  <c r="V620" i="3" s="1"/>
  <c r="V619" i="3" s="1"/>
  <c r="V618" i="3" s="1"/>
  <c r="V617" i="3" s="1"/>
  <c r="V616" i="3" s="1"/>
  <c r="V615" i="3" s="1"/>
  <c r="V614" i="3" s="1"/>
  <c r="V613" i="3" s="1"/>
  <c r="V612" i="3" s="1"/>
  <c r="V611" i="3" s="1"/>
  <c r="V610" i="3" s="1"/>
  <c r="V609" i="3" s="1"/>
  <c r="V608" i="3" s="1"/>
  <c r="V607" i="3" s="1"/>
  <c r="V606" i="3" s="1"/>
  <c r="V605" i="3" s="1"/>
  <c r="V604" i="3" s="1"/>
  <c r="V603" i="3" s="1"/>
  <c r="V602" i="3" s="1"/>
  <c r="V601" i="3" s="1"/>
  <c r="V600" i="3" s="1"/>
  <c r="V599" i="3" s="1"/>
  <c r="V598" i="3" s="1"/>
  <c r="V597" i="3" s="1"/>
  <c r="V596" i="3" s="1"/>
  <c r="V595" i="3" s="1"/>
  <c r="V594" i="3" s="1"/>
  <c r="V593" i="3" s="1"/>
  <c r="V592" i="3" s="1"/>
  <c r="V591" i="3" s="1"/>
  <c r="V590" i="3" s="1"/>
  <c r="V589" i="3" s="1"/>
  <c r="V588" i="3" s="1"/>
  <c r="V947" i="3" s="1"/>
  <c r="V2579" i="3"/>
  <c r="V2578" i="3" s="1"/>
  <c r="V2577" i="3" s="1"/>
  <c r="V2576" i="3" s="1"/>
  <c r="V2575" i="3" s="1"/>
  <c r="V2574" i="3" s="1"/>
  <c r="V2573" i="3" s="1"/>
  <c r="V2572" i="3" s="1"/>
  <c r="V2571" i="3" s="1"/>
  <c r="V2580" i="3" s="1"/>
  <c r="V3788" i="3"/>
  <c r="V3787" i="3" s="1"/>
  <c r="V3786" i="3" s="1"/>
  <c r="V3785" i="3" s="1"/>
  <c r="V3784" i="3" s="1"/>
  <c r="V3783" i="3" s="1"/>
  <c r="V3782" i="3" s="1"/>
  <c r="V3781" i="3" s="1"/>
  <c r="V3780" i="3" s="1"/>
  <c r="V3789" i="3" s="1"/>
  <c r="V1969" i="3"/>
  <c r="V1968" i="3" s="1"/>
  <c r="V1967" i="3" s="1"/>
  <c r="V1966" i="3" s="1"/>
  <c r="V1965" i="3" s="1"/>
  <c r="V1964" i="3" s="1"/>
  <c r="V1963" i="3" s="1"/>
  <c r="V1962" i="3" s="1"/>
  <c r="V1961" i="3" s="1"/>
  <c r="V1960" i="3" s="1"/>
  <c r="V1959" i="3" s="1"/>
  <c r="V1958" i="3" s="1"/>
  <c r="V1957" i="3" s="1"/>
  <c r="V1956" i="3" s="1"/>
  <c r="V1955" i="3" s="1"/>
  <c r="V1954" i="3" s="1"/>
  <c r="V1953" i="3" s="1"/>
  <c r="V1952" i="3" s="1"/>
  <c r="V1951" i="3" s="1"/>
  <c r="V1950" i="3" s="1"/>
  <c r="V1949" i="3" s="1"/>
  <c r="V1970" i="3" s="1"/>
  <c r="V3677" i="3"/>
  <c r="V3676" i="3" s="1"/>
  <c r="V3675" i="3" s="1"/>
  <c r="V3674" i="3" s="1"/>
  <c r="V3673" i="3" s="1"/>
  <c r="V3672" i="3" s="1"/>
  <c r="V3671" i="3" s="1"/>
  <c r="V3670" i="3" s="1"/>
  <c r="V3669" i="3" s="1"/>
  <c r="V3678" i="3" s="1"/>
  <c r="V3456" i="3"/>
  <c r="V3455" i="3" s="1"/>
  <c r="V3454" i="3" s="1"/>
  <c r="V3453" i="3" s="1"/>
  <c r="V3452" i="3" s="1"/>
  <c r="V3451" i="3" s="1"/>
  <c r="V3450" i="3" s="1"/>
  <c r="V3449" i="3" s="1"/>
  <c r="V3448" i="3" s="1"/>
  <c r="V3457" i="3" s="1"/>
  <c r="V1887" i="3"/>
  <c r="V1886" i="3" s="1"/>
  <c r="V1885" i="3" s="1"/>
  <c r="V1884" i="3" s="1"/>
  <c r="V1883" i="3" s="1"/>
  <c r="V1882" i="3" s="1"/>
  <c r="V1881" i="3" s="1"/>
  <c r="V1880" i="3" s="1"/>
  <c r="V1879" i="3" s="1"/>
  <c r="V1888" i="3" s="1"/>
  <c r="V3486" i="3"/>
  <c r="V3485" i="3" s="1"/>
  <c r="V3484" i="3" s="1"/>
  <c r="V3483" i="3" s="1"/>
  <c r="V3482" i="3" s="1"/>
  <c r="V3481" i="3" s="1"/>
  <c r="V3480" i="3" s="1"/>
  <c r="V3479" i="3" s="1"/>
  <c r="V3478" i="3" s="1"/>
  <c r="V3487" i="3" s="1"/>
  <c r="V53" i="3"/>
  <c r="V52" i="3" s="1"/>
  <c r="V51" i="3" s="1"/>
  <c r="V50" i="3" s="1"/>
  <c r="V49" i="3" s="1"/>
  <c r="V48" i="3" s="1"/>
  <c r="V47" i="3" s="1"/>
  <c r="V46" i="3" s="1"/>
  <c r="V45" i="3" s="1"/>
  <c r="V54" i="3" s="1"/>
  <c r="V2079" i="3"/>
  <c r="V2078" i="3" s="1"/>
  <c r="V2077" i="3" s="1"/>
  <c r="V2076" i="3" s="1"/>
  <c r="V2075" i="3" s="1"/>
  <c r="V2074" i="3" s="1"/>
  <c r="V2073" i="3" s="1"/>
  <c r="V2072" i="3" s="1"/>
  <c r="V2071" i="3" s="1"/>
  <c r="V2080" i="3" s="1"/>
  <c r="V2834" i="3"/>
  <c r="V2833" i="3" s="1"/>
  <c r="V2832" i="3" s="1"/>
  <c r="V2831" i="3" s="1"/>
  <c r="V2830" i="3" s="1"/>
  <c r="V2829" i="3" s="1"/>
  <c r="V2828" i="3" s="1"/>
  <c r="V2827" i="3" s="1"/>
  <c r="V2826" i="3" s="1"/>
  <c r="V2835" i="3" s="1"/>
  <c r="V23" i="3"/>
  <c r="V22" i="3" s="1"/>
  <c r="V21" i="3" s="1"/>
  <c r="V20" i="3" s="1"/>
  <c r="V19" i="3" s="1"/>
  <c r="V18" i="3" s="1"/>
  <c r="V17" i="3" s="1"/>
  <c r="V16" i="3" s="1"/>
  <c r="V15" i="3" s="1"/>
  <c r="V3053" i="3"/>
  <c r="V3052" i="3" s="1"/>
  <c r="V3051" i="3" s="1"/>
  <c r="V3050" i="3" s="1"/>
  <c r="V3049" i="3" s="1"/>
  <c r="V3048" i="3" s="1"/>
  <c r="V3047" i="3" s="1"/>
  <c r="V3046" i="3" s="1"/>
  <c r="V3045" i="3" s="1"/>
  <c r="V3054" i="3" s="1"/>
  <c r="V3425" i="3"/>
  <c r="V3424" i="3" s="1"/>
  <c r="V3423" i="3" s="1"/>
  <c r="V3422" i="3" s="1"/>
  <c r="V3421" i="3" s="1"/>
  <c r="V3420" i="3" s="1"/>
  <c r="V3419" i="3" s="1"/>
  <c r="V3418" i="3" s="1"/>
  <c r="V3417" i="3" s="1"/>
  <c r="V3426" i="3" s="1"/>
  <c r="V2362" i="3"/>
  <c r="V2361" i="3" s="1"/>
  <c r="V2360" i="3" s="1"/>
  <c r="V2359" i="3" s="1"/>
  <c r="V2358" i="3" s="1"/>
  <c r="V2357" i="3" s="1"/>
  <c r="V2356" i="3" s="1"/>
  <c r="V2355" i="3" s="1"/>
  <c r="V2354" i="3" s="1"/>
  <c r="V3087" i="3"/>
  <c r="V3086" i="3" s="1"/>
  <c r="V3085" i="3" s="1"/>
  <c r="V3084" i="3" s="1"/>
  <c r="V3083" i="3" s="1"/>
  <c r="V3082" i="3" s="1"/>
  <c r="V3081" i="3" s="1"/>
  <c r="V3080" i="3" s="1"/>
  <c r="V3079" i="3" s="1"/>
  <c r="V3078" i="3" s="1"/>
  <c r="V3077" i="3" s="1"/>
  <c r="V3088" i="3" s="1"/>
  <c r="V2350" i="3"/>
  <c r="V2349" i="3" s="1"/>
  <c r="V2348" i="3" s="1"/>
  <c r="V2347" i="3" s="1"/>
  <c r="V2346" i="3" s="1"/>
  <c r="V2345" i="3" s="1"/>
  <c r="V2344" i="3" s="1"/>
  <c r="V2343" i="3" s="1"/>
  <c r="V2342" i="3" s="1"/>
  <c r="V2341" i="3" s="1"/>
  <c r="V2340" i="3" s="1"/>
  <c r="V2339" i="3" s="1"/>
  <c r="V2338" i="3" s="1"/>
  <c r="V2337" i="3" s="1"/>
  <c r="V2336" i="3" s="1"/>
  <c r="V2335" i="3" s="1"/>
  <c r="V2334" i="3" s="1"/>
  <c r="V2333" i="3" s="1"/>
  <c r="V2332" i="3" s="1"/>
  <c r="V2331" i="3" s="1"/>
  <c r="V2330" i="3" s="1"/>
  <c r="V2329" i="3" s="1"/>
  <c r="V2328" i="3" s="1"/>
  <c r="V2327" i="3" s="1"/>
  <c r="V2326" i="3" s="1"/>
  <c r="V2351" i="3" s="1"/>
  <c r="V3137" i="3"/>
  <c r="V3136" i="3" s="1"/>
  <c r="V3135" i="3" s="1"/>
  <c r="V3134" i="3" s="1"/>
  <c r="V3133" i="3" s="1"/>
  <c r="V3132" i="3" s="1"/>
  <c r="V3131" i="3" s="1"/>
  <c r="V3130" i="3" s="1"/>
  <c r="V3129" i="3" s="1"/>
  <c r="V3138" i="3" s="1"/>
  <c r="V2535" i="3"/>
  <c r="V2534" i="3" s="1"/>
  <c r="V2533" i="3" s="1"/>
  <c r="V2532" i="3" s="1"/>
  <c r="V2531" i="3" s="1"/>
  <c r="V2530" i="3" s="1"/>
  <c r="V2529" i="3" s="1"/>
  <c r="V2528" i="3" s="1"/>
  <c r="V2527" i="3" s="1"/>
  <c r="V2536" i="3" s="1"/>
  <c r="V2589" i="3"/>
  <c r="V2588" i="3" s="1"/>
  <c r="V2587" i="3" s="1"/>
  <c r="V2586" i="3" s="1"/>
  <c r="V2585" i="3" s="1"/>
  <c r="V2584" i="3" s="1"/>
  <c r="V2583" i="3" s="1"/>
  <c r="V2582" i="3" s="1"/>
  <c r="V2581" i="3" s="1"/>
  <c r="V2590" i="3" s="1"/>
  <c r="V2406" i="3"/>
  <c r="V2405" i="3" s="1"/>
  <c r="V2404" i="3" s="1"/>
  <c r="V2403" i="3" s="1"/>
  <c r="V2402" i="3" s="1"/>
  <c r="V2401" i="3" s="1"/>
  <c r="V2400" i="3" s="1"/>
  <c r="V2399" i="3" s="1"/>
  <c r="V2398" i="3" s="1"/>
  <c r="V2407" i="3" s="1"/>
  <c r="V1937" i="3"/>
  <c r="V1936" i="3" s="1"/>
  <c r="V1935" i="3" s="1"/>
  <c r="V1934" i="3" s="1"/>
  <c r="V1933" i="3" s="1"/>
  <c r="V1932" i="3" s="1"/>
  <c r="V1931" i="3" s="1"/>
  <c r="V1930" i="3" s="1"/>
  <c r="V1929" i="3" s="1"/>
  <c r="V1938" i="3" s="1"/>
  <c r="V1815" i="3"/>
  <c r="V1814" i="3" s="1"/>
  <c r="V1813" i="3" s="1"/>
  <c r="V1812" i="3" s="1"/>
  <c r="V1811" i="3" s="1"/>
  <c r="V1810" i="3" s="1"/>
  <c r="V1809" i="3" s="1"/>
  <c r="V1808" i="3" s="1"/>
  <c r="V1807" i="3" s="1"/>
  <c r="V1806" i="3" s="1"/>
  <c r="V1805" i="3" s="1"/>
  <c r="V1804" i="3" s="1"/>
  <c r="V1803" i="3" s="1"/>
  <c r="V1802" i="3" s="1"/>
  <c r="V1801" i="3" s="1"/>
  <c r="V1800" i="3" s="1"/>
  <c r="V1799" i="3" s="1"/>
  <c r="V1798" i="3" s="1"/>
  <c r="V1797" i="3" s="1"/>
  <c r="V1796" i="3" s="1"/>
  <c r="V1795" i="3" s="1"/>
  <c r="V1794" i="3" s="1"/>
  <c r="V1793" i="3" s="1"/>
  <c r="V1792" i="3" s="1"/>
  <c r="V1791" i="3" s="1"/>
  <c r="V1790" i="3" s="1"/>
  <c r="V1789" i="3" s="1"/>
  <c r="V1788" i="3" s="1"/>
  <c r="V1787" i="3" s="1"/>
  <c r="V1786" i="3" s="1"/>
  <c r="V1785" i="3" s="1"/>
  <c r="V1784" i="3" s="1"/>
  <c r="V1816" i="3" s="1"/>
  <c r="V3863" i="3"/>
  <c r="V3862" i="3" s="1"/>
  <c r="V3861" i="3" s="1"/>
  <c r="V3860" i="3" s="1"/>
  <c r="V3859" i="3" s="1"/>
  <c r="V3858" i="3" s="1"/>
  <c r="V3857" i="3" s="1"/>
  <c r="V3856" i="3" s="1"/>
  <c r="V3855" i="3" s="1"/>
  <c r="V3854" i="3" s="1"/>
  <c r="V3853" i="3" s="1"/>
  <c r="V3852" i="3" s="1"/>
  <c r="V3851" i="3" s="1"/>
  <c r="V3850" i="3" s="1"/>
  <c r="V3849" i="3" s="1"/>
  <c r="V3848" i="3" s="1"/>
  <c r="V3847" i="3" s="1"/>
  <c r="V3846" i="3" s="1"/>
  <c r="V3864" i="3" s="1"/>
  <c r="V1857" i="3"/>
  <c r="V1856" i="3" s="1"/>
  <c r="V1855" i="3" s="1"/>
  <c r="V1854" i="3" s="1"/>
  <c r="V1853" i="3" s="1"/>
  <c r="V1852" i="3" s="1"/>
  <c r="V1851" i="3" s="1"/>
  <c r="V1850" i="3" s="1"/>
  <c r="V1849" i="3" s="1"/>
  <c r="V1858" i="3" s="1"/>
  <c r="V3075" i="3"/>
  <c r="V3074" i="3" s="1"/>
  <c r="V3073" i="3" s="1"/>
  <c r="V3072" i="3" s="1"/>
  <c r="V3071" i="3" s="1"/>
  <c r="V3070" i="3" s="1"/>
  <c r="V3069" i="3" s="1"/>
  <c r="V3068" i="3" s="1"/>
  <c r="V3067" i="3" s="1"/>
  <c r="V3066" i="3" s="1"/>
  <c r="V3065" i="3" s="1"/>
  <c r="V3076" i="3" s="1"/>
  <c r="V1917" i="3"/>
  <c r="V1916" i="3" s="1"/>
  <c r="V1915" i="3" s="1"/>
  <c r="V1914" i="3" s="1"/>
  <c r="V1913" i="3" s="1"/>
  <c r="V1912" i="3" s="1"/>
  <c r="V1911" i="3" s="1"/>
  <c r="V1910" i="3" s="1"/>
  <c r="V1909" i="3" s="1"/>
  <c r="V1918" i="3" s="1"/>
  <c r="V3506" i="3"/>
  <c r="V3505" i="3" s="1"/>
  <c r="V3504" i="3" s="1"/>
  <c r="V3503" i="3" s="1"/>
  <c r="V3502" i="3" s="1"/>
  <c r="V3501" i="3" s="1"/>
  <c r="V3500" i="3" s="1"/>
  <c r="V3499" i="3" s="1"/>
  <c r="V3498" i="3" s="1"/>
  <c r="V3507" i="3" s="1"/>
  <c r="V2649" i="3"/>
  <c r="V2648" i="3" s="1"/>
  <c r="V2647" i="3" s="1"/>
  <c r="V2646" i="3" s="1"/>
  <c r="V2645" i="3" s="1"/>
  <c r="V2644" i="3" s="1"/>
  <c r="V2643" i="3" s="1"/>
  <c r="V2642" i="3" s="1"/>
  <c r="V2641" i="3" s="1"/>
  <c r="V2650" i="3" s="1"/>
  <c r="V1826" i="3"/>
  <c r="V1825" i="3" s="1"/>
  <c r="V1824" i="3" s="1"/>
  <c r="V1823" i="3" s="1"/>
  <c r="V1822" i="3" s="1"/>
  <c r="V1821" i="3" s="1"/>
  <c r="V1820" i="3" s="1"/>
  <c r="V1819" i="3" s="1"/>
  <c r="V1818" i="3" s="1"/>
  <c r="V1827" i="3" s="1"/>
  <c r="V1817" i="3" s="1"/>
  <c r="V3340" i="3"/>
  <c r="V3339" i="3" s="1"/>
  <c r="V3338" i="3" s="1"/>
  <c r="V3337" i="3" s="1"/>
  <c r="V3336" i="3" s="1"/>
  <c r="V3335" i="3" s="1"/>
  <c r="V3334" i="3" s="1"/>
  <c r="V3333" i="3" s="1"/>
  <c r="V3332" i="3" s="1"/>
  <c r="V3331" i="3" s="1"/>
  <c r="V3341" i="3" s="1"/>
  <c r="V2150" i="3"/>
  <c r="V2149" i="3" s="1"/>
  <c r="V2148" i="3" s="1"/>
  <c r="V2147" i="3" s="1"/>
  <c r="V2146" i="3" s="1"/>
  <c r="V2145" i="3" s="1"/>
  <c r="V2144" i="3" s="1"/>
  <c r="V2143" i="3" s="1"/>
  <c r="V2142" i="3" s="1"/>
  <c r="V2151" i="3" s="1"/>
  <c r="V3353" i="3"/>
  <c r="V3352" i="3" s="1"/>
  <c r="V3351" i="3" s="1"/>
  <c r="V3350" i="3" s="1"/>
  <c r="V3349" i="3" s="1"/>
  <c r="V3348" i="3" s="1"/>
  <c r="V3347" i="3" s="1"/>
  <c r="V3346" i="3" s="1"/>
  <c r="V3345" i="3" s="1"/>
  <c r="V3344" i="3" s="1"/>
  <c r="V3343" i="3" s="1"/>
  <c r="V3342" i="3" s="1"/>
  <c r="V3354" i="3" s="1"/>
  <c r="V2741" i="3"/>
  <c r="V2740" i="3" s="1"/>
  <c r="V2739" i="3" s="1"/>
  <c r="V2738" i="3" s="1"/>
  <c r="V2737" i="3" s="1"/>
  <c r="V2736" i="3" s="1"/>
  <c r="V2735" i="3" s="1"/>
  <c r="V2734" i="3" s="1"/>
  <c r="V2733" i="3" s="1"/>
  <c r="V2742" i="3" s="1"/>
  <c r="V2110" i="3"/>
  <c r="V2109" i="3" s="1"/>
  <c r="V2108" i="3" s="1"/>
  <c r="V2107" i="3" s="1"/>
  <c r="V2106" i="3" s="1"/>
  <c r="V2105" i="3" s="1"/>
  <c r="V2104" i="3" s="1"/>
  <c r="V2103" i="3" s="1"/>
  <c r="V2102" i="3" s="1"/>
  <c r="V2111" i="3" s="1"/>
  <c r="V2599" i="3"/>
  <c r="V2598" i="3" s="1"/>
  <c r="V2597" i="3" s="1"/>
  <c r="V2596" i="3" s="1"/>
  <c r="V2595" i="3" s="1"/>
  <c r="V2594" i="3" s="1"/>
  <c r="V2593" i="3" s="1"/>
  <c r="V2592" i="3" s="1"/>
  <c r="V2591" i="3" s="1"/>
  <c r="V2600" i="3" s="1"/>
  <c r="V1947" i="3"/>
  <c r="V1946" i="3" s="1"/>
  <c r="V1945" i="3" s="1"/>
  <c r="V1944" i="3" s="1"/>
  <c r="V1943" i="3" s="1"/>
  <c r="V1942" i="3" s="1"/>
  <c r="V1941" i="3" s="1"/>
  <c r="V1940" i="3" s="1"/>
  <c r="V1939" i="3" s="1"/>
  <c r="V1948" i="3" s="1"/>
  <c r="V33" i="3"/>
  <c r="V32" i="3" s="1"/>
  <c r="V31" i="3" s="1"/>
  <c r="V30" i="3" s="1"/>
  <c r="V29" i="3" s="1"/>
  <c r="V28" i="3" s="1"/>
  <c r="V27" i="3" s="1"/>
  <c r="V26" i="3" s="1"/>
  <c r="V25" i="3" s="1"/>
  <c r="V34" i="3" s="1"/>
  <c r="V2639" i="3"/>
  <c r="V2638" i="3" s="1"/>
  <c r="V2637" i="3" s="1"/>
  <c r="V2636" i="3" s="1"/>
  <c r="V2635" i="3" s="1"/>
  <c r="V2634" i="3" s="1"/>
  <c r="V2633" i="3" s="1"/>
  <c r="V2632" i="3" s="1"/>
  <c r="V2631" i="3" s="1"/>
  <c r="V2640" i="3" s="1"/>
  <c r="V2100" i="3"/>
  <c r="V2099" i="3" s="1"/>
  <c r="V2098" i="3" s="1"/>
  <c r="V2097" i="3" s="1"/>
  <c r="V2096" i="3" s="1"/>
  <c r="V2095" i="3" s="1"/>
  <c r="V2094" i="3" s="1"/>
  <c r="V2093" i="3" s="1"/>
  <c r="V2092" i="3" s="1"/>
  <c r="V2101" i="3" s="1"/>
  <c r="V2009" i="3"/>
  <c r="V2008" i="3" s="1"/>
  <c r="V2007" i="3" s="1"/>
  <c r="V2006" i="3" s="1"/>
  <c r="V2005" i="3" s="1"/>
  <c r="V2004" i="3" s="1"/>
  <c r="V2003" i="3" s="1"/>
  <c r="V2002" i="3" s="1"/>
  <c r="V2001" i="3" s="1"/>
  <c r="V2010" i="3" s="1"/>
  <c r="V217" i="3"/>
  <c r="V216" i="3" s="1"/>
  <c r="V215" i="3" s="1"/>
  <c r="V214" i="3" s="1"/>
  <c r="V213" i="3" s="1"/>
  <c r="V212" i="3" s="1"/>
  <c r="V211" i="3" s="1"/>
  <c r="V210" i="3" s="1"/>
  <c r="V209" i="3" s="1"/>
  <c r="V208" i="3" s="1"/>
  <c r="V207" i="3" s="1"/>
  <c r="V206" i="3" s="1"/>
  <c r="V205" i="3" s="1"/>
  <c r="V204" i="3" s="1"/>
  <c r="V203" i="3" s="1"/>
  <c r="V202" i="3" s="1"/>
  <c r="V201" i="3" s="1"/>
  <c r="V200" i="3" s="1"/>
  <c r="V199" i="3" s="1"/>
  <c r="V198" i="3" s="1"/>
  <c r="V197" i="3" s="1"/>
  <c r="V196" i="3" s="1"/>
  <c r="V195" i="3" s="1"/>
  <c r="V194" i="3" s="1"/>
  <c r="V193" i="3" s="1"/>
  <c r="V192" i="3" s="1"/>
  <c r="V191" i="3" s="1"/>
  <c r="V190" i="3" s="1"/>
  <c r="V189" i="3" s="1"/>
  <c r="V188" i="3" s="1"/>
  <c r="V187" i="3" s="1"/>
  <c r="V186" i="3" s="1"/>
  <c r="V185" i="3" s="1"/>
  <c r="V184" i="3" s="1"/>
  <c r="V183" i="3" s="1"/>
  <c r="V182" i="3" s="1"/>
  <c r="V181" i="3" s="1"/>
  <c r="V180" i="3" s="1"/>
  <c r="V179" i="3" s="1"/>
  <c r="V178" i="3" s="1"/>
  <c r="V177" i="3" s="1"/>
  <c r="V176" i="3" s="1"/>
  <c r="V175" i="3" s="1"/>
  <c r="V174" i="3" s="1"/>
  <c r="V173" i="3" s="1"/>
  <c r="V172" i="3" s="1"/>
  <c r="V171" i="3" s="1"/>
  <c r="V170" i="3" s="1"/>
  <c r="V169" i="3" s="1"/>
  <c r="V168" i="3" s="1"/>
  <c r="V167" i="3" s="1"/>
  <c r="V166" i="3" s="1"/>
  <c r="V165" i="3" s="1"/>
  <c r="V164" i="3" s="1"/>
  <c r="V163" i="3" s="1"/>
  <c r="V162" i="3" s="1"/>
  <c r="V161" i="3" s="1"/>
  <c r="V160" i="3" s="1"/>
  <c r="V159" i="3" s="1"/>
  <c r="V158" i="3" s="1"/>
  <c r="V218" i="3" s="1"/>
  <c r="V2731" i="3"/>
  <c r="V2730" i="3" s="1"/>
  <c r="V2729" i="3" s="1"/>
  <c r="V2728" i="3" s="1"/>
  <c r="V2727" i="3" s="1"/>
  <c r="V2726" i="3" s="1"/>
  <c r="V2725" i="3" s="1"/>
  <c r="V2724" i="3" s="1"/>
  <c r="V2723" i="3" s="1"/>
  <c r="V2732" i="3" s="1"/>
  <c r="V3516" i="3"/>
  <c r="V3515" i="3" s="1"/>
  <c r="V3514" i="3" s="1"/>
  <c r="V3513" i="3" s="1"/>
  <c r="V3512" i="3" s="1"/>
  <c r="V3511" i="3" s="1"/>
  <c r="V3510" i="3" s="1"/>
  <c r="V3509" i="3" s="1"/>
  <c r="V3508" i="3" s="1"/>
  <c r="V3517" i="3" s="1"/>
  <c r="V2784" i="3"/>
  <c r="V2783" i="3" s="1"/>
  <c r="V2782" i="3" s="1"/>
  <c r="V2781" i="3" s="1"/>
  <c r="V2780" i="3" s="1"/>
  <c r="V2779" i="3" s="1"/>
  <c r="V2778" i="3" s="1"/>
  <c r="V2777" i="3" s="1"/>
  <c r="V2776" i="3" s="1"/>
  <c r="V2090" i="3"/>
  <c r="V2089" i="3" s="1"/>
  <c r="V2088" i="3" s="1"/>
  <c r="V2087" i="3" s="1"/>
  <c r="V2086" i="3" s="1"/>
  <c r="V2085" i="3" s="1"/>
  <c r="V2084" i="3" s="1"/>
  <c r="V2083" i="3" s="1"/>
  <c r="V2082" i="3" s="1"/>
  <c r="V2844" i="3"/>
  <c r="V2843" i="3" s="1"/>
  <c r="V2842" i="3" s="1"/>
  <c r="V2841" i="3" s="1"/>
  <c r="V2840" i="3" s="1"/>
  <c r="V2839" i="3" s="1"/>
  <c r="V2838" i="3" s="1"/>
  <c r="V2837" i="3" s="1"/>
  <c r="V2836" i="3" s="1"/>
  <c r="V2845" i="3" s="1"/>
  <c r="V3798" i="3"/>
  <c r="V3797" i="3" s="1"/>
  <c r="V3796" i="3" s="1"/>
  <c r="V3795" i="3" s="1"/>
  <c r="V3794" i="3" s="1"/>
  <c r="V3793" i="3" s="1"/>
  <c r="V3792" i="3" s="1"/>
  <c r="V3791" i="3" s="1"/>
  <c r="V3790" i="3" s="1"/>
  <c r="V3799" i="3" s="1"/>
  <c r="V3637" i="3"/>
  <c r="V3636" i="3" s="1"/>
  <c r="V3635" i="3" s="1"/>
  <c r="V3634" i="3" s="1"/>
  <c r="V3633" i="3" s="1"/>
  <c r="V3632" i="3" s="1"/>
  <c r="V3631" i="3" s="1"/>
  <c r="V3630" i="3" s="1"/>
  <c r="V3629" i="3" s="1"/>
  <c r="V3638" i="3" s="1"/>
  <c r="V3385" i="3"/>
  <c r="V3384" i="3" s="1"/>
  <c r="V3383" i="3" s="1"/>
  <c r="V3382" i="3" s="1"/>
  <c r="V3381" i="3" s="1"/>
  <c r="V3380" i="3" s="1"/>
  <c r="V3379" i="3" s="1"/>
  <c r="V3378" i="3" s="1"/>
  <c r="V3377" i="3" s="1"/>
  <c r="V3376" i="3" s="1"/>
  <c r="V3375" i="3" s="1"/>
  <c r="V3386" i="3" s="1"/>
  <c r="V3923" i="3"/>
  <c r="V3922" i="3" s="1"/>
  <c r="V3921" i="3" s="1"/>
  <c r="V3920" i="3" s="1"/>
  <c r="V3919" i="3" s="1"/>
  <c r="V3918" i="3" s="1"/>
  <c r="V3917" i="3" s="1"/>
  <c r="V3916" i="3" s="1"/>
  <c r="V3915" i="3" s="1"/>
  <c r="V3924" i="3" s="1"/>
  <c r="V1471" i="3"/>
  <c r="V1470" i="3" s="1"/>
  <c r="V1469" i="3" s="1"/>
  <c r="V1468" i="3" s="1"/>
  <c r="V1467" i="3" s="1"/>
  <c r="V1466" i="3" s="1"/>
  <c r="V1465" i="3" s="1"/>
  <c r="V1464" i="3" s="1"/>
  <c r="V1463" i="3" s="1"/>
  <c r="V1462" i="3" s="1"/>
  <c r="V1461" i="3" s="1"/>
  <c r="V1460" i="3" s="1"/>
  <c r="V1459" i="3" s="1"/>
  <c r="V1458" i="3" s="1"/>
  <c r="V1457" i="3" s="1"/>
  <c r="V1456" i="3" s="1"/>
  <c r="V1455" i="3" s="1"/>
  <c r="V1454" i="3" s="1"/>
  <c r="V1453" i="3" s="1"/>
  <c r="V1452" i="3" s="1"/>
  <c r="V1451" i="3" s="1"/>
  <c r="V1450" i="3" s="1"/>
  <c r="V1449" i="3" s="1"/>
  <c r="V1448" i="3" s="1"/>
  <c r="V1447" i="3" s="1"/>
  <c r="V1446" i="3" s="1"/>
  <c r="V1445" i="3" s="1"/>
  <c r="V1444" i="3" s="1"/>
  <c r="V1443" i="3" s="1"/>
  <c r="V1442" i="3" s="1"/>
  <c r="V1441" i="3" s="1"/>
  <c r="V1440" i="3" s="1"/>
  <c r="V1439" i="3" s="1"/>
  <c r="V1438" i="3" s="1"/>
  <c r="V1437" i="3" s="1"/>
  <c r="V1436" i="3" s="1"/>
  <c r="V1472" i="3" s="1"/>
  <c r="V351" i="3"/>
  <c r="V350" i="3" s="1"/>
  <c r="V349" i="3" s="1"/>
  <c r="V348" i="3" s="1"/>
  <c r="V347" i="3" s="1"/>
  <c r="V346" i="3" s="1"/>
  <c r="V345" i="3" s="1"/>
  <c r="V344" i="3" s="1"/>
  <c r="V343" i="3" s="1"/>
  <c r="V342" i="3" s="1"/>
  <c r="V341" i="3" s="1"/>
  <c r="V340" i="3" s="1"/>
  <c r="V339" i="3" s="1"/>
  <c r="V338" i="3" s="1"/>
  <c r="V337" i="3" s="1"/>
  <c r="V336" i="3" s="1"/>
  <c r="V335" i="3" s="1"/>
  <c r="V334" i="3" s="1"/>
  <c r="V333" i="3" s="1"/>
  <c r="V332" i="3" s="1"/>
  <c r="V331" i="3" s="1"/>
  <c r="V330" i="3" s="1"/>
  <c r="V329" i="3" s="1"/>
  <c r="V328" i="3" s="1"/>
  <c r="V327" i="3" s="1"/>
  <c r="V326" i="3" s="1"/>
  <c r="V325" i="3" s="1"/>
  <c r="V324" i="3" s="1"/>
  <c r="V323" i="3" s="1"/>
  <c r="V322" i="3" s="1"/>
  <c r="V321" i="3" s="1"/>
  <c r="V320" i="3" s="1"/>
  <c r="V319" i="3" s="1"/>
  <c r="V318" i="3" s="1"/>
  <c r="V317" i="3" s="1"/>
  <c r="V316" i="3" s="1"/>
  <c r="V315" i="3" s="1"/>
  <c r="V314" i="3" s="1"/>
  <c r="V313" i="3" s="1"/>
  <c r="V312" i="3" s="1"/>
  <c r="V311" i="3" s="1"/>
  <c r="V310" i="3" s="1"/>
  <c r="V309" i="3" s="1"/>
  <c r="V308" i="3" s="1"/>
  <c r="V307" i="3" s="1"/>
  <c r="V306" i="3" s="1"/>
  <c r="V305" i="3" s="1"/>
  <c r="V304" i="3" s="1"/>
  <c r="V303" i="3" s="1"/>
  <c r="V302" i="3" s="1"/>
  <c r="V301" i="3" s="1"/>
  <c r="V352" i="3" s="1"/>
  <c r="V2669" i="3"/>
  <c r="V2668" i="3" s="1"/>
  <c r="V2667" i="3" s="1"/>
  <c r="V2666" i="3" s="1"/>
  <c r="V2665" i="3" s="1"/>
  <c r="V2664" i="3" s="1"/>
  <c r="V2663" i="3" s="1"/>
  <c r="V2662" i="3" s="1"/>
  <c r="V2661" i="3" s="1"/>
  <c r="V2670" i="3" s="1"/>
  <c r="V2699" i="3"/>
  <c r="V2698" i="3" s="1"/>
  <c r="V2697" i="3" s="1"/>
  <c r="V2696" i="3" s="1"/>
  <c r="V2695" i="3" s="1"/>
  <c r="V2694" i="3" s="1"/>
  <c r="V2693" i="3" s="1"/>
  <c r="V2692" i="3" s="1"/>
  <c r="V2691" i="3" s="1"/>
  <c r="V2700" i="3" s="1"/>
  <c r="V2221" i="3"/>
  <c r="V2220" i="3" s="1"/>
  <c r="V2219" i="3" s="1"/>
  <c r="V2218" i="3" s="1"/>
  <c r="V2217" i="3" s="1"/>
  <c r="V2216" i="3" s="1"/>
  <c r="V2215" i="3" s="1"/>
  <c r="V2214" i="3" s="1"/>
  <c r="V2213" i="3" s="1"/>
  <c r="V2222" i="3" s="1"/>
  <c r="V2212" i="3" s="1"/>
  <c r="V2069" i="3"/>
  <c r="V2068" i="3" s="1"/>
  <c r="V2067" i="3" s="1"/>
  <c r="V2066" i="3" s="1"/>
  <c r="V2065" i="3" s="1"/>
  <c r="V2064" i="3" s="1"/>
  <c r="V2063" i="3" s="1"/>
  <c r="V2062" i="3" s="1"/>
  <c r="V2061" i="3" s="1"/>
  <c r="V3107" i="3"/>
  <c r="V3106" i="3" s="1"/>
  <c r="V3105" i="3" s="1"/>
  <c r="V3104" i="3" s="1"/>
  <c r="V3103" i="3" s="1"/>
  <c r="V3102" i="3" s="1"/>
  <c r="V3101" i="3" s="1"/>
  <c r="V3100" i="3" s="1"/>
  <c r="V3099" i="3" s="1"/>
  <c r="V3108" i="3" s="1"/>
  <c r="V2986" i="3"/>
  <c r="V2985" i="3" s="1"/>
  <c r="V2984" i="3" s="1"/>
  <c r="V2983" i="3" s="1"/>
  <c r="V2982" i="3" s="1"/>
  <c r="V2981" i="3" s="1"/>
  <c r="V2980" i="3" s="1"/>
  <c r="V2979" i="3" s="1"/>
  <c r="V2978" i="3" s="1"/>
  <c r="V2987" i="3" s="1"/>
  <c r="V2710" i="3"/>
  <c r="V2709" i="3" s="1"/>
  <c r="V2708" i="3" s="1"/>
  <c r="V2707" i="3" s="1"/>
  <c r="V2706" i="3" s="1"/>
  <c r="V2705" i="3" s="1"/>
  <c r="V2704" i="3" s="1"/>
  <c r="V2703" i="3" s="1"/>
  <c r="V2702" i="3" s="1"/>
  <c r="V2711" i="3" s="1"/>
  <c r="V2701" i="3" s="1"/>
  <c r="V1837" i="3"/>
  <c r="V1836" i="3" s="1"/>
  <c r="V1835" i="3" s="1"/>
  <c r="V1834" i="3" s="1"/>
  <c r="V1833" i="3" s="1"/>
  <c r="V1832" i="3" s="1"/>
  <c r="V1831" i="3" s="1"/>
  <c r="V1830" i="3" s="1"/>
  <c r="V1829" i="3" s="1"/>
  <c r="V1838" i="3" s="1"/>
  <c r="V1999" i="3"/>
  <c r="V1998" i="3" s="1"/>
  <c r="V1997" i="3" s="1"/>
  <c r="V1996" i="3" s="1"/>
  <c r="V1995" i="3" s="1"/>
  <c r="V1994" i="3" s="1"/>
  <c r="V1993" i="3" s="1"/>
  <c r="V1992" i="3" s="1"/>
  <c r="V1991" i="3" s="1"/>
  <c r="V1990" i="3" s="1"/>
  <c r="V1989" i="3" s="1"/>
  <c r="V2000" i="3" s="1"/>
  <c r="V2936" i="3"/>
  <c r="V2935" i="3" s="1"/>
  <c r="V2934" i="3" s="1"/>
  <c r="V2933" i="3" s="1"/>
  <c r="V2932" i="3" s="1"/>
  <c r="V2931" i="3" s="1"/>
  <c r="V2930" i="3" s="1"/>
  <c r="V2929" i="3" s="1"/>
  <c r="V2928" i="3" s="1"/>
  <c r="V2937" i="3" s="1"/>
  <c r="V1782" i="3"/>
  <c r="V1781" i="3" s="1"/>
  <c r="V1780" i="3" s="1"/>
  <c r="V1779" i="3" s="1"/>
  <c r="V1778" i="3" s="1"/>
  <c r="V1777" i="3" s="1"/>
  <c r="V1776" i="3" s="1"/>
  <c r="V1775" i="3" s="1"/>
  <c r="V1774" i="3" s="1"/>
  <c r="V1773" i="3" s="1"/>
  <c r="V1772" i="3" s="1"/>
  <c r="V1771" i="3" s="1"/>
  <c r="V1770" i="3" s="1"/>
  <c r="V1769" i="3" s="1"/>
  <c r="V1768" i="3" s="1"/>
  <c r="V1767" i="3" s="1"/>
  <c r="V1766" i="3" s="1"/>
  <c r="V1765" i="3" s="1"/>
  <c r="V1764" i="3" s="1"/>
  <c r="V1763" i="3" s="1"/>
  <c r="V1762" i="3" s="1"/>
  <c r="V1761" i="3" s="1"/>
  <c r="V1760" i="3" s="1"/>
  <c r="V1759" i="3" s="1"/>
  <c r="V1758" i="3" s="1"/>
  <c r="V1757" i="3" s="1"/>
  <c r="V1756" i="3" s="1"/>
  <c r="V1755" i="3" s="1"/>
  <c r="V1783" i="3" s="1"/>
  <c r="V1519" i="3"/>
  <c r="V1518" i="3" s="1"/>
  <c r="V1517" i="3" s="1"/>
  <c r="V1516" i="3" s="1"/>
  <c r="V1515" i="3" s="1"/>
  <c r="V1514" i="3" s="1"/>
  <c r="V1513" i="3" s="1"/>
  <c r="V1512" i="3" s="1"/>
  <c r="V1511" i="3" s="1"/>
  <c r="V1520" i="3" s="1"/>
  <c r="V3597" i="3"/>
  <c r="V3596" i="3" s="1"/>
  <c r="V3595" i="3" s="1"/>
  <c r="V3594" i="3" s="1"/>
  <c r="V3593" i="3" s="1"/>
  <c r="V3592" i="3" s="1"/>
  <c r="V3591" i="3" s="1"/>
  <c r="V3590" i="3" s="1"/>
  <c r="V3589" i="3" s="1"/>
  <c r="V3598" i="3" s="1"/>
  <c r="V3526" i="3"/>
  <c r="V3525" i="3" s="1"/>
  <c r="V3524" i="3" s="1"/>
  <c r="V3523" i="3" s="1"/>
  <c r="V3522" i="3" s="1"/>
  <c r="V3521" i="3" s="1"/>
  <c r="V3520" i="3" s="1"/>
  <c r="V3519" i="3" s="1"/>
  <c r="V3518" i="3" s="1"/>
  <c r="V3527" i="3" s="1"/>
  <c r="V3238" i="3"/>
  <c r="V3237" i="3" s="1"/>
  <c r="V3236" i="3" s="1"/>
  <c r="V3235" i="3" s="1"/>
  <c r="V3234" i="3" s="1"/>
  <c r="V3233" i="3" s="1"/>
  <c r="V3232" i="3" s="1"/>
  <c r="V3231" i="3" s="1"/>
  <c r="V3230" i="3" s="1"/>
  <c r="V3239" i="3" s="1"/>
  <c r="V2515" i="3"/>
  <c r="V2514" i="3" s="1"/>
  <c r="V2513" i="3" s="1"/>
  <c r="V2512" i="3" s="1"/>
  <c r="V2511" i="3" s="1"/>
  <c r="V2510" i="3" s="1"/>
  <c r="V2509" i="3" s="1"/>
  <c r="V2508" i="3" s="1"/>
  <c r="V2507" i="3" s="1"/>
  <c r="V2516" i="3" s="1"/>
  <c r="V2629" i="3"/>
  <c r="V2628" i="3" s="1"/>
  <c r="V2627" i="3" s="1"/>
  <c r="V2626" i="3" s="1"/>
  <c r="V2625" i="3" s="1"/>
  <c r="V2624" i="3" s="1"/>
  <c r="V2623" i="3" s="1"/>
  <c r="V2622" i="3" s="1"/>
  <c r="V2621" i="3" s="1"/>
  <c r="V2630" i="3" s="1"/>
  <c r="V2465" i="3"/>
  <c r="V2464" i="3" s="1"/>
  <c r="V2463" i="3" s="1"/>
  <c r="V2462" i="3" s="1"/>
  <c r="V2461" i="3" s="1"/>
  <c r="V2460" i="3" s="1"/>
  <c r="V2459" i="3" s="1"/>
  <c r="V2458" i="3" s="1"/>
  <c r="V2457" i="3" s="1"/>
  <c r="V2466" i="3" s="1"/>
  <c r="V2546" i="3"/>
  <c r="V2545" i="3" s="1"/>
  <c r="V2544" i="3" s="1"/>
  <c r="V2543" i="3" s="1"/>
  <c r="V2542" i="3" s="1"/>
  <c r="V2541" i="3" s="1"/>
  <c r="V2540" i="3" s="1"/>
  <c r="V2539" i="3" s="1"/>
  <c r="V2538" i="3" s="1"/>
  <c r="V2547" i="3" s="1"/>
  <c r="V2864" i="3"/>
  <c r="V2863" i="3" s="1"/>
  <c r="V2862" i="3" s="1"/>
  <c r="V2861" i="3" s="1"/>
  <c r="V2860" i="3" s="1"/>
  <c r="V2859" i="3" s="1"/>
  <c r="V2858" i="3" s="1"/>
  <c r="V2857" i="3" s="1"/>
  <c r="V2856" i="3" s="1"/>
  <c r="V2865" i="3" s="1"/>
  <c r="V3913" i="3"/>
  <c r="V3912" i="3" s="1"/>
  <c r="V3911" i="3" s="1"/>
  <c r="V3910" i="3" s="1"/>
  <c r="V3909" i="3" s="1"/>
  <c r="V3908" i="3" s="1"/>
  <c r="V3907" i="3" s="1"/>
  <c r="V3906" i="3" s="1"/>
  <c r="V3905" i="3" s="1"/>
  <c r="V3914" i="3" s="1"/>
  <c r="V1509" i="3"/>
  <c r="V1508" i="3" s="1"/>
  <c r="V1507" i="3" s="1"/>
  <c r="V1506" i="3" s="1"/>
  <c r="V1505" i="3" s="1"/>
  <c r="V1504" i="3" s="1"/>
  <c r="V1503" i="3" s="1"/>
  <c r="V1502" i="3" s="1"/>
  <c r="V1501" i="3" s="1"/>
  <c r="V1500" i="3" s="1"/>
  <c r="V1499" i="3" s="1"/>
  <c r="V1498" i="3" s="1"/>
  <c r="V1497" i="3" s="1"/>
  <c r="V1496" i="3" s="1"/>
  <c r="V1495" i="3" s="1"/>
  <c r="V1494" i="3" s="1"/>
  <c r="V1493" i="3" s="1"/>
  <c r="V1492" i="3" s="1"/>
  <c r="V1491" i="3" s="1"/>
  <c r="V1490" i="3" s="1"/>
  <c r="V1489" i="3" s="1"/>
  <c r="V1488" i="3" s="1"/>
  <c r="V1487" i="3" s="1"/>
  <c r="V1486" i="3" s="1"/>
  <c r="V1485" i="3" s="1"/>
  <c r="V1484" i="3" s="1"/>
  <c r="V1483" i="3" s="1"/>
  <c r="V1482" i="3" s="1"/>
  <c r="V1481" i="3" s="1"/>
  <c r="V1480" i="3" s="1"/>
  <c r="V1479" i="3" s="1"/>
  <c r="V1478" i="3" s="1"/>
  <c r="V1477" i="3" s="1"/>
  <c r="V1476" i="3" s="1"/>
  <c r="V1475" i="3" s="1"/>
  <c r="V1474" i="3" s="1"/>
  <c r="V1473" i="3" s="1"/>
  <c r="V1510" i="3" s="1"/>
  <c r="V3002" i="3"/>
  <c r="V3001" i="3" s="1"/>
  <c r="V3000" i="3" s="1"/>
  <c r="V2999" i="3" s="1"/>
  <c r="V2998" i="3" s="1"/>
  <c r="V2997" i="3" s="1"/>
  <c r="V2996" i="3" s="1"/>
  <c r="V2995" i="3" s="1"/>
  <c r="V2994" i="3" s="1"/>
  <c r="V2993" i="3" s="1"/>
  <c r="V2992" i="3" s="1"/>
  <c r="V2991" i="3" s="1"/>
  <c r="V2990" i="3" s="1"/>
  <c r="V2989" i="3" s="1"/>
  <c r="V2988" i="3" s="1"/>
  <c r="V3003" i="3" s="1"/>
  <c r="V2689" i="3"/>
  <c r="V2688" i="3" s="1"/>
  <c r="V2687" i="3" s="1"/>
  <c r="V2686" i="3" s="1"/>
  <c r="V2685" i="3" s="1"/>
  <c r="V2684" i="3" s="1"/>
  <c r="V2683" i="3" s="1"/>
  <c r="V2682" i="3" s="1"/>
  <c r="V2681" i="3" s="1"/>
  <c r="V2690" i="3" s="1"/>
  <c r="V2435" i="3"/>
  <c r="V2434" i="3" s="1"/>
  <c r="V2433" i="3" s="1"/>
  <c r="V2432" i="3" s="1"/>
  <c r="V2431" i="3" s="1"/>
  <c r="V2430" i="3" s="1"/>
  <c r="V2429" i="3" s="1"/>
  <c r="V2428" i="3" s="1"/>
  <c r="V2427" i="3" s="1"/>
  <c r="V2436" i="3" s="1"/>
  <c r="V3903" i="3"/>
  <c r="V3902" i="3" s="1"/>
  <c r="V3901" i="3" s="1"/>
  <c r="V3900" i="3" s="1"/>
  <c r="V3899" i="3" s="1"/>
  <c r="V3898" i="3" s="1"/>
  <c r="V3897" i="3" s="1"/>
  <c r="V3896" i="3" s="1"/>
  <c r="V3895" i="3" s="1"/>
  <c r="V3904" i="3" s="1"/>
  <c r="V3567" i="3"/>
  <c r="V3566" i="3" s="1"/>
  <c r="V3565" i="3" s="1"/>
  <c r="V3564" i="3" s="1"/>
  <c r="V3563" i="3" s="1"/>
  <c r="V3562" i="3" s="1"/>
  <c r="V3561" i="3" s="1"/>
  <c r="V3560" i="3" s="1"/>
  <c r="V3559" i="3" s="1"/>
  <c r="V288" i="3"/>
  <c r="V287" i="3" s="1"/>
  <c r="V286" i="3" s="1"/>
  <c r="V285" i="3" s="1"/>
  <c r="V284" i="3" s="1"/>
  <c r="V283" i="3" s="1"/>
  <c r="V282" i="3" s="1"/>
  <c r="V281" i="3" s="1"/>
  <c r="V280" i="3" s="1"/>
  <c r="V279" i="3" s="1"/>
  <c r="V278" i="3" s="1"/>
  <c r="V277" i="3" s="1"/>
  <c r="V276" i="3" s="1"/>
  <c r="V275" i="3" s="1"/>
  <c r="V274" i="3" s="1"/>
  <c r="V273" i="3" s="1"/>
  <c r="V272" i="3" s="1"/>
  <c r="V271" i="3" s="1"/>
  <c r="V270" i="3" s="1"/>
  <c r="V269" i="3" s="1"/>
  <c r="V268" i="3" s="1"/>
  <c r="V267" i="3" s="1"/>
  <c r="V266" i="3" s="1"/>
  <c r="V265" i="3" s="1"/>
  <c r="V264" i="3" s="1"/>
  <c r="V263" i="3" s="1"/>
  <c r="V262" i="3" s="1"/>
  <c r="V261" i="3" s="1"/>
  <c r="V260" i="3" s="1"/>
  <c r="V259" i="3" s="1"/>
  <c r="V258" i="3" s="1"/>
  <c r="V257" i="3" s="1"/>
  <c r="V256" i="3" s="1"/>
  <c r="V255" i="3" s="1"/>
  <c r="V254" i="3" s="1"/>
  <c r="V253" i="3" s="1"/>
  <c r="V252" i="3" s="1"/>
  <c r="V251" i="3" s="1"/>
  <c r="V250" i="3" s="1"/>
  <c r="V249" i="3" s="1"/>
  <c r="V248" i="3" s="1"/>
  <c r="V247" i="3" s="1"/>
  <c r="V246" i="3" s="1"/>
  <c r="V245" i="3" s="1"/>
  <c r="V244" i="3" s="1"/>
  <c r="V243" i="3" s="1"/>
  <c r="V242" i="3" s="1"/>
  <c r="V241" i="3" s="1"/>
  <c r="V240" i="3" s="1"/>
  <c r="V239" i="3" s="1"/>
  <c r="V238" i="3" s="1"/>
  <c r="V237" i="3" s="1"/>
  <c r="V236" i="3" s="1"/>
  <c r="V235" i="3" s="1"/>
  <c r="V234" i="3" s="1"/>
  <c r="V233" i="3" s="1"/>
  <c r="V232" i="3" s="1"/>
  <c r="V231" i="3" s="1"/>
  <c r="V230" i="3" s="1"/>
  <c r="V229" i="3" s="1"/>
  <c r="V228" i="3" s="1"/>
  <c r="V227" i="3" s="1"/>
  <c r="V226" i="3" s="1"/>
  <c r="V225" i="3" s="1"/>
  <c r="V224" i="3" s="1"/>
  <c r="V223" i="3" s="1"/>
  <c r="V222" i="3" s="1"/>
  <c r="V221" i="3" s="1"/>
  <c r="V220" i="3" s="1"/>
  <c r="V219" i="3" s="1"/>
  <c r="V289" i="3" s="1"/>
  <c r="V2170" i="3"/>
  <c r="V2169" i="3" s="1"/>
  <c r="V2168" i="3" s="1"/>
  <c r="V2167" i="3" s="1"/>
  <c r="V2166" i="3" s="1"/>
  <c r="V2165" i="3" s="1"/>
  <c r="V2164" i="3" s="1"/>
  <c r="V2163" i="3" s="1"/>
  <c r="V2162" i="3" s="1"/>
  <c r="V2171" i="3" s="1"/>
  <c r="V1346" i="3"/>
  <c r="V1345" i="3" s="1"/>
  <c r="V1344" i="3" s="1"/>
  <c r="V1343" i="3" s="1"/>
  <c r="V1342" i="3" s="1"/>
  <c r="V1341" i="3" s="1"/>
  <c r="V1340" i="3" s="1"/>
  <c r="V1339" i="3" s="1"/>
  <c r="V1338" i="3" s="1"/>
  <c r="V1337" i="3" s="1"/>
  <c r="V1336" i="3" s="1"/>
  <c r="V1335" i="3" s="1"/>
  <c r="V1334" i="3" s="1"/>
  <c r="V1333" i="3" s="1"/>
  <c r="V1332" i="3" s="1"/>
  <c r="V1331" i="3" s="1"/>
  <c r="V1330" i="3" s="1"/>
  <c r="V1329" i="3" s="1"/>
  <c r="V1328" i="3" s="1"/>
  <c r="V1327" i="3" s="1"/>
  <c r="V1326" i="3" s="1"/>
  <c r="V1325" i="3" s="1"/>
  <c r="V1324" i="3" s="1"/>
  <c r="V1323" i="3" s="1"/>
  <c r="V1322" i="3" s="1"/>
  <c r="V1321" i="3" s="1"/>
  <c r="V1320" i="3" s="1"/>
  <c r="V1319" i="3" s="1"/>
  <c r="V1318" i="3" s="1"/>
  <c r="V1317" i="3" s="1"/>
  <c r="V1316" i="3" s="1"/>
  <c r="V1315" i="3" s="1"/>
  <c r="V1314" i="3" s="1"/>
  <c r="V1313" i="3" s="1"/>
  <c r="V1312" i="3" s="1"/>
  <c r="V1311" i="3" s="1"/>
  <c r="V1310" i="3" s="1"/>
  <c r="V1309" i="3" s="1"/>
  <c r="V1308" i="3" s="1"/>
  <c r="V1307" i="3" s="1"/>
  <c r="V1306" i="3" s="1"/>
  <c r="V1305" i="3" s="1"/>
  <c r="V1304" i="3" s="1"/>
  <c r="V1303" i="3" s="1"/>
  <c r="V1302" i="3" s="1"/>
  <c r="V1301" i="3" s="1"/>
  <c r="V1300" i="3" s="1"/>
  <c r="V1299" i="3" s="1"/>
  <c r="V1298" i="3" s="1"/>
  <c r="V1297" i="3" s="1"/>
  <c r="V1296" i="3" s="1"/>
  <c r="V1295" i="3" s="1"/>
  <c r="V1294" i="3" s="1"/>
  <c r="V1293" i="3" s="1"/>
  <c r="V1292" i="3" s="1"/>
  <c r="V1291" i="3" s="1"/>
  <c r="V1290" i="3" s="1"/>
  <c r="V1289" i="3" s="1"/>
  <c r="V1288" i="3" s="1"/>
  <c r="V1287" i="3" s="1"/>
  <c r="V1286" i="3" s="1"/>
  <c r="V1285" i="3" s="1"/>
  <c r="V1284" i="3" s="1"/>
  <c r="V1283" i="3" s="1"/>
  <c r="V1282" i="3" s="1"/>
  <c r="V1281" i="3" s="1"/>
  <c r="V1280" i="3" s="1"/>
  <c r="V1279" i="3" s="1"/>
  <c r="V1278" i="3" s="1"/>
  <c r="V1277" i="3" s="1"/>
  <c r="V1276" i="3" s="1"/>
  <c r="V1347" i="3" s="1"/>
  <c r="V2190" i="3"/>
  <c r="V2189" i="3" s="1"/>
  <c r="V2188" i="3" s="1"/>
  <c r="V2187" i="3" s="1"/>
  <c r="V2186" i="3" s="1"/>
  <c r="V2185" i="3" s="1"/>
  <c r="V2184" i="3" s="1"/>
  <c r="V2183" i="3" s="1"/>
  <c r="V2182" i="3" s="1"/>
  <c r="V2191" i="3" s="1"/>
  <c r="V2160" i="3"/>
  <c r="V2159" i="3" s="1"/>
  <c r="V2158" i="3" s="1"/>
  <c r="V2157" i="3" s="1"/>
  <c r="V2156" i="3" s="1"/>
  <c r="V2155" i="3" s="1"/>
  <c r="V2154" i="3" s="1"/>
  <c r="V2153" i="3" s="1"/>
  <c r="V2152" i="3" s="1"/>
  <c r="V2161" i="3" s="1"/>
  <c r="V2916" i="3"/>
  <c r="V2915" i="3" s="1"/>
  <c r="V2914" i="3" s="1"/>
  <c r="V2913" i="3" s="1"/>
  <c r="V2912" i="3" s="1"/>
  <c r="V2911" i="3" s="1"/>
  <c r="V2910" i="3" s="1"/>
  <c r="V2909" i="3" s="1"/>
  <c r="V2908" i="3" s="1"/>
  <c r="V2475" i="3"/>
  <c r="V2474" i="3" s="1"/>
  <c r="V2473" i="3" s="1"/>
  <c r="V2472" i="3" s="1"/>
  <c r="V2471" i="3" s="1"/>
  <c r="V2470" i="3" s="1"/>
  <c r="V2469" i="3" s="1"/>
  <c r="V2468" i="3" s="1"/>
  <c r="V2467" i="3" s="1"/>
  <c r="V2476" i="3" s="1"/>
  <c r="V3288" i="3"/>
  <c r="V3287" i="3" s="1"/>
  <c r="V3286" i="3" s="1"/>
  <c r="V3285" i="3" s="1"/>
  <c r="V3284" i="3" s="1"/>
  <c r="V3283" i="3" s="1"/>
  <c r="V3282" i="3" s="1"/>
  <c r="V3281" i="3" s="1"/>
  <c r="V3280" i="3" s="1"/>
  <c r="V3289" i="3" s="1"/>
  <c r="V156" i="3"/>
  <c r="V155" i="3" s="1"/>
  <c r="V154" i="3" s="1"/>
  <c r="V153" i="3" s="1"/>
  <c r="V152" i="3" s="1"/>
  <c r="V151" i="3" s="1"/>
  <c r="V150" i="3" s="1"/>
  <c r="V149" i="3" s="1"/>
  <c r="V148" i="3" s="1"/>
  <c r="V147" i="3" s="1"/>
  <c r="V146" i="3" s="1"/>
  <c r="V145" i="3" s="1"/>
  <c r="V144" i="3" s="1"/>
  <c r="V143" i="3" s="1"/>
  <c r="V142" i="3" s="1"/>
  <c r="V141" i="3" s="1"/>
  <c r="V140" i="3" s="1"/>
  <c r="V139" i="3" s="1"/>
  <c r="V138" i="3" s="1"/>
  <c r="V137" i="3" s="1"/>
  <c r="V136" i="3" s="1"/>
  <c r="V135" i="3" s="1"/>
  <c r="V134" i="3" s="1"/>
  <c r="V133" i="3" s="1"/>
  <c r="V132" i="3" s="1"/>
  <c r="V131" i="3" s="1"/>
  <c r="V130" i="3" s="1"/>
  <c r="V129" i="3" s="1"/>
  <c r="V128" i="3" s="1"/>
  <c r="V127" i="3" s="1"/>
  <c r="V126" i="3" s="1"/>
  <c r="V125" i="3" s="1"/>
  <c r="V124" i="3" s="1"/>
  <c r="V123" i="3" s="1"/>
  <c r="V122" i="3" s="1"/>
  <c r="V121" i="3" s="1"/>
  <c r="V120" i="3" s="1"/>
  <c r="V119" i="3" s="1"/>
  <c r="V118" i="3" s="1"/>
  <c r="V117" i="3" s="1"/>
  <c r="V116" i="3" s="1"/>
  <c r="V115" i="3" s="1"/>
  <c r="V114" i="3" s="1"/>
  <c r="V113" i="3" s="1"/>
  <c r="V112" i="3" s="1"/>
  <c r="V111" i="3" s="1"/>
  <c r="V110" i="3" s="1"/>
  <c r="V109" i="3" s="1"/>
  <c r="V108" i="3" s="1"/>
  <c r="V107" i="3" s="1"/>
  <c r="V106" i="3" s="1"/>
  <c r="V157" i="3" s="1"/>
  <c r="V2568" i="3"/>
  <c r="V2567" i="3" s="1"/>
  <c r="V2566" i="3" s="1"/>
  <c r="V2565" i="3" s="1"/>
  <c r="V2564" i="3" s="1"/>
  <c r="V2563" i="3" s="1"/>
  <c r="V2562" i="3" s="1"/>
  <c r="V2561" i="3" s="1"/>
  <c r="V2560" i="3" s="1"/>
  <c r="V2569" i="3" s="1"/>
  <c r="V3844" i="3"/>
  <c r="V3843" i="3" s="1"/>
  <c r="V3842" i="3" s="1"/>
  <c r="V3841" i="3" s="1"/>
  <c r="V3840" i="3" s="1"/>
  <c r="V3839" i="3" s="1"/>
  <c r="V3838" i="3" s="1"/>
  <c r="V3837" i="3" s="1"/>
  <c r="V3836" i="3" s="1"/>
  <c r="V3845" i="3" s="1"/>
  <c r="V2180" i="3"/>
  <c r="V2179" i="3" s="1"/>
  <c r="V2178" i="3" s="1"/>
  <c r="V2177" i="3" s="1"/>
  <c r="V2176" i="3" s="1"/>
  <c r="V2175" i="3" s="1"/>
  <c r="V2174" i="3" s="1"/>
  <c r="V2173" i="3" s="1"/>
  <c r="V2172" i="3" s="1"/>
  <c r="V2181" i="3" s="1"/>
  <c r="V3873" i="3"/>
  <c r="V3872" i="3" s="1"/>
  <c r="V3871" i="3" s="1"/>
  <c r="V3870" i="3" s="1"/>
  <c r="V3869" i="3" s="1"/>
  <c r="V3868" i="3" s="1"/>
  <c r="V3867" i="3" s="1"/>
  <c r="V3866" i="3" s="1"/>
  <c r="V3865" i="3" s="1"/>
  <c r="V3874" i="3" s="1"/>
  <c r="V2794" i="3"/>
  <c r="V2793" i="3" s="1"/>
  <c r="V2792" i="3" s="1"/>
  <c r="V2791" i="3" s="1"/>
  <c r="V2790" i="3" s="1"/>
  <c r="V2789" i="3" s="1"/>
  <c r="V2788" i="3" s="1"/>
  <c r="V2787" i="3" s="1"/>
  <c r="V2786" i="3" s="1"/>
  <c r="V2795" i="3" s="1"/>
  <c r="V3778" i="3"/>
  <c r="V3777" i="3" s="1"/>
  <c r="V3776" i="3" s="1"/>
  <c r="V3775" i="3" s="1"/>
  <c r="V3774" i="3" s="1"/>
  <c r="V3773" i="3" s="1"/>
  <c r="V3772" i="3" s="1"/>
  <c r="V3771" i="3" s="1"/>
  <c r="V3770" i="3" s="1"/>
  <c r="V3779" i="3" s="1"/>
  <c r="V3436" i="3"/>
  <c r="V3435" i="3" s="1"/>
  <c r="V3434" i="3" s="1"/>
  <c r="V3433" i="3" s="1"/>
  <c r="V3432" i="3" s="1"/>
  <c r="V3431" i="3" s="1"/>
  <c r="V3430" i="3" s="1"/>
  <c r="V3429" i="3" s="1"/>
  <c r="V3428" i="3" s="1"/>
  <c r="V3437" i="3" s="1"/>
  <c r="V2288" i="3"/>
  <c r="V2287" i="3" s="1"/>
  <c r="V2286" i="3" s="1"/>
  <c r="V2285" i="3" s="1"/>
  <c r="V2284" i="3" s="1"/>
  <c r="V2283" i="3" s="1"/>
  <c r="V2282" i="3" s="1"/>
  <c r="V2281" i="3" s="1"/>
  <c r="V2280" i="3" s="1"/>
  <c r="V2279" i="3" s="1"/>
  <c r="V2278" i="3" s="1"/>
  <c r="V2277" i="3" s="1"/>
  <c r="V2276" i="3" s="1"/>
  <c r="V2275" i="3" s="1"/>
  <c r="V2274" i="3" s="1"/>
  <c r="V2273" i="3" s="1"/>
  <c r="V2272" i="3" s="1"/>
  <c r="V2271" i="3" s="1"/>
  <c r="V2270" i="3" s="1"/>
  <c r="V2269" i="3" s="1"/>
  <c r="V2268" i="3" s="1"/>
  <c r="V2267" i="3" s="1"/>
  <c r="V2266" i="3" s="1"/>
  <c r="V2265" i="3" s="1"/>
  <c r="V2264" i="3" s="1"/>
  <c r="V2263" i="3" s="1"/>
  <c r="V2262" i="3" s="1"/>
  <c r="V2261" i="3" s="1"/>
  <c r="V2260" i="3" s="1"/>
  <c r="V2259" i="3" s="1"/>
  <c r="V2258" i="3" s="1"/>
  <c r="V2257" i="3" s="1"/>
  <c r="V2256" i="3" s="1"/>
  <c r="V2289" i="3" s="1"/>
  <c r="V3647" i="3"/>
  <c r="V3646" i="3" s="1"/>
  <c r="V3645" i="3" s="1"/>
  <c r="V3644" i="3" s="1"/>
  <c r="V3643" i="3" s="1"/>
  <c r="V3642" i="3" s="1"/>
  <c r="V3641" i="3" s="1"/>
  <c r="V3640" i="3" s="1"/>
  <c r="V3639" i="3" s="1"/>
  <c r="V3648" i="3" s="1"/>
  <c r="V2976" i="3"/>
  <c r="V2975" i="3" s="1"/>
  <c r="V2974" i="3" s="1"/>
  <c r="V2973" i="3" s="1"/>
  <c r="V2972" i="3" s="1"/>
  <c r="V2971" i="3" s="1"/>
  <c r="V2970" i="3" s="1"/>
  <c r="V2969" i="3" s="1"/>
  <c r="V2968" i="3" s="1"/>
  <c r="V2977" i="3" s="1"/>
  <c r="V1927" i="3"/>
  <c r="V1926" i="3" s="1"/>
  <c r="V1925" i="3" s="1"/>
  <c r="V1924" i="3" s="1"/>
  <c r="V1923" i="3" s="1"/>
  <c r="V1922" i="3" s="1"/>
  <c r="V1921" i="3" s="1"/>
  <c r="V1920" i="3" s="1"/>
  <c r="V1919" i="3" s="1"/>
  <c r="V1928" i="3" s="1"/>
  <c r="V2946" i="3"/>
  <c r="V2945" i="3" s="1"/>
  <c r="V2944" i="3" s="1"/>
  <c r="V2943" i="3" s="1"/>
  <c r="V2942" i="3" s="1"/>
  <c r="V2941" i="3" s="1"/>
  <c r="V2940" i="3" s="1"/>
  <c r="V2939" i="3" s="1"/>
  <c r="V2938" i="3" s="1"/>
  <c r="V2947" i="3" s="1"/>
  <c r="V3556" i="3"/>
  <c r="V3555" i="3" s="1"/>
  <c r="V3554" i="3" s="1"/>
  <c r="V3553" i="3" s="1"/>
  <c r="V3552" i="3" s="1"/>
  <c r="V3551" i="3" s="1"/>
  <c r="V3550" i="3" s="1"/>
  <c r="V3549" i="3" s="1"/>
  <c r="V3548" i="3" s="1"/>
  <c r="V3557" i="3" s="1"/>
  <c r="V3097" i="3"/>
  <c r="V3096" i="3" s="1"/>
  <c r="V3095" i="3" s="1"/>
  <c r="V3094" i="3" s="1"/>
  <c r="V3093" i="3" s="1"/>
  <c r="V3092" i="3" s="1"/>
  <c r="V3091" i="3" s="1"/>
  <c r="V3090" i="3" s="1"/>
  <c r="V3089" i="3" s="1"/>
  <c r="V3098" i="3" s="1"/>
  <c r="V3012" i="3"/>
  <c r="V3011" i="3" s="1"/>
  <c r="V3010" i="3" s="1"/>
  <c r="V3009" i="3" s="1"/>
  <c r="V3008" i="3" s="1"/>
  <c r="V3007" i="3" s="1"/>
  <c r="V3006" i="3" s="1"/>
  <c r="V3005" i="3" s="1"/>
  <c r="V3004" i="3" s="1"/>
  <c r="V3013" i="3" s="1"/>
  <c r="V2120" i="3"/>
  <c r="V2119" i="3" s="1"/>
  <c r="V2118" i="3" s="1"/>
  <c r="V2117" i="3" s="1"/>
  <c r="V2116" i="3" s="1"/>
  <c r="V2115" i="3" s="1"/>
  <c r="V2114" i="3" s="1"/>
  <c r="V2113" i="3" s="1"/>
  <c r="V2112" i="3" s="1"/>
  <c r="V2121" i="3" s="1"/>
  <c r="V2525" i="3"/>
  <c r="V2524" i="3" s="1"/>
  <c r="V2523" i="3" s="1"/>
  <c r="V2522" i="3" s="1"/>
  <c r="V2521" i="3" s="1"/>
  <c r="V2520" i="3" s="1"/>
  <c r="V2519" i="3" s="1"/>
  <c r="V2518" i="3" s="1"/>
  <c r="V2517" i="3" s="1"/>
  <c r="V2526" i="3" s="1"/>
  <c r="V3309" i="3"/>
  <c r="V3308" i="3" s="1"/>
  <c r="V3307" i="3" s="1"/>
  <c r="V3306" i="3" s="1"/>
  <c r="V3305" i="3" s="1"/>
  <c r="V3304" i="3" s="1"/>
  <c r="V3303" i="3" s="1"/>
  <c r="V3302" i="3" s="1"/>
  <c r="V3301" i="3" s="1"/>
  <c r="V3310" i="3" s="1"/>
  <c r="V3208" i="3"/>
  <c r="V3207" i="3" s="1"/>
  <c r="V3206" i="3" s="1"/>
  <c r="V3205" i="3" s="1"/>
  <c r="V3204" i="3" s="1"/>
  <c r="V3203" i="3" s="1"/>
  <c r="V3202" i="3" s="1"/>
  <c r="V3201" i="3" s="1"/>
  <c r="V3200" i="3" s="1"/>
  <c r="V3209" i="3" s="1"/>
  <c r="V3657" i="3"/>
  <c r="V3656" i="3" s="1"/>
  <c r="V3655" i="3" s="1"/>
  <c r="V3654" i="3" s="1"/>
  <c r="V3653" i="3" s="1"/>
  <c r="V3652" i="3" s="1"/>
  <c r="V3651" i="3" s="1"/>
  <c r="V3650" i="3" s="1"/>
  <c r="V3649" i="3" s="1"/>
  <c r="V3658" i="3" s="1"/>
  <c r="V2905" i="3"/>
  <c r="V2904" i="3" s="1"/>
  <c r="V2903" i="3" s="1"/>
  <c r="V2902" i="3" s="1"/>
  <c r="V2901" i="3" s="1"/>
  <c r="V2900" i="3" s="1"/>
  <c r="V2899" i="3" s="1"/>
  <c r="V2898" i="3" s="1"/>
  <c r="V2897" i="3" s="1"/>
  <c r="V2906" i="3" s="1"/>
  <c r="V3157" i="3"/>
  <c r="V3156" i="3" s="1"/>
  <c r="V3155" i="3" s="1"/>
  <c r="V3154" i="3" s="1"/>
  <c r="V3153" i="3" s="1"/>
  <c r="V3152" i="3" s="1"/>
  <c r="V3151" i="3" s="1"/>
  <c r="V3150" i="3" s="1"/>
  <c r="V3149" i="3" s="1"/>
  <c r="V3158" i="3" s="1"/>
  <c r="V1193" i="3"/>
  <c r="V1192" i="3" s="1"/>
  <c r="V1191" i="3" s="1"/>
  <c r="V1190" i="3" s="1"/>
  <c r="V1189" i="3" s="1"/>
  <c r="V1188" i="3" s="1"/>
  <c r="V1187" i="3" s="1"/>
  <c r="V1186" i="3" s="1"/>
  <c r="V1185" i="3" s="1"/>
  <c r="V1184" i="3" s="1"/>
  <c r="V1183" i="3" s="1"/>
  <c r="V1182" i="3" s="1"/>
  <c r="V1181" i="3" s="1"/>
  <c r="V1180" i="3" s="1"/>
  <c r="V1179" i="3" s="1"/>
  <c r="V1178" i="3" s="1"/>
  <c r="V1275" i="3" s="1"/>
  <c r="V2210" i="3"/>
  <c r="V2209" i="3" s="1"/>
  <c r="V2208" i="3" s="1"/>
  <c r="V2207" i="3" s="1"/>
  <c r="V2206" i="3" s="1"/>
  <c r="V2205" i="3" s="1"/>
  <c r="V2204" i="3" s="1"/>
  <c r="V2203" i="3" s="1"/>
  <c r="V2202" i="3" s="1"/>
  <c r="V2211" i="3" s="1"/>
  <c r="V1617" i="3"/>
  <c r="V1616" i="3" s="1"/>
  <c r="V1615" i="3" s="1"/>
  <c r="V1614" i="3" s="1"/>
  <c r="V1613" i="3" s="1"/>
  <c r="V1612" i="3" s="1"/>
  <c r="V1611" i="3" s="1"/>
  <c r="V1610" i="3" s="1"/>
  <c r="V1609" i="3" s="1"/>
  <c r="V1608" i="3" s="1"/>
  <c r="V1607" i="3" s="1"/>
  <c r="V1606" i="3" s="1"/>
  <c r="V1605" i="3" s="1"/>
  <c r="V1604" i="3" s="1"/>
  <c r="V1603" i="3" s="1"/>
  <c r="V1602" i="3" s="1"/>
  <c r="V1601" i="3" s="1"/>
  <c r="V1600" i="3" s="1"/>
  <c r="V1599" i="3" s="1"/>
  <c r="V1598" i="3" s="1"/>
  <c r="V1597" i="3" s="1"/>
  <c r="V1596" i="3" s="1"/>
  <c r="V1595" i="3" s="1"/>
  <c r="V1594" i="3" s="1"/>
  <c r="V1593" i="3" s="1"/>
  <c r="V1592" i="3" s="1"/>
  <c r="V1591" i="3" s="1"/>
  <c r="V1590" i="3" s="1"/>
  <c r="V1589" i="3" s="1"/>
  <c r="V1588" i="3" s="1"/>
  <c r="V1587" i="3" s="1"/>
  <c r="V1586" i="3" s="1"/>
  <c r="V1585" i="3" s="1"/>
  <c r="V1584" i="3" s="1"/>
  <c r="V1583" i="3" s="1"/>
  <c r="V1582" i="3" s="1"/>
  <c r="V1581" i="3" s="1"/>
  <c r="V1580" i="3" s="1"/>
  <c r="V1579" i="3" s="1"/>
  <c r="V1578" i="3" s="1"/>
  <c r="V1577" i="3" s="1"/>
  <c r="V1576" i="3" s="1"/>
  <c r="V1575" i="3" s="1"/>
  <c r="V1574" i="3" s="1"/>
  <c r="V1573" i="3" s="1"/>
  <c r="V1572" i="3" s="1"/>
  <c r="V1571" i="3" s="1"/>
  <c r="V1570" i="3" s="1"/>
  <c r="V1569" i="3" s="1"/>
  <c r="V1568" i="3" s="1"/>
  <c r="V1567" i="3" s="1"/>
  <c r="V1566" i="3" s="1"/>
  <c r="V1565" i="3" s="1"/>
  <c r="V1564" i="3" s="1"/>
  <c r="V1563" i="3" s="1"/>
  <c r="V1562" i="3" s="1"/>
  <c r="V1561" i="3" s="1"/>
  <c r="V1560" i="3" s="1"/>
  <c r="V1618" i="3" s="1"/>
  <c r="V2324" i="3"/>
  <c r="V2323" i="3" s="1"/>
  <c r="V2322" i="3" s="1"/>
  <c r="V2321" i="3" s="1"/>
  <c r="V2320" i="3" s="1"/>
  <c r="V2319" i="3" s="1"/>
  <c r="V2318" i="3" s="1"/>
  <c r="V2317" i="3" s="1"/>
  <c r="V2316" i="3" s="1"/>
  <c r="V2315" i="3" s="1"/>
  <c r="V2314" i="3" s="1"/>
  <c r="V2325" i="3" s="1"/>
  <c r="V2824" i="3"/>
  <c r="V2823" i="3" s="1"/>
  <c r="V2822" i="3" s="1"/>
  <c r="V2821" i="3" s="1"/>
  <c r="V2820" i="3" s="1"/>
  <c r="V2819" i="3" s="1"/>
  <c r="V2818" i="3" s="1"/>
  <c r="V2817" i="3" s="1"/>
  <c r="V2816" i="3" s="1"/>
  <c r="V2825" i="3" s="1"/>
  <c r="V73" i="3"/>
  <c r="V72" i="3" s="1"/>
  <c r="V71" i="3" s="1"/>
  <c r="V70" i="3" s="1"/>
  <c r="V69" i="3" s="1"/>
  <c r="V68" i="3" s="1"/>
  <c r="V67" i="3" s="1"/>
  <c r="V66" i="3" s="1"/>
  <c r="V65" i="3" s="1"/>
  <c r="V64" i="3" s="1"/>
  <c r="V63" i="3" s="1"/>
  <c r="V62" i="3" s="1"/>
  <c r="V61" i="3" s="1"/>
  <c r="V60" i="3" s="1"/>
  <c r="V59" i="3" s="1"/>
  <c r="V58" i="3" s="1"/>
  <c r="V57" i="3" s="1"/>
  <c r="V56" i="3" s="1"/>
  <c r="V55" i="3" s="1"/>
  <c r="V74" i="3" s="1"/>
  <c r="V3893" i="3"/>
  <c r="V3892" i="3" s="1"/>
  <c r="V3891" i="3" s="1"/>
  <c r="V3890" i="3" s="1"/>
  <c r="V3889" i="3" s="1"/>
  <c r="V3888" i="3" s="1"/>
  <c r="V3887" i="3" s="1"/>
  <c r="V3886" i="3" s="1"/>
  <c r="V3885" i="3" s="1"/>
  <c r="V3884" i="3" s="1"/>
  <c r="V3883" i="3" s="1"/>
  <c r="V3882" i="3" s="1"/>
  <c r="V3881" i="3" s="1"/>
  <c r="V3880" i="3" s="1"/>
  <c r="V3879" i="3" s="1"/>
  <c r="V3878" i="3" s="1"/>
  <c r="V3877" i="3" s="1"/>
  <c r="V3876" i="3" s="1"/>
  <c r="V3875" i="3" s="1"/>
  <c r="V3894" i="3" s="1"/>
  <c r="V2885" i="3"/>
  <c r="V2884" i="3" s="1"/>
  <c r="V2883" i="3" s="1"/>
  <c r="V2882" i="3" s="1"/>
  <c r="V2881" i="3" s="1"/>
  <c r="V2880" i="3" s="1"/>
  <c r="V2879" i="3" s="1"/>
  <c r="V2878" i="3" s="1"/>
  <c r="V2877" i="3" s="1"/>
  <c r="V2886" i="3" s="1"/>
  <c r="V2312" i="3"/>
  <c r="V2311" i="3" s="1"/>
  <c r="V2310" i="3" s="1"/>
  <c r="V2309" i="3" s="1"/>
  <c r="V2308" i="3" s="1"/>
  <c r="V2307" i="3" s="1"/>
  <c r="V2306" i="3" s="1"/>
  <c r="V2305" i="3" s="1"/>
  <c r="V2304" i="3" s="1"/>
  <c r="V2303" i="3" s="1"/>
  <c r="V2302" i="3" s="1"/>
  <c r="V2301" i="3" s="1"/>
  <c r="V2313" i="3" s="1"/>
  <c r="V2300" i="3" s="1"/>
  <c r="V3373" i="3"/>
  <c r="V3372" i="3" s="1"/>
  <c r="V3371" i="3" s="1"/>
  <c r="V3370" i="3" s="1"/>
  <c r="V3369" i="3" s="1"/>
  <c r="V3368" i="3" s="1"/>
  <c r="V3367" i="3" s="1"/>
  <c r="V3366" i="3" s="1"/>
  <c r="V3365" i="3" s="1"/>
  <c r="V3374" i="3" s="1"/>
  <c r="V3168" i="3"/>
  <c r="V3167" i="3" s="1"/>
  <c r="V3166" i="3" s="1"/>
  <c r="V3165" i="3" s="1"/>
  <c r="V3164" i="3" s="1"/>
  <c r="V3163" i="3" s="1"/>
  <c r="V3162" i="3" s="1"/>
  <c r="V3161" i="3" s="1"/>
  <c r="V3160" i="3" s="1"/>
  <c r="V3169" i="3" s="1"/>
  <c r="V2495" i="3"/>
  <c r="V2494" i="3" s="1"/>
  <c r="V2493" i="3" s="1"/>
  <c r="V2492" i="3" s="1"/>
  <c r="V2491" i="3" s="1"/>
  <c r="V2490" i="3" s="1"/>
  <c r="V2489" i="3" s="1"/>
  <c r="V2488" i="3" s="1"/>
  <c r="V2487" i="3" s="1"/>
  <c r="V2496" i="3" s="1"/>
  <c r="V3063" i="3"/>
  <c r="V3062" i="3" s="1"/>
  <c r="V3061" i="3" s="1"/>
  <c r="V3060" i="3" s="1"/>
  <c r="V3059" i="3" s="1"/>
  <c r="V3058" i="3" s="1"/>
  <c r="V3057" i="3" s="1"/>
  <c r="V3056" i="3" s="1"/>
  <c r="V3055" i="3" s="1"/>
  <c r="V3064" i="3" s="1"/>
  <c r="V2424" i="3"/>
  <c r="V2423" i="3" s="1"/>
  <c r="V2422" i="3" s="1"/>
  <c r="V2421" i="3" s="1"/>
  <c r="V2420" i="3" s="1"/>
  <c r="V2419" i="3" s="1"/>
  <c r="V2418" i="3" s="1"/>
  <c r="V2417" i="3" s="1"/>
  <c r="V2416" i="3" s="1"/>
  <c r="V2415" i="3" s="1"/>
  <c r="V2414" i="3" s="1"/>
  <c r="V2413" i="3" s="1"/>
  <c r="V2412" i="3" s="1"/>
  <c r="V2411" i="3" s="1"/>
  <c r="V2410" i="3" s="1"/>
  <c r="V2409" i="3" s="1"/>
  <c r="V2408" i="3" s="1"/>
  <c r="V2425" i="3" s="1"/>
  <c r="V2875" i="3"/>
  <c r="V2874" i="3" s="1"/>
  <c r="V2873" i="3" s="1"/>
  <c r="V2872" i="3" s="1"/>
  <c r="V2871" i="3" s="1"/>
  <c r="V2870" i="3" s="1"/>
  <c r="V2869" i="3" s="1"/>
  <c r="V2868" i="3" s="1"/>
  <c r="V2867" i="3" s="1"/>
  <c r="V2866" i="3" s="1"/>
  <c r="V2876" i="3" s="1"/>
  <c r="V1434" i="3"/>
  <c r="V1433" i="3" s="1"/>
  <c r="V1432" i="3" s="1"/>
  <c r="V1431" i="3" s="1"/>
  <c r="V1430" i="3" s="1"/>
  <c r="V1429" i="3" s="1"/>
  <c r="V1428" i="3" s="1"/>
  <c r="V1427" i="3" s="1"/>
  <c r="V1426" i="3" s="1"/>
  <c r="V1425" i="3" s="1"/>
  <c r="V1424" i="3" s="1"/>
  <c r="V1423" i="3" s="1"/>
  <c r="V1422" i="3" s="1"/>
  <c r="V1421" i="3" s="1"/>
  <c r="V1420" i="3" s="1"/>
  <c r="V1419" i="3" s="1"/>
  <c r="V1418" i="3" s="1"/>
  <c r="V1417" i="3" s="1"/>
  <c r="V1416" i="3" s="1"/>
  <c r="V1415" i="3" s="1"/>
  <c r="V1414" i="3" s="1"/>
  <c r="V1413" i="3" s="1"/>
  <c r="V1412" i="3" s="1"/>
  <c r="V1411" i="3" s="1"/>
  <c r="V1410" i="3" s="1"/>
  <c r="V1409" i="3" s="1"/>
  <c r="V1408" i="3" s="1"/>
  <c r="V1407" i="3" s="1"/>
  <c r="V1406" i="3" s="1"/>
  <c r="V1405" i="3" s="1"/>
  <c r="V1404" i="3" s="1"/>
  <c r="V1403" i="3" s="1"/>
  <c r="V1402" i="3" s="1"/>
  <c r="V1401" i="3" s="1"/>
  <c r="V1400" i="3" s="1"/>
  <c r="V1399" i="3" s="1"/>
  <c r="V1398" i="3" s="1"/>
  <c r="V1397" i="3" s="1"/>
  <c r="V1396" i="3" s="1"/>
  <c r="V1395" i="3" s="1"/>
  <c r="V1394" i="3" s="1"/>
  <c r="V1393" i="3" s="1"/>
  <c r="V1392" i="3" s="1"/>
  <c r="V1391" i="3" s="1"/>
  <c r="V1390" i="3" s="1"/>
  <c r="V1389" i="3" s="1"/>
  <c r="V1388" i="3" s="1"/>
  <c r="V1435" i="3" s="1"/>
  <c r="V2485" i="3"/>
  <c r="V2484" i="3" s="1"/>
  <c r="V2483" i="3" s="1"/>
  <c r="V2482" i="3" s="1"/>
  <c r="V2481" i="3" s="1"/>
  <c r="V2480" i="3" s="1"/>
  <c r="V2479" i="3" s="1"/>
  <c r="V2478" i="3" s="1"/>
  <c r="V2477" i="3" s="1"/>
  <c r="V2486" i="3" s="1"/>
  <c r="V1987" i="3"/>
  <c r="V1986" i="3" s="1"/>
  <c r="V1985" i="3" s="1"/>
  <c r="V1984" i="3" s="1"/>
  <c r="V1983" i="3" s="1"/>
  <c r="V1982" i="3" s="1"/>
  <c r="V1981" i="3" s="1"/>
  <c r="V1980" i="3" s="1"/>
  <c r="V1979" i="3" s="1"/>
  <c r="V1978" i="3" s="1"/>
  <c r="V1977" i="3" s="1"/>
  <c r="V1976" i="3" s="1"/>
  <c r="V1975" i="3" s="1"/>
  <c r="V1974" i="3" s="1"/>
  <c r="V1973" i="3" s="1"/>
  <c r="V1972" i="3" s="1"/>
  <c r="V1971" i="3" s="1"/>
  <c r="V1988" i="3" s="1"/>
  <c r="V3218" i="3"/>
  <c r="V3217" i="3" s="1"/>
  <c r="V3216" i="3" s="1"/>
  <c r="V3215" i="3" s="1"/>
  <c r="V3214" i="3" s="1"/>
  <c r="V3213" i="3" s="1"/>
  <c r="V3212" i="3" s="1"/>
  <c r="V3211" i="3" s="1"/>
  <c r="V3210" i="3" s="1"/>
  <c r="V3219" i="3" s="1"/>
  <c r="V3198" i="3"/>
  <c r="V3197" i="3" s="1"/>
  <c r="V3196" i="3" s="1"/>
  <c r="V3195" i="3" s="1"/>
  <c r="V3194" i="3" s="1"/>
  <c r="V3193" i="3" s="1"/>
  <c r="V3192" i="3" s="1"/>
  <c r="V3191" i="3" s="1"/>
  <c r="V3190" i="3" s="1"/>
  <c r="V3199" i="3" s="1"/>
  <c r="V3228" i="3"/>
  <c r="V3227" i="3" s="1"/>
  <c r="V3226" i="3" s="1"/>
  <c r="V3225" i="3" s="1"/>
  <c r="V3224" i="3" s="1"/>
  <c r="V3223" i="3" s="1"/>
  <c r="V3222" i="3" s="1"/>
  <c r="V3221" i="3" s="1"/>
  <c r="V3220" i="3" s="1"/>
  <c r="V3229" i="3" s="1"/>
  <c r="V1176" i="3"/>
  <c r="V1175" i="3" s="1"/>
  <c r="V1174" i="3" s="1"/>
  <c r="V1173" i="3" s="1"/>
  <c r="V1172" i="3" s="1"/>
  <c r="V1171" i="3" s="1"/>
  <c r="V1170" i="3" s="1"/>
  <c r="V1169" i="3" s="1"/>
  <c r="V1168" i="3" s="1"/>
  <c r="V1167" i="3" s="1"/>
  <c r="V1166" i="3" s="1"/>
  <c r="V1165" i="3" s="1"/>
  <c r="V1164" i="3" s="1"/>
  <c r="V1163" i="3" s="1"/>
  <c r="V1162" i="3" s="1"/>
  <c r="V1161" i="3" s="1"/>
  <c r="V1160" i="3" s="1"/>
  <c r="V1159" i="3" s="1"/>
  <c r="V1158" i="3" s="1"/>
  <c r="V1157" i="3" s="1"/>
  <c r="V1156" i="3" s="1"/>
  <c r="V1155" i="3" s="1"/>
  <c r="V1154" i="3" s="1"/>
  <c r="V1153" i="3" s="1"/>
  <c r="V1152" i="3" s="1"/>
  <c r="V1151" i="3" s="1"/>
  <c r="V1150" i="3" s="1"/>
  <c r="V1149" i="3" s="1"/>
  <c r="V1148" i="3" s="1"/>
  <c r="V1147" i="3" s="1"/>
  <c r="V1146" i="3" s="1"/>
  <c r="V1145" i="3" s="1"/>
  <c r="V1144" i="3" s="1"/>
  <c r="V1143" i="3" s="1"/>
  <c r="V1142" i="3" s="1"/>
  <c r="V1141" i="3" s="1"/>
  <c r="V1140" i="3" s="1"/>
  <c r="V1139" i="3" s="1"/>
  <c r="V1138" i="3" s="1"/>
  <c r="V1137" i="3" s="1"/>
  <c r="V1136" i="3" s="1"/>
  <c r="V1135" i="3" s="1"/>
  <c r="V1134" i="3" s="1"/>
  <c r="V1133" i="3" s="1"/>
  <c r="V1132" i="3" s="1"/>
  <c r="V1131" i="3" s="1"/>
  <c r="V1130" i="3" s="1"/>
  <c r="V1129" i="3" s="1"/>
  <c r="V1128" i="3" s="1"/>
  <c r="V1127" i="3" s="1"/>
  <c r="V1126" i="3" s="1"/>
  <c r="V1125" i="3" s="1"/>
  <c r="V1124" i="3" s="1"/>
  <c r="V1123" i="3" s="1"/>
  <c r="V1122" i="3" s="1"/>
  <c r="V1121" i="3" s="1"/>
  <c r="V1120" i="3" s="1"/>
  <c r="V1119" i="3" s="1"/>
  <c r="V1118" i="3" s="1"/>
  <c r="V1117" i="3" s="1"/>
  <c r="V1116" i="3" s="1"/>
  <c r="V1115" i="3" s="1"/>
  <c r="V1114" i="3" s="1"/>
  <c r="V1113" i="3" s="1"/>
  <c r="V1112" i="3" s="1"/>
  <c r="V1111" i="3" s="1"/>
  <c r="V1110" i="3" s="1"/>
  <c r="V1109" i="3" s="1"/>
  <c r="V1108" i="3" s="1"/>
  <c r="V1107" i="3" s="1"/>
  <c r="V1106" i="3" s="1"/>
  <c r="V1105" i="3" s="1"/>
  <c r="V1104" i="3" s="1"/>
  <c r="V1103" i="3" s="1"/>
  <c r="V1102" i="3" s="1"/>
  <c r="V1101" i="3" s="1"/>
  <c r="V1100" i="3" s="1"/>
  <c r="V1099" i="3" s="1"/>
  <c r="V1098" i="3" s="1"/>
  <c r="V1097" i="3" s="1"/>
  <c r="V1096" i="3" s="1"/>
  <c r="V1095" i="3" s="1"/>
  <c r="V1094" i="3" s="1"/>
  <c r="V1093" i="3" s="1"/>
  <c r="V1092" i="3" s="1"/>
  <c r="V1091" i="3" s="1"/>
  <c r="V1090" i="3" s="1"/>
  <c r="V1089" i="3" s="1"/>
  <c r="V1088" i="3" s="1"/>
  <c r="V1087" i="3" s="1"/>
  <c r="V1086" i="3" s="1"/>
  <c r="V1085" i="3" s="1"/>
  <c r="V1084" i="3" s="1"/>
  <c r="V1083" i="3" s="1"/>
  <c r="V1082" i="3" s="1"/>
  <c r="V1081" i="3" s="1"/>
  <c r="V1080" i="3" s="1"/>
  <c r="V1079" i="3" s="1"/>
  <c r="V1078" i="3" s="1"/>
  <c r="V1077" i="3" s="1"/>
  <c r="V1076" i="3" s="1"/>
  <c r="V1075" i="3" s="1"/>
  <c r="V1074" i="3" s="1"/>
  <c r="V1073" i="3" s="1"/>
  <c r="V1072" i="3" s="1"/>
  <c r="V1071" i="3" s="1"/>
  <c r="V1070" i="3" s="1"/>
  <c r="V1069" i="3" s="1"/>
  <c r="V1068" i="3" s="1"/>
  <c r="V1067" i="3" s="1"/>
  <c r="V1066" i="3" s="1"/>
  <c r="V1065" i="3" s="1"/>
  <c r="V1064" i="3" s="1"/>
  <c r="V1063" i="3" s="1"/>
  <c r="V1062" i="3" s="1"/>
  <c r="V1061" i="3" s="1"/>
  <c r="V1060" i="3" s="1"/>
  <c r="V1059" i="3" s="1"/>
  <c r="V1058" i="3" s="1"/>
  <c r="V1057" i="3" s="1"/>
  <c r="V1056" i="3" s="1"/>
  <c r="V1055" i="3" s="1"/>
  <c r="V1054" i="3" s="1"/>
  <c r="V1053" i="3" s="1"/>
  <c r="V1052" i="3" s="1"/>
  <c r="V1051" i="3" s="1"/>
  <c r="V1050" i="3" s="1"/>
  <c r="V1049" i="3" s="1"/>
  <c r="V1048" i="3" s="1"/>
  <c r="V1047" i="3" s="1"/>
  <c r="V1046" i="3" s="1"/>
  <c r="V1045" i="3" s="1"/>
  <c r="V1044" i="3" s="1"/>
  <c r="V1043" i="3" s="1"/>
  <c r="V1042" i="3" s="1"/>
  <c r="V1041" i="3" s="1"/>
  <c r="V1040" i="3" s="1"/>
  <c r="V1039" i="3" s="1"/>
  <c r="V1038" i="3" s="1"/>
  <c r="V1037" i="3" s="1"/>
  <c r="V1036" i="3" s="1"/>
  <c r="V1035" i="3" s="1"/>
  <c r="V1034" i="3" s="1"/>
  <c r="V1033" i="3" s="1"/>
  <c r="V1032" i="3" s="1"/>
  <c r="V1031" i="3" s="1"/>
  <c r="V1030" i="3" s="1"/>
  <c r="V1029" i="3" s="1"/>
  <c r="V1028" i="3" s="1"/>
  <c r="V1027" i="3" s="1"/>
  <c r="V1026" i="3" s="1"/>
  <c r="V1025" i="3" s="1"/>
  <c r="V1024" i="3" s="1"/>
  <c r="V1023" i="3" s="1"/>
  <c r="V1022" i="3" s="1"/>
  <c r="V1021" i="3" s="1"/>
  <c r="V1020" i="3" s="1"/>
  <c r="V1019" i="3" s="1"/>
  <c r="V1018" i="3" s="1"/>
  <c r="V1017" i="3" s="1"/>
  <c r="V1016" i="3" s="1"/>
  <c r="V1015" i="3" s="1"/>
  <c r="V1014" i="3" s="1"/>
  <c r="V1013" i="3" s="1"/>
  <c r="V1012" i="3" s="1"/>
  <c r="V1011" i="3" s="1"/>
  <c r="V1010" i="3" s="1"/>
  <c r="V1009" i="3" s="1"/>
  <c r="V1008" i="3" s="1"/>
  <c r="V1007" i="3" s="1"/>
  <c r="V1006" i="3" s="1"/>
  <c r="V1005" i="3" s="1"/>
  <c r="V1004" i="3" s="1"/>
  <c r="V1003" i="3" s="1"/>
  <c r="V1002" i="3" s="1"/>
  <c r="V1001" i="3" s="1"/>
  <c r="V1000" i="3" s="1"/>
  <c r="V999" i="3" s="1"/>
  <c r="V998" i="3" s="1"/>
  <c r="V997" i="3" s="1"/>
  <c r="V996" i="3" s="1"/>
  <c r="V995" i="3" s="1"/>
  <c r="V994" i="3" s="1"/>
  <c r="V993" i="3" s="1"/>
  <c r="V992" i="3" s="1"/>
  <c r="V991" i="3" s="1"/>
  <c r="V990" i="3" s="1"/>
  <c r="V989" i="3" s="1"/>
  <c r="V988" i="3" s="1"/>
  <c r="V987" i="3" s="1"/>
  <c r="V986" i="3" s="1"/>
  <c r="V985" i="3" s="1"/>
  <c r="V984" i="3" s="1"/>
  <c r="V983" i="3" s="1"/>
  <c r="V982" i="3" s="1"/>
  <c r="V981" i="3" s="1"/>
  <c r="V980" i="3" s="1"/>
  <c r="V979" i="3" s="1"/>
  <c r="V978" i="3" s="1"/>
  <c r="V977" i="3" s="1"/>
  <c r="V976" i="3" s="1"/>
  <c r="V975" i="3" s="1"/>
  <c r="V974" i="3" s="1"/>
  <c r="V973" i="3" s="1"/>
  <c r="V972" i="3" s="1"/>
  <c r="V971" i="3" s="1"/>
  <c r="V970" i="3" s="1"/>
  <c r="V969" i="3" s="1"/>
  <c r="V968" i="3" s="1"/>
  <c r="V967" i="3" s="1"/>
  <c r="V966" i="3" s="1"/>
  <c r="V965" i="3" s="1"/>
  <c r="V964" i="3" s="1"/>
  <c r="V963" i="3" s="1"/>
  <c r="V962" i="3" s="1"/>
  <c r="V961" i="3" s="1"/>
  <c r="V960" i="3" s="1"/>
  <c r="V959" i="3" s="1"/>
  <c r="V958" i="3" s="1"/>
  <c r="V957" i="3" s="1"/>
  <c r="V956" i="3" s="1"/>
  <c r="V955" i="3" s="1"/>
  <c r="V954" i="3" s="1"/>
  <c r="V953" i="3" s="1"/>
  <c r="V952" i="3" s="1"/>
  <c r="V951" i="3" s="1"/>
  <c r="V950" i="3" s="1"/>
  <c r="V949" i="3" s="1"/>
  <c r="V948" i="3" s="1"/>
  <c r="V1177" i="3" s="1"/>
  <c r="V3268" i="3"/>
  <c r="V3267" i="3" s="1"/>
  <c r="V3266" i="3" s="1"/>
  <c r="V3265" i="3" s="1"/>
  <c r="V3264" i="3" s="1"/>
  <c r="V3263" i="3" s="1"/>
  <c r="V3262" i="3" s="1"/>
  <c r="V3261" i="3" s="1"/>
  <c r="V3260" i="3" s="1"/>
  <c r="V3269" i="3" s="1"/>
  <c r="V2659" i="3"/>
  <c r="V2658" i="3" s="1"/>
  <c r="V2657" i="3" s="1"/>
  <c r="V2656" i="3" s="1"/>
  <c r="V2655" i="3" s="1"/>
  <c r="V2654" i="3" s="1"/>
  <c r="V2653" i="3" s="1"/>
  <c r="V2652" i="3" s="1"/>
  <c r="V2651" i="3" s="1"/>
  <c r="V2660" i="3" s="1"/>
  <c r="V2558" i="3"/>
  <c r="V2557" i="3" s="1"/>
  <c r="V2556" i="3" s="1"/>
  <c r="V2555" i="3" s="1"/>
  <c r="V2554" i="3" s="1"/>
  <c r="V2553" i="3" s="1"/>
  <c r="V2552" i="3" s="1"/>
  <c r="V2551" i="3" s="1"/>
  <c r="V2550" i="3" s="1"/>
  <c r="V586" i="3"/>
  <c r="V585" i="3" s="1"/>
  <c r="V584" i="3" s="1"/>
  <c r="V583" i="3" s="1"/>
  <c r="V582" i="3" s="1"/>
  <c r="V581" i="3" s="1"/>
  <c r="V580" i="3" s="1"/>
  <c r="V579" i="3" s="1"/>
  <c r="V578" i="3" s="1"/>
  <c r="V577" i="3" s="1"/>
  <c r="V576" i="3" s="1"/>
  <c r="V575" i="3" s="1"/>
  <c r="V574" i="3" s="1"/>
  <c r="V573" i="3" s="1"/>
  <c r="V572" i="3" s="1"/>
  <c r="V571" i="3" s="1"/>
  <c r="V570" i="3" s="1"/>
  <c r="V569" i="3" s="1"/>
  <c r="V568" i="3" s="1"/>
  <c r="V567" i="3" s="1"/>
  <c r="V566" i="3" s="1"/>
  <c r="V565" i="3" s="1"/>
  <c r="V564" i="3" s="1"/>
  <c r="V563" i="3" s="1"/>
  <c r="V562" i="3" s="1"/>
  <c r="V561" i="3" s="1"/>
  <c r="V560" i="3" s="1"/>
  <c r="V559" i="3" s="1"/>
  <c r="V558" i="3" s="1"/>
  <c r="V557" i="3" s="1"/>
  <c r="V556" i="3" s="1"/>
  <c r="V587" i="3" s="1"/>
  <c r="V3178" i="3"/>
  <c r="V3177" i="3" s="1"/>
  <c r="V3176" i="3" s="1"/>
  <c r="V3175" i="3" s="1"/>
  <c r="V3174" i="3" s="1"/>
  <c r="V3173" i="3" s="1"/>
  <c r="V3172" i="3" s="1"/>
  <c r="V3171" i="3" s="1"/>
  <c r="V3170" i="3" s="1"/>
  <c r="V3179" i="3" s="1"/>
  <c r="V298" i="3"/>
  <c r="V297" i="3" s="1"/>
  <c r="V296" i="3" s="1"/>
  <c r="V295" i="3" s="1"/>
  <c r="V294" i="3" s="1"/>
  <c r="V293" i="3" s="1"/>
  <c r="V292" i="3" s="1"/>
  <c r="V291" i="3" s="1"/>
  <c r="V290" i="3" s="1"/>
  <c r="V299" i="3" s="1"/>
  <c r="V2609" i="3"/>
  <c r="V2608" i="3" s="1"/>
  <c r="V2607" i="3" s="1"/>
  <c r="V2606" i="3" s="1"/>
  <c r="V2605" i="3" s="1"/>
  <c r="V2604" i="3" s="1"/>
  <c r="V2603" i="3" s="1"/>
  <c r="V2602" i="3" s="1"/>
  <c r="V2601" i="3" s="1"/>
  <c r="V2610" i="3" s="1"/>
  <c r="V3466" i="3"/>
  <c r="V3465" i="3" s="1"/>
  <c r="V3464" i="3" s="1"/>
  <c r="V3463" i="3" s="1"/>
  <c r="V3462" i="3" s="1"/>
  <c r="V3461" i="3" s="1"/>
  <c r="V3460" i="3" s="1"/>
  <c r="V3459" i="3" s="1"/>
  <c r="V3458" i="3" s="1"/>
  <c r="V3467" i="3" s="1"/>
  <c r="V2752" i="3"/>
  <c r="V2751" i="3" s="1"/>
  <c r="V2750" i="3" s="1"/>
  <c r="V2749" i="3" s="1"/>
  <c r="V2748" i="3" s="1"/>
  <c r="V2747" i="3" s="1"/>
  <c r="V2746" i="3" s="1"/>
  <c r="V2745" i="3" s="1"/>
  <c r="V2744" i="3" s="1"/>
  <c r="V2753" i="3" s="1"/>
  <c r="V1877" i="3"/>
  <c r="V1876" i="3" s="1"/>
  <c r="V1875" i="3" s="1"/>
  <c r="V1874" i="3" s="1"/>
  <c r="V1873" i="3" s="1"/>
  <c r="V1872" i="3" s="1"/>
  <c r="V1871" i="3" s="1"/>
  <c r="V1870" i="3" s="1"/>
  <c r="V1869" i="3" s="1"/>
  <c r="V1878" i="3" s="1"/>
  <c r="V1753" i="3"/>
  <c r="V1752" i="3" s="1"/>
  <c r="V1751" i="3" s="1"/>
  <c r="V1750" i="3" s="1"/>
  <c r="V1749" i="3" s="1"/>
  <c r="V1748" i="3" s="1"/>
  <c r="V1747" i="3" s="1"/>
  <c r="V1746" i="3" s="1"/>
  <c r="V1745" i="3" s="1"/>
  <c r="V1744" i="3" s="1"/>
  <c r="V1743" i="3" s="1"/>
  <c r="V1742" i="3" s="1"/>
  <c r="V1741" i="3" s="1"/>
  <c r="V1740" i="3" s="1"/>
  <c r="V1739" i="3" s="1"/>
  <c r="V1738" i="3" s="1"/>
  <c r="V1737" i="3" s="1"/>
  <c r="V1736" i="3" s="1"/>
  <c r="V1735" i="3" s="1"/>
  <c r="V1734" i="3" s="1"/>
  <c r="V1733" i="3" s="1"/>
  <c r="V1732" i="3" s="1"/>
  <c r="V1731" i="3" s="1"/>
  <c r="V1730" i="3" s="1"/>
  <c r="V1729" i="3" s="1"/>
  <c r="V1728" i="3" s="1"/>
  <c r="V1727" i="3" s="1"/>
  <c r="V1726" i="3" s="1"/>
  <c r="V1725" i="3" s="1"/>
  <c r="V1724" i="3" s="1"/>
  <c r="V1723" i="3" s="1"/>
  <c r="V1722" i="3" s="1"/>
  <c r="V1721" i="3" s="1"/>
  <c r="V1720" i="3" s="1"/>
  <c r="V1719" i="3" s="1"/>
  <c r="V1718" i="3" s="1"/>
  <c r="V1717" i="3" s="1"/>
  <c r="V1716" i="3" s="1"/>
  <c r="V1715" i="3" s="1"/>
  <c r="V1714" i="3" s="1"/>
  <c r="V1754" i="3" s="1"/>
  <c r="V3258" i="3"/>
  <c r="V3257" i="3" s="1"/>
  <c r="V3256" i="3" s="1"/>
  <c r="V3255" i="3" s="1"/>
  <c r="V3254" i="3" s="1"/>
  <c r="V3253" i="3" s="1"/>
  <c r="V3252" i="3" s="1"/>
  <c r="V3251" i="3" s="1"/>
  <c r="V3250" i="3" s="1"/>
  <c r="V3259" i="3" s="1"/>
  <c r="V3117" i="3"/>
  <c r="V3116" i="3" s="1"/>
  <c r="V3115" i="3" s="1"/>
  <c r="V3114" i="3" s="1"/>
  <c r="V3113" i="3" s="1"/>
  <c r="V3112" i="3" s="1"/>
  <c r="V3111" i="3" s="1"/>
  <c r="V3110" i="3" s="1"/>
  <c r="V3109" i="3" s="1"/>
  <c r="V3118" i="3" s="1"/>
  <c r="V1386" i="3"/>
  <c r="V1385" i="3" s="1"/>
  <c r="V1384" i="3" s="1"/>
  <c r="V1383" i="3" s="1"/>
  <c r="V1382" i="3" s="1"/>
  <c r="V1381" i="3" s="1"/>
  <c r="V1380" i="3" s="1"/>
  <c r="V1379" i="3" s="1"/>
  <c r="V1378" i="3" s="1"/>
  <c r="V1377" i="3" s="1"/>
  <c r="V1376" i="3" s="1"/>
  <c r="V1375" i="3" s="1"/>
  <c r="V1374" i="3" s="1"/>
  <c r="V1373" i="3" s="1"/>
  <c r="V1372" i="3" s="1"/>
  <c r="V1371" i="3" s="1"/>
  <c r="V1370" i="3" s="1"/>
  <c r="V1369" i="3" s="1"/>
  <c r="V1368" i="3" s="1"/>
  <c r="V1367" i="3" s="1"/>
  <c r="V1366" i="3" s="1"/>
  <c r="V1365" i="3" s="1"/>
  <c r="V1364" i="3" s="1"/>
  <c r="V1363" i="3" s="1"/>
  <c r="V1362" i="3" s="1"/>
  <c r="V1361" i="3" s="1"/>
  <c r="V1360" i="3" s="1"/>
  <c r="V1359" i="3" s="1"/>
  <c r="V1358" i="3" s="1"/>
  <c r="V1357" i="3" s="1"/>
  <c r="V1356" i="3" s="1"/>
  <c r="V1355" i="3" s="1"/>
  <c r="V1354" i="3" s="1"/>
  <c r="V1353" i="3" s="1"/>
  <c r="V1352" i="3" s="1"/>
  <c r="V1351" i="3" s="1"/>
  <c r="V1350" i="3" s="1"/>
  <c r="V1349" i="3" s="1"/>
  <c r="V1348" i="3" s="1"/>
  <c r="V1387" i="3" s="1"/>
  <c r="V3476" i="3"/>
  <c r="V3475" i="3" s="1"/>
  <c r="V3474" i="3" s="1"/>
  <c r="V3473" i="3" s="1"/>
  <c r="V3472" i="3" s="1"/>
  <c r="V3471" i="3" s="1"/>
  <c r="V3470" i="3" s="1"/>
  <c r="V3469" i="3" s="1"/>
  <c r="V3468" i="3" s="1"/>
  <c r="V3477" i="3" s="1"/>
  <c r="V3947" i="3" l="1"/>
  <c r="V3925" i="3"/>
  <c r="V1559" i="3"/>
  <c r="V2917" i="3"/>
  <c r="V2907" i="3"/>
  <c r="V2570" i="3"/>
  <c r="V555" i="3"/>
  <c r="V354" i="3" s="1"/>
  <c r="V2743" i="3"/>
  <c r="V2070" i="3"/>
  <c r="V2060" i="3"/>
  <c r="V3044" i="3"/>
  <c r="V3034" i="3" s="1"/>
  <c r="V2559" i="3"/>
  <c r="V2549" i="3" s="1"/>
  <c r="V2255" i="3"/>
  <c r="V2223" i="3" s="1"/>
  <c r="V1828" i="3"/>
  <c r="V2363" i="3"/>
  <c r="V2353" i="3" s="1"/>
  <c r="V3290" i="3"/>
  <c r="V3568" i="3"/>
  <c r="V3558" i="3"/>
  <c r="V2426" i="3"/>
  <c r="V2722" i="3"/>
  <c r="V2712" i="3" s="1"/>
  <c r="V3690" i="3"/>
  <c r="V2785" i="3"/>
  <c r="V2775" i="3" s="1"/>
  <c r="V300" i="3"/>
  <c r="V95" i="3" s="1"/>
  <c r="V3800" i="3"/>
  <c r="V2091" i="3"/>
  <c r="V2081" i="3"/>
  <c r="V3427" i="3"/>
  <c r="V24" i="3"/>
  <c r="V14" i="3" s="1"/>
  <c r="V3159" i="3"/>
  <c r="V3689" i="3" l="1"/>
  <c r="V13" i="3"/>
  <c r="V2774" i="3"/>
  <c r="V2548" i="3"/>
  <c r="V2537" i="3" s="1"/>
  <c r="V2352" i="3" s="1"/>
  <c r="V2059" i="3"/>
  <c r="V2038" i="3" s="1"/>
  <c r="V353" i="3" s="1"/>
</calcChain>
</file>

<file path=xl/comments1.xml><?xml version="1.0" encoding="utf-8"?>
<comments xmlns="http://schemas.openxmlformats.org/spreadsheetml/2006/main">
  <authors>
    <author>Pedro Henrique Viana Brito</author>
  </authors>
  <commentList>
    <comment ref="M1759" authorId="0" shapeId="0">
      <text>
        <r>
          <rPr>
            <b/>
            <sz val="9"/>
            <color indexed="81"/>
            <rFont val="Segoe UI"/>
            <family val="2"/>
          </rPr>
          <t>Pedro Henrique Viana Brito:</t>
        </r>
        <r>
          <rPr>
            <sz val="9"/>
            <color indexed="81"/>
            <rFont val="Segoe UI"/>
            <family val="2"/>
          </rPr>
          <t xml:space="preserve">
</t>
        </r>
        <r>
          <rPr>
            <sz val="14"/>
            <color indexed="81"/>
            <rFont val="Segoe UI"/>
            <family val="2"/>
          </rPr>
          <t>DMT modificada para 18 km</t>
        </r>
      </text>
    </comment>
    <comment ref="L1760" authorId="0" shapeId="0">
      <text>
        <r>
          <rPr>
            <b/>
            <sz val="9"/>
            <color indexed="81"/>
            <rFont val="Segoe UI"/>
            <family val="2"/>
          </rPr>
          <t>Pedro Henrique Viana Brito:</t>
        </r>
        <r>
          <rPr>
            <sz val="9"/>
            <color indexed="81"/>
            <rFont val="Segoe UI"/>
            <family val="2"/>
          </rPr>
          <t xml:space="preserve">
</t>
        </r>
        <r>
          <rPr>
            <sz val="14"/>
            <color indexed="81"/>
            <rFont val="Segoe UI"/>
            <family val="2"/>
          </rPr>
          <t>Coeficiente usado modificado para 1,70</t>
        </r>
      </text>
    </comment>
    <comment ref="L1761" authorId="0" shapeId="0">
      <text>
        <r>
          <rPr>
            <b/>
            <sz val="9"/>
            <color indexed="81"/>
            <rFont val="Segoe UI"/>
            <family val="2"/>
          </rPr>
          <t>Pedro Henrique Viana Brito:</t>
        </r>
        <r>
          <rPr>
            <sz val="9"/>
            <color indexed="81"/>
            <rFont val="Segoe UI"/>
            <family val="2"/>
          </rPr>
          <t xml:space="preserve">
</t>
        </r>
        <r>
          <rPr>
            <sz val="14"/>
            <color indexed="81"/>
            <rFont val="Segoe UI"/>
            <family val="2"/>
          </rPr>
          <t>Coeficiente usado modificado para 1,70</t>
        </r>
      </text>
    </comment>
    <comment ref="L1762" authorId="0" shapeId="0">
      <text>
        <r>
          <rPr>
            <b/>
            <sz val="9"/>
            <color indexed="81"/>
            <rFont val="Segoe UI"/>
            <family val="2"/>
          </rPr>
          <t>Pedro Henrique Viana Brito:</t>
        </r>
        <r>
          <rPr>
            <sz val="9"/>
            <color indexed="81"/>
            <rFont val="Segoe UI"/>
            <family val="2"/>
          </rPr>
          <t xml:space="preserve">
</t>
        </r>
        <r>
          <rPr>
            <sz val="14"/>
            <color indexed="81"/>
            <rFont val="Segoe UI"/>
            <family val="2"/>
          </rPr>
          <t>Coeficiente usado modificado para 1,70</t>
        </r>
      </text>
    </comment>
    <comment ref="L1763" authorId="0" shapeId="0">
      <text>
        <r>
          <rPr>
            <b/>
            <sz val="9"/>
            <color indexed="81"/>
            <rFont val="Segoe UI"/>
            <family val="2"/>
          </rPr>
          <t>Pedro Henrique Viana Brito:</t>
        </r>
        <r>
          <rPr>
            <sz val="9"/>
            <color indexed="81"/>
            <rFont val="Segoe UI"/>
            <family val="2"/>
          </rPr>
          <t xml:space="preserve">
</t>
        </r>
        <r>
          <rPr>
            <sz val="14"/>
            <color indexed="81"/>
            <rFont val="Segoe UI"/>
            <family val="2"/>
          </rPr>
          <t>Coeficiente usado modificado para 1,70</t>
        </r>
      </text>
    </comment>
    <comment ref="M1764" authorId="0" shapeId="0">
      <text>
        <r>
          <rPr>
            <b/>
            <sz val="9"/>
            <color indexed="81"/>
            <rFont val="Segoe UI"/>
            <family val="2"/>
          </rPr>
          <t>Pedro Henrique Viana Brito:</t>
        </r>
        <r>
          <rPr>
            <sz val="9"/>
            <color indexed="81"/>
            <rFont val="Segoe UI"/>
            <family val="2"/>
          </rPr>
          <t xml:space="preserve">
</t>
        </r>
        <r>
          <rPr>
            <sz val="14"/>
            <color indexed="81"/>
            <rFont val="Segoe UI"/>
            <family val="2"/>
          </rPr>
          <t>DMT modificada para 18 km</t>
        </r>
      </text>
    </comment>
    <comment ref="M1765" authorId="0" shapeId="0">
      <text>
        <r>
          <rPr>
            <b/>
            <sz val="9"/>
            <color indexed="81"/>
            <rFont val="Segoe UI"/>
            <family val="2"/>
          </rPr>
          <t>Pedro Henrique Viana Brito:</t>
        </r>
        <r>
          <rPr>
            <sz val="9"/>
            <color indexed="81"/>
            <rFont val="Segoe UI"/>
            <family val="2"/>
          </rPr>
          <t xml:space="preserve">
</t>
        </r>
        <r>
          <rPr>
            <sz val="14"/>
            <color indexed="81"/>
            <rFont val="Segoe UI"/>
            <family val="2"/>
          </rPr>
          <t>DMT modificada para 18 km</t>
        </r>
      </text>
    </comment>
    <comment ref="M1766" authorId="0" shapeId="0">
      <text>
        <r>
          <rPr>
            <b/>
            <sz val="9"/>
            <color indexed="81"/>
            <rFont val="Segoe UI"/>
            <family val="2"/>
          </rPr>
          <t>Pedro Henrique Viana Brito:</t>
        </r>
        <r>
          <rPr>
            <sz val="9"/>
            <color indexed="81"/>
            <rFont val="Segoe UI"/>
            <family val="2"/>
          </rPr>
          <t xml:space="preserve">
</t>
        </r>
        <r>
          <rPr>
            <sz val="14"/>
            <color indexed="81"/>
            <rFont val="Segoe UI"/>
            <family val="2"/>
          </rPr>
          <t>DMT modificada para 18 km</t>
        </r>
      </text>
    </comment>
    <comment ref="M1769" authorId="0" shapeId="0">
      <text>
        <r>
          <rPr>
            <b/>
            <sz val="9"/>
            <color indexed="81"/>
            <rFont val="Segoe UI"/>
            <family val="2"/>
          </rPr>
          <t>Pedro Henrique Viana Brito:</t>
        </r>
        <r>
          <rPr>
            <sz val="9"/>
            <color indexed="81"/>
            <rFont val="Segoe UI"/>
            <family val="2"/>
          </rPr>
          <t xml:space="preserve">
</t>
        </r>
        <r>
          <rPr>
            <sz val="14"/>
            <color indexed="81"/>
            <rFont val="Segoe UI"/>
            <family val="2"/>
          </rPr>
          <t>DMT modificada para 18 km</t>
        </r>
      </text>
    </comment>
  </commentList>
</comments>
</file>

<file path=xl/sharedStrings.xml><?xml version="1.0" encoding="utf-8"?>
<sst xmlns="http://schemas.openxmlformats.org/spreadsheetml/2006/main" count="14034" uniqueCount="1402">
  <si>
    <t xml:space="preserve">EMPREITEIRA: </t>
  </si>
  <si>
    <t>Comér Construtora e Incorporadora Ltda</t>
  </si>
  <si>
    <t xml:space="preserve">TRECHO:  </t>
  </si>
  <si>
    <t xml:space="preserve">DESCRIÇÃO: </t>
  </si>
  <si>
    <t xml:space="preserve">CONTR.  N°.: </t>
  </si>
  <si>
    <t>047/2022</t>
  </si>
  <si>
    <t>ASSINATURA:</t>
  </si>
  <si>
    <t>PERÍODO DE EXECUÇÃO:</t>
  </si>
  <si>
    <t>1.0</t>
  </si>
  <si>
    <t>x</t>
  </si>
  <si>
    <t>1.1</t>
  </si>
  <si>
    <t>1.1.1</t>
  </si>
  <si>
    <t>1.1.2</t>
  </si>
  <si>
    <t>1.1.3</t>
  </si>
  <si>
    <t>1.1.4</t>
  </si>
  <si>
    <t>1.1.5</t>
  </si>
  <si>
    <t>1.1.6</t>
  </si>
  <si>
    <t>1.1.7</t>
  </si>
  <si>
    <t>1.2</t>
  </si>
  <si>
    <t>1.2.1</t>
  </si>
  <si>
    <t>1.2.2</t>
  </si>
  <si>
    <t>1.2.3</t>
  </si>
  <si>
    <t>1.2.4</t>
  </si>
  <si>
    <t>1.2.5</t>
  </si>
  <si>
    <t>1.2.6</t>
  </si>
  <si>
    <t>2.0</t>
  </si>
  <si>
    <t>2.1</t>
  </si>
  <si>
    <t>2.1.1</t>
  </si>
  <si>
    <t>2.1.2</t>
  </si>
  <si>
    <t>2.1.3</t>
  </si>
  <si>
    <t>2.1.4</t>
  </si>
  <si>
    <t>2.1.5</t>
  </si>
  <si>
    <t>2.1.6</t>
  </si>
  <si>
    <t>2.1.7</t>
  </si>
  <si>
    <t>2.1.8</t>
  </si>
  <si>
    <t>2.1.9</t>
  </si>
  <si>
    <t>2.1.10</t>
  </si>
  <si>
    <t>2.1.11</t>
  </si>
  <si>
    <t>2.1.12</t>
  </si>
  <si>
    <t>2.1.13</t>
  </si>
  <si>
    <t>2.1.14</t>
  </si>
  <si>
    <t>2.2</t>
  </si>
  <si>
    <t>2.2.1</t>
  </si>
  <si>
    <t>2.2.2</t>
  </si>
  <si>
    <t>2.2.3</t>
  </si>
  <si>
    <t>2.2.4</t>
  </si>
  <si>
    <t>2.2.5</t>
  </si>
  <si>
    <t>2.2.6</t>
  </si>
  <si>
    <t>2.2.7</t>
  </si>
  <si>
    <t>2.3</t>
  </si>
  <si>
    <t>2.3.1</t>
  </si>
  <si>
    <t>2.4</t>
  </si>
  <si>
    <t>2.4.1</t>
  </si>
  <si>
    <t>2.4.2</t>
  </si>
  <si>
    <t>2.4.3</t>
  </si>
  <si>
    <t>2.4.4</t>
  </si>
  <si>
    <t>2.4.5</t>
  </si>
  <si>
    <t>2.4.6</t>
  </si>
  <si>
    <t>2.4.7</t>
  </si>
  <si>
    <t>2.4.8</t>
  </si>
  <si>
    <t>2.4.9</t>
  </si>
  <si>
    <t>2.4.10</t>
  </si>
  <si>
    <t>2.4.11</t>
  </si>
  <si>
    <t>2.4.12</t>
  </si>
  <si>
    <t>2.4.13</t>
  </si>
  <si>
    <t>2.4.14</t>
  </si>
  <si>
    <t>2.4.15</t>
  </si>
  <si>
    <t>2.4.16</t>
  </si>
  <si>
    <t>2.4.17</t>
  </si>
  <si>
    <t>2.4.18</t>
  </si>
  <si>
    <t>2.5</t>
  </si>
  <si>
    <t>2.5.1</t>
  </si>
  <si>
    <t>2.5.2</t>
  </si>
  <si>
    <t>2.5.3</t>
  </si>
  <si>
    <t>2.5.3.1</t>
  </si>
  <si>
    <t>2.5.3.1.1</t>
  </si>
  <si>
    <t>2.5.3.1.2</t>
  </si>
  <si>
    <t>2.5.3.2</t>
  </si>
  <si>
    <t>2.5.3.2.1</t>
  </si>
  <si>
    <t>2.5.3.2.2</t>
  </si>
  <si>
    <t>2.5.3.2.3</t>
  </si>
  <si>
    <t>2.5.3.2.4</t>
  </si>
  <si>
    <t>2.5.3.2.5</t>
  </si>
  <si>
    <t>2.5.3.2.6</t>
  </si>
  <si>
    <t>2.5.3.2.7</t>
  </si>
  <si>
    <t>2.5.3.2.8</t>
  </si>
  <si>
    <t>2.5.3.2.9</t>
  </si>
  <si>
    <t>2.5.3.2.10</t>
  </si>
  <si>
    <t>2.5.3.2.11</t>
  </si>
  <si>
    <t>2.5.3.2.12</t>
  </si>
  <si>
    <t>2.5.3.2.13</t>
  </si>
  <si>
    <t>2.5.3.3</t>
  </si>
  <si>
    <t>2.5.3.3.1</t>
  </si>
  <si>
    <t>2.5.3.4</t>
  </si>
  <si>
    <t>2.5.3.4.1</t>
  </si>
  <si>
    <t>2.5.3.4.2</t>
  </si>
  <si>
    <t>2.5.3.4.3</t>
  </si>
  <si>
    <t>2.6</t>
  </si>
  <si>
    <t>2.6.1</t>
  </si>
  <si>
    <t>2.6.2</t>
  </si>
  <si>
    <t>2.6.3</t>
  </si>
  <si>
    <t>3.0</t>
  </si>
  <si>
    <t>3.1</t>
  </si>
  <si>
    <t>3.1.1</t>
  </si>
  <si>
    <t>3.1.2</t>
  </si>
  <si>
    <t>3.1.3</t>
  </si>
  <si>
    <t>3.1.4</t>
  </si>
  <si>
    <t>3.1.5</t>
  </si>
  <si>
    <t>3.1.6</t>
  </si>
  <si>
    <t>3.2</t>
  </si>
  <si>
    <t>3.2.1</t>
  </si>
  <si>
    <t>3.2.2</t>
  </si>
  <si>
    <t>3.2.3</t>
  </si>
  <si>
    <t>3.2.4</t>
  </si>
  <si>
    <t>3.2.5</t>
  </si>
  <si>
    <t>3.2.6</t>
  </si>
  <si>
    <t>3.2.7</t>
  </si>
  <si>
    <t>3.2.8</t>
  </si>
  <si>
    <t>3.2.9</t>
  </si>
  <si>
    <t>3.2.10</t>
  </si>
  <si>
    <t>3.2.11</t>
  </si>
  <si>
    <t>3.3</t>
  </si>
  <si>
    <t>3.3.1</t>
  </si>
  <si>
    <t>3.3.2</t>
  </si>
  <si>
    <t>3.3.2.1</t>
  </si>
  <si>
    <t>3.3.2.1.1</t>
  </si>
  <si>
    <t>3.3.2.1.2</t>
  </si>
  <si>
    <t>3.3.2.2</t>
  </si>
  <si>
    <t>3.3.2.2.1</t>
  </si>
  <si>
    <t>3.3.2.2.2</t>
  </si>
  <si>
    <t>3.3.2.2.3</t>
  </si>
  <si>
    <t>3.3.2.2.4</t>
  </si>
  <si>
    <t>3.3.2.2.5</t>
  </si>
  <si>
    <t>3.3.2.2.6</t>
  </si>
  <si>
    <t>3.3.2.2.7</t>
  </si>
  <si>
    <t>3.3.2.2.8</t>
  </si>
  <si>
    <t>3.3.2.2.9</t>
  </si>
  <si>
    <t>3.3.2.2.10</t>
  </si>
  <si>
    <t>3.3.2.2.11</t>
  </si>
  <si>
    <t>3.3.2.2.12</t>
  </si>
  <si>
    <t>3.3.2.2.13</t>
  </si>
  <si>
    <t>3.3.2.3</t>
  </si>
  <si>
    <t>3.3.2.3.1</t>
  </si>
  <si>
    <t>3.3.2.4</t>
  </si>
  <si>
    <t>3.3.2.4.1</t>
  </si>
  <si>
    <t>3.3.2.4.2</t>
  </si>
  <si>
    <t>3.3.2.4.3</t>
  </si>
  <si>
    <t>3.4</t>
  </si>
  <si>
    <t>3.4.1</t>
  </si>
  <si>
    <t>3.4.2</t>
  </si>
  <si>
    <t>3.4.3</t>
  </si>
  <si>
    <t>4.0</t>
  </si>
  <si>
    <t>4.1</t>
  </si>
  <si>
    <t>4.1.1</t>
  </si>
  <si>
    <t>4.1.2</t>
  </si>
  <si>
    <t>4.1.3</t>
  </si>
  <si>
    <t>4.1.4</t>
  </si>
  <si>
    <t>4.1.5</t>
  </si>
  <si>
    <t>4.1.6</t>
  </si>
  <si>
    <t>4.1.7</t>
  </si>
  <si>
    <t>4.1.8</t>
  </si>
  <si>
    <t>4.1.9</t>
  </si>
  <si>
    <t>4.1.10</t>
  </si>
  <si>
    <t>4.1.11</t>
  </si>
  <si>
    <t>4.1.12</t>
  </si>
  <si>
    <t>4.1.13</t>
  </si>
  <si>
    <t>4.2</t>
  </si>
  <si>
    <t>4.2.1</t>
  </si>
  <si>
    <t>4.2.2</t>
  </si>
  <si>
    <t>4.2.3</t>
  </si>
  <si>
    <t>4.2.4</t>
  </si>
  <si>
    <t>4.2.5</t>
  </si>
  <si>
    <t>4.2.6</t>
  </si>
  <si>
    <t>4.2.7</t>
  </si>
  <si>
    <t>4.2.8</t>
  </si>
  <si>
    <t>4.2.9</t>
  </si>
  <si>
    <t>4.2.10</t>
  </si>
  <si>
    <t>4.2.11</t>
  </si>
  <si>
    <t>4.2.12</t>
  </si>
  <si>
    <t>4.3</t>
  </si>
  <si>
    <t>4.3.1</t>
  </si>
  <si>
    <t>4.3.2</t>
  </si>
  <si>
    <t>4.3.3</t>
  </si>
  <si>
    <t>4.3.4</t>
  </si>
  <si>
    <t>4.3.5</t>
  </si>
  <si>
    <t>4.3.6</t>
  </si>
  <si>
    <t>4.3.7</t>
  </si>
  <si>
    <t>4.3.8</t>
  </si>
  <si>
    <t>4.3.9</t>
  </si>
  <si>
    <t>4.3.10</t>
  </si>
  <si>
    <t>4.3.11</t>
  </si>
  <si>
    <t>4.3.12</t>
  </si>
  <si>
    <t>4.4</t>
  </si>
  <si>
    <t>4.4.1</t>
  </si>
  <si>
    <t>4.4.2</t>
  </si>
  <si>
    <t>4.4.3</t>
  </si>
  <si>
    <t>4.4.4</t>
  </si>
  <si>
    <t>4.4.5</t>
  </si>
  <si>
    <t>4.4.6</t>
  </si>
  <si>
    <t>4.4.7</t>
  </si>
  <si>
    <t>4.4.8</t>
  </si>
  <si>
    <t>4.4.9</t>
  </si>
  <si>
    <t>4.4.10</t>
  </si>
  <si>
    <t>4.4.11</t>
  </si>
  <si>
    <t>4.4.12</t>
  </si>
  <si>
    <t>4.4.13</t>
  </si>
  <si>
    <t>4.5</t>
  </si>
  <si>
    <t>4.5.1</t>
  </si>
  <si>
    <t>4.5.2</t>
  </si>
  <si>
    <t>4.5.3</t>
  </si>
  <si>
    <t>4.5.4</t>
  </si>
  <si>
    <t>4.5.5</t>
  </si>
  <si>
    <t>4.5.6</t>
  </si>
  <si>
    <t>4.5.7</t>
  </si>
  <si>
    <t>4.5.8</t>
  </si>
  <si>
    <t>4.5.9</t>
  </si>
  <si>
    <t>4.5.10</t>
  </si>
  <si>
    <t>4.5.11</t>
  </si>
  <si>
    <t>4.5.12</t>
  </si>
  <si>
    <t>4.5.13</t>
  </si>
  <si>
    <t>4.6</t>
  </si>
  <si>
    <t>4.6.1</t>
  </si>
  <si>
    <t>4.6.2</t>
  </si>
  <si>
    <t>4.6.3</t>
  </si>
  <si>
    <t>4.6.4</t>
  </si>
  <si>
    <t>4.6.5</t>
  </si>
  <si>
    <t>4.6.6</t>
  </si>
  <si>
    <t>4.6.7</t>
  </si>
  <si>
    <t>4.6.8</t>
  </si>
  <si>
    <t>4.6.9</t>
  </si>
  <si>
    <t>4.6.10</t>
  </si>
  <si>
    <t>4.6.11</t>
  </si>
  <si>
    <t>4.6.12</t>
  </si>
  <si>
    <t>4.6.13</t>
  </si>
  <si>
    <t>4.7</t>
  </si>
  <si>
    <t>4.7.1</t>
  </si>
  <si>
    <t>4.7.2</t>
  </si>
  <si>
    <t>4.7.3</t>
  </si>
  <si>
    <t>4.7.4</t>
  </si>
  <si>
    <t>4.7.5</t>
  </si>
  <si>
    <t>4.7.6</t>
  </si>
  <si>
    <t>4.7.7</t>
  </si>
  <si>
    <t>4.7.8</t>
  </si>
  <si>
    <t>4.7.9</t>
  </si>
  <si>
    <t>4.7.10</t>
  </si>
  <si>
    <t>4.7.11</t>
  </si>
  <si>
    <t>4.7.12</t>
  </si>
  <si>
    <t>4.7.13</t>
  </si>
  <si>
    <t>5.0</t>
  </si>
  <si>
    <t>5.1</t>
  </si>
  <si>
    <t>5.1.1</t>
  </si>
  <si>
    <t>5.1.2</t>
  </si>
  <si>
    <t>5.1.3</t>
  </si>
  <si>
    <t>5.1.4</t>
  </si>
  <si>
    <t>5.1.5</t>
  </si>
  <si>
    <t>5.1.6</t>
  </si>
  <si>
    <t>5.2</t>
  </si>
  <si>
    <t>5.2.1</t>
  </si>
  <si>
    <t>5.2.2</t>
  </si>
  <si>
    <t>5.2.3</t>
  </si>
  <si>
    <t>5.2.4</t>
  </si>
  <si>
    <t>5.2.5</t>
  </si>
  <si>
    <t>5.2.6</t>
  </si>
  <si>
    <t>5.2.7</t>
  </si>
  <si>
    <t>5.2.8</t>
  </si>
  <si>
    <t>5.3</t>
  </si>
  <si>
    <t>5.3.1</t>
  </si>
  <si>
    <t>5.3.2</t>
  </si>
  <si>
    <t>_________________________________</t>
  </si>
  <si>
    <t>Fiscal da Obra - SEDURB</t>
  </si>
  <si>
    <t>Escavação de  mat. de 1ª cat - Anexo IV.28.1 - Empréstimo 03 (Obra Adequação - HGC) (Acumulado)</t>
  </si>
  <si>
    <t>Escavação de material de 1ª cat - Anexo IV.28.1 - Empréstimo 03 (Obra Adequação - HGC) (Acumulado)</t>
  </si>
  <si>
    <t>INFORMAÇÕES GERAIS DA MEDIÇÃO</t>
  </si>
  <si>
    <t>EMPREITEIRA</t>
  </si>
  <si>
    <t>SUPERVISORA</t>
  </si>
  <si>
    <r>
      <t xml:space="preserve">TRECHO: </t>
    </r>
    <r>
      <rPr>
        <sz val="11"/>
        <rFont val="Arial"/>
        <family val="2"/>
      </rPr>
      <t xml:space="preserve"> </t>
    </r>
  </si>
  <si>
    <t>Canal Guaranhus no Município de Vila Velha/ES</t>
  </si>
  <si>
    <t xml:space="preserve">SUPERVISORA: </t>
  </si>
  <si>
    <t>DESCRIÇÃO:</t>
  </si>
  <si>
    <t>Construção de Drenagem e Urbanização do Canal Guaranhuns</t>
  </si>
  <si>
    <t>CONTRATO N°:</t>
  </si>
  <si>
    <t>011/2021</t>
  </si>
  <si>
    <t>MEDIÇÃO:</t>
  </si>
  <si>
    <t xml:space="preserve">ASSINATURA: </t>
  </si>
  <si>
    <t>PERÍODO:</t>
  </si>
  <si>
    <t>INÍCIO SERVIÇO:</t>
  </si>
  <si>
    <t>PLANILHA FINANCEIRA</t>
  </si>
  <si>
    <t>ITEM</t>
  </si>
  <si>
    <t>SERVIÇO</t>
  </si>
  <si>
    <t>und.</t>
  </si>
  <si>
    <t>CONTRATUAL</t>
  </si>
  <si>
    <t>ACUMULADO ANTERIOR</t>
  </si>
  <si>
    <t>ACUMULADO TOTAL</t>
  </si>
  <si>
    <t>Referência</t>
  </si>
  <si>
    <t>CÓDIGO</t>
  </si>
  <si>
    <t>PREÇO UNIT.</t>
  </si>
  <si>
    <t>QUANT.</t>
  </si>
  <si>
    <t>TOTAL</t>
  </si>
  <si>
    <t xml:space="preserve">Administração e Canteiro </t>
  </si>
  <si>
    <t>Implantação do Canteiro de Obras</t>
  </si>
  <si>
    <t>Rede De Água Com Padrão De Entrada D'Água Diâm. 3/4", Conf. Espec. Cesan, Incl. Tubos E Conexões Para Alimentação, Distribuição, Extravasor E Limpeza, Cons. O Padrão A 25M, Conf. Projeto (1 Utilização)</t>
  </si>
  <si>
    <t>m</t>
  </si>
  <si>
    <t>Rede De Esgoto, Contendo Fossa E Filtro, Inclusive Tubos E Conexões De Ligação Entre Caixas, Considerando Distância De 25M, Conforme Projeto (1 Utilização)</t>
  </si>
  <si>
    <t>Rede De Luz, Incl. Padrão Entrada De Energia Trifás., Cabo De Ligação Até Barracões, Quadro De Distrib., Disj. E Chave De Força (Quando Necessário), Cons. 20M Entre Padrão Entrada E Qdg, Conf. Projeto (1 Utilização)</t>
  </si>
  <si>
    <t>Reservatório De Poliestileno De 1000 L, Incl. Suporte Em Madeira De 7X12Cm E 8X7Cm, Elevado De 4M, Conf. Projeto (1 Utilização)</t>
  </si>
  <si>
    <t>und</t>
  </si>
  <si>
    <t>Tapume Telha Metálica Ondulada Em Aço Galvalume 0,50Mm Branca H=2,20M, Incl. Montagem Estr. Mad. 8"X8", C/Adesivo "Der-Es" 60X60Cm A Cada 10M, Incl. Faixas Pint. Esmalte Sint. Cores Azul C/ H=30Cm E Rosa C/ H=10Cm (Reaproveitamento 2X)</t>
  </si>
  <si>
    <t>Placa De Obra Nas Dimensões De 2.0 X 4.0 M, Padrão Iopes</t>
  </si>
  <si>
    <t>m²</t>
  </si>
  <si>
    <t>Placa Para Inauguração De Obra Em Alumínio Polido E=4Mm, Dimensões 40 X 50 Cm, Gravação Em Baixo Relevo, Inclusive Pintura E Fixação</t>
  </si>
  <si>
    <t>Canteiro de Obras</t>
  </si>
  <si>
    <t>Mobilização E Desmobilização De Conteiner Locado Para Barracão De Obra</t>
  </si>
  <si>
    <t>Aluguel Mensal Container Para Refeitorio, Incl. Porta, 2 Janelas, Abert P/ Ar Cond., 2 Pt Iluminação, 2 Tomadas Elét. E 1 Tomada Telef. Isolamento Térmico (Paredes E Teto), Piso Em Comp. Naval Pintado, Cert. Nr18, Incl. Laudo Descontaminação.</t>
  </si>
  <si>
    <t>mês</t>
  </si>
  <si>
    <t>Aluguel Mensal Container Sanitário, Incl Porta, Básc, 2 Ptos Luz, 1 Pto Aterram., 3Vasos, 3Lavatórios, Calha Mictório, 6 Chuveiros (1 Eletrico), Torn.,Registros, Piso Comp. Naval Pintado, Cert Nr18 E Laudo Descontaminação</t>
  </si>
  <si>
    <t>Aluguel Mensal Container Para Escritório, Dim. 6.00X2.40M, C/ Banheiro (Vaso+Lavat+Chuveiro E Básc), Incl. Porta, 2 Janelas, Abert P/ Ar Cond., 2 Pt Iluminação, 2 Tom. Elét. E 1 Tom.Telef. Isolam.Térmico(Teto E Paredes), Piso Em Comp. Naval, Cert. Nr18, Incl. Laudo Descontaminação.</t>
  </si>
  <si>
    <t>Mourao Reto De Concreto Base 10X10Cm H=2.50M</t>
  </si>
  <si>
    <t>un</t>
  </si>
  <si>
    <t>Aluguel Mensal Container Para Vestiário, Incl. Porta, Venezianas De Circulação, 1 Pt Iluminação, Isolamento Térmico (Teto), Piso Em Comp. Naval Pintado, Cert. Nr18, Incl. Laudo Descontaminação.</t>
  </si>
  <si>
    <t>SUB-TOTAL - 1.0 - CANTEIRO DE OBRAS</t>
  </si>
  <si>
    <t>Canal Guaranhuns 01 - Revestimento em Concreto</t>
  </si>
  <si>
    <t>Estrutura</t>
  </si>
  <si>
    <t>Concreto Para Bombeamento Fck = 30 Mpa - Confecção Em Central Dosadora De 30 M³/H - Areia E Brita Comerciais</t>
  </si>
  <si>
    <t>m³</t>
  </si>
  <si>
    <t>Servico De Bombeamento De Concreto Com Consumo Minimo De 40 M3</t>
  </si>
  <si>
    <t xml:space="preserve"> m³</t>
  </si>
  <si>
    <t>Fôrmas De Compensado Plastificado 12 Mm - Uso Geral - Utilização De 2 Vezes - Confecção, Instalação E Retirada</t>
  </si>
  <si>
    <t>Armação Em Aço Ca-50 - Fornecimento, Preparo E Colocação</t>
  </si>
  <si>
    <t>kg</t>
  </si>
  <si>
    <t>Armação Em Aço Ca-60 - Fornecimento, Preparo E Colocação</t>
  </si>
  <si>
    <t>Armação Em Aço Ca-25 - Fornecimento, Preparo E Colocação</t>
  </si>
  <si>
    <t>Concreto Magro - Confecção Em Betoneira E Lançamento Manual - Areia E Brita Comerciais</t>
  </si>
  <si>
    <t>Lastro Com Material Granular (Pedra Britada N.3), Aplicado Em Pisos Ou Lajes Sobre Solo, Espessura De *10 Cm*. Af_07/2019</t>
  </si>
  <si>
    <t>Lona Plástica Preta Para Isolamento De Concretagem Sobre Solo, Fornecimento E Colocação</t>
  </si>
  <si>
    <t>Escoramento Cavas Com Prancha Metalica</t>
  </si>
  <si>
    <t>Locacao De Bomba Submersivel Para Drenagem E Esgotamento, Motor Eletrico Trifasico, Potencia De 4 Cv, Diametro De Recalque De 3". Faixa De Operacao: Q=60 M3/H (+ Ou - 1 M3/H) E Amt=2 M; Q=11 M3/H (+ Ou - 1 M3/H) E Amt = 23 M (+ Ou - 1 M)</t>
  </si>
  <si>
    <t xml:space="preserve">h     </t>
  </si>
  <si>
    <t>Rebai Lencol Freatico C/ Pont Filtrantes</t>
  </si>
  <si>
    <t>T05</t>
  </si>
  <si>
    <t>Barra Chata Em Qualquer Dimensão</t>
  </si>
  <si>
    <t>T08</t>
  </si>
  <si>
    <t>Selante Base De Alcatrão E Poliuretano</t>
  </si>
  <si>
    <t>Terraplanagem e Pavimentação</t>
  </si>
  <si>
    <t>Escavação, Carga E Transporte De Material De 1º Categoria</t>
  </si>
  <si>
    <t>Remoção Residuos Classe A Conama (Cacamba) Classe II B (NBR 10004) Inclusive Destinação Final</t>
  </si>
  <si>
    <t>MERC-01</t>
  </si>
  <si>
    <t>Destinação Final De Resíduos Classe II A Em Aterro Sanitário Controlado</t>
  </si>
  <si>
    <t>t</t>
  </si>
  <si>
    <t>Compactação De Aterros A 100% Do Proctor Intermediário</t>
  </si>
  <si>
    <t>Aquisição De Solo De Jazida Comercial (Saibreira)</t>
  </si>
  <si>
    <t>Transporte De Material De 3ª Categoria Com Caminhão Basculante De 12 M³ Para Rocha - Rodovia Pavimentada</t>
  </si>
  <si>
    <t>tkm</t>
  </si>
  <si>
    <t>Aterro Com Areia Em Áreas De Calçada, Inclusive Fornecimento E Adensamento</t>
  </si>
  <si>
    <t>Drenagem Pluvial</t>
  </si>
  <si>
    <t>T07</t>
  </si>
  <si>
    <t>Tampão Fofo Articulado, Classe B125 Carga Max 12,5 T, Redondo Tampa 600 Mm, Rede Pluvial/Esgoto, P = Chamine Cx Areia / Poco Visita Assentado Com Arg Cim/Areia 1:4, Fornecimento E Assentamento</t>
  </si>
  <si>
    <t>UN</t>
  </si>
  <si>
    <t>Obras Complementares</t>
  </si>
  <si>
    <t>Índice De Preço Para Remoção De Entulho Decorrente Da Execução De Obras (Classe A Conama - Nbr 10.004 - Classe Ii-B), Incluindo Aluguel Da Caçamba, Carga, Transporte E Descarga Em Área Licenciada</t>
  </si>
  <si>
    <t>Assentamento De Tubo De Ferro Fundido Para Rede De Água, Dn 300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</si>
  <si>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</si>
  <si>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Alto De Interferências (Não Inclui Fornecimento). Af_11/2017</t>
  </si>
  <si>
    <t>T06</t>
  </si>
  <si>
    <t>Pecas Em Chapas/Perfil/Barra Em Aco Para Interferencias - 25,54 Kg</t>
  </si>
  <si>
    <t>S01</t>
  </si>
  <si>
    <t>Tubo De Pead Corrugado De Dupla Parede Para Rede Coletora De Esgoto, Dn 250 Mm, Junta Elástica Integrada, Instalado Em Local Com Nível Alto De Interferências - Fornecimento E Assentamento.</t>
  </si>
  <si>
    <t>M0122</t>
  </si>
  <si>
    <t>Tubo Pead Pe 100 Pn 8 Com Flanges - D = 450 Mm</t>
  </si>
  <si>
    <t>Assentamento De Tubo De Pead Corrugado De Dupla Parede Para Rede Coletora De Esgoto, Dn 450 Mm, Junta Elástica Integrada (Não Inclui Fornecimento). Af_01/2021</t>
  </si>
  <si>
    <t>Destocamento De Árvores Com Diâmetro  &gt; 30 Cm, Com Trator De Esteira</t>
  </si>
  <si>
    <t>ud</t>
  </si>
  <si>
    <t>Demolição De Concreto Armado</t>
  </si>
  <si>
    <t>Corpo BSTC Diâmetro 0,20 M C.S. Pb Inclusive Escavação, Reaterro E Transporte Do Tubo</t>
  </si>
  <si>
    <t>Corpo BSTC Diâmetro 0,30 M C.S. Pb Inclusive Escavação, Reaterro E Transporte Do Tubo</t>
  </si>
  <si>
    <t>Corpo BSTC Diâmetro 0,40 M C.S. Pb Inclusive Escavação, Reaterro E Transporte Do Tubo</t>
  </si>
  <si>
    <t>Corpo BSTC Diâmetro 0,60 M C.S. Pb Inclusive Escavação, Reaterro E Transporte Do Tubo</t>
  </si>
  <si>
    <t>Corpo BSTC (Greide) Diâmetro 0,80 M Ca-1 Pb Inclusive Escavação, Reaterro E Transporte Do
Tubo</t>
  </si>
  <si>
    <t>Corpo BSTC (Greide) Diâmetro 1,00 M Ca-1 Pb Inclusive Escavação, Reaterro E Transporte Do Tubo</t>
  </si>
  <si>
    <t>Rede Agua Fofo K-7 Dn 400 S/Pav</t>
  </si>
  <si>
    <t>Demolição Manual De Construções Provisórias De Madeira - Sem Reaproveitamento</t>
  </si>
  <si>
    <t>Esgoto</t>
  </si>
  <si>
    <t>(Composição Representativa) Poço De Visita Circular Para Esgoto, Em Concreto Pré-Moldado, Diâmetro Interno = 1,0 M, Profundidade De 1,50 A 2,00 M, Incluindo Tampão De Ferro Fundido, Diâmetro De 60 Cm. Af_04/2018</t>
  </si>
  <si>
    <t>Poço De Visita Para BSTC Diâm. 0,60M Em Blocos De Concreto</t>
  </si>
  <si>
    <t>Rede Coletora</t>
  </si>
  <si>
    <t>Serviços Técnicos</t>
  </si>
  <si>
    <t>T03</t>
  </si>
  <si>
    <t>Teste De Estanqueidade Em Redes De Esgoto</t>
  </si>
  <si>
    <t>Cadastro De Rede Agua Ou Esgoto</t>
  </si>
  <si>
    <t>Movimento de Terra</t>
  </si>
  <si>
    <t>Escavação Mecânica De Vala Em Material De 1ª Categoria</t>
  </si>
  <si>
    <t>Escavação Manual De Vala Em Material De 1ª Categoria</t>
  </si>
  <si>
    <t>Aterro Manual Para Regularização Do Terreno Em Areia, Inclusive Adensamento Hidráulico E Fornecimento Do Material (Máximo De 100M3)</t>
  </si>
  <si>
    <t>Reaterro Manual Apiloado Com Soquete. Af_10/2017</t>
  </si>
  <si>
    <t>Reaterro Manual De Valas Com Compactação Mecanizada. Af_04/2016</t>
  </si>
  <si>
    <t>Transporte Com Caminhão Basculante De 6 M³ - Rodovia Em Revestimento Primário</t>
  </si>
  <si>
    <t>Demolição Parcial De Pavimento Asfáltico, De Forma Mecanizada, Sem Reaproveitamento. Af_12/2017</t>
  </si>
  <si>
    <t>Sub-Base De Brita Graduada, Inclusive Fornecimento E Transporte Da Brita Em Vias Urbanas</t>
  </si>
  <si>
    <t>Carga, Manobra E Descarga De Material Demolido Em Caminhão Basculante De 6 M³ - Carga Manual E Descarga Livre</t>
  </si>
  <si>
    <t>Transporte De Mistura Betuminosa A Quente Com Caminhão Com Caçamba Térmica De 6 M³ - Rodovia Pavimentada</t>
  </si>
  <si>
    <t>Imprimação Com Emulsão Asfáltica</t>
  </si>
  <si>
    <t>Emulsão Asfáltica Para Imprimação (Eai), Fornecimento</t>
  </si>
  <si>
    <t>Transporte De Material Asfáltico (Dnit), Inclusive Bdi Diferenciado</t>
  </si>
  <si>
    <t>Escoramento</t>
  </si>
  <si>
    <t>S02</t>
  </si>
  <si>
    <t>Escoramento De Vala, Tipo Pontaleteamento, Com Profundidade De 0 A 1,5 M, Largura Menor Que 1,5 M, Em Local Com Nível Alto De Interferência.</t>
  </si>
  <si>
    <t>Assentamento</t>
  </si>
  <si>
    <t>S03</t>
  </si>
  <si>
    <t>Assentamento De Tubo De Pvc Para Rede Coletora De Esgoto De Parede Maciça, Dn 150 Mm, Junta Elástica, Instalado Em Local Com Nível Alto De Interferências (Não Inclui Fornecimento).</t>
  </si>
  <si>
    <t>Tubo Coletor De Esgoto, Pvc, Jei, Dn 150 Mm  (Nbr 7362)</t>
  </si>
  <si>
    <t xml:space="preserve"> m</t>
  </si>
  <si>
    <t>Execução De Pavimento Com Aplicação De Concreto Asfáltico, Camada De Rolamento - Exclusive Carga E Transporte. Af_11/2019</t>
  </si>
  <si>
    <t>Sinalização de Obra</t>
  </si>
  <si>
    <t>Elementos De Madeira Para Sinalização - Cavaletes</t>
  </si>
  <si>
    <t>Sinalização Vertical Com Chapa Em Esmalte Sintético</t>
  </si>
  <si>
    <t>Tela De Proteção De Segurança De PVC Cor Laranja Com Suporte  Para Sinalização De Obras</t>
  </si>
  <si>
    <t>SUB-TOTAL - 2.0 - CANAL GUARANHUNS 01 - REVESTIMENTO EM CONCRETO</t>
  </si>
  <si>
    <t>Canal Guaranhuns 02 - Revestimento em Terra</t>
  </si>
  <si>
    <t>Remocao Residuos Classe A Conama (Cacamba) Classe Ii B (Nbr10004) Inclusive Destinacao Final</t>
  </si>
  <si>
    <t>Destinação Final De Resíduos Classe Ii A Em Aterro Sanitário Controlado</t>
  </si>
  <si>
    <t>Plantio De Grama Em Placas. Af_05/2018</t>
  </si>
  <si>
    <t>Demolição De Concreto Simples</t>
  </si>
  <si>
    <t>Assentamento De Tubo De PVC Para Rede Coletora De Esgoto De Parede Maciça, Dn 150 Mm, Junta Elástica, Instalado Em Local Com Nível Alto De Interferências (Não Inclui Fornecimento).</t>
  </si>
  <si>
    <t>Tubo Coletor De Esgoto, PVC, Jei, Dn 150 Mm  (Nbr 7362)</t>
  </si>
  <si>
    <t>Sinalizações de Obras</t>
  </si>
  <si>
    <t>Tela De Proteção De Segurança De Pvc Cor Laranja Com Suporte  Para Sinalização De Obras</t>
  </si>
  <si>
    <t>SUB-TOTAL - 3.0 - CANAL GUARANHUNS 02 - REVESTIMENTO EM TERRA</t>
  </si>
  <si>
    <t>Passarelas</t>
  </si>
  <si>
    <t>Passarela Bradesco</t>
  </si>
  <si>
    <t>Preparo E Regularização De Terreno Em Desnível</t>
  </si>
  <si>
    <t>Perfuratriz Com Torre Metálica Para Execução De Estaca Hélice Contínua, Profundidade Máxima De 32 M, Diâmetro Máximo De 1000 Mm, Potência Instalada De 350 Hp, Mesa Rotativa Com Torque Máximo De 263 Knm - Chi Diurno. Af_01/2016</t>
  </si>
  <si>
    <t>chi</t>
  </si>
  <si>
    <t>Estaca Hélice Contínua, Diâmetro De 30 Cm, Incluso Concreto Fck=30Mpa E Armadura Mínima (Exclusive Mobilização, Desmobilização E Bombeamento). Af_12/2019</t>
  </si>
  <si>
    <t>Arrasamento Mecanico De Estaca De Concreto Armado, Diametros De Até 40 Cm. Af_05/2021</t>
  </si>
  <si>
    <t>Lastro De Concreto Magro, Aplicado Em Blocos De Coroamento Ou Sapatas, Espessura De 5 Cm. Af_08/2017</t>
  </si>
  <si>
    <t>Fabricação, Montagem E Desmontagem De Fôrma Para Bloco De Coroamento, Em Chapa De Madeira Compensada Resinada, E=17 Mm, 2 Utilizações. Af_06/2017</t>
  </si>
  <si>
    <t>Chumbador Tipo Espera Em Aço Ca-25 Para Fixação De Estrutura Metálica Em Concreto - Fornecimento E Instalação</t>
  </si>
  <si>
    <t>Viga Metálica Em Perfil Laminado Ou Soldado Em Aço Estrutural, Com Conexões Soldadas, Inclusos Mão De Obra, Transporte E Içamento Utilizando Guindaste - Fornecimento E Instalação. Af_01/2020_P</t>
  </si>
  <si>
    <t>T01</t>
  </si>
  <si>
    <t>Guarda Corpo Em Aço Galvanizado De Altura H=1,10M Pintura Com Tinta Esmalte Suvinil, Linha "Contra Ferrugem" Cor Maracujá, Ref.:C026</t>
  </si>
  <si>
    <t>T02</t>
  </si>
  <si>
    <t>Demolição Manual De Construções Provisórias - Sem Reaproveitamento, Incluído Transporte E Destinação</t>
  </si>
  <si>
    <t>Serviço De Bombeamento De Concreto Com Consumo Minimo De 40 M3</t>
  </si>
  <si>
    <t>Passarela Carlos Larica</t>
  </si>
  <si>
    <t>Estaca Trilho Tr 68 - Fornecimento E Cravação</t>
  </si>
  <si>
    <t>T04</t>
  </si>
  <si>
    <t>Arrasamento De Estacas Trilho Tr 68</t>
  </si>
  <si>
    <t>Passarela João Cipreste Filho</t>
  </si>
  <si>
    <t>Passarela Otorrino Avancine</t>
  </si>
  <si>
    <t>Passarela Rua 37</t>
  </si>
  <si>
    <t xml:space="preserve">m³    </t>
  </si>
  <si>
    <t>Passarela Sales</t>
  </si>
  <si>
    <t>Passarela Sul</t>
  </si>
  <si>
    <t>SUB-TOTAL - 4.0 - PASSARELAS</t>
  </si>
  <si>
    <t>Urbanização</t>
  </si>
  <si>
    <t>Remoções</t>
  </si>
  <si>
    <t>Remoção De Meio Fio</t>
  </si>
  <si>
    <t>Corte E Remoção De Árvores</t>
  </si>
  <si>
    <t>Carga, Manobra E Descarga De Material Demolido Em Caminhão Basculante De 6 M³ - Carga Com Carregadeira De 1,72 M³ E Descarga Livre</t>
  </si>
  <si>
    <t>Piso e Sinalização</t>
  </si>
  <si>
    <t>Execução De Passeio (Calçada) Ou Piso De Concreto Com Concreto Moldado In Loco, Usinado, Acabamento Convencional, Espessura 8 Cm, Armado. Af_07/2016</t>
  </si>
  <si>
    <t>Execução De Passeio Em Piso Intertravado, Com Bloco Retangular Cor Natural De 20 X 10 Cm, Espessura 6 Cm. Af_12/2015</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</si>
  <si>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</si>
  <si>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</si>
  <si>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Assentamento De Guia (Meio-Fio) Em Trecho Reto, Confeccionada Em Concreto Pré-Fabricado, Dimensões 100X15X13X30 Cm (Comprimento X Base Inferior X Base Superior X Altura), Para Vias Urbanas (Uso Viário). Af_06/2016</t>
  </si>
  <si>
    <t>Pintura De Faixa Com Termoplástico Por Aspersão - Espessura De 1,5 Mm</t>
  </si>
  <si>
    <t>Pintura De Setas E Zebrados Com Termoplástico Por Aspersão - Espessura De 1,5 Mm</t>
  </si>
  <si>
    <t>Sinalização Vertical Com Chapa Revestida Em Película, Inclusive Suporte Em Madeira</t>
  </si>
  <si>
    <t>Paisagismo</t>
  </si>
  <si>
    <t>Fornecimento E Plantio De Grama Em Placas Tipo Esmeralda, Inclusive Fornecimento De Terra Vegetal</t>
  </si>
  <si>
    <t>Plantio De Árvore Ornamental Com Altura De Muda Maior Que 2,00 M E Menor Ou Igual A 4,00 M. Af_05/2018</t>
  </si>
  <si>
    <t>SUB-TOTAL - 5.0 - URBANIZAÇÃO</t>
  </si>
  <si>
    <t>TOTAL DO CONTRATO</t>
  </si>
  <si>
    <r>
      <t xml:space="preserve">EMPREITEIRA: </t>
    </r>
    <r>
      <rPr>
        <sz val="11"/>
        <rFont val="Arial"/>
        <family val="2"/>
      </rPr>
      <t xml:space="preserve"> Comér Construtora e Incorporadora ltda</t>
    </r>
  </si>
  <si>
    <r>
      <t xml:space="preserve">CONTRATO N°: </t>
    </r>
    <r>
      <rPr>
        <sz val="11"/>
        <rFont val="Arial"/>
        <family val="2"/>
      </rPr>
      <t xml:space="preserve"> 047/2022</t>
    </r>
  </si>
  <si>
    <r>
      <t xml:space="preserve">ASSINATURA: </t>
    </r>
    <r>
      <rPr>
        <sz val="11"/>
        <rFont val="Arial"/>
        <family val="2"/>
      </rPr>
      <t>30/06/2022</t>
    </r>
  </si>
  <si>
    <r>
      <t xml:space="preserve">INÍCIO DOS SERVIÇOS: </t>
    </r>
    <r>
      <rPr>
        <sz val="11"/>
        <rFont val="Arial"/>
        <family val="2"/>
      </rPr>
      <t>03/08/2022</t>
    </r>
  </si>
  <si>
    <t>MEMÓRIA DE CÁLCULO DE QUANTIDADES</t>
  </si>
  <si>
    <t xml:space="preserve">ESTACA </t>
  </si>
  <si>
    <t>POS.</t>
  </si>
  <si>
    <t>EXTENSÃO (m)</t>
  </si>
  <si>
    <t>LARGURA (m)</t>
  </si>
  <si>
    <t>PROF. (m)</t>
  </si>
  <si>
    <t>ÁREA (m²)</t>
  </si>
  <si>
    <t>VOLUME (m³)</t>
  </si>
  <si>
    <t>DENSIDADE</t>
  </si>
  <si>
    <t>%</t>
  </si>
  <si>
    <t>UND</t>
  </si>
  <si>
    <t>MEDIÇÃO</t>
  </si>
  <si>
    <t>OBSERVAÇÕES</t>
  </si>
  <si>
    <t>INICIAL</t>
  </si>
  <si>
    <t>FINAL</t>
  </si>
  <si>
    <t>(t/m³)</t>
  </si>
  <si>
    <t>QUANTIDADE CONTRATUAL</t>
  </si>
  <si>
    <t xml:space="preserve">QUANTIDADE TOTAL ACUMULADA </t>
  </si>
  <si>
    <t>AVANÇO</t>
  </si>
  <si>
    <t>ACUMULADA ANTERIOR</t>
  </si>
  <si>
    <t>MEDIÇÃO LÍQUIDA</t>
  </si>
  <si>
    <t>Conforme Croquis em anexo</t>
  </si>
  <si>
    <t>Placa de Obra</t>
  </si>
  <si>
    <t xml:space="preserve">Mobilização de containers </t>
  </si>
  <si>
    <t>PERÍODO</t>
  </si>
  <si>
    <t>DIAS</t>
  </si>
  <si>
    <t>DENSIDADE (t/m³)</t>
  </si>
  <si>
    <t>Canteiro de Obras - Mês de Agosto</t>
  </si>
  <si>
    <t>Canteiro de Obras - Mês de Setembro</t>
  </si>
  <si>
    <t>Canteiro de Obras - Mês de Outubro</t>
  </si>
  <si>
    <t>Canteiro de Obras - Mês de Novembro</t>
  </si>
  <si>
    <t>Canteiro de Obras - Mês de Dezembro</t>
  </si>
  <si>
    <t>Canteiro de Obras - Mês de Janeiro</t>
  </si>
  <si>
    <t>Canteiro de Obras - Mês de Fevereiro</t>
  </si>
  <si>
    <t>Canteiro de Obras - Mês de Março</t>
  </si>
  <si>
    <t>Canteiro de Obras - Mês de Abril</t>
  </si>
  <si>
    <t>COMPR. (m)</t>
  </si>
  <si>
    <t>ESPESSURA (m)</t>
  </si>
  <si>
    <t>SEÇÃO (m²)</t>
  </si>
  <si>
    <t>VOL (m³)</t>
  </si>
  <si>
    <t>Galeria Trecho 01 - Fechada - In loco - 5,50 x 2,30</t>
  </si>
  <si>
    <t>Laje Inferior</t>
  </si>
  <si>
    <t>+</t>
  </si>
  <si>
    <t>TM-SEDURB-MD-007-GUA-CANAL-01-EST-002</t>
  </si>
  <si>
    <t>Parede LE</t>
  </si>
  <si>
    <t>Parede LD</t>
  </si>
  <si>
    <t>Misulas Laje Inferior LD/LE</t>
  </si>
  <si>
    <t>Misulas Laje Superior LD/LE</t>
  </si>
  <si>
    <t>Laje Superior</t>
  </si>
  <si>
    <t>Galeria Trecho 02 - Aberta - In loco - 7,50 x 2,30</t>
  </si>
  <si>
    <t>Misulas LD/LE</t>
  </si>
  <si>
    <t>Galeria Trecho 03 - Aberta - In loco - 9,50 x 2,30</t>
  </si>
  <si>
    <t>Galeria Trecho 04 - Aberta - In loco - 11,50 x 2,30</t>
  </si>
  <si>
    <t>Transição Trecho 04 para Trecho 05 - Parede in loco - 11,50 x 0,95 x 0,25</t>
  </si>
  <si>
    <t>Parede de transição</t>
  </si>
  <si>
    <t>Detalhamento Anexo</t>
  </si>
  <si>
    <t>Galeria Trecho 05 - Aberta - In loco - 11,50 x 3,00</t>
  </si>
  <si>
    <t>SEMI-DIST. (m)</t>
  </si>
  <si>
    <t>Concreto para bombeamento</t>
  </si>
  <si>
    <t>Anexo Folha nº: DR-01, DR-04, DR-06 e DR-08</t>
  </si>
  <si>
    <t>Sub-base - confinamento para rachão - Laterais</t>
  </si>
  <si>
    <t>Laje Inferior - Frente</t>
  </si>
  <si>
    <t>Laje Inferior - Laterais</t>
  </si>
  <si>
    <t>Mísula Inferior LD/LE</t>
  </si>
  <si>
    <t>Paredes fechamento</t>
  </si>
  <si>
    <t>Parede Interna LE</t>
  </si>
  <si>
    <t>Parede Externa LE</t>
  </si>
  <si>
    <t>Parede Interna LD</t>
  </si>
  <si>
    <t>Parede Externa LD</t>
  </si>
  <si>
    <t>Mísula Superior LD/LE</t>
  </si>
  <si>
    <t>Laje Superior - Fundo</t>
  </si>
  <si>
    <t>Laje Superior - Frente</t>
  </si>
  <si>
    <t>Laje Superior - Laterais</t>
  </si>
  <si>
    <t>DIÂMETRO</t>
  </si>
  <si>
    <t>ESPAÇAM. (cm)</t>
  </si>
  <si>
    <t>NÚM BARRAS</t>
  </si>
  <si>
    <t>COMPRIM. (cm)</t>
  </si>
  <si>
    <t>TRANSPASSE (cm)</t>
  </si>
  <si>
    <t>PESO (kg/m)</t>
  </si>
  <si>
    <t>N5 - Superior</t>
  </si>
  <si>
    <t>N3</t>
  </si>
  <si>
    <t>N4</t>
  </si>
  <si>
    <t>N5 - Inferior</t>
  </si>
  <si>
    <t>Espaçador laje inferior</t>
  </si>
  <si>
    <t>Espaçador laje superior</t>
  </si>
  <si>
    <t>N2 - CORR</t>
  </si>
  <si>
    <t>N5</t>
  </si>
  <si>
    <t>N6 - CORR</t>
  </si>
  <si>
    <t>Ancoragem no Trecho 04</t>
  </si>
  <si>
    <t>Anexo - Seções Tipo - DR-02</t>
  </si>
  <si>
    <t>Costela</t>
  </si>
  <si>
    <t>Estribo</t>
  </si>
  <si>
    <t>Ancoragem no Trecho 05</t>
  </si>
  <si>
    <t>TRANSP EXT (cm)</t>
  </si>
  <si>
    <t>LARGURA (cm)</t>
  </si>
  <si>
    <t>TRANSP LARG (cm)</t>
  </si>
  <si>
    <t>PESO (kg/m²)</t>
  </si>
  <si>
    <t>N1 - CORR - Malha 10 cm x 10 cm; Diam. 6,0 mm x 6,00 mm</t>
  </si>
  <si>
    <t>N2 - CORR - Malha 10 cm x 10 cm; Diam. 6,0 mm x 6,00 mm</t>
  </si>
  <si>
    <t>Barra de transferência</t>
  </si>
  <si>
    <t>Base da galeria fechada - Trecho 01</t>
  </si>
  <si>
    <t>Projeto Estrutural - Prancha 1/2</t>
  </si>
  <si>
    <t>Base da galeria aberta - Trecho 02</t>
  </si>
  <si>
    <t>Base da galeria aberta - Trecho 03</t>
  </si>
  <si>
    <t>Base da galeria aberta - Trecho 04</t>
  </si>
  <si>
    <t>Base da galeria aberta - Trecho 05</t>
  </si>
  <si>
    <t>LADOS</t>
  </si>
  <si>
    <t>Estacas de contenção de solo</t>
  </si>
  <si>
    <t>AREA</t>
  </si>
  <si>
    <t>(m³)</t>
  </si>
  <si>
    <t>km</t>
  </si>
  <si>
    <t>HORAS</t>
  </si>
  <si>
    <t>BASE</t>
  </si>
  <si>
    <t>PAREDE</t>
  </si>
  <si>
    <t>Junta de dilatação</t>
  </si>
  <si>
    <t>Executado somente piso</t>
  </si>
  <si>
    <t>Executado piso e paredes</t>
  </si>
  <si>
    <t>Executado somente paredes</t>
  </si>
  <si>
    <t>Cubação total</t>
  </si>
  <si>
    <t>Corte - Até 12 MP - Destinação II-B</t>
  </si>
  <si>
    <t>Folha de Cubação e Seções Anexo
Fl. SEC-01 a SEC-19</t>
  </si>
  <si>
    <t>Corte - A partir 13 MP - Destinação II-A</t>
  </si>
  <si>
    <t>ESCAVAÇÃO
(m³)</t>
  </si>
  <si>
    <t>EMPOL.
(%)</t>
  </si>
  <si>
    <t>MÁXIMO (m³)</t>
  </si>
  <si>
    <t>CDF</t>
  </si>
  <si>
    <t>Destinação final - Classe II-B</t>
  </si>
  <si>
    <t>Fator de empolamento calculado Anexo.
Retirado conforme CDF, limitado ao volume de escavação + empolamento.</t>
  </si>
  <si>
    <t>ESCAVAÇÃO (m³)</t>
  </si>
  <si>
    <t>PESO</t>
  </si>
  <si>
    <t>ALTURA (m)</t>
  </si>
  <si>
    <t>DESCONTO</t>
  </si>
  <si>
    <t>(m²)</t>
  </si>
  <si>
    <t>ALTURA. (m)</t>
  </si>
  <si>
    <t>(m3)</t>
  </si>
  <si>
    <t>Ensecadeira para contenção</t>
  </si>
  <si>
    <t>DMT
(km)</t>
  </si>
  <si>
    <t>TRANSP
(tkm)</t>
  </si>
  <si>
    <t>Transporte argila para obra</t>
  </si>
  <si>
    <t>Aquisição de solo de jazida</t>
  </si>
  <si>
    <t>Transporte Destinação final - Classe ll-A</t>
  </si>
  <si>
    <t>Aterro lateral da galeria</t>
  </si>
  <si>
    <t>(Kg/m)</t>
  </si>
  <si>
    <t>Interligação de redes</t>
  </si>
  <si>
    <t>LD</t>
  </si>
  <si>
    <t>LE</t>
  </si>
  <si>
    <t>Demolição e retirada do material da passarela de madeira</t>
  </si>
  <si>
    <t xml:space="preserve">PROJETO GEOMETRICO 03/19- MAPA CHAVE 01 </t>
  </si>
  <si>
    <t>Avenida do Canal - LE</t>
  </si>
  <si>
    <t>Placas para sinalização- Avenida do Canal</t>
  </si>
  <si>
    <t>X10</t>
  </si>
  <si>
    <t xml:space="preserve">Avenida do Canal </t>
  </si>
  <si>
    <t>Plantio de Árvore Ornamental Com Altura de Muda Maior que 2,00M e Menor ou Igual a 4,00M</t>
  </si>
  <si>
    <t>8.   EVOLUÇÃO FINANCEIRA DO CONTRATO</t>
  </si>
  <si>
    <t>CONTRATO ORIGINAL</t>
  </si>
  <si>
    <t>1º ADITAMENTO DO CONTRATO</t>
  </si>
  <si>
    <t>2º ADITAMENTO DO CONTRATO</t>
  </si>
  <si>
    <t>3º ADITAMENTO DO CONTRATO</t>
  </si>
  <si>
    <t>VALOR</t>
  </si>
  <si>
    <t>PRAZO (DIAS)</t>
  </si>
  <si>
    <t>ASSINATURA</t>
  </si>
  <si>
    <t xml:space="preserve">OBS.: </t>
  </si>
  <si>
    <r>
      <rPr>
        <b/>
        <sz val="10"/>
        <rFont val="Times New Roman"/>
        <family val="1"/>
      </rPr>
      <t>OBS.:</t>
    </r>
    <r>
      <rPr>
        <sz val="10"/>
        <rFont val="Times New Roman"/>
        <family val="1"/>
      </rPr>
      <t xml:space="preserve"> </t>
    </r>
  </si>
  <si>
    <t>HISTÓRICO</t>
  </si>
  <si>
    <t>DESCRIÇÃO</t>
  </si>
  <si>
    <t xml:space="preserve">PERÍODO </t>
  </si>
  <si>
    <t>QUANT.      DIAS</t>
  </si>
  <si>
    <t>VALORES R$</t>
  </si>
  <si>
    <t xml:space="preserve">SALDO DO PRAZO CONTRATUAL  (Dias)                            </t>
  </si>
  <si>
    <t>AVANÇO FINANCEIRO PI (%)</t>
  </si>
  <si>
    <t>P.I</t>
  </si>
  <si>
    <t>P.I ACUMULADO</t>
  </si>
  <si>
    <t xml:space="preserve">SALDO DO CONTRATO </t>
  </si>
  <si>
    <t>Reajust.</t>
  </si>
  <si>
    <t>PI + R</t>
  </si>
  <si>
    <t>ACUMULADO</t>
  </si>
  <si>
    <t>a</t>
  </si>
  <si>
    <t>1º Termo Aditivo (Prazo)</t>
  </si>
  <si>
    <t>13ª MP</t>
  </si>
  <si>
    <t>14ª MP</t>
  </si>
  <si>
    <t>15ª MP</t>
  </si>
  <si>
    <t xml:space="preserve">TOTAIS    </t>
  </si>
  <si>
    <t xml:space="preserve">INFORMAÇÕES PARA 3º REPLANILHAMENTO DO CONTRADO </t>
  </si>
  <si>
    <t>Valor para Aditamento do Contrato (R$)</t>
  </si>
  <si>
    <t>Percentual de Acréscimo sobre o Valor Inicial (%)</t>
  </si>
  <si>
    <t>Quantidade de Dias para Aditamento do Contrato (Dias)</t>
  </si>
  <si>
    <t>Novo Valor do Contrato após 3º Replanilhamento (R$)</t>
  </si>
  <si>
    <t>Novo Prazo Contratual após 3º Replanilhamento (Dias)</t>
  </si>
  <si>
    <t>Conferência PI Acumulado</t>
  </si>
  <si>
    <t>275</t>
  </si>
  <si>
    <t>Barragem para contenção de efluentes</t>
  </si>
  <si>
    <t>Avenida do Canal</t>
  </si>
  <si>
    <t>Avenida Piauí</t>
  </si>
  <si>
    <t>Transporte de Brita 03 da Pedreira para a obra</t>
  </si>
  <si>
    <t>2º Termo Aditivo (Prazo)</t>
  </si>
  <si>
    <t xml:space="preserve">Canteiro de Obras Novo (Avenida Piauí) </t>
  </si>
  <si>
    <t>Mobilização de containers (Canteiro Novo)</t>
  </si>
  <si>
    <t>Estacas de contenção de Barragem (argila)</t>
  </si>
  <si>
    <t>Ciclovias, passeios e calçadas</t>
  </si>
  <si>
    <t>Aterro lateral caminho de serviço Escavadeira bordo esquerdo do Canal</t>
  </si>
  <si>
    <t>Aterros em áreas de ciclovias , passeios e calçadas</t>
  </si>
  <si>
    <t>Barragem para contenção de efluentes ( retirada e recomposição de material)</t>
  </si>
  <si>
    <t>NUM. DE LADOS</t>
  </si>
  <si>
    <t>Placas para sinalização- Avenida do Piauí</t>
  </si>
  <si>
    <t/>
  </si>
  <si>
    <t>Destinação final - material provenientes ensecadeiras removidas</t>
  </si>
  <si>
    <t xml:space="preserve">Base de pedras para construção de Contenção (Barragem) 01  Jusante </t>
  </si>
  <si>
    <t>Base de pedras para construção de Contenção (Barragem) 02 Montante</t>
  </si>
  <si>
    <t>A fiscalização não autorizou a instalação de estaca prancha metalica no sentido transversal, e sim a sustentação das barragens com pedra</t>
  </si>
  <si>
    <t>Corte - Barragem da jusante 01  na data 21/01/2024</t>
  </si>
  <si>
    <t>Corte- Barrragem da Montante na data 21/01/2024</t>
  </si>
  <si>
    <t>Corte - Barragem da jusante 01  na data 2501/2024</t>
  </si>
  <si>
    <t>Corte- Barrragem da Montante na data 25/01/2024</t>
  </si>
  <si>
    <t>remoção das barragens conforme autorização da fiscalização</t>
  </si>
  <si>
    <t>Canteiro de Obras - Mês de Maio</t>
  </si>
  <si>
    <t>Canteiro de Obras - Mês de Junho</t>
  </si>
  <si>
    <t>Canteiro de Obras - Mês de Julho</t>
  </si>
  <si>
    <t>Escritório Fiscalização</t>
  </si>
  <si>
    <t>Escritório Obra</t>
  </si>
  <si>
    <t>6.0</t>
  </si>
  <si>
    <t>Serviços Novos</t>
  </si>
  <si>
    <t>SUB-TOTAL - 6.0 - SERVIÇOS NOVOS</t>
  </si>
  <si>
    <t>6.1</t>
  </si>
  <si>
    <t>MÊS</t>
  </si>
  <si>
    <t>h</t>
  </si>
  <si>
    <t>M</t>
  </si>
  <si>
    <t>M³</t>
  </si>
  <si>
    <t>H</t>
  </si>
  <si>
    <t>TXKM</t>
  </si>
  <si>
    <t>Grupo gerador de 21 a 80 KVA</t>
  </si>
  <si>
    <t>Alvenaria de blocos de concreto estrut. (19x19x39cm) cheios, c/ resist. mín. compr. 15MPa, assentados c/ arg. cimento e areia no traço 1:4, esp. juntas de 10mm e esp. da parede s/ revest. 19cm</t>
  </si>
  <si>
    <t xml:space="preserve">Limpeza de rua com lavagem (Caminhão PIPA) </t>
  </si>
  <si>
    <t>Carga, manobra e descarga de agregados ou solos em caminhão basculante de 14 m³ - carga com carregadeira de 3,40 m³ e t 1,57 descarga livre</t>
  </si>
  <si>
    <t xml:space="preserve">Tubo PEAD para drenagem - D = 500 mm - fornecimento e instalação </t>
  </si>
  <si>
    <t>Esgotamento de vala por turbina, impulsionada por força motriz a diesel (trator agrícola), diâmetro de sucção de 17"</t>
  </si>
  <si>
    <t>Aluguel mensal container para almoxarifado, incl. porta, 2 janelas, 1 pt iluminação, Isolamento térmico (teto), piso em comp. Naval pintado, cert. NR18, incl. laudo descontaminação.</t>
  </si>
  <si>
    <t>Banheiro químico</t>
  </si>
  <si>
    <t>Rip-rap de areia inclusive escavação, transporte e fornecimento de materiais</t>
  </si>
  <si>
    <t>Vigia noturno com encargos complementares</t>
  </si>
  <si>
    <t>Bomba D ́agua submersível para locação Motor: Elétrico Mono ou Trifásico Tensão: 220 V Diâmetro saída: 6 pol.  (BOMBA ELETRICA)</t>
  </si>
  <si>
    <t>Serviço de revolvimento mecanico de material do bota espera</t>
  </si>
  <si>
    <t>Escoramento para corpo de bueiros celulares - utilização de 3 vezes - confecção, instalação e retirada</t>
  </si>
  <si>
    <t>TRANSPORTE, CARGA E DESCARGA LOCAL COM DMT ATÉ 3,0 KM (Caminhão basculante)</t>
  </si>
  <si>
    <t>Poda em altura de árvore com diâmetro de tronco maior ou igual a 0,60 m.af_05/2018</t>
  </si>
  <si>
    <t>Padrão Móvel de entrada de energia trifás., inclusive poste de concreto (3 unds) cabo de ligação até frente de serviço, quadro de distrib., disj. e chave de força (quando necessário), cons. 20m entre padrão entrada e QDG, conf. projeto (02 utilizações).</t>
  </si>
  <si>
    <t>6.1.1</t>
  </si>
  <si>
    <t>6.1.2</t>
  </si>
  <si>
    <t>6.1.3</t>
  </si>
  <si>
    <t>COMPOSIÇÃO 1</t>
  </si>
  <si>
    <t>6.1.4</t>
  </si>
  <si>
    <t>6.1.5</t>
  </si>
  <si>
    <t>6.1.6</t>
  </si>
  <si>
    <t>COMPOSIÇÃO 2</t>
  </si>
  <si>
    <t>6.1.7</t>
  </si>
  <si>
    <t>6.1.8</t>
  </si>
  <si>
    <t>6.1.9</t>
  </si>
  <si>
    <t>6.1.10</t>
  </si>
  <si>
    <t>6.1.11</t>
  </si>
  <si>
    <t>COMPOSIÇÃO 3</t>
  </si>
  <si>
    <t>6.1.12</t>
  </si>
  <si>
    <t>COMPOSIÇÃO 4</t>
  </si>
  <si>
    <t>6.1.13</t>
  </si>
  <si>
    <t>SICRO</t>
  </si>
  <si>
    <t>6.1.14</t>
  </si>
  <si>
    <t>6.1.15</t>
  </si>
  <si>
    <t>6.1.16</t>
  </si>
  <si>
    <t>CPU 08</t>
  </si>
  <si>
    <t>GALERIA GUARANHUS 1 E 2</t>
  </si>
  <si>
    <t xml:space="preserve"> Mês de Dezembro</t>
  </si>
  <si>
    <t xml:space="preserve"> Mês de Setembro</t>
  </si>
  <si>
    <t xml:space="preserve"> Mês de Outubro</t>
  </si>
  <si>
    <t xml:space="preserve"> Mês de Novembro</t>
  </si>
  <si>
    <t xml:space="preserve"> Mês de Janeiro</t>
  </si>
  <si>
    <t>Mês de Fevereiro</t>
  </si>
  <si>
    <t xml:space="preserve"> Mês de Fevereiro</t>
  </si>
  <si>
    <t>Trecho 1</t>
  </si>
  <si>
    <t>Trecho 2</t>
  </si>
  <si>
    <t>Trecho 3</t>
  </si>
  <si>
    <t>Trecho 4</t>
  </si>
  <si>
    <t>Trecho 5</t>
  </si>
  <si>
    <t>Mês de Julho</t>
  </si>
  <si>
    <t>Mês de Junho</t>
  </si>
  <si>
    <t>Mês de Agosto</t>
  </si>
  <si>
    <t>Mês de Setembro</t>
  </si>
  <si>
    <t>Mês de Outubro</t>
  </si>
  <si>
    <t>Mês de Novembro</t>
  </si>
  <si>
    <t>Mês de Dezembro</t>
  </si>
  <si>
    <t>Mês de Janeiro</t>
  </si>
  <si>
    <t>Tubos utilizados na montagem do Bypass</t>
  </si>
  <si>
    <t>Base da galeria aberta - Trecho 05 - JUSANTE</t>
  </si>
  <si>
    <t>Corte - A partir 19 MP - Destinação II-A</t>
  </si>
  <si>
    <t>Interligação de redes Rua 36</t>
  </si>
  <si>
    <t>Interligação de redes drenagem de rua ( Avenida do Canal)</t>
  </si>
  <si>
    <t>Interligação de redes Rua 37</t>
  </si>
  <si>
    <t>Interligação de redes Rua das Acerolas</t>
  </si>
  <si>
    <t>Interligação de redes Rua 38</t>
  </si>
  <si>
    <t>Interligação de redes Rua dos  Morangos</t>
  </si>
  <si>
    <t>Interligação de redes Rua das Amoras</t>
  </si>
  <si>
    <t>Interligação de redes Rua dos Abacates</t>
  </si>
  <si>
    <t>Interligação de redes Rua das Carambolas</t>
  </si>
  <si>
    <t>Interligação de redes Rua dos Limões</t>
  </si>
  <si>
    <t>Interligação de redes Rua Copo de leite</t>
  </si>
  <si>
    <t>Interligação de redes Rua 39</t>
  </si>
  <si>
    <t>Interligação de redes Rua 41</t>
  </si>
  <si>
    <t>Interligação de redes Rua 43</t>
  </si>
  <si>
    <t>Interligação de redes Rua João Cipreste Filho</t>
  </si>
  <si>
    <t>Interligação de redes Rua Vinicio Canal</t>
  </si>
  <si>
    <t>Interligação de redes Rua Rafael Camata</t>
  </si>
  <si>
    <t>Interligação de redes Rua Lucio Alves Cunha</t>
  </si>
  <si>
    <t>Interligação de redes Rua Antenor Braga</t>
  </si>
  <si>
    <t xml:space="preserve">Ciclovia Avenida do Canal </t>
  </si>
  <si>
    <t>Contenção de Talude</t>
  </si>
  <si>
    <t>Mês de Outubro 2022</t>
  </si>
  <si>
    <t>Mês de Agosto  2022</t>
  </si>
  <si>
    <t>Mês de Setembro 2022</t>
  </si>
  <si>
    <t>Mês de Novembro 2022</t>
  </si>
  <si>
    <t>Mês de Dezembro 2022</t>
  </si>
  <si>
    <t>Mês de Janeiro 2023</t>
  </si>
  <si>
    <t>Mês de Fevereiro  2023</t>
  </si>
  <si>
    <t>Mês de Março  2023</t>
  </si>
  <si>
    <t>Mês de Abril  2023</t>
  </si>
  <si>
    <t>Mês de Maio  2023</t>
  </si>
  <si>
    <t>Mês de Junho  2023</t>
  </si>
  <si>
    <t>Mês de Julho  2023</t>
  </si>
  <si>
    <t>Mês de Agosto  2023</t>
  </si>
  <si>
    <t>Mês de Setembro  2023</t>
  </si>
  <si>
    <t>Mês de Outubro  2023</t>
  </si>
  <si>
    <t>Mês de Novembro  2023</t>
  </si>
  <si>
    <t>Mês de Dezembro  2023</t>
  </si>
  <si>
    <t>Mês de Janeiro  2024</t>
  </si>
  <si>
    <t>Mês de Fevereiro  2024</t>
  </si>
  <si>
    <t xml:space="preserve">Tubos utilizados na montagem do Bypass - TRECHO 5 </t>
  </si>
  <si>
    <t>Manguba</t>
  </si>
  <si>
    <t>Bananeiras (Musa)</t>
  </si>
  <si>
    <t>QUANT</t>
  </si>
  <si>
    <t>Aroeira da praia (Schinus terebinthifolia)</t>
  </si>
  <si>
    <t>Castanheira (Terminalia catappa L);</t>
  </si>
  <si>
    <t>Ficus (Ficus benjamina)</t>
  </si>
  <si>
    <t>Coqueiro (Cocos nucifera)</t>
  </si>
  <si>
    <t>Goiabeira (Psidium guajava)</t>
  </si>
  <si>
    <t>Jamelão (Syzygium cumini)</t>
  </si>
  <si>
    <t>Ficus (Ficus Lyrata)</t>
  </si>
  <si>
    <t>Jasmim do caribe (Plumeria pudica)</t>
  </si>
  <si>
    <t>Nim (Azadirachta indica)</t>
  </si>
  <si>
    <t>Magnólia anã perfumada (Magnolia figo)</t>
  </si>
  <si>
    <t>Árvore sem copa</t>
  </si>
  <si>
    <t>DN. (m)</t>
  </si>
  <si>
    <t>X²</t>
  </si>
  <si>
    <t>coef</t>
  </si>
  <si>
    <t>Aroeira Vermelha</t>
  </si>
  <si>
    <t>Mangueira (Mangifera indica)</t>
  </si>
  <si>
    <t>Bilimbi (Averrhoa bilimbi)</t>
  </si>
  <si>
    <t>Abacateiro (Persea americana)</t>
  </si>
  <si>
    <t>Castanheira (Terminalia catappa L)</t>
  </si>
  <si>
    <t>Flamboyant (Caesalpinia pulcherrima)</t>
  </si>
  <si>
    <t>Pau-Ferro (Caesalpinia ferrea)</t>
  </si>
  <si>
    <t>Angico Branco (Anadenanthera colubrina)</t>
  </si>
  <si>
    <t>Jambo Vermelho (Syzygium malaccense)</t>
  </si>
  <si>
    <t>Gravioleira (Annona muricata L)</t>
  </si>
  <si>
    <t>Eucaliptos (Eucalyptus)</t>
  </si>
  <si>
    <t>68958/2023</t>
  </si>
  <si>
    <t>Ipê-rosa (Handroanthus heptaphyllus)</t>
  </si>
  <si>
    <t>Arbustros e vegetação LD/LE</t>
  </si>
  <si>
    <t>Aquisição para aterros de ciclovia e Barragem para contenção de efluentes</t>
  </si>
  <si>
    <t>Bota espera E125,00</t>
  </si>
  <si>
    <t xml:space="preserve">Corte- Barrragem da Montante na data </t>
  </si>
  <si>
    <t>Retirada e instalação de escoramento REF: Bulbo de Pressão</t>
  </si>
  <si>
    <t>Aterro devido ao Bulbo de pressão</t>
  </si>
  <si>
    <t>Estabilidade do dentro do canal - Defenido em estaca</t>
  </si>
  <si>
    <t xml:space="preserve">Escavação para contenção de bota espera </t>
  </si>
  <si>
    <t>Escavação de vala by pass</t>
  </si>
  <si>
    <t xml:space="preserve">Corte- Barrragem da Montante na data 10/02/2024 - material provenientes ensecadeiras removidas </t>
  </si>
  <si>
    <t>Corte- Barrragem da Montante na data  19/02/2024 e 24/02/2024  - material provenientes ensecadeiras removidas</t>
  </si>
  <si>
    <t>CDF nº 30793/2023 - CDF nº 41558/2023 - CDF nº 44570/2023 - CDF nº 45354/2023 - CDF nº 51598/2023 - CBF 75298 E 75300/2024</t>
  </si>
  <si>
    <t>Barragem para contenção de efluentes ( retirada e recomposição de material) 11/02/2024</t>
  </si>
  <si>
    <t>Barragem para contenção de efluentes ( retirada e recomposição de material) 19/02/2024-24/02/2021</t>
  </si>
  <si>
    <t>dez/22-jan/23</t>
  </si>
  <si>
    <t>fev/23 - jun/23</t>
  </si>
  <si>
    <t>jun/23 - out/2023</t>
  </si>
  <si>
    <t>1357459/2022</t>
  </si>
  <si>
    <t>1419765/2022</t>
  </si>
  <si>
    <t>1501572/2022</t>
  </si>
  <si>
    <t>1595363/2023</t>
  </si>
  <si>
    <t>1671075/2023</t>
  </si>
  <si>
    <t>1727413/2023</t>
  </si>
  <si>
    <t>1757153/2023</t>
  </si>
  <si>
    <t>1854206/2023</t>
  </si>
  <si>
    <t>4203/2023</t>
  </si>
  <si>
    <t>4923/2023</t>
  </si>
  <si>
    <t>13075/2023</t>
  </si>
  <si>
    <t>16050/2023</t>
  </si>
  <si>
    <t>20821/2023</t>
  </si>
  <si>
    <t>22348/2023</t>
  </si>
  <si>
    <t>21607/2023</t>
  </si>
  <si>
    <t>21321/2023</t>
  </si>
  <si>
    <t>21326/2023</t>
  </si>
  <si>
    <t>20822/2023</t>
  </si>
  <si>
    <t>21042/2023</t>
  </si>
  <si>
    <t>30793/2023</t>
  </si>
  <si>
    <t>41558/2023</t>
  </si>
  <si>
    <t>44570/2023</t>
  </si>
  <si>
    <t>45354/2023</t>
  </si>
  <si>
    <t>72818/2024</t>
  </si>
  <si>
    <t>51598/2023</t>
  </si>
  <si>
    <t>75300/2024</t>
  </si>
  <si>
    <t xml:space="preserve"> 75298/2024</t>
  </si>
  <si>
    <t>set/22 - mai/2023</t>
  </si>
  <si>
    <t>Supressão de arvores - Parecer l - 68145/2022</t>
  </si>
  <si>
    <t>Supressão de arvores - Parecer lll - 68145/2022</t>
  </si>
  <si>
    <t>Supressão de arvores - Parecer lll - 68958/2023</t>
  </si>
  <si>
    <t>Jan/23 - dez/23</t>
  </si>
  <si>
    <t>Avenida do Canal ( 03 unidades de 80A)</t>
  </si>
  <si>
    <t>jan/24-fev/24</t>
  </si>
  <si>
    <t>Avenida do Canal ( 02 unidades de 80A e 01 unidade 150A)</t>
  </si>
  <si>
    <t>Aquisição Barragem para contenção de efluentes</t>
  </si>
  <si>
    <t xml:space="preserve">Aquisição para aterros de ciclovia </t>
  </si>
  <si>
    <t>Set/22 - Jun/2023</t>
  </si>
  <si>
    <t xml:space="preserve"> Mês de Março</t>
  </si>
  <si>
    <t>Mês de Março  2024</t>
  </si>
  <si>
    <t>CRONOGRAMA FÍSICO-FINANCEIRO</t>
  </si>
  <si>
    <t>SEDURB</t>
  </si>
  <si>
    <t>Secretária do Estado de Saneamento, Habitação e Desenvolvimento Urbano</t>
  </si>
  <si>
    <t>Título:</t>
  </si>
  <si>
    <t>Cronograma Físico/Financeiro</t>
  </si>
  <si>
    <t>Objeto:</t>
  </si>
  <si>
    <t>Contrato:</t>
  </si>
  <si>
    <t>EXECUÇÃO PARA CONSTRUÇÃO DA OBRA DE DRENAGEM E URBANIZAÇÃO  DO CANAL GUARANHUNS, NO MUNICÍPIO DE VILA VELHA/ES, COM  FORNECIMENTO DE MÃO-DE-OBRA E MATERIAIS</t>
  </si>
  <si>
    <t xml:space="preserve">ITEM </t>
  </si>
  <si>
    <t>ATIVIDADES</t>
  </si>
  <si>
    <t>VALORES(R$)</t>
  </si>
  <si>
    <t>SALDO</t>
  </si>
  <si>
    <t>CANTEIRO DE OBRAS</t>
  </si>
  <si>
    <t>Físico</t>
  </si>
  <si>
    <t>Financeiro</t>
  </si>
  <si>
    <t>CANAL GUARANHUNS 01 - REVESTIMENTO EM CONCRETO</t>
  </si>
  <si>
    <t>CANAL GUARANHUNS 02 - REVESTIMENTO EM TERRA</t>
  </si>
  <si>
    <t>PASSARELAS</t>
  </si>
  <si>
    <t xml:space="preserve">URBANIZAÇÃO </t>
  </si>
  <si>
    <t>SERVIÇOS NOVOS</t>
  </si>
  <si>
    <t>TOTAL PARCIAL (%)</t>
  </si>
  <si>
    <t>TOTAL ACUMULADO (%)</t>
  </si>
  <si>
    <t>TOTAL FINANCEIRO (R$)</t>
  </si>
  <si>
    <t>TOTAL ACUMULADO (R$)</t>
  </si>
  <si>
    <t>19ª MP</t>
  </si>
  <si>
    <t>Lastro Com Material Granular</t>
  </si>
  <si>
    <t>Aquisição De Solo De Jazida</t>
  </si>
  <si>
    <t>Sistema de bombeamento de efluentes utilizado como Bypass Montante</t>
  </si>
  <si>
    <t>Sistema de bombeamento de efluentes utilizado como Bypass Jusante</t>
  </si>
  <si>
    <t>Placas para sinalização- Avenida do Canal e Avenida Piaui</t>
  </si>
  <si>
    <t>dez/23 - mar/24</t>
  </si>
  <si>
    <t>Mês de Março</t>
  </si>
  <si>
    <t>Contenção de galeria que desagua no canal para que os serviços possam ser executados</t>
  </si>
  <si>
    <t xml:space="preserve"> Mês de Abril</t>
  </si>
  <si>
    <t>Mês de Abril</t>
  </si>
  <si>
    <t>Mês de Abril  2024</t>
  </si>
  <si>
    <t>Avenida Piauí - Calçada</t>
  </si>
  <si>
    <t>Avenida Piauí - Obra Canal</t>
  </si>
  <si>
    <t xml:space="preserve">PROJETO GEOMETRICO  </t>
  </si>
  <si>
    <t xml:space="preserve"> Mês de Maio</t>
  </si>
  <si>
    <t>Mês de Maio</t>
  </si>
  <si>
    <t>Mês de Maio  2024</t>
  </si>
  <si>
    <t>Mês de Abril 2024</t>
  </si>
  <si>
    <t>Mês de Maio 2024</t>
  </si>
  <si>
    <t>Estacas de contenção de solo para monatgem do by pss</t>
  </si>
  <si>
    <t xml:space="preserve"> Mês de Junho</t>
  </si>
  <si>
    <t>Mês de Junho  2024</t>
  </si>
  <si>
    <t>Mês de Junho 2024</t>
  </si>
  <si>
    <t>,</t>
  </si>
  <si>
    <t xml:space="preserve">Passeio Avenida do Canal </t>
  </si>
  <si>
    <t xml:space="preserve"> Mês de Julho</t>
  </si>
  <si>
    <t>Mês de Julho  2024</t>
  </si>
  <si>
    <t>Bordo esquerdo interligação da passarela Cipreste Filho</t>
  </si>
  <si>
    <t>Bordo direito interligação da passarela Cipreste Filho</t>
  </si>
  <si>
    <t>Montagem e fixação dos perfis metálico da passarela Cipreste Filho</t>
  </si>
  <si>
    <t>Passarela Cipreste Filho</t>
  </si>
  <si>
    <t>Bordo esquerdo interligação da passarela Rua 37</t>
  </si>
  <si>
    <t>Bordo direito interligação da passarela Rua 37</t>
  </si>
  <si>
    <t>Montagem e fixação dos perfis metálico da passarela Rua 37</t>
  </si>
  <si>
    <t>Jardim canteiro 01</t>
  </si>
  <si>
    <t>Jardim canteiro 02</t>
  </si>
  <si>
    <t>Consideração sem saldo no item 2.2.4</t>
  </si>
  <si>
    <t>6.1.17</t>
  </si>
  <si>
    <t>6.1.18</t>
  </si>
  <si>
    <t>6.1.19</t>
  </si>
  <si>
    <t>6.1.20</t>
  </si>
  <si>
    <t>6.1.21</t>
  </si>
  <si>
    <t>6.1.22</t>
  </si>
  <si>
    <t>6.1.23</t>
  </si>
  <si>
    <t>Enrocamento de pedra espalhada - pedra de mão comercial - fornecimento e assentamento</t>
  </si>
  <si>
    <t>Enrocamento rachão  espalhado  - rachão reciclado comercial - fornecimento e assentamento</t>
  </si>
  <si>
    <t>Pavimentação com blocos de concreto (35 MPa), esp.= 08 cm, colchão areia esp.= 5cm, inclusive fornecimento e transporte dos blocos e areia</t>
  </si>
  <si>
    <t>Remoção de solos moles, incluindo carregamento mecânico com escavadeira hidráulica em</t>
  </si>
  <si>
    <t>Caixa ralo em blocos pré-moldados e grelha articulada em FFA em Vias Urbanas</t>
  </si>
  <si>
    <t>Base de brita graduada, inclusive fornecimento e transporte da brita</t>
  </si>
  <si>
    <t>Retirada manual de blocos pré-moldados de concreto (Blokret), inclusive empilhamento para reaproveitamento</t>
  </si>
  <si>
    <t>Transporte de pedra</t>
  </si>
  <si>
    <t>Transporte de rachão</t>
  </si>
  <si>
    <t>3º Termo Aditivo (Prazo)</t>
  </si>
  <si>
    <t>Mês de Agosto  2024</t>
  </si>
  <si>
    <t>Aquisição de pedras primarias</t>
  </si>
  <si>
    <t>Aquisição de rachão reciclado</t>
  </si>
  <si>
    <t>121941/2024</t>
  </si>
  <si>
    <t>109876/2024</t>
  </si>
  <si>
    <t>102004/2024</t>
  </si>
  <si>
    <t>103581/2024</t>
  </si>
  <si>
    <t>95817/2024</t>
  </si>
  <si>
    <t xml:space="preserve"> 89818/2024</t>
  </si>
  <si>
    <t xml:space="preserve"> 89983/2024</t>
  </si>
  <si>
    <t xml:space="preserve"> Mês de Agosto</t>
  </si>
  <si>
    <t>Interligação de redes Rua Dorio Silva</t>
  </si>
  <si>
    <t>Interligação de redes Av dos Estados</t>
  </si>
  <si>
    <t>Interligação de redes Rua Vitória</t>
  </si>
  <si>
    <t>Interligação de redes Rua São Paulo</t>
  </si>
  <si>
    <t>Interligação de redes Rua Porto Seguro</t>
  </si>
  <si>
    <t>Interligação de redes Rua Carlos Larica</t>
  </si>
  <si>
    <t>Interligação de redes Rua Moacir Fraga</t>
  </si>
  <si>
    <t xml:space="preserve">Fundação Rampa P1 - Viga Baldrame </t>
  </si>
  <si>
    <t>Fundação Rampa P1 - Laje de Piso</t>
  </si>
  <si>
    <t>Fundação Rampa P1 - Viga Baldrame externo</t>
  </si>
  <si>
    <t>Fundação Rampa P1 - Viga Baldrame interno</t>
  </si>
  <si>
    <t xml:space="preserve">Fixação </t>
  </si>
  <si>
    <t>Fundação Rampa</t>
  </si>
  <si>
    <t>Piso Rampa</t>
  </si>
  <si>
    <t>132932/2024</t>
  </si>
  <si>
    <t>Até a 21ª medição</t>
  </si>
  <si>
    <t>21º MP</t>
  </si>
  <si>
    <t>Maio</t>
  </si>
  <si>
    <t>Junho</t>
  </si>
  <si>
    <t>Julho</t>
  </si>
  <si>
    <t>Agosto</t>
  </si>
  <si>
    <t>Drenagem Pluvial Avenida do Canal ( Caixa Ralo )</t>
  </si>
  <si>
    <t>Setembro</t>
  </si>
  <si>
    <t>Mês de Setembro  2024</t>
  </si>
  <si>
    <t>143288/2024</t>
  </si>
  <si>
    <t>Avenida Piauí BE - Avenida do Canal BD</t>
  </si>
  <si>
    <t>Ciclovia Avenida Piaui</t>
  </si>
  <si>
    <t>Mês de Outubro  2024</t>
  </si>
  <si>
    <t>Outubro</t>
  </si>
  <si>
    <t>Avenida do Canal - próximo P37</t>
  </si>
  <si>
    <t>Avenida do Canal - Acerolas</t>
  </si>
  <si>
    <t>Avenida do Canal - Morangos</t>
  </si>
  <si>
    <t>Avenida do Canal - Amoras</t>
  </si>
  <si>
    <t>Avenida do Canal - Estaca 19</t>
  </si>
  <si>
    <t>Avenida do Canal - Abacates</t>
  </si>
  <si>
    <t>Avenida do Canal - Carambolas</t>
  </si>
  <si>
    <t xml:space="preserve">Avenida do Canal - Limões </t>
  </si>
  <si>
    <t>Avenida do Canal - Copo de Leite</t>
  </si>
  <si>
    <t>Avenida Piauí - Rua Vitória</t>
  </si>
  <si>
    <t>Avenida Piauí - Rua São Pulo</t>
  </si>
  <si>
    <t>Avenida Piauí - Rua Porto Seguro</t>
  </si>
  <si>
    <t>156762/2024</t>
  </si>
  <si>
    <t xml:space="preserve">Barragem para contenção de efluentes ( retirada e recomposição de material) </t>
  </si>
  <si>
    <t>salto de contrato</t>
  </si>
  <si>
    <t>saldo anterior</t>
  </si>
  <si>
    <t>Consideração sem saldo no item 2.2.5</t>
  </si>
  <si>
    <t>Diversos</t>
  </si>
  <si>
    <t>Demolição da ala de boca do bueiro de deságue no canal</t>
  </si>
  <si>
    <t>Mês de Novembro  2024</t>
  </si>
  <si>
    <t>Montagem e fixação dos perfis metálico da passarela Carlos Larica</t>
  </si>
  <si>
    <t>Interligação de redes Rua Dylio Penedo</t>
  </si>
  <si>
    <t>Passeio Rampa passarela Cipreste Filho BD</t>
  </si>
  <si>
    <t>Passeio Rampa passarela Cipreste Filho BE</t>
  </si>
  <si>
    <t>Passeio Rampa passarela 37</t>
  </si>
  <si>
    <t xml:space="preserve">Base da galeria aberta - Trecho 05 </t>
  </si>
  <si>
    <t xml:space="preserve">Mês de Dezembro </t>
  </si>
  <si>
    <t>Reaterro</t>
  </si>
  <si>
    <t>Mês de Dezembro  2024</t>
  </si>
  <si>
    <t>Novembro</t>
  </si>
  <si>
    <t>Dezembro</t>
  </si>
  <si>
    <t>Rua Col. José Gabriel Marquês Filho</t>
  </si>
  <si>
    <t>Transporte de reaterro</t>
  </si>
  <si>
    <t>Avenida do Canal  BD</t>
  </si>
  <si>
    <t>Rua Cel José Gabriel Marquès Filho</t>
  </si>
  <si>
    <t>Rampa de acesso BD</t>
  </si>
  <si>
    <t>Rampa de acesso BE</t>
  </si>
  <si>
    <t>Avenida do Canal BE</t>
  </si>
  <si>
    <t xml:space="preserve">Rua Cel José Gabriel Marquês Filho </t>
  </si>
  <si>
    <t>Destinação final - Classe II-A - Avenida Piauí</t>
  </si>
  <si>
    <t>Destinação final - Classe II-A - Rua Cel. José Gabriel Maquês Filho</t>
  </si>
  <si>
    <t>Destinação final - Classe II-A - Avenida do Canal</t>
  </si>
  <si>
    <t>Padraão EDP 150</t>
  </si>
  <si>
    <t>Mês de Janeiro  2025</t>
  </si>
  <si>
    <t>Rampas de acesso</t>
  </si>
  <si>
    <t>Fundação</t>
  </si>
  <si>
    <t>Piso</t>
  </si>
  <si>
    <t>Parede  LD</t>
  </si>
  <si>
    <t>Parede  LE</t>
  </si>
  <si>
    <t xml:space="preserve">Serviços sob ponte Rua Dr Moacir Gonçalves </t>
  </si>
  <si>
    <t>Base da galeria aberta - Trecho 05 - serviços sob ponte</t>
  </si>
  <si>
    <t>Interligação de redes Rua David Teixeira</t>
  </si>
  <si>
    <t>Base para Rampa de acesso</t>
  </si>
  <si>
    <t>Piso para Rampa de acesso</t>
  </si>
  <si>
    <t>Escadas</t>
  </si>
  <si>
    <t>Ciclovia Avenida Piauí</t>
  </si>
  <si>
    <t>Ciclovia/passeio Avenida Piauí</t>
  </si>
  <si>
    <t>Rampas de acesso P1</t>
  </si>
  <si>
    <t>Rampas de acesso P2</t>
  </si>
  <si>
    <t>Rampas de acesso P5</t>
  </si>
  <si>
    <t>Rampas de acesso P5 - Patamar</t>
  </si>
  <si>
    <t>Rampas de acesso P5 - Escada</t>
  </si>
  <si>
    <t>Mês de Fevereiro  2025</t>
  </si>
  <si>
    <t xml:space="preserve">Parede LD (Ala de ponte) </t>
  </si>
  <si>
    <t>Janeiro</t>
  </si>
  <si>
    <t>Passeio Avenida Piauí</t>
  </si>
  <si>
    <t>Mês de Março  2025</t>
  </si>
  <si>
    <t>185900/2025</t>
  </si>
  <si>
    <t>194216/2025</t>
  </si>
  <si>
    <t>Avenida Piauí - Avenida dos Estados</t>
  </si>
  <si>
    <t>Avenida Piauí - entre as estacas 80-85</t>
  </si>
  <si>
    <t xml:space="preserve">Avenida Piauí - Rua Dylio Penedo </t>
  </si>
  <si>
    <t>205513/2025</t>
  </si>
  <si>
    <t>Pagamento referente amedição - Atestado pelo fiscal da época</t>
  </si>
  <si>
    <t>Medição complementar a 26ª medição, conforme topografia paresentada e relatório fotográfico anexado ao processo.</t>
  </si>
  <si>
    <t>Rua Cel José Gabriel Marquês Filho ( Posto de Saúde)</t>
  </si>
  <si>
    <t>Mês de Abril  2025</t>
  </si>
  <si>
    <t>Acumulado med 29 a 31.</t>
  </si>
  <si>
    <t>Fevereiro</t>
  </si>
  <si>
    <t>Março</t>
  </si>
  <si>
    <t>Abril</t>
  </si>
  <si>
    <t>Demolição e retirada do material da muro vizinho</t>
  </si>
  <si>
    <t>Avenida do canal</t>
  </si>
  <si>
    <t xml:space="preserve"> </t>
  </si>
  <si>
    <t>Consideração sem saldo no item 2.5.1</t>
  </si>
  <si>
    <t>Avenida do Canal da Costa - LD</t>
  </si>
  <si>
    <t>Passagem rede dn150 principal</t>
  </si>
  <si>
    <t>Rede de esgoto principal dn150</t>
  </si>
  <si>
    <t>Assentamento rede esgoto dn150mm</t>
  </si>
  <si>
    <t xml:space="preserve">Assentamente rede esgoto dn150 principal </t>
  </si>
  <si>
    <t>Consideração sem saldo no item 2.5.4.2</t>
  </si>
  <si>
    <t>Consideração sem saldo no item 2.5.4.1</t>
  </si>
  <si>
    <t>ACUMULADO SEM SALDO</t>
  </si>
  <si>
    <t>Escavação de vala by pass bordo esquerdo</t>
  </si>
  <si>
    <t>Passarela João Cipreste - Consideração sem saldo item 4.3.8</t>
  </si>
  <si>
    <t>Informe de itens sem saldo para medição para o mês de Abril de 2025.</t>
  </si>
  <si>
    <t>Memória Atualizada</t>
  </si>
  <si>
    <t>Calçada Avenida Piauí</t>
  </si>
  <si>
    <t>Calçada Avenida Piaui</t>
  </si>
  <si>
    <t xml:space="preserve"> Estacas de contenção de solo (reforço e estabilização para residências)</t>
  </si>
  <si>
    <t>Volume (m³)</t>
  </si>
  <si>
    <t>REAPROV.</t>
  </si>
  <si>
    <t>Rede de interligação</t>
  </si>
  <si>
    <t>Remoção de solos moles ( item 6.1.20)</t>
  </si>
  <si>
    <t>Rede de esgoto principal dn150mm</t>
  </si>
  <si>
    <t xml:space="preserve">Passarela </t>
  </si>
  <si>
    <t>Rampas de acesso BE</t>
  </si>
  <si>
    <t>Escadas de acesso BE</t>
  </si>
  <si>
    <t>Patamar BE</t>
  </si>
  <si>
    <t>Rampas de acesso BD</t>
  </si>
  <si>
    <t>Escadas de acesso BD</t>
  </si>
  <si>
    <t>Patamar BD</t>
  </si>
  <si>
    <t>Passarela 37</t>
  </si>
  <si>
    <t>Passarela Carlos Larica- Consideração sem saldo item 4.2.9</t>
  </si>
  <si>
    <t>Acesso rampa P5 LD</t>
  </si>
  <si>
    <t>Acesso rampa P5 LE</t>
  </si>
  <si>
    <t>216517/2025</t>
  </si>
  <si>
    <t>Tapume muro vizinho casa 1</t>
  </si>
  <si>
    <t>Tapume muro vizinho casa 2</t>
  </si>
  <si>
    <t>Tapume muro vizinho casa 3</t>
  </si>
  <si>
    <t>Tapume muro vizinho casa 4</t>
  </si>
  <si>
    <t>Tapume muro vizinho casa 5</t>
  </si>
  <si>
    <t>Serviço realizado no canal revestido em concreto no item 2.2.3</t>
  </si>
  <si>
    <t>Serviço realizado no canal revestido em concreto no item 2.2.6</t>
  </si>
  <si>
    <t xml:space="preserve">GOVERNO DO ESTADO DO ESPÍRITO SANTO
Secretaria de Estado de Saneamento, Habitação e Desenvolvimento Urbano - SEDURB
</t>
  </si>
  <si>
    <t>Rua Cel José Gabriel Marquês Filho ( Rua Itabaiana)</t>
  </si>
  <si>
    <t>Conforme topografia em anexo</t>
  </si>
  <si>
    <t>Altura. (m)</t>
  </si>
  <si>
    <t>6.1.24</t>
  </si>
  <si>
    <t>6.1.25</t>
  </si>
  <si>
    <t>6.1.26</t>
  </si>
  <si>
    <t>6.1.27</t>
  </si>
  <si>
    <t>6.1.28</t>
  </si>
  <si>
    <t>6.1.29</t>
  </si>
  <si>
    <t>6.1.30</t>
  </si>
  <si>
    <t>REATERRO MECANIZADO DE VALA COM ESCAVADEIRA HIDRÁULICA
(CAPACIDADE DA CAÇA MBA: 0,8 M³ / POTÊNCIA: 111 HP),
LARGURA ATÉ 1,5 M, PROFUNDIDADE DE 1,5 A 3,0 M, COM SOLO
DE 1ª CATEGORIA EM LOCAIS COM ALTO NÍVEL DE INTERFERÊNCIA</t>
  </si>
  <si>
    <t>Serviço manual de limpeza e raspagem de terreno, pós movimentação de material de reaterro, inclusive raspagem de equipamento basculante.</t>
  </si>
  <si>
    <t>Conjunto motobomba centrífuga 6", a diesel/gasolina, 24 CV, com acessórios.</t>
  </si>
  <si>
    <t>Limpeza sob a ponte Moacir Gonçalves</t>
  </si>
  <si>
    <t>Corpo de BSCC 3,00 x 3,00 m - moldado no local - altura do aterro 0,00 a 1,00 m - areia e brita comerciais</t>
  </si>
  <si>
    <t>Equipe de Pare e Siga com sinalização</t>
  </si>
  <si>
    <t>Padrão Móvel de entrada de energia trifás., Realocação</t>
  </si>
  <si>
    <t>Aterros em áreas de ciclovias , passeios e calçadas ( Avenida Piauí)  BE</t>
  </si>
  <si>
    <t>Aterros em áreas de ciclovias , passeios e calçadas ( Avenida do Canal) BD</t>
  </si>
  <si>
    <t>Barragem para contenção de efluentes trecho 5</t>
  </si>
  <si>
    <t>Placas para sinalização- Avenida do Canal e Rua Cel José Gabriel Marquês Filho</t>
  </si>
  <si>
    <t>Rua Cel José Gabriel Marquês Filho ( Bordo esquedo do Canal)</t>
  </si>
  <si>
    <t>Estorno para o item 2.5.4.1</t>
  </si>
  <si>
    <t>Estorno para o item 2.5.4.2</t>
  </si>
  <si>
    <t>Correção após celebração de aditivo</t>
  </si>
  <si>
    <t>Mês de Abril 2025</t>
  </si>
  <si>
    <t>Mês de Maio  2025</t>
  </si>
  <si>
    <t>Mês de Junho 2025</t>
  </si>
  <si>
    <t>Mês de Julho 2025</t>
  </si>
  <si>
    <t>Reaterro lateral da galeria</t>
  </si>
  <si>
    <t>Rua Cel José Gabriel Marquês Filho</t>
  </si>
  <si>
    <t>Desobstrução, Limpeza e Remanejamento de Resíduos na Rua Dr. Moacir Gonçalves, Abaixo da Ponte</t>
  </si>
  <si>
    <t>Unid</t>
  </si>
  <si>
    <t>Carlos Vinícius Soares do Rosário</t>
  </si>
  <si>
    <t>Correção</t>
  </si>
  <si>
    <t>Estorno para o item 2.2.1</t>
  </si>
  <si>
    <t>Estorno para o item 2.2.3</t>
  </si>
  <si>
    <t>Estorno para o item 2.2.4</t>
  </si>
  <si>
    <t>Estorno para o item 2.2.5</t>
  </si>
  <si>
    <t>Estorno para o item 2.2.6</t>
  </si>
  <si>
    <t>226979/2025</t>
  </si>
  <si>
    <t>242068/2025</t>
  </si>
  <si>
    <t>Correção de item considerando o critério de medição firmado</t>
  </si>
  <si>
    <t>Até 34ª medição</t>
  </si>
  <si>
    <t>35ª medição</t>
  </si>
  <si>
    <t>Montagem e fixação dos perfis metálico da passarela P3</t>
  </si>
  <si>
    <t>Tubos utilizados na montagem do Bypass - TRECHO 6</t>
  </si>
  <si>
    <t>Mês de Agosto 2025</t>
  </si>
  <si>
    <t>36ª medição</t>
  </si>
  <si>
    <t>Correção do item</t>
  </si>
  <si>
    <t>Conforme projeto revisado em anexo</t>
  </si>
  <si>
    <t>255967/2025</t>
  </si>
  <si>
    <t>Canteiro de Obras - Mês de Setembro Obra Sul ( Jusante )</t>
  </si>
  <si>
    <t>Canteiro de Obras - Mês de Setembro Obra Sul ( Montante )</t>
  </si>
  <si>
    <t>Nova frente de serviço</t>
  </si>
  <si>
    <t>270314/2025</t>
  </si>
  <si>
    <t>270293/2025</t>
  </si>
  <si>
    <t>259097/2025</t>
  </si>
  <si>
    <t>263199/2025</t>
  </si>
  <si>
    <t>263281/2025</t>
  </si>
  <si>
    <t>263143/2025</t>
  </si>
  <si>
    <t>263089/2025</t>
  </si>
  <si>
    <t>Barragem trecho 5</t>
  </si>
  <si>
    <t>Barragem trecho 1</t>
  </si>
  <si>
    <t>Nova frente - Montante</t>
  </si>
  <si>
    <t>Preparação de aterro para instalação da passarela</t>
  </si>
  <si>
    <t>Lastro</t>
  </si>
  <si>
    <t>Montagem e fixação dos perfis metálico da passarela P4</t>
  </si>
  <si>
    <t>Armação piso</t>
  </si>
  <si>
    <t>Armação rampa</t>
  </si>
  <si>
    <t>Preparação do terreno</t>
  </si>
  <si>
    <t>Fundação e piso das rampas</t>
  </si>
  <si>
    <t>Ciclovia Rua Cel. José Gabril Marquês Filho</t>
  </si>
  <si>
    <t>Nova frente de serviço iniciada</t>
  </si>
  <si>
    <t>37ª medição</t>
  </si>
  <si>
    <t>Tubos utilizados na montagem do Bypass - TRECHO 1</t>
  </si>
  <si>
    <t>Nova frente</t>
  </si>
  <si>
    <t>Nova frente iniciada</t>
  </si>
  <si>
    <t>Mês de Setembro 2025</t>
  </si>
  <si>
    <t>Contenção  barragem de efluentes</t>
  </si>
  <si>
    <t xml:space="preserve">Mês de Setembro 2025 </t>
  </si>
  <si>
    <t>Mês de Setembro 2025 - montante</t>
  </si>
  <si>
    <t xml:space="preserve">Trecho 5 </t>
  </si>
  <si>
    <t xml:space="preserve">Obra montante 1 poste </t>
  </si>
  <si>
    <t>Obra jusante 3 relocações</t>
  </si>
  <si>
    <t>Corrigido o reaproveitamento</t>
  </si>
  <si>
    <t>Canteiro de Obras - Mês de Outubro Obra Sul ( Jusante )</t>
  </si>
  <si>
    <t>Canteiro de Obras - Mês de Outubro Obra Norte ( Montante )</t>
  </si>
  <si>
    <t>Estacas de contenção de solo - Montante - Trecho 01</t>
  </si>
  <si>
    <t>Aterro lateral da galeria - trecho 1</t>
  </si>
  <si>
    <t>38ª medição</t>
  </si>
  <si>
    <t>Mês de Outubro  2025</t>
  </si>
  <si>
    <t xml:space="preserve">Mês de Outubro 2025 </t>
  </si>
  <si>
    <t>Mês de Outubro 2025 - Montante</t>
  </si>
  <si>
    <t>Mês de Outubro 2025</t>
  </si>
  <si>
    <t>Obra jusante 2 relocações</t>
  </si>
  <si>
    <t>Critério utilizando item 6.1.17</t>
  </si>
  <si>
    <t>Canteiro de Obras - Mês de Novembro Obra Sul ( Jusante )</t>
  </si>
  <si>
    <t>Canteiro de Obras - Mês de Novembro Obra Norte ( Montante )</t>
  </si>
  <si>
    <t>Trecho 05</t>
  </si>
  <si>
    <t>Trecho 01</t>
  </si>
  <si>
    <t xml:space="preserve">Base da galeria fechada - Trecho 01 </t>
  </si>
  <si>
    <t>281654/2025</t>
  </si>
  <si>
    <t>282739/2025</t>
  </si>
  <si>
    <t>282495/2025</t>
  </si>
  <si>
    <t>285517/2025</t>
  </si>
  <si>
    <t>285684/2025</t>
  </si>
  <si>
    <t>285697/2025</t>
  </si>
  <si>
    <t>286208/2025</t>
  </si>
  <si>
    <t>Passarela</t>
  </si>
  <si>
    <t>Passeio bordo direito do canal</t>
  </si>
  <si>
    <t>Mês de Novembro  2025</t>
  </si>
  <si>
    <t xml:space="preserve">Mês de Novembro 2025 </t>
  </si>
  <si>
    <t>Mês de Novembro 2025 - Montante</t>
  </si>
  <si>
    <t>Mês de Novembro 2025</t>
  </si>
  <si>
    <t>Escavação Julho / 24</t>
  </si>
  <si>
    <t>Escavação Julho / 25</t>
  </si>
  <si>
    <t>Escavação Agosto / 24</t>
  </si>
  <si>
    <t>Escavação Novembro / 24</t>
  </si>
  <si>
    <t xml:space="preserve">P O N T E </t>
  </si>
  <si>
    <t>Escavação Dezembro / 24</t>
  </si>
  <si>
    <t>Escavação Janeiro / 25</t>
  </si>
  <si>
    <t>Escavação Fevereiro / 25</t>
  </si>
  <si>
    <t>Escavação Março / 25</t>
  </si>
  <si>
    <t>Escavação Abril / 25</t>
  </si>
  <si>
    <t>Escavação Junho / 25</t>
  </si>
  <si>
    <t>Escavação Agosto / 25</t>
  </si>
  <si>
    <t>Escavação Setembro / 25</t>
  </si>
  <si>
    <t>Escavação Outubro / 25</t>
  </si>
  <si>
    <t>Escavação Novembro / 25</t>
  </si>
  <si>
    <t>Escavação Trecho 05</t>
  </si>
  <si>
    <t>Escavação Trecho 01</t>
  </si>
  <si>
    <t>Ton</t>
  </si>
  <si>
    <t>multiplos</t>
  </si>
  <si>
    <t>Corrigido</t>
  </si>
  <si>
    <t>39ª medição</t>
  </si>
  <si>
    <t>MEDIÇÕES</t>
  </si>
  <si>
    <t>MEDIÇÕES ACUMULADAS</t>
  </si>
  <si>
    <t>Canteiro de Obras -  Mês de Dezembro</t>
  </si>
  <si>
    <t>Canteiro de Obras - Mês de Dezembro Obra Sul ( Jusante )</t>
  </si>
  <si>
    <t>Canteiro de Obras - Mês de Dezembro Obra Norte ( Montante )</t>
  </si>
  <si>
    <t>Escavação Dezembro / 25</t>
  </si>
  <si>
    <t>297238/2026</t>
  </si>
  <si>
    <t>294886/2026</t>
  </si>
  <si>
    <t>295140/2026</t>
  </si>
  <si>
    <t>Interligação de redes Rua Orminda Machado Duarte</t>
  </si>
  <si>
    <t>Passarela Salles - Consideração sem saldo no item 4.6.9</t>
  </si>
  <si>
    <t>Mês de Dezembro  2025</t>
  </si>
  <si>
    <t xml:space="preserve">Mês de Dezembro 2025 </t>
  </si>
  <si>
    <t>Mês de Dezembro 2025 - Montante</t>
  </si>
  <si>
    <t>Critério executado em campo</t>
  </si>
  <si>
    <t>Reaterro lateral da galeria ( casas lindeiras)</t>
  </si>
  <si>
    <t>Mês de Dezembro 2025</t>
  </si>
  <si>
    <t xml:space="preserve">Saldo remoção solo mole </t>
  </si>
  <si>
    <t>40ª medição</t>
  </si>
  <si>
    <t>Trecho 5  - Reaterro ( Transporte bota espera para a frente de serviço executada )</t>
  </si>
  <si>
    <t>Consideração sem saldo no item 4.4.9</t>
  </si>
  <si>
    <t>Consideração sem saldo no item 4.6.9</t>
  </si>
  <si>
    <t>Rampa de Acesso</t>
  </si>
  <si>
    <t>Rampa de acesso</t>
  </si>
  <si>
    <t>Escavação Janeiro / 26</t>
  </si>
  <si>
    <t>Calçada Rua Cel José Gabriel Marquès Filho</t>
  </si>
  <si>
    <t>Passeio bordo direito ( entre as passarela P3-P4 )</t>
  </si>
  <si>
    <t>Passeio bordo esquerdo ( Rua Cel José Gabriel Marques Filho )</t>
  </si>
  <si>
    <t>Mês de Janeiro  2026</t>
  </si>
  <si>
    <t xml:space="preserve">Mês de Janeiro 2026 </t>
  </si>
  <si>
    <t>Mês de Janeiro 2026 - Montante</t>
  </si>
  <si>
    <t>Mês de Janeiro 2026</t>
  </si>
  <si>
    <t>309556/2026</t>
  </si>
  <si>
    <t>309781/2026</t>
  </si>
  <si>
    <t>308307/2026</t>
  </si>
  <si>
    <t>Serviço realizado no canal revestido em concreto no item 2.2.6 no mês de Janeiro 2026</t>
  </si>
  <si>
    <t>41ª medição</t>
  </si>
  <si>
    <t>Escavação Fevereiro / 26</t>
  </si>
  <si>
    <t>316151/2026</t>
  </si>
  <si>
    <t>315898/2026</t>
  </si>
  <si>
    <t>315270/2026</t>
  </si>
  <si>
    <t>Interligação de redes passeio bordo direito do canal ( 03 unidades)</t>
  </si>
  <si>
    <t>Interligação de redes Rua José Celso Cláudio</t>
  </si>
  <si>
    <t>Serviço realizado no canal revestido em concreto no item 2.2.6 no mês de Fevereiro 2026</t>
  </si>
  <si>
    <t>42ª medição</t>
  </si>
  <si>
    <t>Mês de Fevereiro  2026</t>
  </si>
  <si>
    <t xml:space="preserve">Mês de Fevereiro 2026 </t>
  </si>
  <si>
    <t>Mês de Fevereiro 2026 - Montante</t>
  </si>
  <si>
    <t>Base da galeria aberta - Trecho 05 -Montante</t>
  </si>
  <si>
    <t>Mês de Fevereiro 2026</t>
  </si>
  <si>
    <t>Acompanhamento do Cronograma Físico/Financeiro</t>
  </si>
  <si>
    <t xml:space="preserve">Base da galeria aberta - Trecho 01 </t>
  </si>
  <si>
    <t>Escavação Março / 26</t>
  </si>
  <si>
    <t>Diária ( limpeza Rua Cel José Gabriel Marques Filho , E60+0,00 - E38+0,00)</t>
  </si>
  <si>
    <t>Diária ( limpeza Rua Cel José Gabriel Marques Filho , E60+0,00 - E34+0,00)</t>
  </si>
  <si>
    <t>Mês de Março  2026</t>
  </si>
  <si>
    <t xml:space="preserve">Mês de Março 2026 </t>
  </si>
  <si>
    <t>Mês de Março 2026 - Montante</t>
  </si>
  <si>
    <t>Mês de Março 2026</t>
  </si>
  <si>
    <t>Serviço realizado no canal revestido em concreto no item 2.2.6 no mês de Março 2026</t>
  </si>
  <si>
    <t>01/04/2026 a 30/04/2026</t>
  </si>
  <si>
    <t>6.1.31</t>
  </si>
  <si>
    <t>6.1.32</t>
  </si>
  <si>
    <t>6.1.33</t>
  </si>
  <si>
    <t>6.1.34</t>
  </si>
  <si>
    <t>6.1.35</t>
  </si>
  <si>
    <t>6.1.36</t>
  </si>
  <si>
    <t>Conjunto moto bomba centrifuga 6", a diesel/gasolina, 13 cv, com acessórios</t>
  </si>
  <si>
    <t xml:space="preserve">Corpo de BSCC 2,00 x 1,50 m - moldado no local - altura do aterro 0,00 a 1,00 m - areia extraída e brita produzida </t>
  </si>
  <si>
    <t>Corpo BSTC (greide) diâmetro 1,20 m CA-1 MF inclusive escavação, reaterro e transporte do tubo</t>
  </si>
  <si>
    <t xml:space="preserve">Guarda Corpo para barreira do canal </t>
  </si>
  <si>
    <t>Transporte com caminhão basculante com caçamba estanque com capacidade de 14 m³ - rodovia pavimentada</t>
  </si>
  <si>
    <t xml:space="preserve">MURO TIPO 5: BLOCO DE CONCRETO APARENTE </t>
  </si>
  <si>
    <t>Tapume fechamento da rua Lourenço Sales</t>
  </si>
  <si>
    <t>Tapume fechamento muro vizinho José Antonio casa 23A</t>
  </si>
  <si>
    <t>Tapume canteiro Obra Montante ( norte )</t>
  </si>
  <si>
    <t>Canteiro de Obras - Mês de abril Obra Sul ( Jusante )</t>
  </si>
  <si>
    <t>Canteiro de Obras - Mês de abril Obra Norte ( Montante )</t>
  </si>
  <si>
    <t>Canteiro de Obras - Mês de Janeiro Obra Sul ( Jusante )</t>
  </si>
  <si>
    <t>Canteiro de Obras - Mês de Janeiro Obra Norte ( Montante )</t>
  </si>
  <si>
    <t>Canteiro de Obras - Mês de Fevereiro Obra Sul ( Jusante )</t>
  </si>
  <si>
    <t>Canteiro de Obras - Mês de Fevereiro Obra Norte ( Montante )</t>
  </si>
  <si>
    <t>Canteiro de Obras - Mês de Março Obra Sul ( Jusante )</t>
  </si>
  <si>
    <t>Canteiro de Obras - Mês de Março Obra Norte ( Montante )</t>
  </si>
  <si>
    <t xml:space="preserve">Demolição de ala de drenagem techo 1 </t>
  </si>
  <si>
    <t>Placas para sinalização - Obra Montante - Trecho 1</t>
  </si>
  <si>
    <t>Placas para sinalização- Avenida do Canal e Avenida UM</t>
  </si>
  <si>
    <t>Trecho 1 – Remoção do pavimento asfáltico da área destinada à execução de pavimentação intertravada.</t>
  </si>
  <si>
    <t>Estorno</t>
  </si>
  <si>
    <t>Estorno 4.3.8</t>
  </si>
  <si>
    <t>Medida Corrigida</t>
  </si>
  <si>
    <t>Diversos ( 6º aditivo)</t>
  </si>
  <si>
    <t xml:space="preserve"> Rua Cel. José Gabril Marquês Filho</t>
  </si>
  <si>
    <t>Mês de Abril 2026</t>
  </si>
  <si>
    <t xml:space="preserve">Mês de Abril 2026 </t>
  </si>
  <si>
    <t>Mês de Abril 2026 - Montante</t>
  </si>
  <si>
    <t xml:space="preserve">Supressão de arvores </t>
  </si>
  <si>
    <t>Mês de Abril  2026</t>
  </si>
  <si>
    <t>Rua Lourenço Sales</t>
  </si>
  <si>
    <t>Escavação abril / 26</t>
  </si>
  <si>
    <t>328535/2026</t>
  </si>
  <si>
    <t>340430/2026</t>
  </si>
  <si>
    <t>340845/2026</t>
  </si>
  <si>
    <t>Correção do item para o item 6.1.35</t>
  </si>
  <si>
    <t>Correção de Item</t>
  </si>
  <si>
    <t>Correção para o item 6.1.35</t>
  </si>
  <si>
    <t>Setembro/2025</t>
  </si>
  <si>
    <t>Início da nova frente de serviço</t>
  </si>
  <si>
    <t>Outubro/2025</t>
  </si>
  <si>
    <t>Novembro/2025</t>
  </si>
  <si>
    <t>Dezembro/2025</t>
  </si>
  <si>
    <t>Janeiro/2026</t>
  </si>
  <si>
    <t>Fevereiro/2026</t>
  </si>
  <si>
    <t>Março/2026</t>
  </si>
  <si>
    <t>Abril/2026</t>
  </si>
  <si>
    <t>Serviço realizado no canal revestido em concreto no item 2.2.6 no mês de Janeiro 2026 (transferido do item 3.1.6)</t>
  </si>
  <si>
    <t>Serviço realizado no canal revestido em concreto no item 2.2.6 no mês de Fevereiro 2026 (transferido do item 3.1.6)</t>
  </si>
  <si>
    <t>Serviço realizado no canal revestido em concreto no item 2.2.6 no mês de Março 2026 (transferido do item 3.1.6)</t>
  </si>
  <si>
    <t>DIST. (km)</t>
  </si>
  <si>
    <t>REATERRO</t>
  </si>
  <si>
    <t>ATERRO</t>
  </si>
  <si>
    <t>Passeio bordo direito</t>
  </si>
  <si>
    <t>Base da galeria fechada - Trecho 01 -Montante</t>
  </si>
  <si>
    <t>Estabilização de encostas fundações das edificações ribeirinhas</t>
  </si>
  <si>
    <t>Confome Oficio enviado em anexo</t>
  </si>
  <si>
    <t>43ª medição</t>
  </si>
  <si>
    <t>44ª medição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</si>
</sst>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8" formatCode="&quot;R$&quot;\ #,##0.00;[Red]\-&quot;R$&quot;\ #,##0.00"/>
    <numFmt numFmtId="44" formatCode="_-&quot;R$&quot;\ * #,##0.00_-;\-&quot;R$&quot;\ * #,##0.00_-;_-&quot;R$&quot;\ * &quot;-&quot;??_-;_-@_-"/>
    <numFmt numFmtId="43" formatCode="_-* #,##0.00_-;\-* #,##0.00_-;_-* &quot;-&quot;??_-;_-@_-"/>
    <numFmt numFmtId="164" formatCode="00&quot;ª Medição Provisória&quot;"/>
    <numFmt numFmtId="165" formatCode="#,##0.000"/>
    <numFmt numFmtId="166" formatCode="General&quot;ª Medição Provisória&quot;"/>
    <numFmt numFmtId="167" formatCode="00&quot;ª MEDIÇÃO&quot;"/>
    <numFmt numFmtId="168" formatCode="_(* #,##0.00_);_(* \(#,##0.00\);_(* &quot;-&quot;??_);_(@_)"/>
    <numFmt numFmtId="169" formatCode="_(* #,##0.000_);_(* \(#,##0.000\);_(* &quot;-&quot;??_);_(@_)"/>
    <numFmt numFmtId="170" formatCode="_-* #,##0.000000000_-;\-* #,##0.000000000_-;_-* &quot;-&quot;??_-;_-@_-"/>
    <numFmt numFmtId="171" formatCode="0&quot;ª MP&quot;"/>
    <numFmt numFmtId="172" formatCode="0.000"/>
    <numFmt numFmtId="173" formatCode="0.00000"/>
    <numFmt numFmtId="174" formatCode="_-* #,##0.000_-;\-* #,##0.000_-;_-* &quot;-&quot;??_-;_-@_-"/>
    <numFmt numFmtId="175" formatCode="0.0"/>
    <numFmt numFmtId="176" formatCode="_(&quot;R$ &quot;* #,##0.00_);_(&quot;R$ &quot;* \(#,##0.00\);_(&quot;R$ &quot;* &quot;-&quot;??_);_(@_)"/>
    <numFmt numFmtId="177" formatCode="&quot;R$&quot;\ #,##0.00"/>
    <numFmt numFmtId="178" formatCode="0.00000%"/>
    <numFmt numFmtId="179" formatCode="_(&quot;R$ &quot;* #,##0.00000_);_(&quot;R$ &quot;* \(#,##0.00000\);_(&quot;R$ &quot;* &quot;-&quot;?????_);_(@_)"/>
    <numFmt numFmtId="180" formatCode="[$-416]mmmm\-yy;@"/>
    <numFmt numFmtId="181" formatCode="#,##0.00_ ;\-#,##0.00\ "/>
    <numFmt numFmtId="182" formatCode="#,##0.0000"/>
    <numFmt numFmtId="183" formatCode="_-&quot;R$&quot;\ * #,##0.000_-;\-&quot;R$&quot;\ * #,##0.000_-;_-&quot;R$&quot;\ * &quot;-&quot;??_-;_-@_-"/>
    <numFmt numFmtId="184" formatCode="_-* #,##0.0000_-;\-* #,##0.0000_-;_-* &quot;-&quot;??_-;_-@_-"/>
  </numFmts>
  <fonts count="75"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sz val="8"/>
      <name val="Arial"/>
      <family val="2"/>
    </font>
    <font>
      <b/>
      <sz val="12"/>
      <name val="Arial"/>
      <family val="2"/>
    </font>
    <font>
      <sz val="12"/>
      <name val="Arial"/>
      <family val="2"/>
    </font>
    <font>
      <sz val="8"/>
      <color theme="1"/>
      <name val="Arial"/>
      <family val="2"/>
    </font>
    <font>
      <sz val="10"/>
      <color theme="1"/>
      <name val="Arial"/>
      <family val="2"/>
    </font>
    <font>
      <b/>
      <sz val="9"/>
      <name val="Arial"/>
      <family val="2"/>
    </font>
    <font>
      <sz val="10"/>
      <name val="Times New Roman"/>
      <family val="1"/>
    </font>
    <font>
      <sz val="9"/>
      <name val="Arial"/>
      <family val="2"/>
    </font>
    <font>
      <sz val="8"/>
      <color rgb="FFFF0000"/>
      <name val="Arial"/>
      <family val="2"/>
    </font>
    <font>
      <b/>
      <i/>
      <sz val="10"/>
      <color rgb="FFFF0000"/>
      <name val="Arial"/>
      <family val="2"/>
    </font>
    <font>
      <sz val="10"/>
      <color indexed="22"/>
      <name val="Arial"/>
      <family val="2"/>
    </font>
    <font>
      <b/>
      <sz val="8"/>
      <name val="Arial Narrow"/>
      <family val="2"/>
    </font>
    <font>
      <b/>
      <sz val="10"/>
      <name val="Arial"/>
      <family val="2"/>
    </font>
    <font>
      <sz val="8"/>
      <color theme="1"/>
      <name val="Arial Narrow"/>
      <family val="2"/>
    </font>
    <font>
      <sz val="11"/>
      <color theme="1"/>
      <name val="Arial Narrow"/>
      <family val="2"/>
    </font>
    <font>
      <sz val="11"/>
      <name val="Arial Narrow"/>
      <family val="2"/>
    </font>
    <font>
      <sz val="8"/>
      <name val="Arial Narrow"/>
      <family val="2"/>
    </font>
    <font>
      <b/>
      <sz val="10"/>
      <color indexed="8"/>
      <name val="Arial"/>
      <family val="2"/>
    </font>
    <font>
      <sz val="10"/>
      <color indexed="8"/>
      <name val="Arial"/>
      <family val="2"/>
    </font>
    <font>
      <sz val="9"/>
      <color indexed="8"/>
      <name val="Arial"/>
      <family val="2"/>
    </font>
    <font>
      <sz val="10"/>
      <color rgb="FF0000FF"/>
      <name val="Arial"/>
      <family val="2"/>
    </font>
    <font>
      <sz val="10"/>
      <color rgb="FFFF0000"/>
      <name val="Arial"/>
      <family val="2"/>
    </font>
    <font>
      <b/>
      <sz val="11"/>
      <name val="Arial"/>
      <family val="2"/>
    </font>
    <font>
      <sz val="11"/>
      <name val="Arial"/>
      <family val="2"/>
    </font>
    <font>
      <sz val="11"/>
      <color rgb="FF0000FF"/>
      <name val="Arial"/>
      <family val="2"/>
    </font>
    <font>
      <sz val="11"/>
      <color theme="1"/>
      <name val="Arial"/>
      <family val="2"/>
    </font>
    <font>
      <b/>
      <sz val="14"/>
      <name val="Arial"/>
      <family val="2"/>
    </font>
    <font>
      <b/>
      <sz val="10"/>
      <color theme="1"/>
      <name val="Arial"/>
      <family val="2"/>
    </font>
    <font>
      <b/>
      <sz val="11"/>
      <name val="Calibri"/>
      <family val="2"/>
      <scheme val="minor"/>
    </font>
    <font>
      <sz val="11"/>
      <name val="Calibri"/>
      <family val="2"/>
      <scheme val="minor"/>
    </font>
    <font>
      <b/>
      <sz val="11"/>
      <color theme="1"/>
      <name val="Calibri"/>
      <family val="2"/>
    </font>
    <font>
      <b/>
      <sz val="10"/>
      <color theme="1"/>
      <name val="Calibri"/>
      <family val="2"/>
      <scheme val="minor"/>
    </font>
    <font>
      <sz val="10"/>
      <name val="Calibri"/>
      <family val="2"/>
      <scheme val="minor"/>
    </font>
    <font>
      <b/>
      <sz val="11"/>
      <name val="Calibri"/>
      <family val="2"/>
    </font>
    <font>
      <b/>
      <sz val="11"/>
      <color rgb="FFFF0000"/>
      <name val="Calibri"/>
      <family val="2"/>
    </font>
    <font>
      <b/>
      <sz val="12"/>
      <color rgb="FFFF0000"/>
      <name val="Arial"/>
      <family val="2"/>
    </font>
    <font>
      <sz val="11"/>
      <name val="Calibri"/>
      <family val="2"/>
    </font>
    <font>
      <sz val="11"/>
      <color rgb="FF0000FF"/>
      <name val="Calibri"/>
      <family val="2"/>
      <scheme val="minor"/>
    </font>
    <font>
      <i/>
      <sz val="12"/>
      <name val="Arial"/>
      <family val="2"/>
    </font>
    <font>
      <sz val="11"/>
      <color rgb="FFFF0000"/>
      <name val="Arial"/>
      <family val="2"/>
    </font>
    <font>
      <b/>
      <sz val="11.5"/>
      <name val="Arial"/>
      <family val="2"/>
    </font>
    <font>
      <sz val="10"/>
      <color theme="1" tint="4.9989318521683403E-2"/>
      <name val="Arial"/>
      <family val="2"/>
    </font>
    <font>
      <sz val="12"/>
      <color theme="1" tint="4.9989318521683403E-2"/>
      <name val="Arial"/>
      <family val="2"/>
    </font>
    <font>
      <b/>
      <sz val="12"/>
      <color theme="1" tint="4.9989318521683403E-2"/>
      <name val="Arial"/>
      <family val="2"/>
    </font>
    <font>
      <b/>
      <sz val="11.5"/>
      <color theme="1" tint="4.9989318521683403E-2"/>
      <name val="Arial"/>
      <family val="2"/>
    </font>
    <font>
      <sz val="12"/>
      <color rgb="FFFF0000"/>
      <name val="Arial"/>
      <family val="2"/>
    </font>
    <font>
      <sz val="11"/>
      <color indexed="8"/>
      <name val="Calibri"/>
      <family val="2"/>
    </font>
    <font>
      <b/>
      <sz val="10"/>
      <name val="Times New Roman"/>
      <family val="1"/>
    </font>
    <font>
      <sz val="10"/>
      <color rgb="FF0000FF"/>
      <name val="Times New Roman"/>
      <family val="1"/>
    </font>
    <font>
      <sz val="12"/>
      <name val="Times New Roman"/>
      <family val="1"/>
    </font>
    <font>
      <b/>
      <sz val="12"/>
      <name val="Times New Roman"/>
      <family val="1"/>
    </font>
    <font>
      <sz val="12"/>
      <color theme="1"/>
      <name val="Times New Roman"/>
      <family val="1"/>
    </font>
    <font>
      <sz val="10"/>
      <color theme="1"/>
      <name val="Times New Roman"/>
      <family val="1"/>
    </font>
    <font>
      <b/>
      <sz val="12"/>
      <color rgb="FF0000FF"/>
      <name val="Times New Roman"/>
      <family val="1"/>
    </font>
    <font>
      <b/>
      <sz val="10"/>
      <color theme="1"/>
      <name val="Times New Roman"/>
      <family val="1"/>
    </font>
    <font>
      <sz val="12"/>
      <color rgb="FF0000FF"/>
      <name val="Times New Roman"/>
      <family val="1"/>
    </font>
    <font>
      <b/>
      <sz val="10"/>
      <color rgb="FF0000FF"/>
      <name val="Times New Roman"/>
      <family val="1"/>
    </font>
    <font>
      <b/>
      <sz val="11"/>
      <color theme="1"/>
      <name val="Calibri"/>
      <family val="2"/>
      <scheme val="minor"/>
    </font>
    <font>
      <b/>
      <sz val="20"/>
      <color theme="1"/>
      <name val="Calibri"/>
      <family val="2"/>
      <scheme val="minor"/>
    </font>
    <font>
      <b/>
      <sz val="12"/>
      <color theme="1"/>
      <name val="Calibri"/>
      <family val="2"/>
      <scheme val="minor"/>
    </font>
    <font>
      <sz val="9"/>
      <color indexed="81"/>
      <name val="Segoe UI"/>
      <family val="2"/>
    </font>
    <font>
      <b/>
      <sz val="9"/>
      <color indexed="81"/>
      <name val="Segoe UI"/>
      <family val="2"/>
    </font>
    <font>
      <sz val="14"/>
      <color indexed="81"/>
      <name val="Segoe UI"/>
      <family val="2"/>
    </font>
    <font>
      <sz val="16"/>
      <name val="Arial Narrow"/>
      <family val="2"/>
    </font>
    <font>
      <u val="singleAccounting"/>
      <sz val="12"/>
      <name val="Arial"/>
      <family val="2"/>
    </font>
    <font>
      <b/>
      <u/>
      <sz val="11.5"/>
      <name val="Arial"/>
      <family val="2"/>
    </font>
    <font>
      <b/>
      <sz val="11"/>
      <color rgb="FFFF0000"/>
      <name val="Calibri"/>
      <family val="2"/>
      <scheme val="minor"/>
    </font>
    <font>
      <sz val="9"/>
      <color theme="1"/>
      <name val="Arial"/>
      <family val="2"/>
    </font>
    <font>
      <b/>
      <u/>
      <sz val="10"/>
      <name val="Arial"/>
      <family val="2"/>
    </font>
    <font>
      <b/>
      <sz val="10"/>
      <color rgb="FFFF0000"/>
      <name val="Arial"/>
      <family val="2"/>
    </font>
    <font>
      <sz val="12"/>
      <color rgb="FF0000FF"/>
      <name val="Arial"/>
      <family val="2"/>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F8F8F8"/>
        <bgColor indexed="64"/>
      </patternFill>
    </fill>
    <fill>
      <patternFill patternType="solid">
        <fgColor rgb="FFFFFF00"/>
        <bgColor indexed="64"/>
      </patternFill>
    </fill>
    <fill>
      <patternFill patternType="solid">
        <fgColor theme="0" tint="-0.34998626667073579"/>
        <bgColor indexed="64"/>
      </patternFill>
    </fill>
    <fill>
      <patternFill patternType="solid">
        <fgColor theme="4" tint="0.59999389629810485"/>
        <bgColor indexed="64"/>
      </patternFill>
    </fill>
  </fills>
  <borders count="105">
    <border>
      <left/>
      <right/>
      <top/>
      <bottom/>
      <diagonal/>
    </border>
    <border>
      <left style="thin">
        <color indexed="64"/>
      </left>
      <right/>
      <top style="thin">
        <color indexed="64"/>
      </top>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auto="1"/>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auto="1"/>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auto="1"/>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55"/>
      </left>
      <right/>
      <top/>
      <bottom/>
      <diagonal/>
    </border>
    <border>
      <left style="thin">
        <color indexed="55"/>
      </left>
      <right style="thin">
        <color indexed="55"/>
      </right>
      <top/>
      <bottom/>
      <diagonal/>
    </border>
    <border>
      <left/>
      <right style="thin">
        <color indexed="55"/>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auto="1"/>
      </left>
      <right/>
      <top/>
      <bottom/>
      <diagonal/>
    </border>
    <border>
      <left style="thin">
        <color auto="1"/>
      </left>
      <right style="thin">
        <color auto="1"/>
      </right>
      <top/>
      <bottom/>
      <diagonal/>
    </border>
  </borders>
  <cellStyleXfs count="20">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10" fillId="0" borderId="0"/>
    <xf numFmtId="0" fontId="1" fillId="0" borderId="0"/>
    <xf numFmtId="0" fontId="3" fillId="0" borderId="0"/>
    <xf numFmtId="0" fontId="3" fillId="0" borderId="0"/>
    <xf numFmtId="168" fontId="3"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cellStyleXfs>
  <cellXfs count="1658">
    <xf numFmtId="0" fontId="0" fillId="0" borderId="0" xfId="0"/>
    <xf numFmtId="2" fontId="4" fillId="0" borderId="1" xfId="3" applyNumberFormat="1" applyFont="1" applyBorder="1" applyAlignment="1">
      <alignment horizontal="center" wrapText="1"/>
    </xf>
    <xf numFmtId="0" fontId="5" fillId="2" borderId="0" xfId="3" applyFont="1" applyFill="1" applyAlignment="1">
      <alignment horizontal="center" vertical="center" wrapText="1"/>
    </xf>
    <xf numFmtId="0" fontId="6" fillId="2" borderId="0" xfId="3" applyFont="1" applyFill="1" applyAlignment="1">
      <alignment wrapText="1"/>
    </xf>
    <xf numFmtId="0" fontId="5" fillId="2" borderId="0" xfId="3" applyFont="1" applyFill="1" applyAlignment="1">
      <alignment horizontal="center" wrapText="1"/>
    </xf>
    <xf numFmtId="0" fontId="6" fillId="2" borderId="0" xfId="3" applyFont="1" applyFill="1" applyAlignment="1">
      <alignment horizontal="center" wrapText="1"/>
    </xf>
    <xf numFmtId="0" fontId="7" fillId="2" borderId="0" xfId="3" applyFont="1" applyFill="1" applyAlignment="1">
      <alignment horizontal="center" vertical="center" wrapText="1"/>
    </xf>
    <xf numFmtId="0" fontId="8" fillId="2" borderId="2" xfId="3" applyFont="1" applyFill="1" applyBorder="1" applyAlignment="1">
      <alignment horizontal="center" vertical="center" wrapText="1"/>
    </xf>
    <xf numFmtId="0" fontId="3" fillId="0" borderId="0" xfId="3" applyAlignment="1">
      <alignment wrapText="1"/>
    </xf>
    <xf numFmtId="2" fontId="4" fillId="0" borderId="3" xfId="3" applyNumberFormat="1" applyFont="1" applyBorder="1" applyAlignment="1">
      <alignment horizontal="center" wrapText="1"/>
    </xf>
    <xf numFmtId="0" fontId="5" fillId="2" borderId="0" xfId="4" applyFont="1" applyFill="1" applyAlignment="1">
      <alignment horizontal="center" vertical="center" wrapText="1"/>
    </xf>
    <xf numFmtId="0" fontId="1" fillId="2" borderId="2" xfId="0" applyFont="1" applyFill="1" applyBorder="1" applyAlignment="1">
      <alignment horizontal="center" vertical="center" wrapText="1"/>
    </xf>
    <xf numFmtId="0" fontId="9" fillId="3" borderId="0" xfId="3" applyFont="1" applyFill="1" applyAlignment="1">
      <alignment horizontal="left" vertical="center" wrapText="1"/>
    </xf>
    <xf numFmtId="0" fontId="11" fillId="3" borderId="0" xfId="3" applyFont="1" applyFill="1" applyAlignment="1">
      <alignment vertical="center" wrapText="1"/>
    </xf>
    <xf numFmtId="49" fontId="11" fillId="3" borderId="0" xfId="3" applyNumberFormat="1" applyFont="1" applyFill="1" applyAlignment="1">
      <alignment horizontal="left" vertical="center" wrapText="1"/>
    </xf>
    <xf numFmtId="14" fontId="11" fillId="3" borderId="0" xfId="3" applyNumberFormat="1" applyFont="1" applyFill="1" applyAlignment="1">
      <alignment horizontal="left" vertical="center" wrapText="1"/>
    </xf>
    <xf numFmtId="0" fontId="9" fillId="3" borderId="0" xfId="3" applyFont="1" applyFill="1" applyAlignment="1">
      <alignment vertical="center" wrapText="1"/>
    </xf>
    <xf numFmtId="0" fontId="11" fillId="2" borderId="0" xfId="3" applyFont="1" applyFill="1" applyAlignment="1">
      <alignment vertical="center" wrapText="1"/>
    </xf>
    <xf numFmtId="0" fontId="12" fillId="2" borderId="0" xfId="3" applyFont="1" applyFill="1" applyAlignment="1">
      <alignment vertical="center" wrapText="1"/>
    </xf>
    <xf numFmtId="0" fontId="13" fillId="2" borderId="0" xfId="3" applyFont="1" applyFill="1" applyAlignment="1">
      <alignment horizontal="center" vertical="center" wrapText="1"/>
    </xf>
    <xf numFmtId="0" fontId="6" fillId="3" borderId="0" xfId="3" applyFont="1" applyFill="1" applyAlignment="1">
      <alignment horizontal="center" wrapText="1"/>
    </xf>
    <xf numFmtId="2" fontId="4" fillId="0" borderId="4" xfId="3" applyNumberFormat="1" applyFont="1" applyBorder="1" applyAlignment="1">
      <alignment horizontal="center" wrapText="1"/>
    </xf>
    <xf numFmtId="0" fontId="14" fillId="0" borderId="0" xfId="3" applyFont="1" applyAlignment="1">
      <alignment wrapText="1"/>
    </xf>
    <xf numFmtId="2" fontId="15" fillId="3" borderId="0" xfId="0" applyNumberFormat="1" applyFont="1" applyFill="1" applyAlignment="1">
      <alignment horizontal="center" wrapText="1"/>
    </xf>
    <xf numFmtId="1" fontId="16" fillId="4" borderId="6" xfId="5" applyNumberFormat="1" applyFont="1" applyFill="1" applyBorder="1" applyAlignment="1">
      <alignment horizontal="center" vertical="center" wrapText="1"/>
    </xf>
    <xf numFmtId="1" fontId="16" fillId="4" borderId="7" xfId="5" applyNumberFormat="1" applyFont="1" applyFill="1" applyBorder="1" applyAlignment="1">
      <alignment horizontal="left" vertical="center" wrapText="1"/>
    </xf>
    <xf numFmtId="165" fontId="3" fillId="4" borderId="7" xfId="5" applyNumberFormat="1" applyFont="1" applyFill="1" applyBorder="1" applyAlignment="1">
      <alignment horizontal="right" vertical="center" wrapText="1"/>
    </xf>
    <xf numFmtId="1" fontId="3" fillId="4" borderId="8" xfId="5" applyNumberFormat="1" applyFont="1" applyFill="1" applyBorder="1" applyAlignment="1">
      <alignment horizontal="center" vertical="center" wrapText="1"/>
    </xf>
    <xf numFmtId="2" fontId="17" fillId="2" borderId="0" xfId="0" applyNumberFormat="1" applyFont="1" applyFill="1" applyAlignment="1">
      <alignment horizontal="center" vertical="center" wrapText="1"/>
    </xf>
    <xf numFmtId="0" fontId="18" fillId="2" borderId="2" xfId="0" applyFont="1" applyFill="1" applyBorder="1" applyAlignment="1">
      <alignment horizontal="center" vertical="center" wrapText="1"/>
    </xf>
    <xf numFmtId="0" fontId="19" fillId="3" borderId="0" xfId="0" applyFont="1" applyFill="1" applyAlignment="1">
      <alignment wrapText="1"/>
    </xf>
    <xf numFmtId="2" fontId="15" fillId="5" borderId="0" xfId="0" applyNumberFormat="1" applyFont="1" applyFill="1" applyAlignment="1">
      <alignment horizontal="center" wrapText="1"/>
    </xf>
    <xf numFmtId="1" fontId="16" fillId="4" borderId="9" xfId="5" applyNumberFormat="1" applyFont="1" applyFill="1" applyBorder="1" applyAlignment="1">
      <alignment horizontal="center" vertical="center" wrapText="1"/>
    </xf>
    <xf numFmtId="1" fontId="16" fillId="4" borderId="10" xfId="5" applyNumberFormat="1" applyFont="1" applyFill="1" applyBorder="1" applyAlignment="1">
      <alignment horizontal="left" vertical="center" wrapText="1"/>
    </xf>
    <xf numFmtId="165" fontId="3" fillId="4" borderId="10" xfId="5" applyNumberFormat="1" applyFont="1" applyFill="1" applyBorder="1" applyAlignment="1">
      <alignment horizontal="right" vertical="center" wrapText="1"/>
    </xf>
    <xf numFmtId="1" fontId="3" fillId="4" borderId="11" xfId="5" applyNumberFormat="1" applyFont="1" applyFill="1" applyBorder="1" applyAlignment="1">
      <alignment horizontal="center" vertical="center" wrapText="1"/>
    </xf>
    <xf numFmtId="2" fontId="19" fillId="3" borderId="3" xfId="0" applyNumberFormat="1" applyFont="1" applyFill="1" applyBorder="1" applyAlignment="1">
      <alignment wrapText="1"/>
    </xf>
    <xf numFmtId="1" fontId="3" fillId="0" borderId="12" xfId="5" applyNumberFormat="1" applyFont="1" applyBorder="1" applyAlignment="1">
      <alignment horizontal="center" vertical="center" wrapText="1"/>
    </xf>
    <xf numFmtId="1" fontId="3" fillId="0" borderId="13" xfId="5" applyNumberFormat="1" applyFont="1" applyBorder="1" applyAlignment="1">
      <alignment horizontal="left" vertical="center" wrapText="1"/>
    </xf>
    <xf numFmtId="165" fontId="3" fillId="0" borderId="13" xfId="5" applyNumberFormat="1" applyFont="1" applyBorder="1" applyAlignment="1">
      <alignment horizontal="right" vertical="center" wrapText="1"/>
    </xf>
    <xf numFmtId="1" fontId="3" fillId="0" borderId="14" xfId="5" applyNumberFormat="1" applyFont="1" applyBorder="1" applyAlignment="1">
      <alignment horizontal="center" vertical="center" wrapText="1"/>
    </xf>
    <xf numFmtId="2" fontId="18" fillId="2" borderId="0" xfId="0" applyNumberFormat="1" applyFont="1" applyFill="1" applyAlignment="1">
      <alignment horizontal="center" vertical="center" wrapText="1"/>
    </xf>
    <xf numFmtId="2" fontId="20" fillId="3" borderId="0" xfId="0" applyNumberFormat="1" applyFont="1" applyFill="1" applyAlignment="1">
      <alignment horizontal="center" wrapText="1"/>
    </xf>
    <xf numFmtId="1" fontId="3" fillId="0" borderId="4" xfId="5" applyNumberFormat="1" applyFont="1" applyBorder="1" applyAlignment="1">
      <alignment horizontal="center" vertical="center" wrapText="1"/>
    </xf>
    <xf numFmtId="1" fontId="3" fillId="0" borderId="15" xfId="5" applyNumberFormat="1" applyFont="1" applyBorder="1" applyAlignment="1">
      <alignment horizontal="left" vertical="center" wrapText="1"/>
    </xf>
    <xf numFmtId="165" fontId="3" fillId="0" borderId="16" xfId="5" applyNumberFormat="1" applyFont="1" applyBorder="1" applyAlignment="1">
      <alignment horizontal="right" vertical="center" wrapText="1"/>
    </xf>
    <xf numFmtId="1" fontId="3" fillId="0" borderId="17" xfId="5" applyNumberFormat="1" applyFont="1" applyBorder="1" applyAlignment="1">
      <alignment horizontal="center" vertical="center" wrapText="1"/>
    </xf>
    <xf numFmtId="1" fontId="3" fillId="0" borderId="18" xfId="5" applyNumberFormat="1" applyFont="1" applyBorder="1" applyAlignment="1">
      <alignment horizontal="center" vertical="center" wrapText="1"/>
    </xf>
    <xf numFmtId="165" fontId="3" fillId="0" borderId="15" xfId="5" applyNumberFormat="1" applyFont="1" applyBorder="1" applyAlignment="1">
      <alignment horizontal="right" vertical="center" wrapText="1"/>
    </xf>
    <xf numFmtId="1" fontId="3" fillId="0" borderId="19" xfId="5" applyNumberFormat="1" applyFont="1" applyBorder="1" applyAlignment="1">
      <alignment horizontal="center" vertical="center" wrapText="1"/>
    </xf>
    <xf numFmtId="2" fontId="20" fillId="3" borderId="3" xfId="0" applyNumberFormat="1" applyFont="1" applyFill="1" applyBorder="1" applyAlignment="1">
      <alignment horizontal="center" wrapText="1"/>
    </xf>
    <xf numFmtId="1" fontId="3" fillId="0" borderId="20" xfId="5" applyNumberFormat="1" applyFont="1" applyBorder="1" applyAlignment="1">
      <alignment horizontal="center" vertical="center" wrapText="1"/>
    </xf>
    <xf numFmtId="1" fontId="3" fillId="0" borderId="21" xfId="5" applyNumberFormat="1" applyFont="1" applyBorder="1" applyAlignment="1">
      <alignment horizontal="left" vertical="center" wrapText="1"/>
    </xf>
    <xf numFmtId="165" fontId="3" fillId="0" borderId="21" xfId="5" applyNumberFormat="1" applyFont="1" applyBorder="1" applyAlignment="1">
      <alignment horizontal="right" vertical="center" wrapText="1"/>
    </xf>
    <xf numFmtId="1" fontId="3" fillId="0" borderId="22" xfId="5" applyNumberFormat="1" applyFont="1" applyBorder="1" applyAlignment="1">
      <alignment horizontal="center" vertical="center" wrapText="1"/>
    </xf>
    <xf numFmtId="1" fontId="16" fillId="4" borderId="5" xfId="5" applyNumberFormat="1" applyFont="1" applyFill="1" applyBorder="1" applyAlignment="1">
      <alignment horizontal="center" vertical="center" wrapText="1"/>
    </xf>
    <xf numFmtId="1" fontId="16" fillId="4" borderId="5" xfId="5" applyNumberFormat="1" applyFont="1" applyFill="1" applyBorder="1" applyAlignment="1">
      <alignment horizontal="left" vertical="center" wrapText="1"/>
    </xf>
    <xf numFmtId="165" fontId="3" fillId="4" borderId="5" xfId="5" applyNumberFormat="1" applyFont="1" applyFill="1" applyBorder="1" applyAlignment="1">
      <alignment horizontal="right" vertical="center" wrapText="1"/>
    </xf>
    <xf numFmtId="1" fontId="3" fillId="4" borderId="5" xfId="5" applyNumberFormat="1" applyFont="1" applyFill="1" applyBorder="1" applyAlignment="1">
      <alignment horizontal="center" vertical="center" wrapText="1"/>
    </xf>
    <xf numFmtId="1" fontId="3" fillId="0" borderId="5" xfId="5" applyNumberFormat="1" applyFont="1" applyBorder="1" applyAlignment="1">
      <alignment horizontal="center" vertical="center" wrapText="1"/>
    </xf>
    <xf numFmtId="1" fontId="3" fillId="0" borderId="5" xfId="5" applyNumberFormat="1" applyFont="1" applyBorder="1" applyAlignment="1">
      <alignment horizontal="left" vertical="center" wrapText="1"/>
    </xf>
    <xf numFmtId="165" fontId="3" fillId="0" borderId="5" xfId="5" applyNumberFormat="1" applyFont="1" applyBorder="1" applyAlignment="1">
      <alignment horizontal="right" vertical="center" wrapText="1"/>
    </xf>
    <xf numFmtId="0" fontId="19" fillId="5" borderId="0" xfId="0" applyFont="1" applyFill="1" applyAlignment="1">
      <alignment wrapText="1"/>
    </xf>
    <xf numFmtId="1" fontId="3" fillId="0" borderId="23" xfId="5" applyNumberFormat="1" applyFont="1" applyBorder="1" applyAlignment="1">
      <alignment horizontal="center" vertical="center" wrapText="1"/>
    </xf>
    <xf numFmtId="1" fontId="3" fillId="0" borderId="23" xfId="5" applyNumberFormat="1" applyFont="1" applyBorder="1" applyAlignment="1">
      <alignment horizontal="left" vertical="center" wrapText="1"/>
    </xf>
    <xf numFmtId="165" fontId="3" fillId="0" borderId="23" xfId="5" applyNumberFormat="1" applyFont="1" applyBorder="1" applyAlignment="1">
      <alignment horizontal="right" vertical="center" wrapText="1"/>
    </xf>
    <xf numFmtId="1" fontId="3" fillId="0" borderId="24" xfId="5" applyNumberFormat="1" applyFont="1" applyBorder="1" applyAlignment="1">
      <alignment horizontal="center" vertical="center" wrapText="1"/>
    </xf>
    <xf numFmtId="1" fontId="3" fillId="0" borderId="24" xfId="5" applyNumberFormat="1" applyFont="1" applyBorder="1" applyAlignment="1">
      <alignment horizontal="left" vertical="center" wrapText="1"/>
    </xf>
    <xf numFmtId="165" fontId="3" fillId="0" borderId="24" xfId="5" applyNumberFormat="1" applyFont="1" applyBorder="1" applyAlignment="1">
      <alignment horizontal="right" vertical="center" wrapText="1"/>
    </xf>
    <xf numFmtId="1" fontId="3" fillId="0" borderId="25" xfId="5" applyNumberFormat="1" applyFont="1" applyBorder="1" applyAlignment="1">
      <alignment horizontal="center" vertical="center" wrapText="1"/>
    </xf>
    <xf numFmtId="1" fontId="3" fillId="0" borderId="25" xfId="5" applyNumberFormat="1" applyFont="1" applyBorder="1" applyAlignment="1">
      <alignment horizontal="left" vertical="center" wrapText="1"/>
    </xf>
    <xf numFmtId="165" fontId="3" fillId="0" borderId="25" xfId="5" applyNumberFormat="1" applyFont="1" applyBorder="1" applyAlignment="1">
      <alignment horizontal="right" vertical="center" wrapText="1"/>
    </xf>
    <xf numFmtId="1" fontId="3" fillId="0" borderId="26" xfId="5" applyNumberFormat="1" applyFont="1" applyBorder="1" applyAlignment="1">
      <alignment horizontal="center" vertical="center" wrapText="1"/>
    </xf>
    <xf numFmtId="1" fontId="3" fillId="0" borderId="27" xfId="5" applyNumberFormat="1" applyFont="1" applyBorder="1" applyAlignment="1">
      <alignment horizontal="left" vertical="center" wrapText="1"/>
    </xf>
    <xf numFmtId="165" fontId="3" fillId="0" borderId="27" xfId="5" applyNumberFormat="1" applyFont="1" applyBorder="1" applyAlignment="1">
      <alignment horizontal="right" vertical="center" wrapText="1"/>
    </xf>
    <xf numFmtId="1" fontId="3" fillId="0" borderId="28" xfId="5" applyNumberFormat="1" applyFont="1" applyBorder="1" applyAlignment="1">
      <alignment horizontal="center" vertical="center" wrapText="1"/>
    </xf>
    <xf numFmtId="1" fontId="3" fillId="0" borderId="29" xfId="5" applyNumberFormat="1" applyFont="1" applyBorder="1" applyAlignment="1">
      <alignment horizontal="center" vertical="center" wrapText="1"/>
    </xf>
    <xf numFmtId="1" fontId="3" fillId="0" borderId="30" xfId="5" applyNumberFormat="1" applyFont="1" applyBorder="1" applyAlignment="1">
      <alignment horizontal="center" vertical="center" wrapText="1"/>
    </xf>
    <xf numFmtId="2" fontId="19" fillId="3" borderId="0" xfId="0" applyNumberFormat="1" applyFont="1" applyFill="1" applyAlignment="1">
      <alignment wrapText="1"/>
    </xf>
    <xf numFmtId="1" fontId="3" fillId="0" borderId="31" xfId="5" applyNumberFormat="1" applyFont="1" applyBorder="1" applyAlignment="1">
      <alignment horizontal="center" vertical="center" wrapText="1"/>
    </xf>
    <xf numFmtId="1" fontId="3" fillId="0" borderId="32" xfId="5" applyNumberFormat="1" applyFont="1" applyBorder="1" applyAlignment="1">
      <alignment horizontal="left" vertical="center" wrapText="1"/>
    </xf>
    <xf numFmtId="165" fontId="3" fillId="0" borderId="32" xfId="5" applyNumberFormat="1" applyFont="1" applyBorder="1" applyAlignment="1">
      <alignment horizontal="right" vertical="center" wrapText="1"/>
    </xf>
    <xf numFmtId="1" fontId="3" fillId="0" borderId="33" xfId="5" applyNumberFormat="1" applyFont="1" applyBorder="1" applyAlignment="1">
      <alignment horizontal="center" vertical="center" wrapText="1"/>
    </xf>
    <xf numFmtId="2" fontId="19" fillId="4" borderId="0" xfId="0" applyNumberFormat="1" applyFont="1" applyFill="1" applyAlignment="1">
      <alignment wrapText="1"/>
    </xf>
    <xf numFmtId="1" fontId="3" fillId="0" borderId="34" xfId="5" applyNumberFormat="1" applyFont="1" applyBorder="1" applyAlignment="1">
      <alignment horizontal="center" vertical="center" wrapText="1"/>
    </xf>
    <xf numFmtId="1" fontId="3" fillId="0" borderId="35" xfId="5" applyNumberFormat="1" applyFont="1" applyBorder="1" applyAlignment="1">
      <alignment horizontal="center" vertical="center" wrapText="1"/>
    </xf>
    <xf numFmtId="165" fontId="3" fillId="2" borderId="24" xfId="5" applyNumberFormat="1" applyFont="1" applyFill="1" applyBorder="1" applyAlignment="1">
      <alignment horizontal="right" vertical="center" wrapText="1"/>
    </xf>
    <xf numFmtId="1" fontId="3" fillId="0" borderId="36" xfId="5" applyNumberFormat="1" applyFont="1" applyBorder="1" applyAlignment="1">
      <alignment horizontal="center" vertical="center" wrapText="1"/>
    </xf>
    <xf numFmtId="1" fontId="3" fillId="0" borderId="37" xfId="5" applyNumberFormat="1" applyFont="1" applyBorder="1" applyAlignment="1">
      <alignment horizontal="center" vertical="center" wrapText="1"/>
    </xf>
    <xf numFmtId="1" fontId="16" fillId="4" borderId="38" xfId="5" applyNumberFormat="1" applyFont="1" applyFill="1" applyBorder="1" applyAlignment="1">
      <alignment horizontal="center" vertical="center" wrapText="1"/>
    </xf>
    <xf numFmtId="1" fontId="3" fillId="4" borderId="39" xfId="5" applyNumberFormat="1" applyFont="1" applyFill="1" applyBorder="1" applyAlignment="1">
      <alignment horizontal="center" vertical="center" wrapText="1"/>
    </xf>
    <xf numFmtId="1" fontId="3" fillId="0" borderId="40" xfId="5" applyNumberFormat="1" applyFont="1" applyBorder="1" applyAlignment="1">
      <alignment horizontal="center" vertical="center" wrapText="1"/>
    </xf>
    <xf numFmtId="1" fontId="3" fillId="0" borderId="41" xfId="5" applyNumberFormat="1" applyFont="1" applyBorder="1" applyAlignment="1">
      <alignment horizontal="center" vertical="center" wrapText="1"/>
    </xf>
    <xf numFmtId="0" fontId="19" fillId="4" borderId="0" xfId="0" applyFont="1" applyFill="1" applyAlignment="1">
      <alignment wrapText="1"/>
    </xf>
    <xf numFmtId="0" fontId="19" fillId="2" borderId="0" xfId="0" applyFont="1" applyFill="1" applyAlignment="1">
      <alignment horizontal="center" wrapText="1"/>
    </xf>
    <xf numFmtId="8" fontId="21" fillId="2" borderId="0" xfId="3" applyNumberFormat="1" applyFont="1" applyFill="1" applyAlignment="1" applyProtection="1">
      <alignment horizontal="center" vertical="center" wrapText="1"/>
      <protection locked="0"/>
    </xf>
    <xf numFmtId="0" fontId="22" fillId="2" borderId="0" xfId="3" applyFont="1" applyFill="1" applyAlignment="1" applyProtection="1">
      <alignment horizontal="center" vertical="center" wrapText="1"/>
      <protection locked="0"/>
    </xf>
    <xf numFmtId="0" fontId="19" fillId="3" borderId="0" xfId="0" applyFont="1" applyFill="1" applyAlignment="1">
      <alignment horizontal="center" wrapText="1"/>
    </xf>
    <xf numFmtId="0" fontId="19" fillId="2" borderId="0" xfId="0" applyFont="1" applyFill="1" applyAlignment="1">
      <alignment wrapText="1"/>
    </xf>
    <xf numFmtId="0" fontId="17" fillId="2" borderId="0" xfId="0" applyFont="1" applyFill="1" applyAlignment="1">
      <alignment horizontal="center" vertical="center" wrapText="1"/>
    </xf>
    <xf numFmtId="2" fontId="22" fillId="0" borderId="0" xfId="0" applyNumberFormat="1" applyFont="1" applyAlignment="1">
      <alignment horizontal="center" vertical="center"/>
    </xf>
    <xf numFmtId="0" fontId="22" fillId="0" borderId="0" xfId="0" applyFont="1"/>
    <xf numFmtId="4" fontId="23" fillId="0" borderId="0" xfId="0" applyNumberFormat="1" applyFont="1" applyAlignment="1">
      <alignment horizontal="right"/>
    </xf>
    <xf numFmtId="43" fontId="23" fillId="0" borderId="0" xfId="1" applyFont="1"/>
    <xf numFmtId="165" fontId="3" fillId="0" borderId="0" xfId="0" applyNumberFormat="1" applyFont="1"/>
    <xf numFmtId="43" fontId="22" fillId="0" borderId="0" xfId="1" applyFont="1"/>
    <xf numFmtId="165" fontId="22" fillId="0" borderId="0" xfId="0" applyNumberFormat="1" applyFont="1"/>
    <xf numFmtId="4" fontId="22" fillId="0" borderId="0" xfId="0" applyNumberFormat="1" applyFont="1"/>
    <xf numFmtId="4" fontId="24" fillId="0" borderId="0" xfId="0" applyNumberFormat="1" applyFont="1" applyAlignment="1">
      <alignment horizontal="center" vertical="center"/>
    </xf>
    <xf numFmtId="4" fontId="25" fillId="0" borderId="0" xfId="0" applyNumberFormat="1" applyFont="1" applyAlignment="1">
      <alignment horizontal="center" vertical="center"/>
    </xf>
    <xf numFmtId="0" fontId="24" fillId="0" borderId="0" xfId="3" applyFont="1"/>
    <xf numFmtId="0" fontId="3" fillId="0" borderId="0" xfId="3"/>
    <xf numFmtId="0" fontId="27" fillId="2" borderId="45" xfId="3" applyFont="1" applyFill="1" applyBorder="1" applyAlignment="1">
      <alignment vertical="center" wrapText="1"/>
    </xf>
    <xf numFmtId="0" fontId="26" fillId="2" borderId="1" xfId="4" applyFont="1" applyFill="1" applyBorder="1" applyAlignment="1">
      <alignment vertical="center"/>
    </xf>
    <xf numFmtId="0" fontId="26" fillId="2" borderId="44" xfId="4" applyFont="1" applyFill="1" applyBorder="1" applyAlignment="1">
      <alignment horizontal="right" vertical="center"/>
    </xf>
    <xf numFmtId="4" fontId="27" fillId="2" borderId="44" xfId="4" applyNumberFormat="1" applyFont="1" applyFill="1" applyBorder="1" applyAlignment="1">
      <alignment horizontal="left" vertical="center"/>
    </xf>
    <xf numFmtId="0" fontId="26" fillId="2" borderId="44" xfId="4" applyFont="1" applyFill="1" applyBorder="1" applyAlignment="1">
      <alignment vertical="center"/>
    </xf>
    <xf numFmtId="43" fontId="3" fillId="2" borderId="45" xfId="1" applyFont="1" applyFill="1" applyBorder="1"/>
    <xf numFmtId="0" fontId="27" fillId="2" borderId="43" xfId="3" applyFont="1" applyFill="1" applyBorder="1" applyAlignment="1">
      <alignment vertical="center"/>
    </xf>
    <xf numFmtId="0" fontId="26" fillId="2" borderId="3" xfId="4" applyFont="1" applyFill="1" applyBorder="1" applyAlignment="1">
      <alignment vertical="center"/>
    </xf>
    <xf numFmtId="0" fontId="26" fillId="2" borderId="0" xfId="4" applyFont="1" applyFill="1" applyAlignment="1">
      <alignment vertical="center"/>
    </xf>
    <xf numFmtId="4" fontId="27" fillId="2" borderId="0" xfId="4" applyNumberFormat="1" applyFont="1" applyFill="1" applyAlignment="1">
      <alignment horizontal="left" vertical="center"/>
    </xf>
    <xf numFmtId="43" fontId="3" fillId="2" borderId="43" xfId="1" applyFont="1" applyFill="1" applyBorder="1"/>
    <xf numFmtId="49" fontId="27" fillId="2" borderId="0" xfId="4" applyNumberFormat="1" applyFont="1" applyFill="1" applyAlignment="1">
      <alignment horizontal="left" vertical="center"/>
    </xf>
    <xf numFmtId="0" fontId="27" fillId="2" borderId="0" xfId="4" applyFont="1" applyFill="1" applyAlignment="1">
      <alignment vertical="center"/>
    </xf>
    <xf numFmtId="0" fontId="3" fillId="0" borderId="43" xfId="3" applyBorder="1"/>
    <xf numFmtId="166" fontId="28" fillId="2" borderId="43" xfId="3" applyNumberFormat="1" applyFont="1" applyFill="1" applyBorder="1" applyAlignment="1">
      <alignment horizontal="left" vertical="center"/>
    </xf>
    <xf numFmtId="14" fontId="27" fillId="2" borderId="0" xfId="4" applyNumberFormat="1" applyFont="1" applyFill="1" applyAlignment="1">
      <alignment horizontal="left" vertical="center"/>
    </xf>
    <xf numFmtId="0" fontId="26" fillId="0" borderId="3" xfId="4" applyFont="1" applyBorder="1" applyAlignment="1">
      <alignment vertical="center"/>
    </xf>
    <xf numFmtId="0" fontId="26" fillId="0" borderId="0" xfId="4" applyFont="1" applyAlignment="1">
      <alignment vertical="center"/>
    </xf>
    <xf numFmtId="14" fontId="29" fillId="0" borderId="0" xfId="4" applyNumberFormat="1" applyFont="1" applyAlignment="1">
      <alignment horizontal="left" vertical="center"/>
    </xf>
    <xf numFmtId="2" fontId="3" fillId="0" borderId="4" xfId="3" applyNumberFormat="1" applyBorder="1"/>
    <xf numFmtId="0" fontId="16" fillId="2" borderId="17" xfId="4" applyFont="1" applyFill="1" applyBorder="1" applyAlignment="1">
      <alignment horizontal="left" vertical="center"/>
    </xf>
    <xf numFmtId="0" fontId="3" fillId="2" borderId="17" xfId="3" applyFill="1" applyBorder="1" applyAlignment="1">
      <alignment horizontal="center" vertical="center"/>
    </xf>
    <xf numFmtId="0" fontId="16" fillId="2" borderId="16" xfId="4" applyFont="1" applyFill="1" applyBorder="1" applyAlignment="1">
      <alignment vertical="center"/>
    </xf>
    <xf numFmtId="4" fontId="16" fillId="2" borderId="16" xfId="1" applyNumberFormat="1" applyFont="1" applyFill="1" applyBorder="1" applyAlignment="1">
      <alignment horizontal="right" vertical="center"/>
    </xf>
    <xf numFmtId="0" fontId="16" fillId="2" borderId="16" xfId="4" applyFont="1" applyFill="1" applyBorder="1" applyAlignment="1">
      <alignment horizontal="left" vertical="center"/>
    </xf>
    <xf numFmtId="43" fontId="3" fillId="2" borderId="17" xfId="1" applyFont="1" applyFill="1" applyBorder="1"/>
    <xf numFmtId="43" fontId="16" fillId="2" borderId="16" xfId="1" applyFont="1" applyFill="1" applyBorder="1" applyAlignment="1">
      <alignment horizontal="left" vertical="center"/>
    </xf>
    <xf numFmtId="0" fontId="3" fillId="0" borderId="17" xfId="3" applyBorder="1"/>
    <xf numFmtId="0" fontId="21" fillId="4" borderId="2" xfId="6" applyFont="1" applyFill="1" applyBorder="1" applyAlignment="1" applyProtection="1">
      <alignment horizontal="center" vertical="center"/>
      <protection locked="0"/>
    </xf>
    <xf numFmtId="4" fontId="21" fillId="4" borderId="2" xfId="6" applyNumberFormat="1" applyFont="1" applyFill="1" applyBorder="1" applyAlignment="1" applyProtection="1">
      <alignment horizontal="center" vertical="center"/>
      <protection locked="0"/>
    </xf>
    <xf numFmtId="0" fontId="24" fillId="4" borderId="0" xfId="0" applyFont="1" applyFill="1" applyAlignment="1">
      <alignment vertical="center"/>
    </xf>
    <xf numFmtId="0" fontId="25" fillId="4" borderId="0" xfId="0" applyFont="1" applyFill="1" applyAlignment="1">
      <alignment vertical="center"/>
    </xf>
    <xf numFmtId="2" fontId="21" fillId="4" borderId="2" xfId="0" applyNumberFormat="1" applyFont="1" applyFill="1" applyBorder="1" applyAlignment="1">
      <alignment horizontal="center" vertical="center"/>
    </xf>
    <xf numFmtId="4" fontId="21" fillId="4" borderId="2" xfId="6" applyNumberFormat="1" applyFont="1" applyFill="1" applyBorder="1" applyAlignment="1" applyProtection="1">
      <alignment horizontal="right" vertical="center"/>
      <protection locked="0"/>
    </xf>
    <xf numFmtId="43" fontId="21" fillId="4" borderId="2" xfId="1" applyFont="1" applyFill="1" applyBorder="1" applyAlignment="1" applyProtection="1">
      <alignment horizontal="center" vertical="center"/>
      <protection locked="0"/>
    </xf>
    <xf numFmtId="2" fontId="31" fillId="4" borderId="46" xfId="7" applyNumberFormat="1" applyFont="1" applyFill="1" applyBorder="1" applyAlignment="1">
      <alignment horizontal="center" vertical="center"/>
    </xf>
    <xf numFmtId="0" fontId="31" fillId="4" borderId="5" xfId="7" applyFont="1" applyFill="1" applyBorder="1" applyAlignment="1">
      <alignment vertical="center"/>
    </xf>
    <xf numFmtId="4" fontId="31" fillId="4" borderId="5" xfId="7" applyNumberFormat="1" applyFont="1" applyFill="1" applyBorder="1" applyAlignment="1">
      <alignment horizontal="right" vertical="center"/>
    </xf>
    <xf numFmtId="43" fontId="31" fillId="4" borderId="5" xfId="1" applyFont="1" applyFill="1" applyBorder="1" applyAlignment="1">
      <alignment vertical="center"/>
    </xf>
    <xf numFmtId="43" fontId="31" fillId="4" borderId="47" xfId="1" applyFont="1" applyFill="1" applyBorder="1" applyAlignment="1">
      <alignment vertical="center"/>
    </xf>
    <xf numFmtId="0" fontId="24" fillId="4" borderId="0" xfId="0" applyFont="1" applyFill="1"/>
    <xf numFmtId="2" fontId="31" fillId="5" borderId="46" xfId="7" applyNumberFormat="1" applyFont="1" applyFill="1" applyBorder="1" applyAlignment="1">
      <alignment horizontal="center" vertical="center"/>
    </xf>
    <xf numFmtId="0" fontId="32" fillId="5" borderId="5" xfId="0" applyFont="1" applyFill="1" applyBorder="1" applyAlignment="1">
      <alignment horizontal="left" vertical="center"/>
    </xf>
    <xf numFmtId="0" fontId="31" fillId="5" borderId="5" xfId="7" applyFont="1" applyFill="1" applyBorder="1" applyAlignment="1">
      <alignment vertical="center"/>
    </xf>
    <xf numFmtId="4" fontId="31" fillId="5" borderId="5" xfId="7" applyNumberFormat="1" applyFont="1" applyFill="1" applyBorder="1" applyAlignment="1">
      <alignment horizontal="right" vertical="center"/>
    </xf>
    <xf numFmtId="43" fontId="31" fillId="5" borderId="5" xfId="1" applyFont="1" applyFill="1" applyBorder="1" applyAlignment="1">
      <alignment vertical="center"/>
    </xf>
    <xf numFmtId="43" fontId="31" fillId="5" borderId="47" xfId="1" applyFont="1" applyFill="1" applyBorder="1" applyAlignment="1">
      <alignment vertical="center"/>
    </xf>
    <xf numFmtId="0" fontId="24" fillId="5" borderId="0" xfId="0" applyFont="1" applyFill="1"/>
    <xf numFmtId="0" fontId="0" fillId="5" borderId="0" xfId="0" applyFill="1"/>
    <xf numFmtId="0" fontId="8" fillId="0" borderId="48" xfId="0" applyFont="1" applyBorder="1" applyAlignment="1">
      <alignment horizontal="center" vertical="center"/>
    </xf>
    <xf numFmtId="0" fontId="8" fillId="0" borderId="48" xfId="7" applyFont="1" applyBorder="1" applyAlignment="1">
      <alignment horizontal="justify" vertical="center" wrapText="1"/>
    </xf>
    <xf numFmtId="0" fontId="33" fillId="2" borderId="48" xfId="0" applyFont="1" applyFill="1" applyBorder="1" applyAlignment="1">
      <alignment horizontal="center" vertical="center"/>
    </xf>
    <xf numFmtId="168" fontId="3" fillId="0" borderId="18" xfId="8" applyBorder="1" applyAlignment="1">
      <alignment horizontal="center" vertical="center" wrapText="1"/>
    </xf>
    <xf numFmtId="4" fontId="3" fillId="0" borderId="48" xfId="8" applyNumberFormat="1" applyBorder="1" applyAlignment="1">
      <alignment horizontal="right" vertical="center" wrapText="1"/>
    </xf>
    <xf numFmtId="43" fontId="3" fillId="0" borderId="37" xfId="1" applyFont="1" applyBorder="1" applyAlignment="1">
      <alignment horizontal="center" vertical="center" wrapText="1"/>
    </xf>
    <xf numFmtId="169" fontId="3" fillId="0" borderId="48" xfId="8" applyNumberFormat="1" applyBorder="1" applyAlignment="1">
      <alignment horizontal="center" vertical="center" wrapText="1"/>
    </xf>
    <xf numFmtId="43" fontId="3" fillId="0" borderId="19" xfId="1" applyFont="1" applyBorder="1" applyAlignment="1">
      <alignment horizontal="center" vertical="center" wrapText="1"/>
    </xf>
    <xf numFmtId="168" fontId="3" fillId="0" borderId="37" xfId="8" applyFill="1" applyBorder="1" applyAlignment="1">
      <alignment horizontal="center" vertical="center" wrapText="1"/>
    </xf>
    <xf numFmtId="0" fontId="8" fillId="0" borderId="49" xfId="0" applyFont="1" applyBorder="1" applyAlignment="1">
      <alignment horizontal="center" vertical="center"/>
    </xf>
    <xf numFmtId="0" fontId="8" fillId="0" borderId="49" xfId="7" applyFont="1" applyBorder="1" applyAlignment="1">
      <alignment horizontal="justify" vertical="center" wrapText="1"/>
    </xf>
    <xf numFmtId="0" fontId="33" fillId="2" borderId="49" xfId="0" applyFont="1" applyFill="1" applyBorder="1" applyAlignment="1">
      <alignment horizontal="center" vertical="center"/>
    </xf>
    <xf numFmtId="168" fontId="3" fillId="0" borderId="12" xfId="8" applyBorder="1" applyAlignment="1">
      <alignment horizontal="center" vertical="center" wrapText="1"/>
    </xf>
    <xf numFmtId="4" fontId="3" fillId="0" borderId="49" xfId="8" applyNumberFormat="1" applyBorder="1" applyAlignment="1">
      <alignment horizontal="right" vertical="center" wrapText="1"/>
    </xf>
    <xf numFmtId="43" fontId="3" fillId="0" borderId="35" xfId="1" applyFont="1" applyBorder="1" applyAlignment="1">
      <alignment horizontal="center" vertical="center" wrapText="1"/>
    </xf>
    <xf numFmtId="2" fontId="22" fillId="5" borderId="2" xfId="0" applyNumberFormat="1" applyFont="1" applyFill="1" applyBorder="1" applyAlignment="1">
      <alignment horizontal="center" vertical="center"/>
    </xf>
    <xf numFmtId="1" fontId="22" fillId="5" borderId="2" xfId="9" applyNumberFormat="1" applyFont="1" applyFill="1" applyBorder="1" applyAlignment="1">
      <alignment horizontal="center" vertical="center"/>
    </xf>
    <xf numFmtId="43" fontId="34" fillId="5" borderId="5" xfId="1" applyFont="1" applyFill="1" applyBorder="1" applyAlignment="1">
      <alignment horizontal="right" vertical="center" wrapText="1"/>
    </xf>
    <xf numFmtId="165" fontId="34" fillId="5" borderId="46" xfId="10" applyNumberFormat="1" applyFont="1" applyFill="1" applyBorder="1" applyAlignment="1">
      <alignment vertical="center" wrapText="1"/>
    </xf>
    <xf numFmtId="43" fontId="34" fillId="5" borderId="47" xfId="1" applyFont="1" applyFill="1" applyBorder="1" applyAlignment="1">
      <alignment horizontal="right" vertical="center" wrapText="1"/>
    </xf>
    <xf numFmtId="0" fontId="8" fillId="0" borderId="50" xfId="0" applyFont="1" applyBorder="1" applyAlignment="1">
      <alignment horizontal="center" vertical="center"/>
    </xf>
    <xf numFmtId="0" fontId="8" fillId="0" borderId="50" xfId="7" applyFont="1" applyBorder="1" applyAlignment="1">
      <alignment horizontal="justify" vertical="center" wrapText="1"/>
    </xf>
    <xf numFmtId="0" fontId="33" fillId="2" borderId="50" xfId="0" applyFont="1" applyFill="1" applyBorder="1" applyAlignment="1">
      <alignment horizontal="center" vertical="center"/>
    </xf>
    <xf numFmtId="168" fontId="3" fillId="0" borderId="51" xfId="8" applyBorder="1" applyAlignment="1">
      <alignment horizontal="center" vertical="center" wrapText="1"/>
    </xf>
    <xf numFmtId="4" fontId="3" fillId="0" borderId="50" xfId="8" applyNumberFormat="1" applyBorder="1" applyAlignment="1">
      <alignment horizontal="right" vertical="center" wrapText="1"/>
    </xf>
    <xf numFmtId="43" fontId="3" fillId="0" borderId="52" xfId="1" applyFont="1" applyBorder="1" applyAlignment="1">
      <alignment horizontal="center" vertical="center" wrapText="1"/>
    </xf>
    <xf numFmtId="169" fontId="3" fillId="0" borderId="50" xfId="8" applyNumberFormat="1" applyBorder="1" applyAlignment="1">
      <alignment horizontal="center" vertical="center" wrapText="1"/>
    </xf>
    <xf numFmtId="43" fontId="3" fillId="0" borderId="53" xfId="1" applyFont="1" applyBorder="1" applyAlignment="1">
      <alignment horizontal="center" vertical="center" wrapText="1"/>
    </xf>
    <xf numFmtId="168" fontId="3" fillId="0" borderId="52" xfId="8" applyFill="1" applyBorder="1" applyAlignment="1">
      <alignment horizontal="center" vertical="center" wrapText="1"/>
    </xf>
    <xf numFmtId="2" fontId="31" fillId="5" borderId="4" xfId="7" applyNumberFormat="1" applyFont="1" applyFill="1" applyBorder="1" applyAlignment="1">
      <alignment horizontal="center" vertical="center"/>
    </xf>
    <xf numFmtId="0" fontId="32" fillId="5" borderId="16" xfId="0" applyFont="1" applyFill="1" applyBorder="1" applyAlignment="1">
      <alignment horizontal="left" vertical="center"/>
    </xf>
    <xf numFmtId="0" fontId="31" fillId="5" borderId="16" xfId="7" applyFont="1" applyFill="1" applyBorder="1" applyAlignment="1">
      <alignment vertical="center"/>
    </xf>
    <xf numFmtId="4" fontId="31" fillId="5" borderId="16" xfId="7" applyNumberFormat="1" applyFont="1" applyFill="1" applyBorder="1" applyAlignment="1">
      <alignment horizontal="right" vertical="center"/>
    </xf>
    <xf numFmtId="43" fontId="31" fillId="5" borderId="16" xfId="1" applyFont="1" applyFill="1" applyBorder="1" applyAlignment="1">
      <alignment vertical="center"/>
    </xf>
    <xf numFmtId="43" fontId="31" fillId="5" borderId="17" xfId="1" applyFont="1" applyFill="1" applyBorder="1" applyAlignment="1">
      <alignment vertical="center"/>
    </xf>
    <xf numFmtId="0" fontId="35" fillId="5" borderId="2" xfId="0" applyFont="1" applyFill="1" applyBorder="1" applyAlignment="1">
      <alignment horizontal="center" vertical="center"/>
    </xf>
    <xf numFmtId="0" fontId="32" fillId="5" borderId="2" xfId="0" applyFont="1" applyFill="1" applyBorder="1" applyAlignment="1">
      <alignment horizontal="left" vertical="center"/>
    </xf>
    <xf numFmtId="4" fontId="31" fillId="5" borderId="5" xfId="7" applyNumberFormat="1" applyFont="1" applyFill="1" applyBorder="1" applyAlignment="1">
      <alignment vertical="center"/>
    </xf>
    <xf numFmtId="0" fontId="35" fillId="4" borderId="1" xfId="0" applyFont="1" applyFill="1" applyBorder="1" applyAlignment="1">
      <alignment horizontal="center" vertical="center"/>
    </xf>
    <xf numFmtId="0" fontId="32" fillId="4" borderId="44" xfId="0" applyFont="1" applyFill="1" applyBorder="1" applyAlignment="1">
      <alignment horizontal="left" vertical="center"/>
    </xf>
    <xf numFmtId="0" fontId="31" fillId="4" borderId="44" xfId="7" applyFont="1" applyFill="1" applyBorder="1" applyAlignment="1">
      <alignment vertical="center"/>
    </xf>
    <xf numFmtId="4" fontId="31" fillId="4" borderId="44" xfId="7" applyNumberFormat="1" applyFont="1" applyFill="1" applyBorder="1" applyAlignment="1">
      <alignment horizontal="right" vertical="center"/>
    </xf>
    <xf numFmtId="43" fontId="31" fillId="4" borderId="44" xfId="1" applyFont="1" applyFill="1" applyBorder="1" applyAlignment="1">
      <alignment vertical="center"/>
    </xf>
    <xf numFmtId="43" fontId="31" fillId="4" borderId="45" xfId="1" applyFont="1" applyFill="1" applyBorder="1" applyAlignment="1">
      <alignment vertical="center"/>
    </xf>
    <xf numFmtId="0" fontId="0" fillId="4" borderId="0" xfId="0" applyFill="1"/>
    <xf numFmtId="0" fontId="32" fillId="4" borderId="5" xfId="0" applyFont="1" applyFill="1" applyBorder="1" applyAlignment="1">
      <alignment horizontal="left" vertical="center"/>
    </xf>
    <xf numFmtId="0" fontId="8" fillId="0" borderId="54" xfId="0" applyFont="1" applyBorder="1" applyAlignment="1">
      <alignment horizontal="center" vertical="center"/>
    </xf>
    <xf numFmtId="0" fontId="8" fillId="0" borderId="54" xfId="7" applyFont="1" applyBorder="1" applyAlignment="1">
      <alignment horizontal="justify" vertical="center" wrapText="1"/>
    </xf>
    <xf numFmtId="0" fontId="33" fillId="2" borderId="54" xfId="0" applyFont="1" applyFill="1" applyBorder="1" applyAlignment="1">
      <alignment horizontal="center" vertical="center"/>
    </xf>
    <xf numFmtId="168" fontId="3" fillId="0" borderId="20" xfId="8" applyBorder="1" applyAlignment="1">
      <alignment horizontal="center" vertical="center" wrapText="1"/>
    </xf>
    <xf numFmtId="4" fontId="3" fillId="0" borderId="54" xfId="8" applyNumberFormat="1" applyBorder="1" applyAlignment="1">
      <alignment horizontal="right" vertical="center" wrapText="1"/>
    </xf>
    <xf numFmtId="43" fontId="3" fillId="0" borderId="33" xfId="1" applyFont="1" applyBorder="1" applyAlignment="1">
      <alignment horizontal="center" vertical="center" wrapText="1"/>
    </xf>
    <xf numFmtId="169" fontId="3" fillId="0" borderId="54" xfId="8" applyNumberFormat="1" applyBorder="1" applyAlignment="1">
      <alignment horizontal="center" vertical="center" wrapText="1"/>
    </xf>
    <xf numFmtId="43" fontId="3" fillId="0" borderId="22" xfId="1" applyFont="1" applyBorder="1" applyAlignment="1">
      <alignment horizontal="center" vertical="center" wrapText="1"/>
    </xf>
    <xf numFmtId="168" fontId="3" fillId="0" borderId="33" xfId="8" applyFill="1" applyBorder="1" applyAlignment="1">
      <alignment horizontal="center" vertical="center" wrapText="1"/>
    </xf>
    <xf numFmtId="0" fontId="36" fillId="5" borderId="55" xfId="0" applyFont="1" applyFill="1" applyBorder="1" applyAlignment="1">
      <alignment horizontal="center" vertical="center"/>
    </xf>
    <xf numFmtId="1" fontId="3" fillId="5" borderId="55" xfId="11" applyNumberFormat="1" applyFont="1" applyFill="1" applyBorder="1" applyAlignment="1">
      <alignment horizontal="center" vertical="center" wrapText="1"/>
    </xf>
    <xf numFmtId="0" fontId="16" fillId="5" borderId="0" xfId="7" applyFont="1" applyFill="1" applyAlignment="1">
      <alignment horizontal="justify" vertical="center" wrapText="1"/>
    </xf>
    <xf numFmtId="0" fontId="3" fillId="5" borderId="0" xfId="10" applyFont="1" applyFill="1" applyAlignment="1">
      <alignment horizontal="center" vertical="center"/>
    </xf>
    <xf numFmtId="168" fontId="3" fillId="5" borderId="0" xfId="8" applyFont="1" applyFill="1" applyBorder="1" applyAlignment="1">
      <alignment horizontal="center" vertical="center" wrapText="1"/>
    </xf>
    <xf numFmtId="4" fontId="3" fillId="5" borderId="0" xfId="8" applyNumberFormat="1" applyFont="1" applyFill="1" applyBorder="1" applyAlignment="1">
      <alignment horizontal="right" vertical="center" wrapText="1"/>
    </xf>
    <xf numFmtId="169" fontId="3" fillId="5" borderId="0" xfId="8" applyNumberFormat="1" applyFill="1" applyBorder="1" applyAlignment="1">
      <alignment horizontal="center" vertical="center" wrapText="1"/>
    </xf>
    <xf numFmtId="0" fontId="26" fillId="6" borderId="5" xfId="10" applyFont="1" applyFill="1" applyBorder="1" applyAlignment="1">
      <alignment horizontal="center" vertical="center" wrapText="1"/>
    </xf>
    <xf numFmtId="4" fontId="37" fillId="6" borderId="5" xfId="10" applyNumberFormat="1" applyFont="1" applyFill="1" applyBorder="1" applyAlignment="1">
      <alignment horizontal="right" vertical="center" wrapText="1"/>
    </xf>
    <xf numFmtId="43" fontId="21" fillId="6" borderId="47" xfId="1" applyFont="1" applyFill="1" applyBorder="1" applyAlignment="1" applyProtection="1">
      <alignment horizontal="center" vertical="center"/>
    </xf>
    <xf numFmtId="165" fontId="37" fillId="6" borderId="46" xfId="10" applyNumberFormat="1" applyFont="1" applyFill="1" applyBorder="1" applyAlignment="1">
      <alignment vertical="center" wrapText="1"/>
    </xf>
    <xf numFmtId="165" fontId="22" fillId="6" borderId="46" xfId="0" applyNumberFormat="1" applyFont="1" applyFill="1" applyBorder="1"/>
    <xf numFmtId="4" fontId="21" fillId="6" borderId="46" xfId="6" applyNumberFormat="1" applyFont="1" applyFill="1" applyBorder="1" applyAlignment="1" applyProtection="1">
      <alignment horizontal="center" vertical="center"/>
      <protection locked="0"/>
    </xf>
    <xf numFmtId="2" fontId="37" fillId="0" borderId="0" xfId="10" applyNumberFormat="1" applyFont="1" applyAlignment="1">
      <alignment horizontal="center" vertical="center" wrapText="1"/>
    </xf>
    <xf numFmtId="0" fontId="37" fillId="0" borderId="0" xfId="10" applyFont="1" applyAlignment="1">
      <alignment horizontal="center" vertical="center" wrapText="1"/>
    </xf>
    <xf numFmtId="4" fontId="38" fillId="0" borderId="0" xfId="10" applyNumberFormat="1" applyFont="1" applyAlignment="1">
      <alignment horizontal="right" vertical="center" wrapText="1"/>
    </xf>
    <xf numFmtId="43" fontId="39" fillId="0" borderId="0" xfId="1" applyFont="1" applyAlignment="1" applyProtection="1">
      <alignment horizontal="center" vertical="center"/>
      <protection locked="0"/>
    </xf>
    <xf numFmtId="165" fontId="37" fillId="0" borderId="0" xfId="10" applyNumberFormat="1" applyFont="1" applyAlignment="1">
      <alignment horizontal="right" vertical="center" wrapText="1"/>
    </xf>
    <xf numFmtId="43" fontId="21" fillId="0" borderId="0" xfId="1" applyFont="1" applyAlignment="1" applyProtection="1">
      <alignment horizontal="center" vertical="center"/>
    </xf>
    <xf numFmtId="4" fontId="21" fillId="0" borderId="0" xfId="6" applyNumberFormat="1" applyFont="1" applyAlignment="1" applyProtection="1">
      <alignment horizontal="center" vertical="center"/>
      <protection locked="0"/>
    </xf>
    <xf numFmtId="4" fontId="21" fillId="0" borderId="0" xfId="6" applyNumberFormat="1" applyFont="1" applyAlignment="1" applyProtection="1">
      <alignment horizontal="right" vertical="center"/>
      <protection locked="0"/>
    </xf>
    <xf numFmtId="170" fontId="24" fillId="0" borderId="0" xfId="1" applyNumberFormat="1" applyFont="1" applyAlignment="1">
      <alignment horizontal="center" vertical="center"/>
    </xf>
    <xf numFmtId="0" fontId="40" fillId="0" borderId="0" xfId="10" applyFont="1" applyAlignment="1">
      <alignment horizontal="right" vertical="center" wrapText="1"/>
    </xf>
    <xf numFmtId="43" fontId="23" fillId="0" borderId="0" xfId="1" applyFont="1" applyBorder="1" applyAlignment="1" applyProtection="1">
      <alignment horizontal="center" vertical="center"/>
      <protection locked="0"/>
    </xf>
    <xf numFmtId="165" fontId="37" fillId="0" borderId="0" xfId="10" applyNumberFormat="1" applyFont="1" applyAlignment="1">
      <alignment vertical="center" wrapText="1"/>
    </xf>
    <xf numFmtId="43" fontId="21" fillId="6" borderId="0" xfId="1" applyFont="1" applyFill="1" applyBorder="1" applyAlignment="1" applyProtection="1">
      <alignment horizontal="center" vertical="center"/>
    </xf>
    <xf numFmtId="43" fontId="21" fillId="0" borderId="0" xfId="1" applyFont="1" applyAlignment="1" applyProtection="1">
      <alignment horizontal="center" vertical="center"/>
      <protection locked="0"/>
    </xf>
    <xf numFmtId="0" fontId="22" fillId="0" borderId="0" xfId="0" applyFont="1" applyAlignment="1">
      <alignment horizontal="right" vertical="center"/>
    </xf>
    <xf numFmtId="0" fontId="22" fillId="0" borderId="0" xfId="0" applyFont="1" applyAlignment="1">
      <alignment horizontal="center" vertical="center"/>
    </xf>
    <xf numFmtId="2" fontId="0" fillId="0" borderId="0" xfId="0" applyNumberFormat="1"/>
    <xf numFmtId="4" fontId="0" fillId="0" borderId="0" xfId="0" applyNumberFormat="1" applyAlignment="1">
      <alignment horizontal="right"/>
    </xf>
    <xf numFmtId="0" fontId="41" fillId="0" borderId="0" xfId="0" applyFont="1"/>
    <xf numFmtId="2" fontId="8" fillId="0" borderId="0" xfId="3" applyNumberFormat="1" applyFont="1"/>
    <xf numFmtId="0" fontId="8" fillId="0" borderId="0" xfId="3" applyFont="1" applyAlignment="1">
      <alignment vertical="center"/>
    </xf>
    <xf numFmtId="0" fontId="3" fillId="0" borderId="0" xfId="3" applyAlignment="1">
      <alignment vertical="center"/>
    </xf>
    <xf numFmtId="0" fontId="26" fillId="2" borderId="42" xfId="3" applyFont="1" applyFill="1" applyBorder="1" applyAlignment="1">
      <alignment horizontal="left" vertical="center"/>
    </xf>
    <xf numFmtId="0" fontId="27" fillId="2" borderId="44" xfId="3" applyFont="1" applyFill="1" applyBorder="1" applyAlignment="1">
      <alignment vertical="center"/>
    </xf>
    <xf numFmtId="0" fontId="26" fillId="0" borderId="0" xfId="3" applyFont="1"/>
    <xf numFmtId="0" fontId="27" fillId="0" borderId="0" xfId="3" applyFont="1"/>
    <xf numFmtId="0" fontId="3" fillId="0" borderId="43" xfId="3" applyBorder="1" applyAlignment="1">
      <alignment horizontal="center"/>
    </xf>
    <xf numFmtId="0" fontId="3" fillId="2" borderId="0" xfId="3" applyFill="1" applyAlignment="1">
      <alignment vertical="center"/>
    </xf>
    <xf numFmtId="0" fontId="27" fillId="2" borderId="0" xfId="3" applyFont="1" applyFill="1" applyAlignment="1">
      <alignment vertical="center"/>
    </xf>
    <xf numFmtId="0" fontId="26" fillId="2" borderId="42" xfId="4" applyFont="1" applyFill="1" applyBorder="1" applyAlignment="1">
      <alignment horizontal="left" vertical="center"/>
    </xf>
    <xf numFmtId="49" fontId="27" fillId="2" borderId="0" xfId="3" applyNumberFormat="1" applyFont="1" applyFill="1" applyAlignment="1">
      <alignment horizontal="left" vertical="center"/>
    </xf>
    <xf numFmtId="165" fontId="3" fillId="0" borderId="0" xfId="3" applyNumberFormat="1"/>
    <xf numFmtId="0" fontId="16" fillId="2" borderId="0" xfId="4" applyFont="1" applyFill="1" applyAlignment="1">
      <alignment vertical="center"/>
    </xf>
    <xf numFmtId="0" fontId="3" fillId="0" borderId="55" xfId="3" applyBorder="1"/>
    <xf numFmtId="0" fontId="3" fillId="2" borderId="16" xfId="3" applyFill="1" applyBorder="1" applyAlignment="1">
      <alignment horizontal="center" vertical="center"/>
    </xf>
    <xf numFmtId="0" fontId="16" fillId="2" borderId="4" xfId="4" applyFont="1" applyFill="1" applyBorder="1" applyAlignment="1">
      <alignment horizontal="center" vertical="center"/>
    </xf>
    <xf numFmtId="0" fontId="3" fillId="2" borderId="16" xfId="3" applyFill="1" applyBorder="1"/>
    <xf numFmtId="4" fontId="3" fillId="2" borderId="16" xfId="3" applyNumberFormat="1" applyFill="1" applyBorder="1"/>
    <xf numFmtId="4" fontId="16" fillId="2" borderId="16" xfId="4" applyNumberFormat="1" applyFont="1" applyFill="1" applyBorder="1" applyAlignment="1">
      <alignment vertical="center"/>
    </xf>
    <xf numFmtId="0" fontId="26" fillId="2" borderId="16" xfId="4" applyFont="1" applyFill="1" applyBorder="1" applyAlignment="1">
      <alignment vertical="center"/>
    </xf>
    <xf numFmtId="0" fontId="3" fillId="0" borderId="16" xfId="3" applyBorder="1"/>
    <xf numFmtId="165" fontId="3" fillId="0" borderId="16" xfId="3" applyNumberFormat="1" applyBorder="1"/>
    <xf numFmtId="0" fontId="3" fillId="0" borderId="17" xfId="3" applyBorder="1" applyAlignment="1">
      <alignment horizontal="center"/>
    </xf>
    <xf numFmtId="0" fontId="30" fillId="2" borderId="3" xfId="4" applyFont="1" applyFill="1" applyBorder="1" applyAlignment="1">
      <alignment vertical="center"/>
    </xf>
    <xf numFmtId="0" fontId="30" fillId="2" borderId="0" xfId="4" applyFont="1" applyFill="1" applyAlignment="1">
      <alignment vertical="center"/>
    </xf>
    <xf numFmtId="165" fontId="30" fillId="2" borderId="0" xfId="4" applyNumberFormat="1" applyFont="1" applyFill="1" applyAlignment="1">
      <alignment vertical="center"/>
    </xf>
    <xf numFmtId="0" fontId="30" fillId="2" borderId="43" xfId="4" applyFont="1" applyFill="1" applyBorder="1" applyAlignment="1">
      <alignment horizontal="center" vertical="center"/>
    </xf>
    <xf numFmtId="2" fontId="29" fillId="0" borderId="0" xfId="0" applyNumberFormat="1" applyFont="1" applyAlignment="1">
      <alignment vertical="center"/>
    </xf>
    <xf numFmtId="0" fontId="5" fillId="6" borderId="46" xfId="0" applyFont="1" applyFill="1" applyBorder="1" applyAlignment="1">
      <alignment horizontal="center" vertical="center"/>
    </xf>
    <xf numFmtId="0" fontId="5" fillId="6" borderId="5" xfId="0" applyFont="1" applyFill="1" applyBorder="1" applyAlignment="1">
      <alignment vertical="center"/>
    </xf>
    <xf numFmtId="0" fontId="5" fillId="6" borderId="5" xfId="0" applyFont="1" applyFill="1" applyBorder="1" applyAlignment="1">
      <alignment horizontal="center" vertical="center"/>
    </xf>
    <xf numFmtId="1" fontId="6" fillId="6" borderId="5" xfId="0" applyNumberFormat="1" applyFont="1" applyFill="1" applyBorder="1" applyAlignment="1">
      <alignment vertical="center"/>
    </xf>
    <xf numFmtId="0" fontId="6" fillId="6" borderId="5" xfId="0" applyFont="1" applyFill="1" applyBorder="1" applyAlignment="1">
      <alignment vertical="center"/>
    </xf>
    <xf numFmtId="1" fontId="42" fillId="6" borderId="5" xfId="0" applyNumberFormat="1" applyFont="1" applyFill="1" applyBorder="1" applyAlignment="1">
      <alignment horizontal="right" vertical="center"/>
    </xf>
    <xf numFmtId="165" fontId="42" fillId="6" borderId="5" xfId="0" applyNumberFormat="1" applyFont="1" applyFill="1" applyBorder="1" applyAlignment="1">
      <alignment horizontal="right" vertical="center"/>
    </xf>
    <xf numFmtId="165" fontId="6" fillId="6" borderId="5" xfId="0" applyNumberFormat="1" applyFont="1" applyFill="1" applyBorder="1" applyAlignment="1">
      <alignment vertical="center"/>
    </xf>
    <xf numFmtId="0" fontId="6" fillId="6" borderId="47" xfId="0" applyFont="1" applyFill="1" applyBorder="1" applyAlignment="1">
      <alignment horizontal="center" vertical="center"/>
    </xf>
    <xf numFmtId="165" fontId="43" fillId="0" borderId="0" xfId="0" applyNumberFormat="1" applyFont="1" applyAlignment="1">
      <alignment horizontal="center" vertical="center"/>
    </xf>
    <xf numFmtId="0" fontId="27" fillId="2" borderId="0" xfId="0" applyFont="1" applyFill="1" applyAlignment="1">
      <alignment vertical="center"/>
    </xf>
    <xf numFmtId="2" fontId="8" fillId="0" borderId="0" xfId="3" applyNumberFormat="1" applyFont="1" applyAlignment="1">
      <alignment horizontal="center" vertical="center"/>
    </xf>
    <xf numFmtId="0" fontId="5" fillId="8" borderId="56" xfId="3" applyFont="1" applyFill="1" applyBorder="1" applyAlignment="1">
      <alignment horizontal="center" vertical="center" wrapText="1"/>
    </xf>
    <xf numFmtId="0" fontId="5" fillId="8" borderId="56" xfId="3" applyFont="1" applyFill="1" applyBorder="1" applyAlignment="1">
      <alignment horizontal="center" wrapText="1"/>
    </xf>
    <xf numFmtId="165" fontId="8" fillId="2" borderId="0" xfId="3" applyNumberFormat="1" applyFont="1" applyFill="1" applyAlignment="1">
      <alignment horizontal="right" vertical="center"/>
    </xf>
    <xf numFmtId="0" fontId="3" fillId="2" borderId="0" xfId="3" applyFill="1"/>
    <xf numFmtId="0" fontId="3" fillId="9" borderId="0" xfId="3" applyFill="1"/>
    <xf numFmtId="0" fontId="5" fillId="8" borderId="55" xfId="3" applyFont="1" applyFill="1" applyBorder="1" applyAlignment="1">
      <alignment horizontal="center" vertical="center" wrapText="1"/>
    </xf>
    <xf numFmtId="0" fontId="5" fillId="8" borderId="55" xfId="3" applyFont="1" applyFill="1" applyBorder="1" applyAlignment="1">
      <alignment horizontal="center" vertical="top" wrapText="1"/>
    </xf>
    <xf numFmtId="1" fontId="5" fillId="0" borderId="57" xfId="3" applyNumberFormat="1" applyFont="1" applyBorder="1" applyAlignment="1">
      <alignment horizontal="center" vertical="center" wrapText="1"/>
    </xf>
    <xf numFmtId="1" fontId="6" fillId="0" borderId="57" xfId="3" applyNumberFormat="1" applyFont="1" applyBorder="1" applyAlignment="1">
      <alignment horizontal="left" vertical="center" wrapText="1"/>
    </xf>
    <xf numFmtId="0" fontId="6" fillId="0" borderId="58" xfId="3" applyFont="1" applyBorder="1" applyAlignment="1">
      <alignment horizontal="center" vertical="center" wrapText="1"/>
    </xf>
    <xf numFmtId="0" fontId="6" fillId="0" borderId="59" xfId="3" applyFont="1" applyBorder="1" applyAlignment="1">
      <alignment horizontal="center" vertical="center" wrapText="1"/>
    </xf>
    <xf numFmtId="0" fontId="6" fillId="0" borderId="60" xfId="3" applyFont="1" applyBorder="1" applyAlignment="1">
      <alignment horizontal="center" vertical="center" wrapText="1"/>
    </xf>
    <xf numFmtId="0" fontId="6" fillId="0" borderId="58" xfId="3" applyFont="1" applyBorder="1" applyAlignment="1">
      <alignment horizontal="center" vertical="distributed" wrapText="1"/>
    </xf>
    <xf numFmtId="0" fontId="6" fillId="0" borderId="59" xfId="3" applyFont="1" applyBorder="1" applyAlignment="1">
      <alignment horizontal="center" vertical="distributed" wrapText="1"/>
    </xf>
    <xf numFmtId="0" fontId="6" fillId="0" borderId="60" xfId="3" applyFont="1" applyBorder="1" applyAlignment="1">
      <alignment horizontal="center" vertical="distributed" wrapText="1"/>
    </xf>
    <xf numFmtId="0" fontId="6" fillId="0" borderId="57" xfId="3" applyFont="1" applyBorder="1" applyAlignment="1">
      <alignment horizontal="center" vertical="center" wrapText="1"/>
    </xf>
    <xf numFmtId="4" fontId="6" fillId="0" borderId="58" xfId="3" applyNumberFormat="1" applyFont="1" applyBorder="1" applyAlignment="1">
      <alignment horizontal="center" vertical="center" wrapText="1"/>
    </xf>
    <xf numFmtId="0" fontId="6" fillId="0" borderId="57" xfId="3" applyFont="1" applyBorder="1" applyAlignment="1">
      <alignment horizontal="center" vertical="top" wrapText="1"/>
    </xf>
    <xf numFmtId="165" fontId="6" fillId="0" borderId="57" xfId="3" applyNumberFormat="1" applyFont="1" applyBorder="1" applyAlignment="1">
      <alignment horizontal="right" vertical="center" wrapText="1"/>
    </xf>
    <xf numFmtId="165" fontId="6" fillId="0" borderId="57" xfId="3" applyNumberFormat="1" applyFont="1" applyBorder="1" applyAlignment="1">
      <alignment horizontal="center" vertical="center" wrapText="1"/>
    </xf>
    <xf numFmtId="171" fontId="6" fillId="0" borderId="57" xfId="3" applyNumberFormat="1" applyFont="1" applyBorder="1" applyAlignment="1">
      <alignment horizontal="center" vertical="center" wrapText="1"/>
    </xf>
    <xf numFmtId="0" fontId="5" fillId="0" borderId="57" xfId="3" applyFont="1" applyBorder="1" applyAlignment="1">
      <alignment horizontal="center" vertical="distributed" wrapText="1"/>
    </xf>
    <xf numFmtId="1" fontId="5" fillId="0" borderId="49" xfId="3" applyNumberFormat="1" applyFont="1" applyBorder="1" applyAlignment="1">
      <alignment horizontal="center" vertical="center" wrapText="1"/>
    </xf>
    <xf numFmtId="1" fontId="6" fillId="0" borderId="49" xfId="3" applyNumberFormat="1" applyFont="1" applyBorder="1" applyAlignment="1">
      <alignment horizontal="left" vertical="center" wrapText="1"/>
    </xf>
    <xf numFmtId="0" fontId="6" fillId="0" borderId="34" xfId="3" applyFont="1" applyBorder="1" applyAlignment="1">
      <alignment horizontal="center" vertical="center" wrapText="1"/>
    </xf>
    <xf numFmtId="0" fontId="6" fillId="0" borderId="24"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24" xfId="3" applyFont="1" applyBorder="1" applyAlignment="1">
      <alignment horizontal="center" vertical="distributed" wrapText="1"/>
    </xf>
    <xf numFmtId="0" fontId="6" fillId="0" borderId="49" xfId="3" applyFont="1" applyBorder="1" applyAlignment="1">
      <alignment horizontal="center" vertical="center" wrapText="1"/>
    </xf>
    <xf numFmtId="0" fontId="6" fillId="0" borderId="49" xfId="3" applyFont="1" applyBorder="1" applyAlignment="1">
      <alignment horizontal="center" vertical="top" wrapText="1"/>
    </xf>
    <xf numFmtId="165" fontId="6" fillId="0" borderId="49" xfId="3" applyNumberFormat="1" applyFont="1" applyBorder="1" applyAlignment="1">
      <alignment horizontal="right" vertical="center" wrapText="1"/>
    </xf>
    <xf numFmtId="171" fontId="6" fillId="0" borderId="49" xfId="3" applyNumberFormat="1" applyFont="1" applyBorder="1" applyAlignment="1">
      <alignment horizontal="center" vertical="center" wrapText="1"/>
    </xf>
    <xf numFmtId="0" fontId="5" fillId="0" borderId="49" xfId="3" applyFont="1" applyBorder="1" applyAlignment="1">
      <alignment horizontal="center" vertical="distributed" wrapText="1"/>
    </xf>
    <xf numFmtId="49" fontId="6" fillId="0" borderId="49" xfId="12" applyNumberFormat="1" applyFont="1" applyBorder="1" applyAlignment="1">
      <alignment horizontal="center" vertical="center" wrapText="1"/>
    </xf>
    <xf numFmtId="0" fontId="27" fillId="0" borderId="49" xfId="13" applyFont="1" applyBorder="1" applyAlignment="1">
      <alignment horizontal="justify" vertical="center" wrapText="1"/>
    </xf>
    <xf numFmtId="1" fontId="6" fillId="0" borderId="34" xfId="3" applyNumberFormat="1" applyFont="1" applyBorder="1" applyAlignment="1">
      <alignment horizontal="right" vertical="center" wrapText="1"/>
    </xf>
    <xf numFmtId="1" fontId="6" fillId="0" borderId="24" xfId="3" applyNumberFormat="1" applyFont="1" applyBorder="1" applyAlignment="1">
      <alignment horizontal="center" vertical="center" wrapText="1"/>
    </xf>
    <xf numFmtId="2" fontId="6" fillId="0" borderId="35" xfId="3" applyNumberFormat="1" applyFont="1" applyBorder="1" applyAlignment="1">
      <alignment horizontal="left" vertical="center" wrapText="1"/>
    </xf>
    <xf numFmtId="43" fontId="6" fillId="0" borderId="34" xfId="1" applyFont="1" applyFill="1" applyBorder="1" applyAlignment="1">
      <alignment horizontal="center" vertical="center" wrapText="1"/>
    </xf>
    <xf numFmtId="43" fontId="6" fillId="0" borderId="49" xfId="1" applyFont="1" applyFill="1" applyBorder="1" applyAlignment="1">
      <alignment horizontal="center" vertical="center" wrapText="1"/>
    </xf>
    <xf numFmtId="43" fontId="6" fillId="0" borderId="35" xfId="1" applyFont="1" applyFill="1" applyBorder="1" applyAlignment="1">
      <alignment horizontal="center" vertical="center" wrapText="1"/>
    </xf>
    <xf numFmtId="43" fontId="6" fillId="0" borderId="24" xfId="1" applyFont="1" applyFill="1" applyBorder="1" applyAlignment="1">
      <alignment horizontal="center" vertical="center" wrapText="1"/>
    </xf>
    <xf numFmtId="43" fontId="6" fillId="0" borderId="34" xfId="1" applyFont="1" applyFill="1" applyBorder="1" applyAlignment="1">
      <alignment horizontal="center" vertical="distributed" wrapText="1"/>
    </xf>
    <xf numFmtId="43" fontId="6" fillId="0" borderId="35" xfId="1" applyFont="1" applyFill="1" applyBorder="1" applyAlignment="1">
      <alignment horizontal="center" vertical="distributed" wrapText="1"/>
    </xf>
    <xf numFmtId="165" fontId="6" fillId="0" borderId="49" xfId="1" applyNumberFormat="1" applyFont="1" applyFill="1" applyBorder="1" applyAlignment="1">
      <alignment horizontal="right" vertical="distributed" wrapText="1"/>
    </xf>
    <xf numFmtId="43" fontId="6" fillId="0" borderId="49" xfId="1" applyFont="1" applyFill="1" applyBorder="1" applyAlignment="1">
      <alignment horizontal="center" vertical="distributed" wrapText="1"/>
    </xf>
    <xf numFmtId="0" fontId="6" fillId="0" borderId="49" xfId="3" applyFont="1" applyBorder="1" applyAlignment="1">
      <alignment horizontal="center" vertical="distributed" wrapText="1"/>
    </xf>
    <xf numFmtId="0" fontId="8" fillId="2" borderId="0" xfId="3" applyFont="1" applyFill="1" applyAlignment="1">
      <alignment vertical="center"/>
    </xf>
    <xf numFmtId="0" fontId="8" fillId="2" borderId="0" xfId="3" applyFont="1" applyFill="1"/>
    <xf numFmtId="49" fontId="6" fillId="0" borderId="50" xfId="12" applyNumberFormat="1" applyFont="1" applyBorder="1" applyAlignment="1">
      <alignment horizontal="center" vertical="center" wrapText="1"/>
    </xf>
    <xf numFmtId="0" fontId="6" fillId="0" borderId="50" xfId="12" applyFont="1" applyBorder="1" applyAlignment="1">
      <alignment horizontal="left" vertical="center" wrapText="1"/>
    </xf>
    <xf numFmtId="1" fontId="6" fillId="0" borderId="61" xfId="3" applyNumberFormat="1" applyFont="1" applyBorder="1" applyAlignment="1">
      <alignment horizontal="right" vertical="center" wrapText="1"/>
    </xf>
    <xf numFmtId="1" fontId="6" fillId="0" borderId="25" xfId="3" applyNumberFormat="1" applyFont="1" applyBorder="1" applyAlignment="1">
      <alignment horizontal="center" vertical="center" wrapText="1"/>
    </xf>
    <xf numFmtId="2" fontId="6" fillId="0" borderId="52" xfId="3" applyNumberFormat="1" applyFont="1" applyBorder="1" applyAlignment="1">
      <alignment horizontal="left" vertical="center" wrapText="1"/>
    </xf>
    <xf numFmtId="0" fontId="6" fillId="0" borderId="50" xfId="3" applyFont="1" applyBorder="1" applyAlignment="1">
      <alignment horizontal="center" vertical="center" wrapText="1"/>
    </xf>
    <xf numFmtId="43" fontId="6" fillId="0" borderId="61" xfId="1" applyFont="1" applyFill="1" applyBorder="1" applyAlignment="1">
      <alignment horizontal="center" vertical="center" wrapText="1"/>
    </xf>
    <xf numFmtId="43" fontId="6" fillId="0" borderId="50" xfId="1" applyFont="1" applyFill="1" applyBorder="1" applyAlignment="1">
      <alignment horizontal="center" vertical="center" wrapText="1"/>
    </xf>
    <xf numFmtId="43" fontId="6" fillId="0" borderId="52" xfId="1" applyFont="1" applyFill="1" applyBorder="1" applyAlignment="1">
      <alignment horizontal="center" vertical="center" wrapText="1"/>
    </xf>
    <xf numFmtId="43" fontId="6" fillId="0" borderId="25" xfId="1" applyFont="1" applyFill="1" applyBorder="1" applyAlignment="1">
      <alignment horizontal="center" vertical="center" wrapText="1"/>
    </xf>
    <xf numFmtId="43" fontId="6" fillId="0" borderId="61" xfId="1" applyFont="1" applyFill="1" applyBorder="1" applyAlignment="1">
      <alignment horizontal="center" vertical="distributed" wrapText="1"/>
    </xf>
    <xf numFmtId="43" fontId="6" fillId="0" borderId="52" xfId="1" applyFont="1" applyFill="1" applyBorder="1" applyAlignment="1">
      <alignment horizontal="center" vertical="distributed" wrapText="1"/>
    </xf>
    <xf numFmtId="165" fontId="6" fillId="0" borderId="50" xfId="1" applyNumberFormat="1" applyFont="1" applyFill="1" applyBorder="1" applyAlignment="1">
      <alignment horizontal="right" vertical="distributed" wrapText="1"/>
    </xf>
    <xf numFmtId="43" fontId="6" fillId="0" borderId="50" xfId="1" applyFont="1" applyFill="1" applyBorder="1" applyAlignment="1">
      <alignment horizontal="center" vertical="distributed" wrapText="1"/>
    </xf>
    <xf numFmtId="171" fontId="6" fillId="0" borderId="50" xfId="3" applyNumberFormat="1" applyFont="1" applyBorder="1" applyAlignment="1">
      <alignment horizontal="center" vertical="center" wrapText="1"/>
    </xf>
    <xf numFmtId="0" fontId="6" fillId="0" borderId="50" xfId="3" applyFont="1" applyBorder="1" applyAlignment="1">
      <alignment horizontal="center" vertical="distributed" wrapText="1"/>
    </xf>
    <xf numFmtId="1" fontId="5" fillId="2" borderId="42" xfId="0" applyNumberFormat="1" applyFont="1" applyFill="1" applyBorder="1" applyAlignment="1">
      <alignment vertical="center" wrapText="1"/>
    </xf>
    <xf numFmtId="0" fontId="5" fillId="2" borderId="0" xfId="0" applyFont="1" applyFill="1" applyAlignment="1">
      <alignment vertical="center" wrapText="1"/>
    </xf>
    <xf numFmtId="2" fontId="44" fillId="5" borderId="17" xfId="3" applyNumberFormat="1" applyFont="1" applyFill="1" applyBorder="1" applyAlignment="1">
      <alignment horizontal="center" vertical="distributed" wrapText="1"/>
    </xf>
    <xf numFmtId="165" fontId="44" fillId="5" borderId="55" xfId="1" applyNumberFormat="1" applyFont="1" applyFill="1" applyBorder="1" applyAlignment="1">
      <alignment horizontal="center" vertical="center" wrapText="1"/>
    </xf>
    <xf numFmtId="165" fontId="44" fillId="5" borderId="17" xfId="3" applyNumberFormat="1" applyFont="1" applyFill="1" applyBorder="1" applyAlignment="1">
      <alignment horizontal="center" vertical="center" wrapText="1"/>
    </xf>
    <xf numFmtId="0" fontId="6" fillId="0" borderId="0" xfId="3" applyFont="1" applyAlignment="1">
      <alignment wrapText="1"/>
    </xf>
    <xf numFmtId="0" fontId="6" fillId="0" borderId="43" xfId="3" applyFont="1" applyBorder="1" applyAlignment="1">
      <alignment horizontal="center" wrapText="1"/>
    </xf>
    <xf numFmtId="0" fontId="5" fillId="2" borderId="43" xfId="0" applyFont="1" applyFill="1" applyBorder="1" applyAlignment="1">
      <alignment vertical="center" wrapText="1"/>
    </xf>
    <xf numFmtId="165" fontId="44" fillId="5" borderId="2" xfId="1" applyNumberFormat="1" applyFont="1" applyFill="1" applyBorder="1" applyAlignment="1">
      <alignment horizontal="center" vertical="center" wrapText="1"/>
    </xf>
    <xf numFmtId="165" fontId="44" fillId="5" borderId="2" xfId="3" applyNumberFormat="1" applyFont="1" applyFill="1" applyBorder="1" applyAlignment="1">
      <alignment horizontal="center" vertical="center" wrapText="1"/>
    </xf>
    <xf numFmtId="1" fontId="5" fillId="2" borderId="55" xfId="0" applyNumberFormat="1" applyFont="1" applyFill="1" applyBorder="1" applyAlignment="1">
      <alignment vertical="center" wrapText="1"/>
    </xf>
    <xf numFmtId="0" fontId="5" fillId="2" borderId="16" xfId="0" applyFont="1" applyFill="1" applyBorder="1" applyAlignment="1">
      <alignment vertical="center" wrapText="1"/>
    </xf>
    <xf numFmtId="0" fontId="6" fillId="0" borderId="16" xfId="3" applyFont="1" applyBorder="1" applyAlignment="1">
      <alignment wrapText="1"/>
    </xf>
    <xf numFmtId="0" fontId="6" fillId="0" borderId="17" xfId="3" applyFont="1" applyBorder="1" applyAlignment="1">
      <alignment horizontal="center" wrapText="1"/>
    </xf>
    <xf numFmtId="1" fontId="5" fillId="2" borderId="4" xfId="0" applyNumberFormat="1" applyFont="1" applyFill="1" applyBorder="1" applyAlignment="1">
      <alignment vertical="center" wrapText="1"/>
    </xf>
    <xf numFmtId="0" fontId="44" fillId="2" borderId="16" xfId="0" applyFont="1" applyFill="1" applyBorder="1" applyAlignment="1">
      <alignment horizontal="right" vertical="center" wrapText="1"/>
    </xf>
    <xf numFmtId="0" fontId="44" fillId="2" borderId="16" xfId="0" applyFont="1" applyFill="1" applyBorder="1" applyAlignment="1">
      <alignment horizontal="center" vertical="center" wrapText="1"/>
    </xf>
    <xf numFmtId="10" fontId="44" fillId="2" borderId="16" xfId="3" applyNumberFormat="1" applyFont="1" applyFill="1" applyBorder="1" applyAlignment="1">
      <alignment horizontal="right" vertical="center" wrapText="1"/>
    </xf>
    <xf numFmtId="10" fontId="44" fillId="2" borderId="16" xfId="3" applyNumberFormat="1" applyFont="1" applyFill="1" applyBorder="1" applyAlignment="1">
      <alignment horizontal="center" vertical="center" wrapText="1"/>
    </xf>
    <xf numFmtId="172" fontId="44" fillId="2" borderId="16" xfId="3" applyNumberFormat="1" applyFont="1" applyFill="1" applyBorder="1" applyAlignment="1">
      <alignment horizontal="center" vertical="center" wrapText="1"/>
    </xf>
    <xf numFmtId="0" fontId="44" fillId="2" borderId="16" xfId="3" applyFont="1" applyFill="1" applyBorder="1" applyAlignment="1">
      <alignment horizontal="center" vertical="center" wrapText="1"/>
    </xf>
    <xf numFmtId="165" fontId="44" fillId="2" borderId="16" xfId="1" applyNumberFormat="1" applyFont="1" applyFill="1" applyBorder="1" applyAlignment="1">
      <alignment horizontal="center" vertical="center" wrapText="1"/>
    </xf>
    <xf numFmtId="165" fontId="44" fillId="2" borderId="16" xfId="3" applyNumberFormat="1" applyFont="1" applyFill="1" applyBorder="1" applyAlignment="1">
      <alignment horizontal="center" vertical="center" wrapText="1"/>
    </xf>
    <xf numFmtId="0" fontId="6" fillId="2" borderId="16" xfId="3" applyFont="1" applyFill="1" applyBorder="1" applyAlignment="1">
      <alignment wrapText="1"/>
    </xf>
    <xf numFmtId="0" fontId="6" fillId="2" borderId="17" xfId="3" applyFont="1" applyFill="1" applyBorder="1" applyAlignment="1">
      <alignment horizontal="center" wrapText="1"/>
    </xf>
    <xf numFmtId="165" fontId="8" fillId="0" borderId="0" xfId="3" applyNumberFormat="1" applyFont="1" applyAlignment="1">
      <alignment horizontal="center" vertical="center"/>
    </xf>
    <xf numFmtId="0" fontId="6" fillId="0" borderId="34" xfId="3" applyFont="1" applyBorder="1" applyAlignment="1">
      <alignment horizontal="center" vertical="distributed" wrapText="1"/>
    </xf>
    <xf numFmtId="0" fontId="6" fillId="0" borderId="35" xfId="3" applyFont="1" applyBorder="1" applyAlignment="1">
      <alignment horizontal="center" vertical="distributed" wrapText="1"/>
    </xf>
    <xf numFmtId="0" fontId="6" fillId="0" borderId="49" xfId="12" applyFont="1" applyBorder="1" applyAlignment="1">
      <alignment horizontal="left" vertical="center" wrapText="1"/>
    </xf>
    <xf numFmtId="0" fontId="6" fillId="0" borderId="57" xfId="3" applyFont="1" applyBorder="1" applyAlignment="1">
      <alignment horizontal="center" vertical="distributed" wrapText="1"/>
    </xf>
    <xf numFmtId="4" fontId="6" fillId="0" borderId="57" xfId="3" applyNumberFormat="1" applyFont="1" applyBorder="1" applyAlignment="1">
      <alignment horizontal="center" vertical="center" wrapText="1"/>
    </xf>
    <xf numFmtId="0" fontId="5" fillId="4" borderId="46" xfId="0" applyFont="1" applyFill="1" applyBorder="1" applyAlignment="1">
      <alignment horizontal="center" vertical="center"/>
    </xf>
    <xf numFmtId="0" fontId="5" fillId="4" borderId="5" xfId="0" applyFont="1" applyFill="1" applyBorder="1" applyAlignment="1">
      <alignment vertical="center"/>
    </xf>
    <xf numFmtId="0" fontId="5" fillId="4" borderId="5" xfId="0" applyFont="1" applyFill="1" applyBorder="1" applyAlignment="1">
      <alignment horizontal="center" vertical="center"/>
    </xf>
    <xf numFmtId="1" fontId="6" fillId="4" borderId="5" xfId="0" applyNumberFormat="1" applyFont="1" applyFill="1" applyBorder="1" applyAlignment="1">
      <alignment vertical="center"/>
    </xf>
    <xf numFmtId="1" fontId="42" fillId="4" borderId="5" xfId="0" applyNumberFormat="1" applyFont="1" applyFill="1" applyBorder="1" applyAlignment="1">
      <alignment horizontal="right" vertical="center"/>
    </xf>
    <xf numFmtId="165" fontId="42" fillId="4" borderId="5" xfId="0" applyNumberFormat="1" applyFont="1" applyFill="1" applyBorder="1" applyAlignment="1">
      <alignment horizontal="right" vertical="center"/>
    </xf>
    <xf numFmtId="0" fontId="6" fillId="4" borderId="5" xfId="0" applyFont="1" applyFill="1" applyBorder="1" applyAlignment="1">
      <alignment vertical="center"/>
    </xf>
    <xf numFmtId="0" fontId="27" fillId="4" borderId="44" xfId="0" applyFont="1" applyFill="1" applyBorder="1" applyAlignment="1">
      <alignment horizontal="right" vertical="center"/>
    </xf>
    <xf numFmtId="0" fontId="27" fillId="4" borderId="44" xfId="0" applyFont="1" applyFill="1" applyBorder="1" applyAlignment="1">
      <alignment vertical="center"/>
    </xf>
    <xf numFmtId="0" fontId="27" fillId="4" borderId="45" xfId="0" applyFont="1" applyFill="1" applyBorder="1" applyAlignment="1">
      <alignment horizontal="center" vertical="center"/>
    </xf>
    <xf numFmtId="0" fontId="27" fillId="4" borderId="0" xfId="0" applyFont="1" applyFill="1" applyAlignment="1">
      <alignment vertical="center"/>
    </xf>
    <xf numFmtId="1" fontId="6" fillId="0" borderId="58" xfId="3" applyNumberFormat="1" applyFont="1" applyBorder="1" applyAlignment="1">
      <alignment horizontal="left" vertical="center" wrapText="1"/>
    </xf>
    <xf numFmtId="1" fontId="6" fillId="0" borderId="34" xfId="3" applyNumberFormat="1" applyFont="1" applyBorder="1" applyAlignment="1">
      <alignment horizontal="left" vertical="center" wrapText="1"/>
    </xf>
    <xf numFmtId="165" fontId="6" fillId="0" borderId="49" xfId="3" applyNumberFormat="1" applyFont="1" applyBorder="1" applyAlignment="1">
      <alignment horizontal="center" vertical="center" wrapText="1"/>
    </xf>
    <xf numFmtId="2" fontId="3" fillId="0" borderId="0" xfId="3" applyNumberFormat="1" applyAlignment="1">
      <alignment horizontal="center" vertical="center"/>
    </xf>
    <xf numFmtId="1" fontId="6" fillId="0" borderId="61" xfId="3" applyNumberFormat="1" applyFont="1" applyBorder="1" applyAlignment="1">
      <alignment horizontal="center" vertical="center" wrapText="1"/>
    </xf>
    <xf numFmtId="2" fontId="6" fillId="0" borderId="52" xfId="3" applyNumberFormat="1" applyFont="1" applyBorder="1" applyAlignment="1">
      <alignment horizontal="center" vertical="center" wrapText="1"/>
    </xf>
    <xf numFmtId="0" fontId="5" fillId="2" borderId="42" xfId="0" applyFont="1" applyFill="1" applyBorder="1" applyAlignment="1">
      <alignment vertical="center" wrapText="1"/>
    </xf>
    <xf numFmtId="2" fontId="24" fillId="0" borderId="0" xfId="3" applyNumberFormat="1" applyFont="1" applyAlignment="1">
      <alignment horizontal="center" vertical="center"/>
    </xf>
    <xf numFmtId="0" fontId="24" fillId="2" borderId="0" xfId="3" applyFont="1" applyFill="1" applyAlignment="1">
      <alignment vertical="center"/>
    </xf>
    <xf numFmtId="0" fontId="24" fillId="2" borderId="0" xfId="3" applyFont="1" applyFill="1"/>
    <xf numFmtId="165" fontId="42" fillId="6" borderId="47" xfId="0" applyNumberFormat="1" applyFont="1" applyFill="1" applyBorder="1" applyAlignment="1">
      <alignment horizontal="center" vertical="center"/>
    </xf>
    <xf numFmtId="0" fontId="27" fillId="4" borderId="16" xfId="0" applyFont="1" applyFill="1" applyBorder="1" applyAlignment="1">
      <alignment horizontal="right" vertical="center"/>
    </xf>
    <xf numFmtId="0" fontId="27" fillId="4" borderId="16" xfId="0" applyFont="1" applyFill="1" applyBorder="1" applyAlignment="1">
      <alignment vertical="center"/>
    </xf>
    <xf numFmtId="0" fontId="27" fillId="4" borderId="17" xfId="0" applyFont="1" applyFill="1" applyBorder="1" applyAlignment="1">
      <alignment horizontal="center" vertical="center"/>
    </xf>
    <xf numFmtId="1" fontId="6" fillId="0" borderId="57" xfId="3" applyNumberFormat="1" applyFont="1" applyBorder="1" applyAlignment="1">
      <alignment horizontal="center" vertical="center" wrapText="1"/>
    </xf>
    <xf numFmtId="1" fontId="5" fillId="0" borderId="57" xfId="3" applyNumberFormat="1" applyFont="1" applyBorder="1" applyAlignment="1">
      <alignment horizontal="left" vertical="center" wrapText="1"/>
    </xf>
    <xf numFmtId="1" fontId="6" fillId="0" borderId="58" xfId="3" applyNumberFormat="1" applyFont="1" applyBorder="1" applyAlignment="1">
      <alignment horizontal="center" vertical="center" wrapText="1"/>
    </xf>
    <xf numFmtId="2" fontId="6" fillId="0" borderId="60" xfId="3" applyNumberFormat="1" applyFont="1" applyBorder="1" applyAlignment="1">
      <alignment horizontal="center" vertical="center" wrapText="1"/>
    </xf>
    <xf numFmtId="1" fontId="6" fillId="0" borderId="58" xfId="3" applyNumberFormat="1" applyFont="1" applyBorder="1" applyAlignment="1">
      <alignment horizontal="center" vertical="distributed" wrapText="1"/>
    </xf>
    <xf numFmtId="2" fontId="6" fillId="0" borderId="60" xfId="3" applyNumberFormat="1" applyFont="1" applyBorder="1" applyAlignment="1">
      <alignment horizontal="center" vertical="distributed" wrapText="1"/>
    </xf>
    <xf numFmtId="2" fontId="6" fillId="0" borderId="57" xfId="3" applyNumberFormat="1" applyFont="1" applyBorder="1" applyAlignment="1">
      <alignment horizontal="center" vertical="center" wrapText="1"/>
    </xf>
    <xf numFmtId="1" fontId="6" fillId="0" borderId="34" xfId="3" applyNumberFormat="1" applyFont="1" applyBorder="1" applyAlignment="1">
      <alignment horizontal="center" vertical="center" wrapText="1"/>
    </xf>
    <xf numFmtId="2" fontId="6" fillId="0" borderId="35" xfId="3" applyNumberFormat="1" applyFont="1" applyBorder="1" applyAlignment="1">
      <alignment horizontal="center" vertical="center" wrapText="1"/>
    </xf>
    <xf numFmtId="1" fontId="6" fillId="0" borderId="34" xfId="3" applyNumberFormat="1" applyFont="1" applyBorder="1" applyAlignment="1">
      <alignment horizontal="center" vertical="distributed" wrapText="1"/>
    </xf>
    <xf numFmtId="2" fontId="6" fillId="0" borderId="35" xfId="3" applyNumberFormat="1" applyFont="1" applyBorder="1" applyAlignment="1">
      <alignment horizontal="center" vertical="distributed" wrapText="1"/>
    </xf>
    <xf numFmtId="2" fontId="6" fillId="0" borderId="34" xfId="3" applyNumberFormat="1" applyFont="1" applyBorder="1" applyAlignment="1">
      <alignment horizontal="center" vertical="center" wrapText="1"/>
    </xf>
    <xf numFmtId="2" fontId="6" fillId="0" borderId="49" xfId="1" applyNumberFormat="1" applyFont="1" applyFill="1" applyBorder="1" applyAlignment="1">
      <alignment horizontal="center" vertical="center" wrapText="1"/>
    </xf>
    <xf numFmtId="172" fontId="6" fillId="0" borderId="49" xfId="1" applyNumberFormat="1" applyFont="1" applyFill="1" applyBorder="1" applyAlignment="1">
      <alignment horizontal="center" vertical="center" wrapText="1"/>
    </xf>
    <xf numFmtId="0" fontId="3" fillId="0" borderId="49" xfId="3" applyBorder="1" applyAlignment="1">
      <alignment horizontal="center" vertical="distributed" wrapText="1"/>
    </xf>
    <xf numFmtId="1" fontId="6" fillId="0" borderId="48" xfId="3" applyNumberFormat="1" applyFont="1" applyBorder="1" applyAlignment="1">
      <alignment horizontal="center" vertical="center" wrapText="1"/>
    </xf>
    <xf numFmtId="1" fontId="6" fillId="0" borderId="48" xfId="3" applyNumberFormat="1" applyFont="1" applyBorder="1" applyAlignment="1">
      <alignment horizontal="left" vertical="center" wrapText="1"/>
    </xf>
    <xf numFmtId="0" fontId="6" fillId="0" borderId="48" xfId="3" applyFont="1" applyBorder="1" applyAlignment="1">
      <alignment horizontal="center" vertical="center" wrapText="1"/>
    </xf>
    <xf numFmtId="0" fontId="6" fillId="0" borderId="48" xfId="3" applyFont="1" applyBorder="1" applyAlignment="1">
      <alignment horizontal="center" vertical="top" wrapText="1"/>
    </xf>
    <xf numFmtId="2" fontId="6" fillId="0" borderId="36" xfId="3" applyNumberFormat="1" applyFont="1" applyBorder="1" applyAlignment="1">
      <alignment horizontal="center" vertical="center" wrapText="1"/>
    </xf>
    <xf numFmtId="2" fontId="6" fillId="0" borderId="48" xfId="3" applyNumberFormat="1" applyFont="1" applyBorder="1" applyAlignment="1">
      <alignment horizontal="center" vertical="center" wrapText="1"/>
    </xf>
    <xf numFmtId="1" fontId="6" fillId="0" borderId="49" xfId="3" applyNumberFormat="1" applyFont="1" applyBorder="1" applyAlignment="1">
      <alignment horizontal="center" vertical="center" wrapText="1"/>
    </xf>
    <xf numFmtId="1" fontId="5" fillId="0" borderId="49" xfId="3" applyNumberFormat="1" applyFont="1" applyBorder="1" applyAlignment="1">
      <alignment horizontal="left" vertical="center" wrapText="1"/>
    </xf>
    <xf numFmtId="2" fontId="6" fillId="0" borderId="49" xfId="3" applyNumberFormat="1" applyFont="1" applyBorder="1" applyAlignment="1">
      <alignment horizontal="center" vertical="center" wrapText="1"/>
    </xf>
    <xf numFmtId="0" fontId="5" fillId="0" borderId="49" xfId="12" applyFont="1" applyBorder="1" applyAlignment="1">
      <alignment horizontal="left" vertical="center" wrapText="1"/>
    </xf>
    <xf numFmtId="165" fontId="3" fillId="2" borderId="0" xfId="3" applyNumberFormat="1" applyFill="1" applyAlignment="1">
      <alignment horizontal="right" vertical="center"/>
    </xf>
    <xf numFmtId="2" fontId="45" fillId="0" borderId="0" xfId="3" applyNumberFormat="1" applyFont="1" applyAlignment="1">
      <alignment horizontal="center" vertical="center"/>
    </xf>
    <xf numFmtId="49" fontId="46" fillId="0" borderId="49" xfId="12" applyNumberFormat="1" applyFont="1" applyBorder="1" applyAlignment="1">
      <alignment horizontal="center" vertical="center" wrapText="1"/>
    </xf>
    <xf numFmtId="1" fontId="46" fillId="0" borderId="49" xfId="3" applyNumberFormat="1" applyFont="1" applyBorder="1" applyAlignment="1">
      <alignment horizontal="left" vertical="center" wrapText="1"/>
    </xf>
    <xf numFmtId="1" fontId="46" fillId="0" borderId="34" xfId="3" applyNumberFormat="1" applyFont="1" applyBorder="1" applyAlignment="1">
      <alignment horizontal="center" vertical="center" wrapText="1"/>
    </xf>
    <xf numFmtId="0" fontId="46" fillId="0" borderId="24" xfId="3" applyFont="1" applyBorder="1" applyAlignment="1">
      <alignment horizontal="center" vertical="center" wrapText="1"/>
    </xf>
    <xf numFmtId="2" fontId="46" fillId="0" borderId="35" xfId="3" applyNumberFormat="1" applyFont="1" applyBorder="1" applyAlignment="1">
      <alignment horizontal="center" vertical="center" wrapText="1"/>
    </xf>
    <xf numFmtId="1" fontId="46" fillId="0" borderId="34" xfId="3" applyNumberFormat="1" applyFont="1" applyBorder="1" applyAlignment="1">
      <alignment horizontal="center" vertical="distributed" wrapText="1"/>
    </xf>
    <xf numFmtId="0" fontId="46" fillId="0" borderId="24" xfId="3" applyFont="1" applyBorder="1" applyAlignment="1">
      <alignment horizontal="center" vertical="distributed" wrapText="1"/>
    </xf>
    <xf numFmtId="2" fontId="46" fillId="0" borderId="35" xfId="3" applyNumberFormat="1" applyFont="1" applyBorder="1" applyAlignment="1">
      <alignment horizontal="center" vertical="distributed" wrapText="1"/>
    </xf>
    <xf numFmtId="0" fontId="46" fillId="0" borderId="49" xfId="3" applyFont="1" applyBorder="1" applyAlignment="1">
      <alignment horizontal="center" vertical="center" wrapText="1"/>
    </xf>
    <xf numFmtId="2" fontId="46" fillId="0" borderId="34" xfId="3" applyNumberFormat="1" applyFont="1" applyBorder="1" applyAlignment="1">
      <alignment horizontal="center" vertical="center" wrapText="1"/>
    </xf>
    <xf numFmtId="43" fontId="46" fillId="0" borderId="49" xfId="1" applyFont="1" applyFill="1" applyBorder="1" applyAlignment="1">
      <alignment horizontal="center" vertical="center" wrapText="1"/>
    </xf>
    <xf numFmtId="2" fontId="46" fillId="0" borderId="49" xfId="1" applyNumberFormat="1" applyFont="1" applyFill="1" applyBorder="1" applyAlignment="1">
      <alignment horizontal="center" vertical="center" wrapText="1"/>
    </xf>
    <xf numFmtId="172" fontId="46" fillId="0" borderId="49" xfId="1" applyNumberFormat="1" applyFont="1" applyFill="1" applyBorder="1" applyAlignment="1">
      <alignment horizontal="center" vertical="center" wrapText="1"/>
    </xf>
    <xf numFmtId="43" fontId="46" fillId="0" borderId="49" xfId="1" applyFont="1" applyFill="1" applyBorder="1" applyAlignment="1">
      <alignment horizontal="center" vertical="distributed" wrapText="1"/>
    </xf>
    <xf numFmtId="165" fontId="46" fillId="0" borderId="49" xfId="3" applyNumberFormat="1" applyFont="1" applyBorder="1" applyAlignment="1">
      <alignment horizontal="right" vertical="center" wrapText="1"/>
    </xf>
    <xf numFmtId="43" fontId="46" fillId="0" borderId="34" xfId="1" applyFont="1" applyFill="1" applyBorder="1" applyAlignment="1">
      <alignment horizontal="center" vertical="distributed" wrapText="1"/>
    </xf>
    <xf numFmtId="171" fontId="46" fillId="0" borderId="49" xfId="3" applyNumberFormat="1" applyFont="1" applyBorder="1" applyAlignment="1">
      <alignment horizontal="center" vertical="center" wrapText="1"/>
    </xf>
    <xf numFmtId="0" fontId="46" fillId="0" borderId="49" xfId="3" applyFont="1" applyBorder="1" applyAlignment="1">
      <alignment horizontal="center" vertical="distributed" wrapText="1"/>
    </xf>
    <xf numFmtId="165" fontId="45" fillId="2" borderId="0" xfId="3" applyNumberFormat="1" applyFont="1" applyFill="1" applyAlignment="1">
      <alignment horizontal="right" vertical="center"/>
    </xf>
    <xf numFmtId="0" fontId="45" fillId="2" borderId="0" xfId="3" applyFont="1" applyFill="1" applyAlignment="1">
      <alignment vertical="center"/>
    </xf>
    <xf numFmtId="0" fontId="45" fillId="0" borderId="0" xfId="3" applyFont="1" applyAlignment="1">
      <alignment vertical="center"/>
    </xf>
    <xf numFmtId="0" fontId="45" fillId="0" borderId="0" xfId="3" applyFont="1"/>
    <xf numFmtId="0" fontId="47" fillId="0" borderId="49" xfId="12" applyFont="1" applyBorder="1" applyAlignment="1">
      <alignment horizontal="left" vertical="center" wrapText="1"/>
    </xf>
    <xf numFmtId="0" fontId="45" fillId="0" borderId="49" xfId="3" applyFont="1" applyBorder="1" applyAlignment="1">
      <alignment horizontal="center" vertical="distributed" wrapText="1"/>
    </xf>
    <xf numFmtId="2" fontId="6" fillId="0" borderId="61" xfId="1" applyNumberFormat="1" applyFont="1" applyFill="1" applyBorder="1" applyAlignment="1">
      <alignment horizontal="center" vertical="center" wrapText="1"/>
    </xf>
    <xf numFmtId="2" fontId="6" fillId="0" borderId="52" xfId="1" applyNumberFormat="1" applyFont="1" applyFill="1" applyBorder="1" applyAlignment="1">
      <alignment horizontal="center" vertical="center" wrapText="1"/>
    </xf>
    <xf numFmtId="2" fontId="6" fillId="0" borderId="50" xfId="1" applyNumberFormat="1" applyFont="1" applyFill="1" applyBorder="1" applyAlignment="1">
      <alignment horizontal="center" vertical="center" wrapText="1"/>
    </xf>
    <xf numFmtId="1" fontId="47" fillId="2" borderId="56" xfId="0" applyNumberFormat="1" applyFont="1" applyFill="1" applyBorder="1" applyAlignment="1">
      <alignment vertical="center" wrapText="1"/>
    </xf>
    <xf numFmtId="0" fontId="47" fillId="2" borderId="1" xfId="0" applyFont="1" applyFill="1" applyBorder="1" applyAlignment="1">
      <alignment vertical="center" wrapText="1"/>
    </xf>
    <xf numFmtId="2" fontId="48" fillId="5" borderId="47" xfId="3" applyNumberFormat="1" applyFont="1" applyFill="1" applyBorder="1" applyAlignment="1">
      <alignment horizontal="center" vertical="distributed" wrapText="1"/>
    </xf>
    <xf numFmtId="165" fontId="48" fillId="5" borderId="2" xfId="1" applyNumberFormat="1" applyFont="1" applyFill="1" applyBorder="1" applyAlignment="1">
      <alignment horizontal="center" vertical="center" wrapText="1"/>
    </xf>
    <xf numFmtId="165" fontId="48" fillId="5" borderId="47" xfId="3" applyNumberFormat="1" applyFont="1" applyFill="1" applyBorder="1" applyAlignment="1">
      <alignment horizontal="center" vertical="center" wrapText="1"/>
    </xf>
    <xf numFmtId="0" fontId="46" fillId="0" borderId="44" xfId="3" applyFont="1" applyBorder="1" applyAlignment="1">
      <alignment wrapText="1"/>
    </xf>
    <xf numFmtId="0" fontId="46" fillId="0" borderId="45" xfId="3" applyFont="1" applyBorder="1" applyAlignment="1">
      <alignment horizontal="center" wrapText="1"/>
    </xf>
    <xf numFmtId="1" fontId="47" fillId="2" borderId="42" xfId="0" applyNumberFormat="1" applyFont="1" applyFill="1" applyBorder="1" applyAlignment="1">
      <alignment vertical="center" wrapText="1"/>
    </xf>
    <xf numFmtId="0" fontId="47" fillId="2" borderId="43" xfId="0" applyFont="1" applyFill="1" applyBorder="1" applyAlignment="1">
      <alignment vertical="center" wrapText="1"/>
    </xf>
    <xf numFmtId="165" fontId="48" fillId="5" borderId="2" xfId="3" applyNumberFormat="1" applyFont="1" applyFill="1" applyBorder="1" applyAlignment="1">
      <alignment horizontal="center" vertical="center" wrapText="1"/>
    </xf>
    <xf numFmtId="0" fontId="46" fillId="0" borderId="0" xfId="3" applyFont="1" applyAlignment="1">
      <alignment wrapText="1"/>
    </xf>
    <xf numFmtId="0" fontId="46" fillId="0" borderId="43" xfId="3" applyFont="1" applyBorder="1" applyAlignment="1">
      <alignment horizontal="center" wrapText="1"/>
    </xf>
    <xf numFmtId="0" fontId="45" fillId="2" borderId="0" xfId="3" applyFont="1" applyFill="1"/>
    <xf numFmtId="0" fontId="45" fillId="9" borderId="0" xfId="3" applyFont="1" applyFill="1"/>
    <xf numFmtId="0" fontId="5" fillId="8" borderId="42" xfId="3" applyFont="1" applyFill="1" applyBorder="1" applyAlignment="1">
      <alignment horizontal="center" wrapText="1"/>
    </xf>
    <xf numFmtId="49" fontId="6" fillId="0" borderId="57" xfId="12" applyNumberFormat="1" applyFont="1" applyBorder="1" applyAlignment="1">
      <alignment horizontal="center" vertical="center" wrapText="1"/>
    </xf>
    <xf numFmtId="2" fontId="6" fillId="0" borderId="58" xfId="3" applyNumberFormat="1" applyFont="1" applyBorder="1" applyAlignment="1">
      <alignment horizontal="center" vertical="center" wrapText="1"/>
    </xf>
    <xf numFmtId="2" fontId="6" fillId="0" borderId="57" xfId="1" applyNumberFormat="1" applyFont="1" applyFill="1" applyBorder="1" applyAlignment="1">
      <alignment horizontal="center" vertical="center" wrapText="1"/>
    </xf>
    <xf numFmtId="43" fontId="6" fillId="0" borderId="57" xfId="1" applyFont="1" applyFill="1" applyBorder="1" applyAlignment="1">
      <alignment horizontal="center" vertical="center" wrapText="1"/>
    </xf>
    <xf numFmtId="43" fontId="6" fillId="0" borderId="57" xfId="1" applyFont="1" applyFill="1" applyBorder="1" applyAlignment="1">
      <alignment horizontal="center" vertical="distributed" wrapText="1"/>
    </xf>
    <xf numFmtId="43" fontId="6" fillId="0" borderId="58" xfId="1" applyFont="1" applyFill="1" applyBorder="1" applyAlignment="1">
      <alignment horizontal="center" vertical="distributed" wrapText="1"/>
    </xf>
    <xf numFmtId="1" fontId="5" fillId="2" borderId="56" xfId="0" applyNumberFormat="1" applyFont="1" applyFill="1" applyBorder="1" applyAlignment="1">
      <alignment vertical="center" wrapText="1"/>
    </xf>
    <xf numFmtId="0" fontId="5" fillId="2" borderId="44" xfId="0" applyFont="1" applyFill="1" applyBorder="1" applyAlignment="1">
      <alignment vertical="center" wrapText="1"/>
    </xf>
    <xf numFmtId="2" fontId="44" fillId="5" borderId="47" xfId="3" applyNumberFormat="1" applyFont="1" applyFill="1" applyBorder="1" applyAlignment="1">
      <alignment horizontal="center" vertical="distributed" wrapText="1"/>
    </xf>
    <xf numFmtId="165" fontId="44" fillId="5" borderId="47" xfId="3" applyNumberFormat="1" applyFont="1" applyFill="1" applyBorder="1" applyAlignment="1">
      <alignment horizontal="center" vertical="center" wrapText="1"/>
    </xf>
    <xf numFmtId="0" fontId="6" fillId="0" borderId="44" xfId="3" applyFont="1" applyBorder="1" applyAlignment="1">
      <alignment wrapText="1"/>
    </xf>
    <xf numFmtId="0" fontId="6" fillId="0" borderId="45" xfId="3" applyFont="1" applyBorder="1" applyAlignment="1">
      <alignment horizontal="center" wrapText="1"/>
    </xf>
    <xf numFmtId="173" fontId="6" fillId="0" borderId="49" xfId="3" applyNumberFormat="1" applyFont="1" applyBorder="1" applyAlignment="1">
      <alignment horizontal="center" vertical="center" wrapText="1"/>
    </xf>
    <xf numFmtId="0" fontId="24" fillId="0" borderId="0" xfId="3" applyFont="1" applyAlignment="1">
      <alignment vertical="center"/>
    </xf>
    <xf numFmtId="174" fontId="6" fillId="0" borderId="49" xfId="1" applyNumberFormat="1" applyFont="1" applyFill="1" applyBorder="1" applyAlignment="1">
      <alignment horizontal="center" vertical="center" wrapText="1"/>
    </xf>
    <xf numFmtId="49" fontId="6" fillId="0" borderId="54" xfId="12" applyNumberFormat="1" applyFont="1" applyBorder="1" applyAlignment="1">
      <alignment horizontal="center" vertical="center" wrapText="1"/>
    </xf>
    <xf numFmtId="1" fontId="6" fillId="0" borderId="54" xfId="3" applyNumberFormat="1" applyFont="1" applyBorder="1" applyAlignment="1">
      <alignment horizontal="left" vertical="center" wrapText="1"/>
    </xf>
    <xf numFmtId="1" fontId="6" fillId="0" borderId="31" xfId="3" applyNumberFormat="1" applyFont="1" applyBorder="1" applyAlignment="1">
      <alignment horizontal="center" vertical="distributed" wrapText="1"/>
    </xf>
    <xf numFmtId="0" fontId="6" fillId="0" borderId="32" xfId="3" applyFont="1" applyBorder="1" applyAlignment="1">
      <alignment horizontal="center" vertical="distributed" wrapText="1"/>
    </xf>
    <xf numFmtId="2" fontId="6" fillId="0" borderId="33" xfId="3" applyNumberFormat="1" applyFont="1" applyBorder="1" applyAlignment="1">
      <alignment horizontal="center" vertical="distributed" wrapText="1"/>
    </xf>
    <xf numFmtId="1" fontId="6" fillId="0" borderId="54" xfId="3" applyNumberFormat="1" applyFont="1" applyBorder="1" applyAlignment="1">
      <alignment horizontal="center" vertical="center" wrapText="1"/>
    </xf>
    <xf numFmtId="2" fontId="6" fillId="0" borderId="31" xfId="3" applyNumberFormat="1" applyFont="1" applyBorder="1" applyAlignment="1">
      <alignment horizontal="center" vertical="center" wrapText="1"/>
    </xf>
    <xf numFmtId="43" fontId="6" fillId="0" borderId="54" xfId="1" applyFont="1" applyFill="1" applyBorder="1" applyAlignment="1">
      <alignment horizontal="center" vertical="center" wrapText="1"/>
    </xf>
    <xf numFmtId="174" fontId="6" fillId="0" borderId="54" xfId="1" applyNumberFormat="1" applyFont="1" applyFill="1" applyBorder="1" applyAlignment="1">
      <alignment horizontal="center" vertical="center" wrapText="1"/>
    </xf>
    <xf numFmtId="43" fontId="6" fillId="0" borderId="54" xfId="1" applyFont="1" applyFill="1" applyBorder="1" applyAlignment="1">
      <alignment horizontal="center" vertical="distributed" wrapText="1"/>
    </xf>
    <xf numFmtId="165" fontId="6" fillId="0" borderId="54" xfId="1" applyNumberFormat="1" applyFont="1" applyFill="1" applyBorder="1" applyAlignment="1">
      <alignment horizontal="right" vertical="distributed" wrapText="1"/>
    </xf>
    <xf numFmtId="43" fontId="6" fillId="0" borderId="31" xfId="1" applyFont="1" applyFill="1" applyBorder="1" applyAlignment="1">
      <alignment horizontal="center" vertical="distributed" wrapText="1"/>
    </xf>
    <xf numFmtId="171" fontId="6" fillId="0" borderId="54" xfId="3" applyNumberFormat="1" applyFont="1" applyBorder="1" applyAlignment="1">
      <alignment horizontal="center" vertical="center" wrapText="1"/>
    </xf>
    <xf numFmtId="0" fontId="3" fillId="0" borderId="54" xfId="3" applyBorder="1" applyAlignment="1">
      <alignment horizontal="center" vertical="distributed" wrapText="1"/>
    </xf>
    <xf numFmtId="2" fontId="6" fillId="0" borderId="54" xfId="3" applyNumberFormat="1" applyFont="1" applyBorder="1" applyAlignment="1">
      <alignment horizontal="center" vertical="center" wrapText="1"/>
    </xf>
    <xf numFmtId="175" fontId="6" fillId="0" borderId="49" xfId="3" applyNumberFormat="1" applyFont="1" applyBorder="1" applyAlignment="1">
      <alignment horizontal="center" vertical="center" wrapText="1"/>
    </xf>
    <xf numFmtId="1" fontId="6" fillId="0" borderId="49" xfId="1" applyNumberFormat="1" applyFont="1" applyFill="1" applyBorder="1" applyAlignment="1">
      <alignment horizontal="center" vertical="center" wrapText="1"/>
    </xf>
    <xf numFmtId="1" fontId="6" fillId="0" borderId="35" xfId="3" applyNumberFormat="1" applyFont="1" applyBorder="1" applyAlignment="1">
      <alignment horizontal="center" vertical="center" wrapText="1"/>
    </xf>
    <xf numFmtId="1" fontId="5" fillId="0" borderId="48" xfId="3" applyNumberFormat="1" applyFont="1" applyBorder="1" applyAlignment="1">
      <alignment horizontal="center" vertical="center" wrapText="1"/>
    </xf>
    <xf numFmtId="0" fontId="6" fillId="0" borderId="37" xfId="3" applyFont="1" applyBorder="1" applyAlignment="1">
      <alignment horizontal="center" vertical="center" wrapText="1"/>
    </xf>
    <xf numFmtId="171" fontId="6" fillId="0" borderId="48" xfId="3" applyNumberFormat="1" applyFont="1" applyBorder="1" applyAlignment="1">
      <alignment horizontal="center" vertical="center" wrapText="1"/>
    </xf>
    <xf numFmtId="1" fontId="6" fillId="0" borderId="61" xfId="3" applyNumberFormat="1" applyFont="1" applyBorder="1" applyAlignment="1">
      <alignment horizontal="center" vertical="distributed" wrapText="1"/>
    </xf>
    <xf numFmtId="0" fontId="6" fillId="0" borderId="25" xfId="3" applyFont="1" applyBorder="1" applyAlignment="1">
      <alignment horizontal="center" vertical="distributed" wrapText="1"/>
    </xf>
    <xf numFmtId="2" fontId="6" fillId="0" borderId="52" xfId="3" applyNumberFormat="1" applyFont="1" applyBorder="1" applyAlignment="1">
      <alignment horizontal="center" vertical="distributed" wrapText="1"/>
    </xf>
    <xf numFmtId="175" fontId="6" fillId="0" borderId="50" xfId="3" applyNumberFormat="1" applyFont="1" applyBorder="1" applyAlignment="1">
      <alignment horizontal="center" vertical="center" wrapText="1"/>
    </xf>
    <xf numFmtId="0" fontId="6" fillId="0" borderId="36" xfId="3" applyFont="1" applyBorder="1" applyAlignment="1">
      <alignment horizontal="center" vertical="center" wrapText="1"/>
    </xf>
    <xf numFmtId="0" fontId="6" fillId="0" borderId="23" xfId="3" applyFont="1" applyBorder="1" applyAlignment="1">
      <alignment horizontal="center" vertical="center" wrapText="1"/>
    </xf>
    <xf numFmtId="0" fontId="6" fillId="0" borderId="36" xfId="3" applyFont="1" applyBorder="1" applyAlignment="1">
      <alignment horizontal="center" vertical="distributed" wrapText="1"/>
    </xf>
    <xf numFmtId="0" fontId="6" fillId="0" borderId="23" xfId="3" applyFont="1" applyBorder="1" applyAlignment="1">
      <alignment horizontal="center" vertical="distributed" wrapText="1"/>
    </xf>
    <xf numFmtId="0" fontId="6" fillId="0" borderId="37" xfId="3" applyFont="1" applyBorder="1" applyAlignment="1">
      <alignment horizontal="center" vertical="distributed" wrapText="1"/>
    </xf>
    <xf numFmtId="165" fontId="6" fillId="0" borderId="48" xfId="3" applyNumberFormat="1" applyFont="1" applyBorder="1" applyAlignment="1">
      <alignment horizontal="right" vertical="center" wrapText="1"/>
    </xf>
    <xf numFmtId="0" fontId="6" fillId="0" borderId="48" xfId="3" applyFont="1" applyBorder="1" applyAlignment="1">
      <alignment horizontal="center" vertical="distributed" wrapText="1"/>
    </xf>
    <xf numFmtId="0" fontId="5" fillId="0" borderId="57" xfId="12" applyFont="1" applyBorder="1" applyAlignment="1">
      <alignment horizontal="left" vertical="center" wrapText="1"/>
    </xf>
    <xf numFmtId="2" fontId="6" fillId="0" borderId="49" xfId="1" applyNumberFormat="1" applyFont="1" applyBorder="1" applyAlignment="1">
      <alignment horizontal="center" vertical="center" wrapText="1"/>
    </xf>
    <xf numFmtId="165" fontId="6" fillId="0" borderId="49" xfId="3" applyNumberFormat="1" applyFont="1" applyBorder="1" applyAlignment="1">
      <alignment vertical="center" wrapText="1"/>
    </xf>
    <xf numFmtId="1" fontId="6" fillId="0" borderId="49" xfId="1" applyNumberFormat="1" applyFont="1" applyBorder="1" applyAlignment="1">
      <alignment horizontal="center" vertical="center" wrapText="1"/>
    </xf>
    <xf numFmtId="0" fontId="6" fillId="0" borderId="25" xfId="3" applyFont="1" applyBorder="1" applyAlignment="1">
      <alignment horizontal="center" vertical="center" wrapText="1"/>
    </xf>
    <xf numFmtId="175" fontId="6" fillId="0" borderId="57" xfId="3" applyNumberFormat="1" applyFont="1" applyBorder="1" applyAlignment="1">
      <alignment horizontal="center" vertical="center" wrapText="1"/>
    </xf>
    <xf numFmtId="172" fontId="6" fillId="0" borderId="57" xfId="3" applyNumberFormat="1" applyFont="1" applyBorder="1" applyAlignment="1">
      <alignment horizontal="center" vertical="top" wrapText="1"/>
    </xf>
    <xf numFmtId="172" fontId="6" fillId="0" borderId="57" xfId="3" applyNumberFormat="1" applyFont="1" applyBorder="1" applyAlignment="1">
      <alignment horizontal="center" vertical="center" wrapText="1"/>
    </xf>
    <xf numFmtId="0" fontId="3" fillId="0" borderId="57" xfId="3" applyBorder="1" applyAlignment="1">
      <alignment horizontal="center" vertical="distributed" wrapText="1"/>
    </xf>
    <xf numFmtId="172" fontId="6" fillId="0" borderId="49" xfId="3" applyNumberFormat="1" applyFont="1" applyBorder="1" applyAlignment="1">
      <alignment horizontal="center" vertical="top" wrapText="1"/>
    </xf>
    <xf numFmtId="172" fontId="6" fillId="0" borderId="35" xfId="3" applyNumberFormat="1" applyFont="1" applyBorder="1" applyAlignment="1">
      <alignment horizontal="center" vertical="center" wrapText="1"/>
    </xf>
    <xf numFmtId="2" fontId="6" fillId="0" borderId="49" xfId="1" applyNumberFormat="1" applyFont="1" applyFill="1" applyBorder="1" applyAlignment="1">
      <alignment horizontal="center" vertical="distributed" wrapText="1"/>
    </xf>
    <xf numFmtId="172" fontId="6" fillId="0" borderId="49" xfId="1" applyNumberFormat="1" applyFont="1" applyFill="1" applyBorder="1" applyAlignment="1">
      <alignment horizontal="center" vertical="distributed" wrapText="1"/>
    </xf>
    <xf numFmtId="0" fontId="6" fillId="0" borderId="57" xfId="12" applyFont="1" applyBorder="1" applyAlignment="1">
      <alignment horizontal="left" vertical="center" wrapText="1"/>
    </xf>
    <xf numFmtId="2" fontId="6" fillId="0" borderId="57" xfId="1" applyNumberFormat="1" applyFont="1" applyFill="1" applyBorder="1" applyAlignment="1">
      <alignment horizontal="center" vertical="distributed" wrapText="1"/>
    </xf>
    <xf numFmtId="165" fontId="6" fillId="0" borderId="57" xfId="1" applyNumberFormat="1" applyFont="1" applyFill="1" applyBorder="1" applyAlignment="1">
      <alignment horizontal="center" vertical="distributed" wrapText="1"/>
    </xf>
    <xf numFmtId="165" fontId="6" fillId="0" borderId="49" xfId="1" applyNumberFormat="1" applyFont="1" applyFill="1" applyBorder="1" applyAlignment="1">
      <alignment horizontal="center" vertical="distributed" wrapText="1"/>
    </xf>
    <xf numFmtId="2" fontId="6" fillId="0" borderId="25" xfId="1" applyNumberFormat="1" applyFont="1" applyFill="1" applyBorder="1" applyAlignment="1">
      <alignment horizontal="center" vertical="center" wrapText="1"/>
    </xf>
    <xf numFmtId="2" fontId="6" fillId="0" borderId="61" xfId="1" applyNumberFormat="1" applyFont="1" applyFill="1" applyBorder="1" applyAlignment="1">
      <alignment horizontal="center" vertical="distributed" wrapText="1"/>
    </xf>
    <xf numFmtId="1" fontId="6" fillId="0" borderId="57" xfId="1" applyNumberFormat="1" applyFont="1" applyFill="1" applyBorder="1" applyAlignment="1">
      <alignment horizontal="center" vertical="distributed" wrapText="1"/>
    </xf>
    <xf numFmtId="165" fontId="6" fillId="0" borderId="57" xfId="1" applyNumberFormat="1" applyFont="1" applyFill="1" applyBorder="1" applyAlignment="1">
      <alignment horizontal="right" vertical="distributed" wrapText="1"/>
    </xf>
    <xf numFmtId="0" fontId="6" fillId="0" borderId="57" xfId="3" applyFont="1" applyBorder="1" applyAlignment="1">
      <alignment horizontal="left" vertical="distributed" wrapText="1"/>
    </xf>
    <xf numFmtId="0" fontId="6" fillId="0" borderId="49" xfId="3" applyFont="1" applyBorder="1" applyAlignment="1">
      <alignment horizontal="left" vertical="distributed" wrapText="1"/>
    </xf>
    <xf numFmtId="165" fontId="25" fillId="2" borderId="0" xfId="3" applyNumberFormat="1" applyFont="1" applyFill="1" applyAlignment="1">
      <alignment horizontal="center" vertical="center"/>
    </xf>
    <xf numFmtId="0" fontId="6" fillId="0" borderId="54" xfId="12" applyFont="1" applyBorder="1" applyAlignment="1">
      <alignment horizontal="left" vertical="center" wrapText="1"/>
    </xf>
    <xf numFmtId="1" fontId="6" fillId="0" borderId="31" xfId="3" applyNumberFormat="1" applyFont="1" applyBorder="1" applyAlignment="1">
      <alignment horizontal="center" vertical="center" wrapText="1"/>
    </xf>
    <xf numFmtId="0" fontId="6" fillId="0" borderId="32" xfId="3" applyFont="1" applyBorder="1" applyAlignment="1">
      <alignment horizontal="center" vertical="center" wrapText="1"/>
    </xf>
    <xf numFmtId="2" fontId="6" fillId="0" borderId="33" xfId="3" applyNumberFormat="1" applyFont="1" applyBorder="1" applyAlignment="1">
      <alignment horizontal="center" vertical="center" wrapText="1"/>
    </xf>
    <xf numFmtId="165" fontId="6" fillId="0" borderId="54" xfId="3" applyNumberFormat="1" applyFont="1" applyBorder="1" applyAlignment="1">
      <alignment horizontal="center" vertical="center" wrapText="1"/>
    </xf>
    <xf numFmtId="2" fontId="6" fillId="0" borderId="54" xfId="1" applyNumberFormat="1" applyFont="1" applyFill="1" applyBorder="1" applyAlignment="1">
      <alignment horizontal="center" vertical="center" wrapText="1"/>
    </xf>
    <xf numFmtId="172" fontId="6" fillId="0" borderId="54" xfId="1" applyNumberFormat="1" applyFont="1" applyFill="1" applyBorder="1" applyAlignment="1">
      <alignment horizontal="center" vertical="distributed" wrapText="1"/>
    </xf>
    <xf numFmtId="9" fontId="6" fillId="0" borderId="54" xfId="2" applyFont="1" applyFill="1" applyBorder="1" applyAlignment="1">
      <alignment horizontal="center" vertical="distributed" wrapText="1"/>
    </xf>
    <xf numFmtId="165" fontId="6" fillId="0" borderId="54" xfId="3" applyNumberFormat="1" applyFont="1" applyBorder="1" applyAlignment="1">
      <alignment horizontal="right" vertical="center" wrapText="1"/>
    </xf>
    <xf numFmtId="0" fontId="6" fillId="0" borderId="54" xfId="3" applyFont="1" applyBorder="1" applyAlignment="1">
      <alignment vertical="distributed" wrapText="1"/>
    </xf>
    <xf numFmtId="0" fontId="6" fillId="0" borderId="54" xfId="3" applyFont="1" applyBorder="1" applyAlignment="1">
      <alignment horizontal="center" vertical="center" wrapText="1"/>
    </xf>
    <xf numFmtId="0" fontId="6" fillId="0" borderId="54" xfId="3" applyFont="1" applyBorder="1" applyAlignment="1">
      <alignment horizontal="left" vertical="distributed" wrapText="1"/>
    </xf>
    <xf numFmtId="1" fontId="5" fillId="0" borderId="54" xfId="3" applyNumberFormat="1" applyFont="1" applyBorder="1" applyAlignment="1">
      <alignment horizontal="center" vertical="center" wrapText="1"/>
    </xf>
    <xf numFmtId="10" fontId="6" fillId="0" borderId="54" xfId="2" applyNumberFormat="1" applyFont="1" applyFill="1" applyBorder="1" applyAlignment="1">
      <alignment horizontal="center" vertical="center" wrapText="1"/>
    </xf>
    <xf numFmtId="4" fontId="6" fillId="0" borderId="54" xfId="3" applyNumberFormat="1" applyFont="1" applyBorder="1" applyAlignment="1">
      <alignment horizontal="center" vertical="center" wrapText="1"/>
    </xf>
    <xf numFmtId="0" fontId="6" fillId="0" borderId="54" xfId="3" applyFont="1" applyBorder="1" applyAlignment="1">
      <alignment horizontal="center" vertical="top" wrapText="1"/>
    </xf>
    <xf numFmtId="0" fontId="5" fillId="8" borderId="42" xfId="3" applyFont="1" applyFill="1" applyBorder="1" applyAlignment="1">
      <alignment horizontal="center" vertical="top" wrapText="1"/>
    </xf>
    <xf numFmtId="172" fontId="6" fillId="0" borderId="54" xfId="3" applyNumberFormat="1" applyFont="1" applyBorder="1" applyAlignment="1">
      <alignment horizontal="center" vertical="center" wrapText="1"/>
    </xf>
    <xf numFmtId="0" fontId="5" fillId="0" borderId="54" xfId="3" applyFont="1" applyBorder="1" applyAlignment="1">
      <alignment horizontal="center" vertical="distributed" wrapText="1"/>
    </xf>
    <xf numFmtId="165" fontId="6" fillId="0" borderId="57" xfId="3" applyNumberFormat="1" applyFont="1" applyBorder="1" applyAlignment="1">
      <alignment horizontal="center" vertical="top" wrapText="1"/>
    </xf>
    <xf numFmtId="4" fontId="6" fillId="0" borderId="54" xfId="1" applyNumberFormat="1" applyFont="1" applyFill="1" applyBorder="1" applyAlignment="1">
      <alignment horizontal="center" vertical="center" wrapText="1"/>
    </xf>
    <xf numFmtId="4" fontId="6" fillId="0" borderId="33" xfId="1" applyNumberFormat="1" applyFont="1" applyFill="1" applyBorder="1" applyAlignment="1">
      <alignment horizontal="center" vertical="center" wrapText="1"/>
    </xf>
    <xf numFmtId="4" fontId="6" fillId="0" borderId="32" xfId="1" applyNumberFormat="1" applyFont="1" applyFill="1" applyBorder="1" applyAlignment="1">
      <alignment horizontal="center" vertical="center" wrapText="1"/>
    </xf>
    <xf numFmtId="4" fontId="6" fillId="0" borderId="31" xfId="1" applyNumberFormat="1" applyFont="1" applyFill="1" applyBorder="1" applyAlignment="1">
      <alignment horizontal="center" vertical="center" wrapText="1"/>
    </xf>
    <xf numFmtId="0" fontId="6" fillId="0" borderId="54" xfId="3" applyFont="1" applyBorder="1" applyAlignment="1">
      <alignment horizontal="center" vertical="distributed" wrapText="1"/>
    </xf>
    <xf numFmtId="0" fontId="6" fillId="0" borderId="25" xfId="12" applyFont="1" applyBorder="1" applyAlignment="1">
      <alignment horizontal="left" vertical="center" wrapText="1"/>
    </xf>
    <xf numFmtId="2" fontId="6" fillId="0" borderId="25" xfId="3" applyNumberFormat="1" applyFont="1" applyBorder="1" applyAlignment="1">
      <alignment horizontal="left" vertical="center" wrapText="1"/>
    </xf>
    <xf numFmtId="0" fontId="6" fillId="0" borderId="61" xfId="3" applyFont="1" applyBorder="1" applyAlignment="1">
      <alignment horizontal="center" vertical="center" wrapText="1"/>
    </xf>
    <xf numFmtId="4" fontId="6" fillId="0" borderId="50" xfId="1" applyNumberFormat="1" applyFont="1" applyFill="1" applyBorder="1" applyAlignment="1">
      <alignment horizontal="center" vertical="center" wrapText="1"/>
    </xf>
    <xf numFmtId="4" fontId="6" fillId="0" borderId="52" xfId="1" applyNumberFormat="1" applyFont="1" applyFill="1" applyBorder="1" applyAlignment="1">
      <alignment horizontal="center" vertical="center" wrapText="1"/>
    </xf>
    <xf numFmtId="0" fontId="6" fillId="0" borderId="52" xfId="3" applyFont="1" applyBorder="1" applyAlignment="1">
      <alignment horizontal="center" vertical="distributed" wrapText="1"/>
    </xf>
    <xf numFmtId="1" fontId="5" fillId="0" borderId="56" xfId="3" applyNumberFormat="1" applyFont="1" applyBorder="1" applyAlignment="1">
      <alignment horizontal="center" vertical="center" wrapText="1"/>
    </xf>
    <xf numFmtId="1" fontId="6" fillId="0" borderId="56" xfId="3" applyNumberFormat="1" applyFont="1" applyBorder="1" applyAlignment="1">
      <alignment horizontal="left" vertical="center" wrapText="1"/>
    </xf>
    <xf numFmtId="1" fontId="6" fillId="0" borderId="1" xfId="3" applyNumberFormat="1" applyFont="1" applyBorder="1" applyAlignment="1">
      <alignment horizontal="center" vertical="center" wrapText="1"/>
    </xf>
    <xf numFmtId="0" fontId="6" fillId="0" borderId="44" xfId="3" applyFont="1" applyBorder="1" applyAlignment="1">
      <alignment horizontal="center" vertical="center" wrapText="1"/>
    </xf>
    <xf numFmtId="2" fontId="6" fillId="0" borderId="45" xfId="3" applyNumberFormat="1" applyFont="1" applyBorder="1" applyAlignment="1">
      <alignment horizontal="center" vertical="center" wrapText="1"/>
    </xf>
    <xf numFmtId="1" fontId="6" fillId="0" borderId="1" xfId="3" applyNumberFormat="1" applyFont="1" applyBorder="1" applyAlignment="1">
      <alignment horizontal="center" vertical="distributed" wrapText="1"/>
    </xf>
    <xf numFmtId="0" fontId="6" fillId="0" borderId="44" xfId="3" applyFont="1" applyBorder="1" applyAlignment="1">
      <alignment horizontal="center" vertical="distributed" wrapText="1"/>
    </xf>
    <xf numFmtId="2" fontId="6" fillId="0" borderId="45" xfId="3" applyNumberFormat="1" applyFont="1" applyBorder="1" applyAlignment="1">
      <alignment horizontal="center" vertical="distributed" wrapText="1"/>
    </xf>
    <xf numFmtId="0" fontId="6" fillId="0" borderId="56" xfId="3" applyFont="1" applyBorder="1" applyAlignment="1">
      <alignment horizontal="center" vertical="center" wrapText="1"/>
    </xf>
    <xf numFmtId="2" fontId="6" fillId="0" borderId="1" xfId="3" applyNumberFormat="1" applyFont="1" applyBorder="1" applyAlignment="1">
      <alignment horizontal="center" vertical="center" wrapText="1"/>
    </xf>
    <xf numFmtId="4" fontId="6" fillId="0" borderId="56" xfId="3" applyNumberFormat="1" applyFont="1" applyBorder="1" applyAlignment="1">
      <alignment horizontal="center" vertical="center" wrapText="1"/>
    </xf>
    <xf numFmtId="165" fontId="6" fillId="0" borderId="56" xfId="3" applyNumberFormat="1" applyFont="1" applyBorder="1" applyAlignment="1">
      <alignment horizontal="right" vertical="center" wrapText="1"/>
    </xf>
    <xf numFmtId="171" fontId="6" fillId="0" borderId="56" xfId="3" applyNumberFormat="1" applyFont="1" applyBorder="1" applyAlignment="1">
      <alignment horizontal="center" vertical="center" wrapText="1"/>
    </xf>
    <xf numFmtId="0" fontId="3" fillId="0" borderId="56" xfId="3" applyBorder="1" applyAlignment="1">
      <alignment horizontal="left" vertical="distributed" wrapText="1"/>
    </xf>
    <xf numFmtId="0" fontId="8" fillId="0" borderId="0" xfId="3" applyFont="1"/>
    <xf numFmtId="0" fontId="8" fillId="9" borderId="0" xfId="3" applyFont="1" applyFill="1"/>
    <xf numFmtId="165" fontId="6" fillId="4" borderId="5" xfId="0" applyNumberFormat="1" applyFont="1" applyFill="1" applyBorder="1" applyAlignment="1">
      <alignment vertical="center"/>
    </xf>
    <xf numFmtId="0" fontId="27" fillId="4" borderId="5" xfId="0" applyFont="1" applyFill="1" applyBorder="1" applyAlignment="1">
      <alignment horizontal="right" vertical="center"/>
    </xf>
    <xf numFmtId="0" fontId="27" fillId="4" borderId="5" xfId="0" applyFont="1" applyFill="1" applyBorder="1" applyAlignment="1">
      <alignment vertical="center"/>
    </xf>
    <xf numFmtId="0" fontId="27" fillId="4" borderId="47" xfId="0" applyFont="1" applyFill="1" applyBorder="1" applyAlignment="1">
      <alignment horizontal="center" vertical="center"/>
    </xf>
    <xf numFmtId="1" fontId="42" fillId="4" borderId="47" xfId="0" applyNumberFormat="1" applyFont="1" applyFill="1" applyBorder="1" applyAlignment="1">
      <alignment horizontal="center" vertical="center"/>
    </xf>
    <xf numFmtId="165" fontId="25" fillId="0" borderId="0" xfId="3" applyNumberFormat="1" applyFont="1" applyAlignment="1">
      <alignment horizontal="center" vertical="center"/>
    </xf>
    <xf numFmtId="0" fontId="5" fillId="4" borderId="4" xfId="0" applyFont="1" applyFill="1" applyBorder="1" applyAlignment="1">
      <alignment horizontal="center" vertical="center"/>
    </xf>
    <xf numFmtId="0" fontId="5" fillId="4" borderId="16" xfId="0" applyFont="1" applyFill="1" applyBorder="1" applyAlignment="1">
      <alignment vertical="center"/>
    </xf>
    <xf numFmtId="0" fontId="5" fillId="4" borderId="16" xfId="0" applyFont="1" applyFill="1" applyBorder="1" applyAlignment="1">
      <alignment horizontal="center" vertical="center"/>
    </xf>
    <xf numFmtId="1" fontId="42" fillId="4" borderId="16" xfId="0" applyNumberFormat="1" applyFont="1" applyFill="1" applyBorder="1" applyAlignment="1">
      <alignment horizontal="right" vertical="center"/>
    </xf>
    <xf numFmtId="165" fontId="42" fillId="4" borderId="16" xfId="0" applyNumberFormat="1" applyFont="1" applyFill="1" applyBorder="1" applyAlignment="1">
      <alignment horizontal="right" vertical="center"/>
    </xf>
    <xf numFmtId="1" fontId="42" fillId="4" borderId="17" xfId="0" applyNumberFormat="1" applyFont="1" applyFill="1" applyBorder="1" applyAlignment="1">
      <alignment horizontal="center" vertical="center"/>
    </xf>
    <xf numFmtId="171" fontId="6" fillId="0" borderId="50" xfId="3" applyNumberFormat="1" applyFont="1" applyBorder="1" applyAlignment="1">
      <alignment horizontal="center" vertical="distributed" wrapText="1"/>
    </xf>
    <xf numFmtId="0" fontId="6" fillId="4" borderId="44" xfId="0" applyFont="1" applyFill="1" applyBorder="1" applyAlignment="1">
      <alignment vertical="center"/>
    </xf>
    <xf numFmtId="1" fontId="42" fillId="4" borderId="44" xfId="0" applyNumberFormat="1" applyFont="1" applyFill="1" applyBorder="1" applyAlignment="1">
      <alignment horizontal="right" vertical="center"/>
    </xf>
    <xf numFmtId="165" fontId="42" fillId="4" borderId="44" xfId="0" applyNumberFormat="1" applyFont="1" applyFill="1" applyBorder="1" applyAlignment="1">
      <alignment horizontal="right" vertical="center"/>
    </xf>
    <xf numFmtId="1" fontId="42" fillId="4" borderId="45" xfId="0" applyNumberFormat="1" applyFont="1" applyFill="1" applyBorder="1" applyAlignment="1">
      <alignment horizontal="center" vertical="center"/>
    </xf>
    <xf numFmtId="0" fontId="29" fillId="2" borderId="0" xfId="0" applyFont="1" applyFill="1" applyAlignment="1">
      <alignment vertical="center"/>
    </xf>
    <xf numFmtId="1" fontId="5" fillId="2" borderId="3" xfId="0" applyNumberFormat="1" applyFont="1" applyFill="1" applyBorder="1" applyAlignment="1">
      <alignment vertical="center" wrapText="1"/>
    </xf>
    <xf numFmtId="0" fontId="44" fillId="2" borderId="0" xfId="0" applyFont="1" applyFill="1" applyAlignment="1">
      <alignment horizontal="right" vertical="center" wrapText="1"/>
    </xf>
    <xf numFmtId="0" fontId="44" fillId="2" borderId="0" xfId="0" applyFont="1" applyFill="1" applyAlignment="1">
      <alignment horizontal="center" vertical="center" wrapText="1"/>
    </xf>
    <xf numFmtId="10" fontId="44" fillId="2" borderId="0" xfId="3" applyNumberFormat="1" applyFont="1" applyFill="1" applyAlignment="1">
      <alignment horizontal="right" vertical="center" wrapText="1"/>
    </xf>
    <xf numFmtId="10" fontId="44" fillId="2" borderId="0" xfId="3" applyNumberFormat="1" applyFont="1" applyFill="1" applyAlignment="1">
      <alignment horizontal="center" vertical="center" wrapText="1"/>
    </xf>
    <xf numFmtId="172" fontId="44" fillId="2" borderId="0" xfId="3" applyNumberFormat="1" applyFont="1" applyFill="1" applyAlignment="1">
      <alignment horizontal="center" vertical="center" wrapText="1"/>
    </xf>
    <xf numFmtId="0" fontId="44" fillId="2" borderId="0" xfId="3" applyFont="1" applyFill="1" applyAlignment="1">
      <alignment horizontal="center" vertical="center" wrapText="1"/>
    </xf>
    <xf numFmtId="165" fontId="44" fillId="2" borderId="0" xfId="1" applyNumberFormat="1" applyFont="1" applyFill="1" applyBorder="1" applyAlignment="1">
      <alignment horizontal="center" vertical="center" wrapText="1"/>
    </xf>
    <xf numFmtId="165" fontId="44" fillId="2" borderId="0" xfId="3" applyNumberFormat="1" applyFont="1" applyFill="1" applyAlignment="1">
      <alignment horizontal="center" vertical="center" wrapText="1"/>
    </xf>
    <xf numFmtId="0" fontId="6" fillId="2" borderId="43" xfId="3" applyFont="1" applyFill="1" applyBorder="1" applyAlignment="1">
      <alignment horizontal="center" wrapText="1"/>
    </xf>
    <xf numFmtId="165" fontId="8" fillId="2" borderId="0" xfId="3" applyNumberFormat="1" applyFont="1" applyFill="1" applyAlignment="1">
      <alignment horizontal="center" vertical="center"/>
    </xf>
    <xf numFmtId="0" fontId="27" fillId="0" borderId="0" xfId="0" applyFont="1" applyAlignment="1">
      <alignment horizontal="center" vertical="center"/>
    </xf>
    <xf numFmtId="1" fontId="27" fillId="2" borderId="0" xfId="0" applyNumberFormat="1" applyFont="1" applyFill="1" applyAlignment="1">
      <alignment horizontal="right" vertical="center"/>
    </xf>
    <xf numFmtId="0" fontId="27" fillId="2" borderId="0" xfId="0" applyFont="1" applyFill="1" applyAlignment="1">
      <alignment horizontal="center" vertical="center"/>
    </xf>
    <xf numFmtId="2" fontId="27" fillId="2" borderId="0" xfId="0" applyNumberFormat="1" applyFont="1" applyFill="1" applyAlignment="1">
      <alignment horizontal="left" vertical="center"/>
    </xf>
    <xf numFmtId="4" fontId="27" fillId="2" borderId="0" xfId="0" applyNumberFormat="1" applyFont="1" applyFill="1" applyAlignment="1">
      <alignment vertical="center"/>
    </xf>
    <xf numFmtId="165" fontId="27" fillId="2" borderId="0" xfId="0" applyNumberFormat="1" applyFont="1" applyFill="1" applyAlignment="1">
      <alignment vertical="center"/>
    </xf>
    <xf numFmtId="0" fontId="27" fillId="2" borderId="0" xfId="14" applyNumberFormat="1" applyFont="1" applyFill="1" applyBorder="1" applyAlignment="1">
      <alignment vertical="center"/>
    </xf>
    <xf numFmtId="165" fontId="11" fillId="2" borderId="0" xfId="15" applyNumberFormat="1" applyFont="1" applyFill="1" applyBorder="1" applyAlignment="1">
      <alignment vertical="center"/>
    </xf>
    <xf numFmtId="0" fontId="27" fillId="2" borderId="0" xfId="0" applyFont="1" applyFill="1" applyAlignment="1">
      <alignment horizontal="right" vertical="center"/>
    </xf>
    <xf numFmtId="0" fontId="27" fillId="0" borderId="3" xfId="0" applyFont="1" applyBorder="1" applyAlignment="1">
      <alignment horizontal="center" vertical="center"/>
    </xf>
    <xf numFmtId="0" fontId="27" fillId="2" borderId="62" xfId="0" applyFont="1" applyFill="1" applyBorder="1" applyAlignment="1">
      <alignment vertical="center"/>
    </xf>
    <xf numFmtId="1" fontId="27" fillId="2" borderId="62" xfId="0" applyNumberFormat="1" applyFont="1" applyFill="1" applyBorder="1" applyAlignment="1">
      <alignment horizontal="right" vertical="center"/>
    </xf>
    <xf numFmtId="0" fontId="27" fillId="2" borderId="63" xfId="0" applyFont="1" applyFill="1" applyBorder="1" applyAlignment="1">
      <alignment vertical="center"/>
    </xf>
    <xf numFmtId="4" fontId="27" fillId="2" borderId="63" xfId="0" applyNumberFormat="1" applyFont="1" applyFill="1" applyBorder="1" applyAlignment="1">
      <alignment vertical="center"/>
    </xf>
    <xf numFmtId="165" fontId="27" fillId="2" borderId="63" xfId="0" applyNumberFormat="1" applyFont="1" applyFill="1" applyBorder="1" applyAlignment="1">
      <alignment vertical="center"/>
    </xf>
    <xf numFmtId="0" fontId="27" fillId="2" borderId="62" xfId="0" applyFont="1" applyFill="1" applyBorder="1" applyAlignment="1">
      <alignment horizontal="center" vertical="center"/>
    </xf>
    <xf numFmtId="165" fontId="11" fillId="2" borderId="64" xfId="15" applyNumberFormat="1" applyFont="1" applyFill="1" applyBorder="1" applyAlignment="1">
      <alignment vertical="center"/>
    </xf>
    <xf numFmtId="0" fontId="3" fillId="0" borderId="0" xfId="3" applyAlignment="1">
      <alignment horizontal="center" vertical="center"/>
    </xf>
    <xf numFmtId="0" fontId="10" fillId="0" borderId="58" xfId="3" applyFont="1" applyBorder="1" applyAlignment="1">
      <alignment horizontal="center" vertical="center"/>
    </xf>
    <xf numFmtId="0" fontId="10" fillId="0" borderId="58" xfId="3" applyFont="1" applyBorder="1" applyAlignment="1">
      <alignment vertical="center"/>
    </xf>
    <xf numFmtId="0" fontId="10" fillId="0" borderId="57" xfId="3" applyFont="1" applyBorder="1" applyAlignment="1">
      <alignment horizontal="center" vertical="center"/>
    </xf>
    <xf numFmtId="176" fontId="10" fillId="0" borderId="57" xfId="3" applyNumberFormat="1" applyFont="1" applyBorder="1" applyAlignment="1">
      <alignment horizontal="center" vertical="center"/>
    </xf>
    <xf numFmtId="0" fontId="10" fillId="0" borderId="60" xfId="3" applyFont="1" applyBorder="1" applyAlignment="1">
      <alignment horizontal="center" vertical="center"/>
    </xf>
    <xf numFmtId="176" fontId="52" fillId="0" borderId="50" xfId="0" applyNumberFormat="1" applyFont="1" applyBorder="1" applyAlignment="1">
      <alignment horizontal="center" vertical="center"/>
    </xf>
    <xf numFmtId="0" fontId="52" fillId="0" borderId="52" xfId="3" applyFont="1" applyBorder="1" applyAlignment="1">
      <alignment horizontal="center" vertical="center"/>
    </xf>
    <xf numFmtId="14" fontId="52" fillId="0" borderId="61" xfId="0" applyNumberFormat="1" applyFont="1" applyBorder="1" applyAlignment="1">
      <alignment horizontal="center" vertical="center"/>
    </xf>
    <xf numFmtId="176" fontId="52" fillId="0" borderId="50" xfId="3" applyNumberFormat="1" applyFont="1" applyBorder="1" applyAlignment="1">
      <alignment horizontal="center" vertical="center"/>
    </xf>
    <xf numFmtId="14" fontId="52" fillId="0" borderId="52" xfId="3" applyNumberFormat="1" applyFont="1" applyBorder="1" applyAlignment="1">
      <alignment horizontal="center" vertical="center"/>
    </xf>
    <xf numFmtId="49" fontId="3" fillId="0" borderId="0" xfId="3" applyNumberFormat="1" applyAlignment="1">
      <alignment horizontal="center" vertical="center"/>
    </xf>
    <xf numFmtId="0" fontId="53" fillId="0" borderId="0" xfId="3" applyFont="1"/>
    <xf numFmtId="14" fontId="53" fillId="0" borderId="0" xfId="3" applyNumberFormat="1" applyFont="1"/>
    <xf numFmtId="0" fontId="51" fillId="0" borderId="2" xfId="3" applyFont="1" applyBorder="1" applyAlignment="1">
      <alignment horizontal="center" vertical="center" wrapText="1"/>
    </xf>
    <xf numFmtId="171" fontId="10" fillId="0" borderId="65" xfId="0" applyNumberFormat="1" applyFont="1" applyBorder="1" applyAlignment="1">
      <alignment horizontal="center" vertical="center"/>
    </xf>
    <xf numFmtId="14" fontId="10" fillId="0" borderId="66" xfId="0" applyNumberFormat="1" applyFont="1" applyBorder="1" applyAlignment="1">
      <alignment horizontal="center" vertical="center"/>
    </xf>
    <xf numFmtId="0" fontId="10" fillId="0" borderId="66" xfId="0" applyFont="1" applyBorder="1" applyAlignment="1">
      <alignment horizontal="center" vertical="center"/>
    </xf>
    <xf numFmtId="4" fontId="10" fillId="0" borderId="67" xfId="0" applyNumberFormat="1" applyFont="1" applyBorder="1" applyAlignment="1">
      <alignment horizontal="center" vertical="center"/>
    </xf>
    <xf numFmtId="4" fontId="10" fillId="0" borderId="66" xfId="0" applyNumberFormat="1" applyFont="1" applyBorder="1" applyAlignment="1">
      <alignment horizontal="center" vertical="center"/>
    </xf>
    <xf numFmtId="177" fontId="10" fillId="0" borderId="66" xfId="0" applyNumberFormat="1" applyFont="1" applyBorder="1" applyAlignment="1">
      <alignment horizontal="center" vertical="center"/>
    </xf>
    <xf numFmtId="10" fontId="10" fillId="0" borderId="66" xfId="0" applyNumberFormat="1" applyFont="1" applyBorder="1" applyAlignment="1">
      <alignment horizontal="center" vertical="center"/>
    </xf>
    <xf numFmtId="10" fontId="10" fillId="0" borderId="68" xfId="0" applyNumberFormat="1" applyFont="1" applyBorder="1" applyAlignment="1">
      <alignment horizontal="center" vertical="center"/>
    </xf>
    <xf numFmtId="0" fontId="55" fillId="9" borderId="0" xfId="0" applyFont="1" applyFill="1"/>
    <xf numFmtId="171" fontId="10" fillId="0" borderId="12" xfId="0" applyNumberFormat="1" applyFont="1" applyBorder="1" applyAlignment="1">
      <alignment horizontal="center" vertical="center"/>
    </xf>
    <xf numFmtId="14" fontId="10" fillId="0" borderId="13" xfId="0" applyNumberFormat="1" applyFont="1" applyBorder="1" applyAlignment="1">
      <alignment horizontal="center" vertical="center"/>
    </xf>
    <xf numFmtId="0" fontId="10" fillId="0" borderId="13" xfId="0" applyFont="1" applyBorder="1" applyAlignment="1">
      <alignment horizontal="center" vertical="center"/>
    </xf>
    <xf numFmtId="4" fontId="10" fillId="0" borderId="13" xfId="0" applyNumberFormat="1" applyFont="1" applyBorder="1" applyAlignment="1">
      <alignment horizontal="center" vertical="center"/>
    </xf>
    <xf numFmtId="177" fontId="10" fillId="0" borderId="13" xfId="0" applyNumberFormat="1" applyFont="1" applyBorder="1" applyAlignment="1">
      <alignment horizontal="center" vertical="center"/>
    </xf>
    <xf numFmtId="10" fontId="10" fillId="0" borderId="13" xfId="0" applyNumberFormat="1" applyFont="1" applyBorder="1" applyAlignment="1">
      <alignment horizontal="center" vertical="center"/>
    </xf>
    <xf numFmtId="10" fontId="10" fillId="0" borderId="14" xfId="0" applyNumberFormat="1" applyFont="1" applyBorder="1" applyAlignment="1">
      <alignment horizontal="center" vertical="center"/>
    </xf>
    <xf numFmtId="171" fontId="56" fillId="0" borderId="12" xfId="0" applyNumberFormat="1" applyFont="1" applyBorder="1" applyAlignment="1">
      <alignment horizontal="center" vertical="center"/>
    </xf>
    <xf numFmtId="14" fontId="56" fillId="0" borderId="13" xfId="0" applyNumberFormat="1" applyFont="1" applyBorder="1" applyAlignment="1">
      <alignment horizontal="center" vertical="center"/>
    </xf>
    <xf numFmtId="0" fontId="56" fillId="0" borderId="13" xfId="0" applyFont="1" applyBorder="1" applyAlignment="1">
      <alignment horizontal="center" vertical="center"/>
    </xf>
    <xf numFmtId="4" fontId="56" fillId="0" borderId="13" xfId="0" applyNumberFormat="1" applyFont="1" applyBorder="1" applyAlignment="1">
      <alignment horizontal="center" vertical="center"/>
    </xf>
    <xf numFmtId="177" fontId="56" fillId="0" borderId="13" xfId="0" applyNumberFormat="1" applyFont="1" applyBorder="1" applyAlignment="1">
      <alignment horizontal="center" vertical="center"/>
    </xf>
    <xf numFmtId="0" fontId="53" fillId="0" borderId="0" xfId="0" applyFont="1"/>
    <xf numFmtId="0" fontId="53" fillId="0" borderId="0" xfId="0" applyFont="1" applyAlignment="1">
      <alignment vertical="center"/>
    </xf>
    <xf numFmtId="4" fontId="10" fillId="0" borderId="13" xfId="0" applyNumberFormat="1" applyFont="1" applyBorder="1" applyAlignment="1">
      <alignment horizontal="center" vertical="center" wrapText="1"/>
    </xf>
    <xf numFmtId="4" fontId="10" fillId="2" borderId="13" xfId="0" applyNumberFormat="1" applyFont="1" applyFill="1" applyBorder="1" applyAlignment="1">
      <alignment horizontal="center" vertical="center"/>
    </xf>
    <xf numFmtId="0" fontId="57" fillId="4" borderId="0" xfId="0" applyFont="1" applyFill="1" applyAlignment="1">
      <alignment horizontal="center" vertical="center"/>
    </xf>
    <xf numFmtId="171" fontId="56" fillId="4" borderId="12" xfId="0" applyNumberFormat="1" applyFont="1" applyFill="1" applyBorder="1" applyAlignment="1">
      <alignment horizontal="center" vertical="center"/>
    </xf>
    <xf numFmtId="14" fontId="56" fillId="4" borderId="13" xfId="0" applyNumberFormat="1" applyFont="1" applyFill="1" applyBorder="1" applyAlignment="1">
      <alignment horizontal="center"/>
    </xf>
    <xf numFmtId="0" fontId="56" fillId="4" borderId="13" xfId="0" applyFont="1" applyFill="1" applyBorder="1" applyAlignment="1">
      <alignment horizontal="center"/>
    </xf>
    <xf numFmtId="4" fontId="56" fillId="4" borderId="13" xfId="0" applyNumberFormat="1" applyFont="1" applyFill="1" applyBorder="1" applyAlignment="1">
      <alignment horizontal="center"/>
    </xf>
    <xf numFmtId="177" fontId="56" fillId="4" borderId="13" xfId="0" applyNumberFormat="1" applyFont="1" applyFill="1" applyBorder="1" applyAlignment="1">
      <alignment horizontal="center"/>
    </xf>
    <xf numFmtId="10" fontId="56" fillId="4" borderId="13" xfId="0" applyNumberFormat="1" applyFont="1" applyFill="1" applyBorder="1" applyAlignment="1">
      <alignment horizontal="center"/>
    </xf>
    <xf numFmtId="10" fontId="56" fillId="4" borderId="14" xfId="0" applyNumberFormat="1" applyFont="1" applyFill="1" applyBorder="1" applyAlignment="1">
      <alignment horizontal="center"/>
    </xf>
    <xf numFmtId="4" fontId="10" fillId="0" borderId="13" xfId="0" applyNumberFormat="1" applyFont="1" applyBorder="1" applyAlignment="1">
      <alignment horizontal="center"/>
    </xf>
    <xf numFmtId="0" fontId="59" fillId="0" borderId="0" xfId="0" applyFont="1"/>
    <xf numFmtId="171" fontId="10" fillId="0" borderId="12" xfId="0" applyNumberFormat="1" applyFont="1" applyBorder="1" applyAlignment="1">
      <alignment horizontal="center"/>
    </xf>
    <xf numFmtId="14" fontId="10" fillId="2" borderId="13" xfId="0" applyNumberFormat="1" applyFont="1" applyFill="1" applyBorder="1" applyAlignment="1">
      <alignment horizontal="center"/>
    </xf>
    <xf numFmtId="14" fontId="10" fillId="0" borderId="13" xfId="0" applyNumberFormat="1" applyFont="1" applyBorder="1" applyAlignment="1">
      <alignment horizontal="center"/>
    </xf>
    <xf numFmtId="0" fontId="10" fillId="2" borderId="13" xfId="0" applyFont="1" applyFill="1" applyBorder="1" applyAlignment="1">
      <alignment horizontal="center"/>
    </xf>
    <xf numFmtId="171" fontId="52" fillId="0" borderId="12" xfId="0" applyNumberFormat="1" applyFont="1" applyBorder="1" applyAlignment="1">
      <alignment horizontal="center"/>
    </xf>
    <xf numFmtId="14" fontId="52" fillId="2" borderId="13" xfId="0" applyNumberFormat="1" applyFont="1" applyFill="1" applyBorder="1" applyAlignment="1">
      <alignment horizontal="center"/>
    </xf>
    <xf numFmtId="14" fontId="52" fillId="0" borderId="13" xfId="0" applyNumberFormat="1" applyFont="1" applyBorder="1" applyAlignment="1">
      <alignment horizontal="center"/>
    </xf>
    <xf numFmtId="0" fontId="52" fillId="2" borderId="13" xfId="0" applyFont="1" applyFill="1" applyBorder="1" applyAlignment="1">
      <alignment horizontal="center"/>
    </xf>
    <xf numFmtId="4" fontId="52" fillId="0" borderId="13" xfId="0" applyNumberFormat="1" applyFont="1" applyBorder="1" applyAlignment="1">
      <alignment horizontal="center"/>
    </xf>
    <xf numFmtId="4" fontId="52" fillId="0" borderId="13" xfId="0" applyNumberFormat="1" applyFont="1" applyBorder="1" applyAlignment="1">
      <alignment horizontal="center" vertical="center"/>
    </xf>
    <xf numFmtId="177" fontId="52" fillId="0" borderId="13" xfId="0" applyNumberFormat="1" applyFont="1" applyBorder="1" applyAlignment="1">
      <alignment horizontal="center" vertical="center"/>
    </xf>
    <xf numFmtId="10" fontId="52" fillId="0" borderId="13" xfId="0" applyNumberFormat="1" applyFont="1" applyBorder="1" applyAlignment="1">
      <alignment horizontal="center" vertical="center"/>
    </xf>
    <xf numFmtId="0" fontId="55" fillId="0" borderId="0" xfId="0" applyFont="1"/>
    <xf numFmtId="0" fontId="52" fillId="0" borderId="13" xfId="0" applyFont="1" applyBorder="1" applyAlignment="1">
      <alignment horizontal="center"/>
    </xf>
    <xf numFmtId="177" fontId="52" fillId="0" borderId="13" xfId="0" applyNumberFormat="1" applyFont="1" applyBorder="1" applyAlignment="1">
      <alignment horizontal="center"/>
    </xf>
    <xf numFmtId="4" fontId="52" fillId="2" borderId="13" xfId="0" applyNumberFormat="1" applyFont="1" applyFill="1" applyBorder="1" applyAlignment="1">
      <alignment horizontal="center"/>
    </xf>
    <xf numFmtId="177" fontId="52" fillId="2" borderId="13" xfId="0" applyNumberFormat="1" applyFont="1" applyFill="1" applyBorder="1" applyAlignment="1">
      <alignment horizontal="center"/>
    </xf>
    <xf numFmtId="10" fontId="52" fillId="2" borderId="13" xfId="0" applyNumberFormat="1" applyFont="1" applyFill="1" applyBorder="1" applyAlignment="1">
      <alignment horizontal="center"/>
    </xf>
    <xf numFmtId="10" fontId="52" fillId="2" borderId="14" xfId="0" applyNumberFormat="1" applyFont="1" applyFill="1" applyBorder="1" applyAlignment="1">
      <alignment horizontal="center"/>
    </xf>
    <xf numFmtId="10" fontId="59" fillId="0" borderId="0" xfId="16" applyNumberFormat="1" applyFont="1"/>
    <xf numFmtId="0" fontId="52" fillId="2" borderId="51" xfId="0" applyFont="1" applyFill="1" applyBorder="1" applyAlignment="1">
      <alignment horizontal="center"/>
    </xf>
    <xf numFmtId="0" fontId="52" fillId="2" borderId="69" xfId="0" applyFont="1" applyFill="1" applyBorder="1" applyAlignment="1">
      <alignment horizontal="center"/>
    </xf>
    <xf numFmtId="4" fontId="52" fillId="2" borderId="69" xfId="0" applyNumberFormat="1" applyFont="1" applyFill="1" applyBorder="1" applyAlignment="1">
      <alignment horizontal="center"/>
    </xf>
    <xf numFmtId="10" fontId="52" fillId="2" borderId="69" xfId="0" applyNumberFormat="1" applyFont="1" applyFill="1" applyBorder="1" applyAlignment="1">
      <alignment horizontal="center"/>
    </xf>
    <xf numFmtId="10" fontId="52" fillId="2" borderId="53" xfId="0" applyNumberFormat="1" applyFont="1" applyFill="1" applyBorder="1" applyAlignment="1">
      <alignment horizontal="center"/>
    </xf>
    <xf numFmtId="0" fontId="60" fillId="2" borderId="10" xfId="3" applyFont="1" applyFill="1" applyBorder="1" applyAlignment="1">
      <alignment horizontal="center" vertical="center"/>
    </xf>
    <xf numFmtId="4" fontId="60" fillId="2" borderId="10" xfId="3" applyNumberFormat="1" applyFont="1" applyFill="1" applyBorder="1" applyAlignment="1">
      <alignment horizontal="center" vertical="center"/>
    </xf>
    <xf numFmtId="10" fontId="60" fillId="2" borderId="10" xfId="3" applyNumberFormat="1" applyFont="1" applyFill="1" applyBorder="1" applyAlignment="1">
      <alignment horizontal="center" vertical="center"/>
    </xf>
    <xf numFmtId="10" fontId="60" fillId="2" borderId="11" xfId="3" applyNumberFormat="1" applyFont="1" applyFill="1" applyBorder="1" applyAlignment="1">
      <alignment horizontal="center" vertical="center"/>
    </xf>
    <xf numFmtId="0" fontId="59" fillId="0" borderId="0" xfId="3" applyFont="1"/>
    <xf numFmtId="4" fontId="10" fillId="0" borderId="68" xfId="3" applyNumberFormat="1" applyFont="1" applyBorder="1" applyAlignment="1">
      <alignment horizontal="center" vertical="center"/>
    </xf>
    <xf numFmtId="178" fontId="10" fillId="0" borderId="19" xfId="3" applyNumberFormat="1" applyFont="1" applyBorder="1" applyAlignment="1">
      <alignment horizontal="center" vertical="center"/>
    </xf>
    <xf numFmtId="3" fontId="10" fillId="0" borderId="53" xfId="3" applyNumberFormat="1" applyFont="1" applyBorder="1" applyAlignment="1">
      <alignment horizontal="center" vertical="center"/>
    </xf>
    <xf numFmtId="0" fontId="3" fillId="2" borderId="43" xfId="3" applyFill="1" applyBorder="1"/>
    <xf numFmtId="4" fontId="52" fillId="0" borderId="68" xfId="3" applyNumberFormat="1" applyFont="1" applyBorder="1" applyAlignment="1">
      <alignment horizontal="center" vertical="center"/>
    </xf>
    <xf numFmtId="178" fontId="52" fillId="0" borderId="19" xfId="3" applyNumberFormat="1" applyFont="1" applyBorder="1" applyAlignment="1">
      <alignment horizontal="center" vertical="center"/>
    </xf>
    <xf numFmtId="3" fontId="52" fillId="0" borderId="53" xfId="3" applyNumberFormat="1" applyFont="1" applyBorder="1" applyAlignment="1">
      <alignment horizontal="center" vertical="center"/>
    </xf>
    <xf numFmtId="0" fontId="3" fillId="2" borderId="17" xfId="3" applyFill="1" applyBorder="1"/>
    <xf numFmtId="0" fontId="3" fillId="0" borderId="0" xfId="3" applyAlignment="1">
      <alignment horizontal="right"/>
    </xf>
    <xf numFmtId="4" fontId="3" fillId="0" borderId="0" xfId="3" applyNumberFormat="1"/>
    <xf numFmtId="177" fontId="3" fillId="0" borderId="0" xfId="3" applyNumberFormat="1" applyAlignment="1">
      <alignment horizontal="center"/>
    </xf>
    <xf numFmtId="0" fontId="36" fillId="0" borderId="0" xfId="3" applyFont="1" applyAlignment="1">
      <alignment horizontal="center"/>
    </xf>
    <xf numFmtId="178" fontId="3" fillId="0" borderId="0" xfId="3" applyNumberFormat="1"/>
    <xf numFmtId="179" fontId="3" fillId="0" borderId="0" xfId="3" applyNumberFormat="1"/>
    <xf numFmtId="176" fontId="3" fillId="0" borderId="0" xfId="3" applyNumberFormat="1"/>
    <xf numFmtId="0" fontId="6" fillId="0" borderId="31" xfId="3" applyFont="1" applyBorder="1" applyAlignment="1">
      <alignment horizontal="center" vertical="center" wrapText="1"/>
    </xf>
    <xf numFmtId="43" fontId="6" fillId="0" borderId="33" xfId="1" applyFont="1" applyFill="1" applyBorder="1" applyAlignment="1">
      <alignment horizontal="center" vertical="distributed" wrapText="1"/>
    </xf>
    <xf numFmtId="1" fontId="6" fillId="0" borderId="48" xfId="1" applyNumberFormat="1" applyFont="1" applyFill="1" applyBorder="1" applyAlignment="1">
      <alignment horizontal="center" vertical="distributed" wrapText="1"/>
    </xf>
    <xf numFmtId="2" fontId="6" fillId="0" borderId="54" xfId="1" applyNumberFormat="1" applyFont="1" applyFill="1" applyBorder="1" applyAlignment="1">
      <alignment horizontal="center" vertical="distributed" wrapText="1"/>
    </xf>
    <xf numFmtId="165" fontId="6" fillId="0" borderId="54" xfId="1" applyNumberFormat="1" applyFont="1" applyFill="1" applyBorder="1" applyAlignment="1">
      <alignment horizontal="center" vertical="distributed" wrapText="1"/>
    </xf>
    <xf numFmtId="2" fontId="6" fillId="0" borderId="31" xfId="1" applyNumberFormat="1" applyFont="1" applyFill="1" applyBorder="1" applyAlignment="1">
      <alignment horizontal="center" vertical="center" wrapText="1"/>
    </xf>
    <xf numFmtId="2" fontId="6" fillId="0" borderId="33" xfId="1" applyNumberFormat="1" applyFont="1" applyFill="1" applyBorder="1" applyAlignment="1">
      <alignment horizontal="center" vertical="center" wrapText="1"/>
    </xf>
    <xf numFmtId="2" fontId="6" fillId="0" borderId="32" xfId="1" applyNumberFormat="1" applyFont="1" applyFill="1" applyBorder="1" applyAlignment="1">
      <alignment horizontal="center" vertical="center" wrapText="1"/>
    </xf>
    <xf numFmtId="2" fontId="6" fillId="0" borderId="31" xfId="1" applyNumberFormat="1" applyFont="1" applyFill="1" applyBorder="1" applyAlignment="1">
      <alignment horizontal="center" vertical="distributed" wrapText="1"/>
    </xf>
    <xf numFmtId="2" fontId="6" fillId="0" borderId="56" xfId="3" applyNumberFormat="1" applyFont="1" applyBorder="1" applyAlignment="1">
      <alignment horizontal="center" vertical="center" wrapText="1"/>
    </xf>
    <xf numFmtId="172" fontId="6" fillId="0" borderId="56" xfId="3" applyNumberFormat="1" applyFont="1" applyBorder="1" applyAlignment="1">
      <alignment horizontal="center" vertical="center" wrapText="1"/>
    </xf>
    <xf numFmtId="0" fontId="6" fillId="0" borderId="56" xfId="3" applyFont="1" applyBorder="1" applyAlignment="1">
      <alignment horizontal="center" vertical="top" wrapText="1"/>
    </xf>
    <xf numFmtId="172" fontId="6" fillId="0" borderId="49" xfId="3" applyNumberFormat="1" applyFont="1" applyBorder="1" applyAlignment="1">
      <alignment horizontal="center" vertical="center" wrapText="1"/>
    </xf>
    <xf numFmtId="0" fontId="6" fillId="0" borderId="31" xfId="3" applyFont="1" applyBorder="1" applyAlignment="1">
      <alignment horizontal="center" vertical="distributed" wrapText="1"/>
    </xf>
    <xf numFmtId="0" fontId="6" fillId="0" borderId="33" xfId="3" applyFont="1" applyBorder="1" applyAlignment="1">
      <alignment horizontal="center" vertical="center" wrapText="1"/>
    </xf>
    <xf numFmtId="0" fontId="6" fillId="0" borderId="50" xfId="12" quotePrefix="1" applyFont="1" applyBorder="1" applyAlignment="1">
      <alignment horizontal="left" vertical="center" wrapText="1"/>
    </xf>
    <xf numFmtId="169" fontId="3" fillId="0" borderId="48" xfId="8" applyNumberFormat="1" applyFill="1" applyBorder="1" applyAlignment="1">
      <alignment horizontal="center" vertical="center" wrapText="1"/>
    </xf>
    <xf numFmtId="1" fontId="6" fillId="0" borderId="31" xfId="3" applyNumberFormat="1" applyFont="1" applyBorder="1" applyAlignment="1">
      <alignment horizontal="left" vertical="center" wrapText="1"/>
    </xf>
    <xf numFmtId="14" fontId="6" fillId="0" borderId="31" xfId="3" applyNumberFormat="1" applyFont="1" applyBorder="1" applyAlignment="1">
      <alignment horizontal="center" vertical="center" wrapText="1"/>
    </xf>
    <xf numFmtId="14" fontId="6" fillId="0" borderId="32" xfId="3" applyNumberFormat="1" applyFont="1" applyBorder="1" applyAlignment="1">
      <alignment horizontal="center" vertical="center" wrapText="1"/>
    </xf>
    <xf numFmtId="14" fontId="6" fillId="0" borderId="33" xfId="3" applyNumberFormat="1" applyFont="1" applyBorder="1" applyAlignment="1">
      <alignment horizontal="center" vertical="center" wrapText="1"/>
    </xf>
    <xf numFmtId="43" fontId="6" fillId="0" borderId="31" xfId="1" applyFont="1" applyFill="1" applyBorder="1" applyAlignment="1">
      <alignment horizontal="center" vertical="center" wrapText="1"/>
    </xf>
    <xf numFmtId="43" fontId="6" fillId="0" borderId="33" xfId="1" applyFont="1" applyFill="1" applyBorder="1" applyAlignment="1">
      <alignment horizontal="center" vertical="center" wrapText="1"/>
    </xf>
    <xf numFmtId="43" fontId="6" fillId="0" borderId="32" xfId="1" applyFont="1" applyFill="1" applyBorder="1" applyAlignment="1">
      <alignment horizontal="center" vertical="center" wrapText="1"/>
    </xf>
    <xf numFmtId="1" fontId="5" fillId="0" borderId="31" xfId="3" applyNumberFormat="1" applyFont="1" applyBorder="1" applyAlignment="1">
      <alignment horizontal="left" vertical="center" wrapText="1"/>
    </xf>
    <xf numFmtId="165" fontId="6" fillId="0" borderId="36" xfId="3" applyNumberFormat="1" applyFont="1" applyBorder="1" applyAlignment="1">
      <alignment horizontal="center" vertical="center" wrapText="1"/>
    </xf>
    <xf numFmtId="0" fontId="3" fillId="0" borderId="48" xfId="3" applyBorder="1" applyAlignment="1">
      <alignment horizontal="center" vertical="distributed" wrapText="1"/>
    </xf>
    <xf numFmtId="0" fontId="5" fillId="0" borderId="48" xfId="3" applyFont="1" applyBorder="1" applyAlignment="1">
      <alignment horizontal="center" vertical="distributed" wrapText="1"/>
    </xf>
    <xf numFmtId="175" fontId="6" fillId="0" borderId="54" xfId="3" applyNumberFormat="1" applyFont="1" applyBorder="1" applyAlignment="1">
      <alignment horizontal="center" vertical="center" wrapText="1"/>
    </xf>
    <xf numFmtId="172" fontId="6" fillId="0" borderId="54" xfId="1" applyNumberFormat="1" applyFont="1" applyFill="1" applyBorder="1" applyAlignment="1">
      <alignment horizontal="center" vertical="center" wrapText="1"/>
    </xf>
    <xf numFmtId="1" fontId="6" fillId="0" borderId="54" xfId="1" applyNumberFormat="1" applyFont="1" applyFill="1" applyBorder="1" applyAlignment="1">
      <alignment horizontal="center" vertical="center" wrapText="1"/>
    </xf>
    <xf numFmtId="2" fontId="6" fillId="0" borderId="54" xfId="1" applyNumberFormat="1" applyFont="1" applyBorder="1" applyAlignment="1">
      <alignment horizontal="center" vertical="center" wrapText="1"/>
    </xf>
    <xf numFmtId="165" fontId="6" fillId="0" borderId="54" xfId="3" applyNumberFormat="1" applyFont="1" applyBorder="1" applyAlignment="1">
      <alignment vertical="center" wrapText="1"/>
    </xf>
    <xf numFmtId="165" fontId="6" fillId="0" borderId="31" xfId="3" applyNumberFormat="1" applyFont="1" applyBorder="1" applyAlignment="1">
      <alignment horizontal="center" vertical="center" wrapText="1"/>
    </xf>
    <xf numFmtId="0" fontId="5" fillId="2" borderId="44" xfId="0" quotePrefix="1" applyFont="1" applyFill="1" applyBorder="1" applyAlignment="1">
      <alignment vertical="center" wrapText="1"/>
    </xf>
    <xf numFmtId="4" fontId="10" fillId="2" borderId="13" xfId="0" applyNumberFormat="1" applyFont="1" applyFill="1" applyBorder="1" applyAlignment="1">
      <alignment horizontal="center"/>
    </xf>
    <xf numFmtId="0" fontId="6" fillId="0" borderId="42" xfId="3" applyFont="1" applyBorder="1" applyAlignment="1">
      <alignment horizontal="center" vertical="center" wrapText="1"/>
    </xf>
    <xf numFmtId="1" fontId="5" fillId="0" borderId="48" xfId="3" applyNumberFormat="1" applyFont="1" applyBorder="1" applyAlignment="1">
      <alignment horizontal="left" vertical="center" wrapText="1"/>
    </xf>
    <xf numFmtId="2" fontId="6" fillId="0" borderId="33" xfId="1" applyNumberFormat="1" applyFont="1" applyFill="1" applyBorder="1" applyAlignment="1">
      <alignment horizontal="center" vertical="distributed" wrapText="1"/>
    </xf>
    <xf numFmtId="17" fontId="5" fillId="0" borderId="48" xfId="3" applyNumberFormat="1" applyFont="1" applyBorder="1" applyAlignment="1">
      <alignment horizontal="center" vertical="distributed" wrapText="1"/>
    </xf>
    <xf numFmtId="17" fontId="5" fillId="0" borderId="49" xfId="3" applyNumberFormat="1" applyFont="1" applyBorder="1" applyAlignment="1">
      <alignment horizontal="center" vertical="distributed" wrapText="1"/>
    </xf>
    <xf numFmtId="14" fontId="6" fillId="0" borderId="36" xfId="3" applyNumberFormat="1" applyFont="1" applyBorder="1" applyAlignment="1">
      <alignment horizontal="center" vertical="center" wrapText="1"/>
    </xf>
    <xf numFmtId="14" fontId="6" fillId="0" borderId="23" xfId="3" applyNumberFormat="1" applyFont="1" applyBorder="1" applyAlignment="1">
      <alignment horizontal="center" vertical="center" wrapText="1"/>
    </xf>
    <xf numFmtId="14" fontId="6" fillId="0" borderId="37" xfId="3" applyNumberFormat="1" applyFont="1" applyBorder="1" applyAlignment="1">
      <alignment horizontal="center" vertical="center" wrapText="1"/>
    </xf>
    <xf numFmtId="180" fontId="6" fillId="0" borderId="34" xfId="3" applyNumberFormat="1" applyFont="1" applyBorder="1" applyAlignment="1">
      <alignment horizontal="left" vertical="center" wrapText="1"/>
    </xf>
    <xf numFmtId="180" fontId="6" fillId="0" borderId="34" xfId="3" applyNumberFormat="1" applyFont="1" applyBorder="1" applyAlignment="1">
      <alignment horizontal="center" vertical="center" wrapText="1"/>
    </xf>
    <xf numFmtId="4" fontId="6" fillId="0" borderId="36" xfId="3" applyNumberFormat="1" applyFont="1" applyBorder="1" applyAlignment="1">
      <alignment horizontal="center" vertical="center" wrapText="1"/>
    </xf>
    <xf numFmtId="1" fontId="5" fillId="0" borderId="42" xfId="3" applyNumberFormat="1" applyFont="1" applyBorder="1" applyAlignment="1">
      <alignment horizontal="center" vertical="center" wrapText="1"/>
    </xf>
    <xf numFmtId="0" fontId="6" fillId="0" borderId="43" xfId="3" applyFont="1" applyBorder="1" applyAlignment="1">
      <alignment horizontal="center" vertical="center" wrapText="1"/>
    </xf>
    <xf numFmtId="0" fontId="6" fillId="0" borderId="0" xfId="3" applyFont="1" applyAlignment="1">
      <alignment horizontal="center" vertical="center" wrapText="1"/>
    </xf>
    <xf numFmtId="0" fontId="6" fillId="0" borderId="3" xfId="3" applyFont="1" applyBorder="1" applyAlignment="1">
      <alignment horizontal="center" vertical="center" wrapText="1"/>
    </xf>
    <xf numFmtId="0" fontId="6" fillId="0" borderId="42" xfId="3" applyFont="1" applyBorder="1" applyAlignment="1">
      <alignment horizontal="center" vertical="top" wrapText="1"/>
    </xf>
    <xf numFmtId="165" fontId="6" fillId="0" borderId="42" xfId="3" applyNumberFormat="1" applyFont="1" applyBorder="1" applyAlignment="1">
      <alignment horizontal="right" vertical="center" wrapText="1"/>
    </xf>
    <xf numFmtId="165" fontId="6" fillId="0" borderId="42" xfId="3" applyNumberFormat="1" applyFont="1" applyBorder="1" applyAlignment="1">
      <alignment horizontal="center" vertical="center" wrapText="1"/>
    </xf>
    <xf numFmtId="171" fontId="6" fillId="0" borderId="42" xfId="3" applyNumberFormat="1" applyFont="1" applyBorder="1" applyAlignment="1">
      <alignment horizontal="center" vertical="center" wrapText="1"/>
    </xf>
    <xf numFmtId="0" fontId="5" fillId="0" borderId="42" xfId="3" applyFont="1" applyBorder="1" applyAlignment="1">
      <alignment horizontal="center" vertical="distributed" wrapText="1"/>
    </xf>
    <xf numFmtId="0" fontId="62" fillId="0" borderId="0" xfId="0" applyFont="1" applyAlignment="1">
      <alignment vertical="center"/>
    </xf>
    <xf numFmtId="0" fontId="0" fillId="2" borderId="1" xfId="0" applyFill="1" applyBorder="1"/>
    <xf numFmtId="0" fontId="0" fillId="2" borderId="44" xfId="0" applyFill="1" applyBorder="1"/>
    <xf numFmtId="0" fontId="0" fillId="2" borderId="3" xfId="0" applyFill="1" applyBorder="1"/>
    <xf numFmtId="0" fontId="0" fillId="2" borderId="0" xfId="0" applyFill="1"/>
    <xf numFmtId="0" fontId="0" fillId="10" borderId="2" xfId="0" applyFill="1" applyBorder="1" applyAlignment="1">
      <alignment horizontal="center"/>
    </xf>
    <xf numFmtId="0" fontId="0" fillId="0" borderId="2" xfId="0" applyBorder="1"/>
    <xf numFmtId="0" fontId="0" fillId="4" borderId="2" xfId="0" applyFill="1" applyBorder="1"/>
    <xf numFmtId="43" fontId="0" fillId="0" borderId="0" xfId="0" applyNumberFormat="1"/>
    <xf numFmtId="0" fontId="0" fillId="0" borderId="56" xfId="0" applyBorder="1"/>
    <xf numFmtId="0" fontId="0" fillId="0" borderId="46" xfId="0" applyBorder="1" applyAlignment="1">
      <alignment horizontal="center"/>
    </xf>
    <xf numFmtId="0" fontId="0" fillId="0" borderId="81" xfId="0" applyBorder="1" applyAlignment="1">
      <alignment horizontal="center"/>
    </xf>
    <xf numFmtId="0" fontId="0" fillId="0" borderId="86" xfId="0" applyBorder="1"/>
    <xf numFmtId="165" fontId="6" fillId="0" borderId="56" xfId="3" applyNumberFormat="1" applyFont="1" applyBorder="1" applyAlignment="1">
      <alignment horizontal="center" vertical="center" wrapText="1"/>
    </xf>
    <xf numFmtId="0" fontId="5" fillId="0" borderId="56" xfId="3" applyFont="1" applyBorder="1" applyAlignment="1">
      <alignment horizontal="center" vertical="distributed" wrapText="1"/>
    </xf>
    <xf numFmtId="0" fontId="33" fillId="0" borderId="49" xfId="0" applyFont="1" applyBorder="1" applyAlignment="1">
      <alignment horizontal="center" vertical="center"/>
    </xf>
    <xf numFmtId="168" fontId="3" fillId="0" borderId="12" xfId="8" applyFill="1" applyBorder="1" applyAlignment="1">
      <alignment horizontal="center" vertical="center" wrapText="1"/>
    </xf>
    <xf numFmtId="4" fontId="3" fillId="0" borderId="49" xfId="8" applyNumberFormat="1" applyFill="1" applyBorder="1" applyAlignment="1">
      <alignment horizontal="right" vertical="center" wrapText="1"/>
    </xf>
    <xf numFmtId="43" fontId="3" fillId="0" borderId="35" xfId="1" applyFont="1" applyFill="1" applyBorder="1" applyAlignment="1">
      <alignment horizontal="center" vertical="center" wrapText="1"/>
    </xf>
    <xf numFmtId="43" fontId="3" fillId="0" borderId="19" xfId="1" applyFont="1" applyFill="1" applyBorder="1" applyAlignment="1">
      <alignment horizontal="center" vertical="center" wrapText="1"/>
    </xf>
    <xf numFmtId="43" fontId="3" fillId="0" borderId="37" xfId="1" applyFont="1" applyFill="1" applyBorder="1" applyAlignment="1">
      <alignment horizontal="center" vertical="center" wrapText="1"/>
    </xf>
    <xf numFmtId="165" fontId="3" fillId="0" borderId="0" xfId="3" applyNumberFormat="1" applyAlignment="1">
      <alignment horizontal="right" vertical="center"/>
    </xf>
    <xf numFmtId="0" fontId="46" fillId="0" borderId="57" xfId="12" applyFont="1" applyBorder="1" applyAlignment="1">
      <alignment horizontal="left" vertical="center" wrapText="1"/>
    </xf>
    <xf numFmtId="165" fontId="8" fillId="0" borderId="0" xfId="3" applyNumberFormat="1" applyFont="1" applyAlignment="1">
      <alignment horizontal="right" vertical="center"/>
    </xf>
    <xf numFmtId="0" fontId="6" fillId="0" borderId="32" xfId="12" applyFont="1" applyBorder="1" applyAlignment="1">
      <alignment horizontal="left" vertical="center" wrapText="1"/>
    </xf>
    <xf numFmtId="1" fontId="6" fillId="0" borderId="31" xfId="3" applyNumberFormat="1" applyFont="1" applyBorder="1" applyAlignment="1">
      <alignment horizontal="right" vertical="center" wrapText="1"/>
    </xf>
    <xf numFmtId="1" fontId="6" fillId="0" borderId="32" xfId="3" applyNumberFormat="1" applyFont="1" applyBorder="1" applyAlignment="1">
      <alignment horizontal="center" vertical="center" wrapText="1"/>
    </xf>
    <xf numFmtId="2" fontId="6" fillId="0" borderId="32" xfId="3" applyNumberFormat="1" applyFont="1" applyBorder="1" applyAlignment="1">
      <alignment horizontal="left" vertical="center" wrapText="1"/>
    </xf>
    <xf numFmtId="2" fontId="6" fillId="0" borderId="33" xfId="3" applyNumberFormat="1" applyFont="1" applyBorder="1" applyAlignment="1">
      <alignment horizontal="left" vertical="center" wrapText="1"/>
    </xf>
    <xf numFmtId="0" fontId="6" fillId="0" borderId="33" xfId="3" applyFont="1" applyBorder="1" applyAlignment="1">
      <alignment horizontal="center" vertical="distributed" wrapText="1"/>
    </xf>
    <xf numFmtId="4" fontId="6" fillId="0" borderId="49" xfId="3" applyNumberFormat="1" applyFont="1" applyBorder="1" applyAlignment="1">
      <alignment horizontal="center" vertical="center" wrapText="1"/>
    </xf>
    <xf numFmtId="0" fontId="3" fillId="0" borderId="54" xfId="3" applyBorder="1" applyAlignment="1">
      <alignment horizontal="left" vertical="distributed" wrapText="1"/>
    </xf>
    <xf numFmtId="172" fontId="6" fillId="0" borderId="34" xfId="3" applyNumberFormat="1" applyFont="1" applyBorder="1" applyAlignment="1">
      <alignment horizontal="center" vertical="center" wrapText="1"/>
    </xf>
    <xf numFmtId="2" fontId="6" fillId="0" borderId="56" xfId="1" applyNumberFormat="1" applyFont="1" applyFill="1" applyBorder="1" applyAlignment="1">
      <alignment horizontal="center" vertical="center" wrapText="1"/>
    </xf>
    <xf numFmtId="0" fontId="3" fillId="0" borderId="49" xfId="3" applyBorder="1" applyAlignment="1">
      <alignment horizontal="left" vertical="distributed" wrapText="1"/>
    </xf>
    <xf numFmtId="165" fontId="6" fillId="0" borderId="43" xfId="3" applyNumberFormat="1" applyFont="1" applyBorder="1" applyAlignment="1">
      <alignment horizontal="center" wrapText="1"/>
    </xf>
    <xf numFmtId="4" fontId="6" fillId="0" borderId="57" xfId="3" applyNumberFormat="1" applyFont="1" applyBorder="1" applyAlignment="1">
      <alignment horizontal="right" vertical="center" wrapText="1"/>
    </xf>
    <xf numFmtId="182" fontId="6" fillId="0" borderId="57" xfId="3" applyNumberFormat="1" applyFont="1" applyBorder="1" applyAlignment="1">
      <alignment horizontal="right" vertical="center" wrapText="1"/>
    </xf>
    <xf numFmtId="2" fontId="6" fillId="0" borderId="24" xfId="3" applyNumberFormat="1" applyFont="1" applyBorder="1" applyAlignment="1">
      <alignment horizontal="center" vertical="center" wrapText="1"/>
    </xf>
    <xf numFmtId="4" fontId="6" fillId="0" borderId="49" xfId="1" applyNumberFormat="1" applyFont="1" applyFill="1" applyBorder="1" applyAlignment="1">
      <alignment horizontal="right" vertical="distributed" wrapText="1"/>
    </xf>
    <xf numFmtId="2" fontId="6" fillId="0" borderId="32" xfId="3" applyNumberFormat="1" applyFont="1" applyBorder="1" applyAlignment="1">
      <alignment horizontal="center" vertical="center" wrapText="1"/>
    </xf>
    <xf numFmtId="4" fontId="6" fillId="0" borderId="54" xfId="1" applyNumberFormat="1" applyFont="1" applyFill="1" applyBorder="1" applyAlignment="1">
      <alignment horizontal="right" vertical="distributed" wrapText="1"/>
    </xf>
    <xf numFmtId="4" fontId="6" fillId="0" borderId="49" xfId="3" applyNumberFormat="1" applyFont="1" applyBorder="1" applyAlignment="1">
      <alignment horizontal="right" vertical="center" wrapText="1"/>
    </xf>
    <xf numFmtId="165" fontId="6" fillId="0" borderId="23" xfId="3" applyNumberFormat="1" applyFont="1" applyBorder="1" applyAlignment="1">
      <alignment horizontal="center" vertical="center" wrapText="1"/>
    </xf>
    <xf numFmtId="0" fontId="52" fillId="0" borderId="13" xfId="0" applyFont="1" applyBorder="1" applyAlignment="1">
      <alignment horizontal="center" vertical="center"/>
    </xf>
    <xf numFmtId="4" fontId="6" fillId="0" borderId="34" xfId="3" applyNumberFormat="1" applyFont="1" applyBorder="1" applyAlignment="1">
      <alignment horizontal="center" vertical="center" wrapText="1"/>
    </xf>
    <xf numFmtId="4" fontId="6" fillId="0" borderId="48" xfId="3" applyNumberFormat="1" applyFont="1" applyBorder="1" applyAlignment="1">
      <alignment horizontal="center" vertical="center" wrapText="1"/>
    </xf>
    <xf numFmtId="49" fontId="6" fillId="0" borderId="42" xfId="12" applyNumberFormat="1" applyFont="1" applyBorder="1" applyAlignment="1">
      <alignment horizontal="center" vertical="center" wrapText="1"/>
    </xf>
    <xf numFmtId="1" fontId="5" fillId="0" borderId="65" xfId="3" applyNumberFormat="1" applyFont="1" applyBorder="1" applyAlignment="1">
      <alignment horizontal="center" vertical="center" wrapText="1"/>
    </xf>
    <xf numFmtId="0" fontId="6" fillId="0" borderId="66" xfId="3" applyFont="1" applyBorder="1" applyAlignment="1">
      <alignment horizontal="center" vertical="center" wrapText="1"/>
    </xf>
    <xf numFmtId="49" fontId="6" fillId="0" borderId="12" xfId="12" applyNumberFormat="1" applyFont="1" applyBorder="1" applyAlignment="1">
      <alignment horizontal="center" vertical="center" wrapText="1"/>
    </xf>
    <xf numFmtId="49" fontId="6" fillId="0" borderId="51" xfId="12" applyNumberFormat="1" applyFont="1" applyBorder="1" applyAlignment="1">
      <alignment horizontal="center" vertical="center" wrapText="1"/>
    </xf>
    <xf numFmtId="1" fontId="6" fillId="0" borderId="36" xfId="3" applyNumberFormat="1" applyFont="1" applyBorder="1" applyAlignment="1">
      <alignment horizontal="center" vertical="center" wrapText="1"/>
    </xf>
    <xf numFmtId="2" fontId="6" fillId="0" borderId="37" xfId="3" applyNumberFormat="1" applyFont="1" applyBorder="1" applyAlignment="1">
      <alignment horizontal="center" vertical="center" wrapText="1"/>
    </xf>
    <xf numFmtId="1" fontId="6" fillId="0" borderId="13" xfId="3" applyNumberFormat="1" applyFont="1" applyBorder="1" applyAlignment="1">
      <alignment horizontal="center" vertical="distributed" wrapText="1"/>
    </xf>
    <xf numFmtId="0" fontId="6" fillId="0" borderId="13" xfId="3" applyFont="1" applyBorder="1" applyAlignment="1">
      <alignment horizontal="center" vertical="distributed" wrapText="1"/>
    </xf>
    <xf numFmtId="2" fontId="6" fillId="0" borderId="13" xfId="3" applyNumberFormat="1" applyFont="1" applyBorder="1" applyAlignment="1">
      <alignment horizontal="center" vertical="distributed" wrapText="1"/>
    </xf>
    <xf numFmtId="165" fontId="6" fillId="0" borderId="35" xfId="3" applyNumberFormat="1" applyFont="1" applyBorder="1" applyAlignment="1">
      <alignment horizontal="center" vertical="center" wrapText="1"/>
    </xf>
    <xf numFmtId="4" fontId="6" fillId="0" borderId="24" xfId="3" applyNumberFormat="1" applyFont="1" applyBorder="1" applyAlignment="1">
      <alignment horizontal="center" vertical="center" wrapText="1"/>
    </xf>
    <xf numFmtId="165" fontId="6" fillId="0" borderId="34" xfId="3" applyNumberFormat="1" applyFont="1" applyBorder="1" applyAlignment="1">
      <alignment horizontal="center" vertical="center" wrapText="1"/>
    </xf>
    <xf numFmtId="172" fontId="6" fillId="0" borderId="24" xfId="3" applyNumberFormat="1" applyFont="1" applyBorder="1" applyAlignment="1">
      <alignment horizontal="center" vertical="center" wrapText="1"/>
    </xf>
    <xf numFmtId="1" fontId="6" fillId="0" borderId="32" xfId="3" applyNumberFormat="1" applyFont="1" applyBorder="1" applyAlignment="1">
      <alignment horizontal="center" vertical="distributed" wrapText="1"/>
    </xf>
    <xf numFmtId="2" fontId="6" fillId="0" borderId="32" xfId="3" applyNumberFormat="1" applyFont="1" applyBorder="1" applyAlignment="1">
      <alignment horizontal="center" vertical="distributed" wrapText="1"/>
    </xf>
    <xf numFmtId="165" fontId="6" fillId="0" borderId="33" xfId="3" applyNumberFormat="1" applyFont="1" applyBorder="1" applyAlignment="1">
      <alignment horizontal="center" vertical="center" wrapText="1"/>
    </xf>
    <xf numFmtId="165" fontId="6" fillId="0" borderId="0" xfId="3" applyNumberFormat="1" applyFont="1" applyAlignment="1">
      <alignment wrapText="1"/>
    </xf>
    <xf numFmtId="165" fontId="3" fillId="2" borderId="0" xfId="3" applyNumberFormat="1" applyFill="1" applyAlignment="1">
      <alignment vertical="center"/>
    </xf>
    <xf numFmtId="44" fontId="3" fillId="2" borderId="0" xfId="17" applyFont="1" applyFill="1" applyAlignment="1">
      <alignment vertical="center"/>
    </xf>
    <xf numFmtId="49" fontId="46" fillId="0" borderId="54" xfId="12" applyNumberFormat="1" applyFont="1" applyBorder="1" applyAlignment="1">
      <alignment horizontal="center" vertical="center" wrapText="1"/>
    </xf>
    <xf numFmtId="43" fontId="46" fillId="0" borderId="31" xfId="1" applyFont="1" applyFill="1" applyBorder="1" applyAlignment="1">
      <alignment horizontal="center" vertical="distributed" wrapText="1"/>
    </xf>
    <xf numFmtId="171" fontId="46" fillId="0" borderId="54" xfId="3" applyNumberFormat="1" applyFont="1" applyBorder="1" applyAlignment="1">
      <alignment horizontal="center" vertical="center" wrapText="1"/>
    </xf>
    <xf numFmtId="0" fontId="46" fillId="0" borderId="54" xfId="3" applyFont="1" applyBorder="1" applyAlignment="1">
      <alignment horizontal="center" vertical="distributed" wrapText="1"/>
    </xf>
    <xf numFmtId="1" fontId="6" fillId="0" borderId="42" xfId="3" applyNumberFormat="1" applyFont="1" applyBorder="1" applyAlignment="1">
      <alignment horizontal="left" vertical="center" wrapText="1"/>
    </xf>
    <xf numFmtId="2" fontId="8" fillId="2" borderId="0" xfId="3" applyNumberFormat="1" applyFont="1" applyFill="1" applyAlignment="1">
      <alignment horizontal="center" vertical="center"/>
    </xf>
    <xf numFmtId="1" fontId="5" fillId="2" borderId="49" xfId="3" applyNumberFormat="1" applyFont="1" applyFill="1" applyBorder="1" applyAlignment="1">
      <alignment horizontal="center" vertical="center" wrapText="1"/>
    </xf>
    <xf numFmtId="1" fontId="6" fillId="2" borderId="49" xfId="3" applyNumberFormat="1" applyFont="1" applyFill="1" applyBorder="1" applyAlignment="1">
      <alignment horizontal="left" vertical="center" wrapText="1"/>
    </xf>
    <xf numFmtId="0" fontId="6" fillId="2" borderId="24" xfId="3" applyFont="1" applyFill="1" applyBorder="1" applyAlignment="1">
      <alignment horizontal="center" vertical="center" wrapText="1"/>
    </xf>
    <xf numFmtId="0" fontId="6" fillId="2" borderId="49" xfId="3" applyFont="1" applyFill="1" applyBorder="1" applyAlignment="1">
      <alignment horizontal="center" vertical="center" wrapText="1"/>
    </xf>
    <xf numFmtId="2" fontId="6" fillId="2" borderId="34" xfId="3" applyNumberFormat="1" applyFont="1" applyFill="1" applyBorder="1" applyAlignment="1">
      <alignment horizontal="center" vertical="center" wrapText="1"/>
    </xf>
    <xf numFmtId="0" fontId="6" fillId="2" borderId="35" xfId="3" applyFont="1" applyFill="1" applyBorder="1" applyAlignment="1">
      <alignment horizontal="center" vertical="center" wrapText="1"/>
    </xf>
    <xf numFmtId="0" fontId="6" fillId="2" borderId="34" xfId="3" applyFont="1" applyFill="1" applyBorder="1" applyAlignment="1">
      <alignment horizontal="center" vertical="center" wrapText="1"/>
    </xf>
    <xf numFmtId="0" fontId="6" fillId="2" borderId="49" xfId="3" applyFont="1" applyFill="1" applyBorder="1" applyAlignment="1">
      <alignment horizontal="center" vertical="top" wrapText="1"/>
    </xf>
    <xf numFmtId="165" fontId="6" fillId="2" borderId="49" xfId="3" applyNumberFormat="1" applyFont="1" applyFill="1" applyBorder="1" applyAlignment="1">
      <alignment horizontal="right" vertical="center" wrapText="1"/>
    </xf>
    <xf numFmtId="171" fontId="6" fillId="2" borderId="49" xfId="3" applyNumberFormat="1" applyFont="1" applyFill="1" applyBorder="1" applyAlignment="1">
      <alignment horizontal="center" vertical="center" wrapText="1"/>
    </xf>
    <xf numFmtId="0" fontId="5" fillId="2" borderId="49" xfId="3" applyFont="1" applyFill="1" applyBorder="1" applyAlignment="1">
      <alignment horizontal="center" vertical="distributed" wrapText="1"/>
    </xf>
    <xf numFmtId="2" fontId="8" fillId="9" borderId="0" xfId="3" applyNumberFormat="1" applyFont="1" applyFill="1" applyAlignment="1">
      <alignment horizontal="center" vertical="center"/>
    </xf>
    <xf numFmtId="0" fontId="3" fillId="9" borderId="0" xfId="3" applyFill="1" applyAlignment="1">
      <alignment vertical="center"/>
    </xf>
    <xf numFmtId="165" fontId="49" fillId="0" borderId="48" xfId="3" applyNumberFormat="1" applyFont="1" applyBorder="1" applyAlignment="1">
      <alignment horizontal="right" vertical="center" wrapText="1"/>
    </xf>
    <xf numFmtId="165" fontId="49" fillId="0" borderId="36" xfId="3" applyNumberFormat="1" applyFont="1" applyBorder="1" applyAlignment="1">
      <alignment horizontal="center" vertical="center" wrapText="1"/>
    </xf>
    <xf numFmtId="1" fontId="5" fillId="2" borderId="48" xfId="3" applyNumberFormat="1" applyFont="1" applyFill="1" applyBorder="1" applyAlignment="1">
      <alignment horizontal="center" vertical="center" wrapText="1"/>
    </xf>
    <xf numFmtId="180" fontId="6" fillId="2" borderId="34" xfId="3" applyNumberFormat="1" applyFont="1" applyFill="1" applyBorder="1" applyAlignment="1">
      <alignment horizontal="left" vertical="center" wrapText="1"/>
    </xf>
    <xf numFmtId="1" fontId="6" fillId="2" borderId="34" xfId="3" applyNumberFormat="1" applyFont="1" applyFill="1" applyBorder="1" applyAlignment="1">
      <alignment horizontal="right" vertical="center" wrapText="1"/>
    </xf>
    <xf numFmtId="1" fontId="6" fillId="2" borderId="24" xfId="3" applyNumberFormat="1" applyFont="1" applyFill="1" applyBorder="1" applyAlignment="1">
      <alignment horizontal="center" vertical="center" wrapText="1"/>
    </xf>
    <xf numFmtId="2" fontId="6" fillId="2" borderId="35" xfId="3" applyNumberFormat="1" applyFont="1" applyFill="1" applyBorder="1" applyAlignment="1">
      <alignment horizontal="left" vertical="center" wrapText="1"/>
    </xf>
    <xf numFmtId="2" fontId="6" fillId="2" borderId="36" xfId="3" applyNumberFormat="1" applyFont="1" applyFill="1" applyBorder="1" applyAlignment="1">
      <alignment horizontal="center" vertical="center" wrapText="1"/>
    </xf>
    <xf numFmtId="0" fontId="6" fillId="2" borderId="48" xfId="3" applyFont="1" applyFill="1" applyBorder="1" applyAlignment="1">
      <alignment horizontal="center" vertical="center" wrapText="1"/>
    </xf>
    <xf numFmtId="0" fontId="6" fillId="2" borderId="37" xfId="3" applyFont="1" applyFill="1" applyBorder="1" applyAlignment="1">
      <alignment horizontal="center" vertical="center" wrapText="1"/>
    </xf>
    <xf numFmtId="0" fontId="6" fillId="2" borderId="23" xfId="3" applyFont="1" applyFill="1" applyBorder="1" applyAlignment="1">
      <alignment horizontal="center" vertical="center" wrapText="1"/>
    </xf>
    <xf numFmtId="0" fontId="6" fillId="2" borderId="36" xfId="3" applyFont="1" applyFill="1" applyBorder="1" applyAlignment="1">
      <alignment horizontal="center" vertical="center" wrapText="1"/>
    </xf>
    <xf numFmtId="0" fontId="6" fillId="2" borderId="48" xfId="3" applyFont="1" applyFill="1" applyBorder="1" applyAlignment="1">
      <alignment horizontal="center" vertical="top" wrapText="1"/>
    </xf>
    <xf numFmtId="165" fontId="6" fillId="2" borderId="48" xfId="3" applyNumberFormat="1" applyFont="1" applyFill="1" applyBorder="1" applyAlignment="1">
      <alignment horizontal="right" vertical="center" wrapText="1"/>
    </xf>
    <xf numFmtId="171" fontId="6" fillId="2" borderId="48" xfId="3" applyNumberFormat="1" applyFont="1" applyFill="1" applyBorder="1" applyAlignment="1">
      <alignment horizontal="center" vertical="center" wrapText="1"/>
    </xf>
    <xf numFmtId="0" fontId="5" fillId="2" borderId="48" xfId="3" applyFont="1" applyFill="1" applyBorder="1" applyAlignment="1">
      <alignment horizontal="center" vertical="distributed" wrapText="1"/>
    </xf>
    <xf numFmtId="0" fontId="6" fillId="2" borderId="49" xfId="12" applyFont="1" applyFill="1" applyBorder="1" applyAlignment="1">
      <alignment horizontal="left" vertical="center" wrapText="1"/>
    </xf>
    <xf numFmtId="165" fontId="6" fillId="2" borderId="57" xfId="3" applyNumberFormat="1" applyFont="1" applyFill="1" applyBorder="1" applyAlignment="1">
      <alignment horizontal="right" vertical="center" wrapText="1"/>
    </xf>
    <xf numFmtId="43" fontId="68" fillId="0" borderId="49" xfId="1" applyFont="1" applyFill="1" applyBorder="1" applyAlignment="1">
      <alignment horizontal="center" vertical="center" wrapText="1"/>
    </xf>
    <xf numFmtId="0" fontId="69" fillId="2" borderId="16" xfId="3" applyFont="1" applyFill="1" applyBorder="1" applyAlignment="1">
      <alignment horizontal="center" vertical="center" wrapText="1"/>
    </xf>
    <xf numFmtId="0" fontId="6" fillId="0" borderId="31" xfId="12" applyFont="1" applyBorder="1" applyAlignment="1">
      <alignment horizontal="left" vertical="center" wrapText="1"/>
    </xf>
    <xf numFmtId="0" fontId="6" fillId="0" borderId="41" xfId="12" applyFont="1" applyBorder="1" applyAlignment="1">
      <alignment horizontal="left" vertical="center" wrapText="1"/>
    </xf>
    <xf numFmtId="0" fontId="5" fillId="0" borderId="60" xfId="3" applyFont="1" applyBorder="1" applyAlignment="1">
      <alignment horizontal="center" vertical="distributed" wrapText="1"/>
    </xf>
    <xf numFmtId="43" fontId="21" fillId="4" borderId="82" xfId="1" applyFont="1" applyFill="1" applyBorder="1" applyAlignment="1" applyProtection="1">
      <alignment horizontal="center" vertical="center"/>
      <protection locked="0"/>
    </xf>
    <xf numFmtId="0" fontId="8" fillId="0" borderId="95" xfId="7" applyFont="1" applyBorder="1" applyAlignment="1">
      <alignment horizontal="justify" vertical="center" wrapText="1"/>
    </xf>
    <xf numFmtId="168" fontId="3" fillId="0" borderId="96" xfId="8" applyBorder="1" applyAlignment="1">
      <alignment horizontal="center" vertical="center" wrapText="1"/>
    </xf>
    <xf numFmtId="0" fontId="8" fillId="0" borderId="97" xfId="7" applyFont="1" applyBorder="1" applyAlignment="1">
      <alignment horizontal="justify" vertical="center" wrapText="1"/>
    </xf>
    <xf numFmtId="168" fontId="3" fillId="0" borderId="98" xfId="8" applyBorder="1" applyAlignment="1">
      <alignment horizontal="center" vertical="center" wrapText="1"/>
    </xf>
    <xf numFmtId="0" fontId="8" fillId="0" borderId="99" xfId="7" applyFont="1" applyBorder="1" applyAlignment="1">
      <alignment horizontal="justify" vertical="center" wrapText="1"/>
    </xf>
    <xf numFmtId="0" fontId="33" fillId="2" borderId="100" xfId="0" applyFont="1" applyFill="1" applyBorder="1" applyAlignment="1">
      <alignment horizontal="center" vertical="center"/>
    </xf>
    <xf numFmtId="168" fontId="3" fillId="0" borderId="101" xfId="8" applyBorder="1" applyAlignment="1">
      <alignment horizontal="center" vertical="center" wrapText="1"/>
    </xf>
    <xf numFmtId="168" fontId="3" fillId="0" borderId="102" xfId="8" applyBorder="1" applyAlignment="1">
      <alignment horizontal="center" vertical="center" wrapText="1"/>
    </xf>
    <xf numFmtId="165" fontId="6" fillId="0" borderId="16" xfId="3" applyNumberFormat="1" applyFont="1" applyBorder="1" applyAlignment="1">
      <alignment wrapText="1"/>
    </xf>
    <xf numFmtId="1" fontId="39" fillId="0" borderId="57" xfId="3" applyNumberFormat="1" applyFont="1" applyBorder="1" applyAlignment="1">
      <alignment horizontal="center" vertical="center" wrapText="1"/>
    </xf>
    <xf numFmtId="14" fontId="6" fillId="0" borderId="34" xfId="3" applyNumberFormat="1" applyFont="1" applyBorder="1" applyAlignment="1">
      <alignment horizontal="center" vertical="center" wrapText="1"/>
    </xf>
    <xf numFmtId="14" fontId="6" fillId="0" borderId="24" xfId="3" applyNumberFormat="1" applyFont="1" applyBorder="1" applyAlignment="1">
      <alignment horizontal="center" vertical="center" wrapText="1"/>
    </xf>
    <xf numFmtId="14" fontId="6" fillId="0" borderId="35" xfId="3" applyNumberFormat="1" applyFont="1" applyBorder="1" applyAlignment="1">
      <alignment horizontal="center" vertical="center" wrapText="1"/>
    </xf>
    <xf numFmtId="1" fontId="46" fillId="0" borderId="54" xfId="3" applyNumberFormat="1" applyFont="1" applyBorder="1" applyAlignment="1">
      <alignment horizontal="left" vertical="center" wrapText="1"/>
    </xf>
    <xf numFmtId="0" fontId="46" fillId="0" borderId="54" xfId="3" applyFont="1" applyBorder="1" applyAlignment="1">
      <alignment horizontal="center" vertical="center" wrapText="1"/>
    </xf>
    <xf numFmtId="2" fontId="46" fillId="0" borderId="31" xfId="3" applyNumberFormat="1" applyFont="1" applyBorder="1" applyAlignment="1">
      <alignment horizontal="center" vertical="center" wrapText="1"/>
    </xf>
    <xf numFmtId="43" fontId="46" fillId="0" borderId="33" xfId="1" applyFont="1" applyFill="1" applyBorder="1" applyAlignment="1">
      <alignment horizontal="center" vertical="center" wrapText="1"/>
    </xf>
    <xf numFmtId="2" fontId="46" fillId="0" borderId="54" xfId="1" applyNumberFormat="1" applyFont="1" applyFill="1" applyBorder="1" applyAlignment="1">
      <alignment horizontal="center" vertical="center" wrapText="1"/>
    </xf>
    <xf numFmtId="172" fontId="46" fillId="0" borderId="32" xfId="1" applyNumberFormat="1" applyFont="1" applyFill="1" applyBorder="1" applyAlignment="1">
      <alignment horizontal="center" vertical="center" wrapText="1"/>
    </xf>
    <xf numFmtId="43" fontId="46" fillId="0" borderId="54" xfId="1" applyFont="1" applyFill="1" applyBorder="1" applyAlignment="1">
      <alignment horizontal="center" vertical="center" wrapText="1"/>
    </xf>
    <xf numFmtId="43" fontId="46" fillId="0" borderId="33" xfId="1" applyFont="1" applyFill="1" applyBorder="1" applyAlignment="1">
      <alignment horizontal="center" vertical="distributed" wrapText="1"/>
    </xf>
    <xf numFmtId="165" fontId="46" fillId="0" borderId="54" xfId="3" applyNumberFormat="1" applyFont="1" applyBorder="1" applyAlignment="1">
      <alignment horizontal="right" vertical="center" wrapText="1"/>
    </xf>
    <xf numFmtId="0" fontId="45" fillId="0" borderId="54" xfId="3" applyFont="1" applyBorder="1" applyAlignment="1">
      <alignment horizontal="center" vertical="distributed" wrapText="1"/>
    </xf>
    <xf numFmtId="0" fontId="3" fillId="0" borderId="54" xfId="3" applyFont="1" applyBorder="1" applyAlignment="1">
      <alignment horizontal="center" vertical="distributed" wrapText="1"/>
    </xf>
    <xf numFmtId="0" fontId="3" fillId="0" borderId="49" xfId="3" applyFont="1" applyBorder="1" applyAlignment="1">
      <alignment horizontal="center" vertical="distributed" wrapText="1"/>
    </xf>
    <xf numFmtId="43" fontId="6" fillId="0" borderId="36" xfId="1" applyFont="1" applyFill="1" applyBorder="1" applyAlignment="1">
      <alignment horizontal="center" vertical="distributed" wrapText="1"/>
    </xf>
    <xf numFmtId="2" fontId="6" fillId="0" borderId="33" xfId="1" applyNumberFormat="1" applyFont="1" applyBorder="1" applyAlignment="1">
      <alignment horizontal="center" vertical="center" wrapText="1"/>
    </xf>
    <xf numFmtId="172" fontId="6" fillId="0" borderId="33" xfId="1" applyNumberFormat="1" applyFont="1" applyFill="1" applyBorder="1" applyAlignment="1">
      <alignment horizontal="center" vertical="distributed" wrapText="1"/>
    </xf>
    <xf numFmtId="0" fontId="6" fillId="0" borderId="54" xfId="12" applyFont="1" applyFill="1" applyBorder="1" applyAlignment="1">
      <alignment horizontal="left" vertical="center" wrapText="1"/>
    </xf>
    <xf numFmtId="1" fontId="6" fillId="0" borderId="34" xfId="3" applyNumberFormat="1" applyFont="1" applyFill="1" applyBorder="1" applyAlignment="1">
      <alignment horizontal="center" vertical="distributed" wrapText="1"/>
    </xf>
    <xf numFmtId="0" fontId="6" fillId="0" borderId="24" xfId="3" applyFont="1" applyFill="1" applyBorder="1" applyAlignment="1">
      <alignment horizontal="center" vertical="distributed" wrapText="1"/>
    </xf>
    <xf numFmtId="2" fontId="6" fillId="0" borderId="35" xfId="3" applyNumberFormat="1" applyFont="1" applyFill="1" applyBorder="1" applyAlignment="1">
      <alignment horizontal="center" vertical="distributed" wrapText="1"/>
    </xf>
    <xf numFmtId="0" fontId="6" fillId="0" borderId="54" xfId="3" applyFont="1" applyFill="1" applyBorder="1" applyAlignment="1">
      <alignment horizontal="center" vertical="center" wrapText="1"/>
    </xf>
    <xf numFmtId="171" fontId="6" fillId="0" borderId="54" xfId="3" applyNumberFormat="1" applyFont="1" applyFill="1" applyBorder="1" applyAlignment="1">
      <alignment horizontal="center" vertical="center" wrapText="1"/>
    </xf>
    <xf numFmtId="0" fontId="6" fillId="0" borderId="54" xfId="3" applyFont="1" applyFill="1" applyBorder="1" applyAlignment="1">
      <alignment horizontal="center" vertical="distributed" wrapText="1"/>
    </xf>
    <xf numFmtId="1" fontId="6" fillId="0" borderId="43" xfId="1" applyNumberFormat="1" applyFont="1" applyFill="1" applyBorder="1" applyAlignment="1">
      <alignment horizontal="center" vertical="distributed" wrapText="1"/>
    </xf>
    <xf numFmtId="0" fontId="6" fillId="0" borderId="49" xfId="12" applyFont="1" applyFill="1" applyBorder="1" applyAlignment="1">
      <alignment horizontal="left" vertical="center" wrapText="1"/>
    </xf>
    <xf numFmtId="2" fontId="6" fillId="0" borderId="14" xfId="3" applyNumberFormat="1" applyFont="1" applyBorder="1" applyAlignment="1">
      <alignment horizontal="center" vertical="distributed" wrapText="1"/>
    </xf>
    <xf numFmtId="165" fontId="6" fillId="0" borderId="43" xfId="3" applyNumberFormat="1" applyFont="1" applyFill="1" applyBorder="1" applyAlignment="1">
      <alignment horizontal="center" wrapText="1"/>
    </xf>
    <xf numFmtId="165" fontId="6" fillId="0" borderId="0" xfId="3" applyNumberFormat="1" applyFont="1" applyFill="1" applyAlignment="1">
      <alignment wrapText="1"/>
    </xf>
    <xf numFmtId="0" fontId="6" fillId="0" borderId="43" xfId="3" applyFont="1" applyFill="1" applyBorder="1" applyAlignment="1">
      <alignment horizontal="center" wrapText="1"/>
    </xf>
    <xf numFmtId="0" fontId="6" fillId="0" borderId="34" xfId="3" applyFont="1" applyFill="1" applyBorder="1" applyAlignment="1">
      <alignment horizontal="center" vertical="center" wrapText="1"/>
    </xf>
    <xf numFmtId="0" fontId="6" fillId="0" borderId="49" xfId="3" applyFont="1" applyFill="1" applyBorder="1" applyAlignment="1">
      <alignment horizontal="center" vertical="top" wrapText="1"/>
    </xf>
    <xf numFmtId="0" fontId="6" fillId="0" borderId="35" xfId="3" applyFont="1" applyFill="1" applyBorder="1" applyAlignment="1">
      <alignment horizontal="center" vertical="center" wrapText="1"/>
    </xf>
    <xf numFmtId="165" fontId="6" fillId="0" borderId="49" xfId="3" applyNumberFormat="1" applyFont="1" applyFill="1" applyBorder="1" applyAlignment="1">
      <alignment horizontal="right" vertical="center" wrapText="1"/>
    </xf>
    <xf numFmtId="0" fontId="6" fillId="0" borderId="49" xfId="3" applyFont="1" applyFill="1" applyBorder="1" applyAlignment="1">
      <alignment horizontal="center" vertical="center" wrapText="1"/>
    </xf>
    <xf numFmtId="171" fontId="6" fillId="0" borderId="49" xfId="3" applyNumberFormat="1" applyFont="1" applyFill="1" applyBorder="1" applyAlignment="1">
      <alignment horizontal="center" vertical="center" wrapText="1"/>
    </xf>
    <xf numFmtId="0" fontId="39" fillId="0" borderId="49" xfId="3" applyFont="1" applyFill="1" applyBorder="1" applyAlignment="1">
      <alignment horizontal="center" vertical="distributed" wrapText="1"/>
    </xf>
    <xf numFmtId="1" fontId="6" fillId="0" borderId="57" xfId="3" applyNumberFormat="1" applyFont="1" applyFill="1" applyBorder="1" applyAlignment="1">
      <alignment horizontal="left" vertical="center" wrapText="1"/>
    </xf>
    <xf numFmtId="0" fontId="6" fillId="0" borderId="58" xfId="3" applyFont="1" applyFill="1" applyBorder="1" applyAlignment="1">
      <alignment horizontal="center" vertical="center" wrapText="1"/>
    </xf>
    <xf numFmtId="0" fontId="6" fillId="0" borderId="59" xfId="3" applyFont="1" applyFill="1" applyBorder="1" applyAlignment="1">
      <alignment horizontal="center" vertical="center" wrapText="1"/>
    </xf>
    <xf numFmtId="0" fontId="6" fillId="0" borderId="60" xfId="3" applyFont="1" applyFill="1" applyBorder="1" applyAlignment="1">
      <alignment horizontal="center" vertical="center" wrapText="1"/>
    </xf>
    <xf numFmtId="0" fontId="6" fillId="0" borderId="58" xfId="3" applyFont="1" applyFill="1" applyBorder="1" applyAlignment="1">
      <alignment horizontal="center" vertical="distributed" wrapText="1"/>
    </xf>
    <xf numFmtId="0" fontId="6" fillId="0" borderId="59" xfId="3" applyFont="1" applyFill="1" applyBorder="1" applyAlignment="1">
      <alignment horizontal="center" vertical="distributed" wrapText="1"/>
    </xf>
    <xf numFmtId="0" fontId="6" fillId="0" borderId="60" xfId="3" applyFont="1" applyFill="1" applyBorder="1" applyAlignment="1">
      <alignment horizontal="center" vertical="distributed" wrapText="1"/>
    </xf>
    <xf numFmtId="0" fontId="6" fillId="0" borderId="57" xfId="3" applyFont="1" applyFill="1" applyBorder="1" applyAlignment="1">
      <alignment horizontal="center" vertical="center" wrapText="1"/>
    </xf>
    <xf numFmtId="0" fontId="6" fillId="0" borderId="57" xfId="3" applyFont="1" applyFill="1" applyBorder="1" applyAlignment="1">
      <alignment horizontal="center" vertical="top" wrapText="1"/>
    </xf>
    <xf numFmtId="165" fontId="6" fillId="0" borderId="57" xfId="3" applyNumberFormat="1" applyFont="1" applyFill="1" applyBorder="1" applyAlignment="1">
      <alignment horizontal="right" vertical="center" wrapText="1"/>
    </xf>
    <xf numFmtId="171" fontId="6" fillId="0" borderId="57" xfId="3" applyNumberFormat="1" applyFont="1" applyFill="1" applyBorder="1" applyAlignment="1">
      <alignment horizontal="center" vertical="center" wrapText="1"/>
    </xf>
    <xf numFmtId="1" fontId="6" fillId="0" borderId="49" xfId="3" applyNumberFormat="1" applyFont="1" applyFill="1" applyBorder="1" applyAlignment="1">
      <alignment horizontal="left" vertical="center" wrapText="1"/>
    </xf>
    <xf numFmtId="0" fontId="6" fillId="0" borderId="24" xfId="3" applyFont="1" applyFill="1" applyBorder="1" applyAlignment="1">
      <alignment horizontal="center" vertical="center" wrapText="1"/>
    </xf>
    <xf numFmtId="0" fontId="6" fillId="0" borderId="34" xfId="3" applyFont="1" applyFill="1" applyBorder="1" applyAlignment="1">
      <alignment horizontal="center" vertical="distributed" wrapText="1"/>
    </xf>
    <xf numFmtId="0" fontId="6" fillId="0" borderId="35" xfId="3" applyFont="1" applyFill="1" applyBorder="1" applyAlignment="1">
      <alignment horizontal="center" vertical="distributed" wrapText="1"/>
    </xf>
    <xf numFmtId="1" fontId="6" fillId="0" borderId="34" xfId="3" applyNumberFormat="1" applyFont="1" applyFill="1" applyBorder="1" applyAlignment="1">
      <alignment horizontal="right" vertical="center" wrapText="1"/>
    </xf>
    <xf numFmtId="1" fontId="6" fillId="0" borderId="24" xfId="3" applyNumberFormat="1" applyFont="1" applyFill="1" applyBorder="1" applyAlignment="1">
      <alignment horizontal="center" vertical="center" wrapText="1"/>
    </xf>
    <xf numFmtId="2" fontId="6" fillId="0" borderId="35" xfId="3" applyNumberFormat="1" applyFont="1" applyFill="1" applyBorder="1" applyAlignment="1">
      <alignment horizontal="left" vertical="center" wrapText="1"/>
    </xf>
    <xf numFmtId="2" fontId="6" fillId="0" borderId="35" xfId="3" applyNumberFormat="1" applyFont="1" applyFill="1" applyBorder="1" applyAlignment="1">
      <alignment horizontal="center" vertical="center" wrapText="1"/>
    </xf>
    <xf numFmtId="0" fontId="5" fillId="0" borderId="49" xfId="3" applyFont="1" applyFill="1" applyBorder="1" applyAlignment="1">
      <alignment horizontal="center" vertical="distributed" wrapText="1"/>
    </xf>
    <xf numFmtId="0" fontId="6" fillId="0" borderId="0" xfId="3" applyFont="1" applyBorder="1" applyAlignment="1">
      <alignment horizontal="center" vertical="center" wrapText="1"/>
    </xf>
    <xf numFmtId="4" fontId="6" fillId="2" borderId="36" xfId="3" applyNumberFormat="1" applyFont="1" applyFill="1" applyBorder="1" applyAlignment="1">
      <alignment horizontal="center" vertical="center" wrapText="1"/>
    </xf>
    <xf numFmtId="1" fontId="6" fillId="0" borderId="12" xfId="3" applyNumberFormat="1" applyFont="1" applyBorder="1" applyAlignment="1">
      <alignment horizontal="center" vertical="distributed" wrapText="1"/>
    </xf>
    <xf numFmtId="43" fontId="70" fillId="0" borderId="0" xfId="0" applyNumberFormat="1" applyFont="1"/>
    <xf numFmtId="175" fontId="6" fillId="0" borderId="34" xfId="3" applyNumberFormat="1" applyFont="1" applyBorder="1" applyAlignment="1">
      <alignment horizontal="center" vertical="center" wrapText="1"/>
    </xf>
    <xf numFmtId="1" fontId="6" fillId="2" borderId="36" xfId="3" applyNumberFormat="1" applyFont="1" applyFill="1" applyBorder="1" applyAlignment="1">
      <alignment horizontal="right" vertical="center" wrapText="1"/>
    </xf>
    <xf numFmtId="1" fontId="6" fillId="2" borderId="23" xfId="3" applyNumberFormat="1" applyFont="1" applyFill="1" applyBorder="1" applyAlignment="1">
      <alignment horizontal="center" vertical="center" wrapText="1"/>
    </xf>
    <xf numFmtId="2" fontId="6" fillId="2" borderId="37" xfId="3" applyNumberFormat="1" applyFont="1" applyFill="1" applyBorder="1" applyAlignment="1">
      <alignment horizontal="left" vertical="center" wrapText="1"/>
    </xf>
    <xf numFmtId="0" fontId="25" fillId="0" borderId="0" xfId="3" applyFont="1" applyAlignment="1">
      <alignment vertical="center"/>
    </xf>
    <xf numFmtId="43" fontId="25" fillId="5" borderId="0" xfId="0" applyNumberFormat="1" applyFont="1" applyFill="1" applyAlignment="1">
      <alignment vertical="center"/>
    </xf>
    <xf numFmtId="0" fontId="2" fillId="0" borderId="0" xfId="0" applyFont="1" applyAlignment="1">
      <alignment vertical="center"/>
    </xf>
    <xf numFmtId="183" fontId="3" fillId="0" borderId="0" xfId="17" applyNumberFormat="1" applyFont="1" applyAlignment="1">
      <alignment horizontal="center" vertical="center"/>
    </xf>
    <xf numFmtId="183" fontId="3" fillId="0" borderId="0" xfId="17" applyNumberFormat="1" applyFont="1"/>
    <xf numFmtId="183" fontId="3" fillId="4" borderId="0" xfId="17" applyNumberFormat="1" applyFont="1" applyFill="1" applyAlignment="1">
      <alignment vertical="center"/>
    </xf>
    <xf numFmtId="183" fontId="3" fillId="4" borderId="0" xfId="17" applyNumberFormat="1" applyFont="1" applyFill="1"/>
    <xf numFmtId="183" fontId="3" fillId="5" borderId="0" xfId="17" applyNumberFormat="1" applyFont="1" applyFill="1"/>
    <xf numFmtId="183" fontId="3" fillId="7" borderId="0" xfId="17" applyNumberFormat="1" applyFont="1" applyFill="1" applyAlignment="1">
      <alignment horizontal="center" vertical="center"/>
    </xf>
    <xf numFmtId="183" fontId="33" fillId="0" borderId="0" xfId="17" applyNumberFormat="1" applyFont="1"/>
    <xf numFmtId="2" fontId="46" fillId="0" borderId="49" xfId="3" applyNumberFormat="1" applyFont="1" applyBorder="1" applyAlignment="1">
      <alignment horizontal="center" vertical="center" wrapText="1"/>
    </xf>
    <xf numFmtId="43" fontId="46" fillId="0" borderId="35" xfId="1" applyFont="1" applyFill="1" applyBorder="1" applyAlignment="1">
      <alignment horizontal="center" vertical="center" wrapText="1"/>
    </xf>
    <xf numFmtId="171" fontId="5" fillId="0" borderId="49" xfId="3" applyNumberFormat="1" applyFont="1" applyBorder="1" applyAlignment="1">
      <alignment horizontal="center" vertical="center" wrapText="1"/>
    </xf>
    <xf numFmtId="0" fontId="6" fillId="0" borderId="0" xfId="3" applyFont="1" applyBorder="1" applyAlignment="1">
      <alignment wrapText="1"/>
    </xf>
    <xf numFmtId="1" fontId="6" fillId="0" borderId="50" xfId="1" applyNumberFormat="1" applyFont="1" applyFill="1" applyBorder="1" applyAlignment="1">
      <alignment horizontal="center" vertical="center" wrapText="1"/>
    </xf>
    <xf numFmtId="165" fontId="6" fillId="0" borderId="32" xfId="3" applyNumberFormat="1" applyFont="1" applyBorder="1" applyAlignment="1">
      <alignment horizontal="center" vertical="center" wrapText="1"/>
    </xf>
    <xf numFmtId="1" fontId="5" fillId="0" borderId="54" xfId="3" applyNumberFormat="1" applyFont="1" applyFill="1" applyBorder="1" applyAlignment="1">
      <alignment horizontal="center" vertical="center" wrapText="1"/>
    </xf>
    <xf numFmtId="0" fontId="5" fillId="0" borderId="54" xfId="3" applyFont="1" applyFill="1" applyBorder="1" applyAlignment="1">
      <alignment horizontal="center" vertical="distributed" wrapText="1"/>
    </xf>
    <xf numFmtId="0" fontId="6" fillId="0" borderId="17" xfId="3" applyFont="1" applyFill="1" applyBorder="1" applyAlignment="1">
      <alignment horizontal="center" wrapText="1"/>
    </xf>
    <xf numFmtId="49" fontId="6" fillId="0" borderId="20" xfId="12" applyNumberFormat="1" applyFont="1" applyBorder="1" applyAlignment="1">
      <alignment horizontal="center" vertical="center" wrapText="1"/>
    </xf>
    <xf numFmtId="2" fontId="6" fillId="0" borderId="41" xfId="3" applyNumberFormat="1" applyFont="1" applyBorder="1" applyAlignment="1">
      <alignment horizontal="center" vertical="distributed" wrapText="1"/>
    </xf>
    <xf numFmtId="1" fontId="6" fillId="0" borderId="3" xfId="3" applyNumberFormat="1" applyFont="1" applyBorder="1" applyAlignment="1">
      <alignment horizontal="center" vertical="center" wrapText="1"/>
    </xf>
    <xf numFmtId="2" fontId="6" fillId="0" borderId="43" xfId="3" applyNumberFormat="1" applyFont="1" applyBorder="1" applyAlignment="1">
      <alignment horizontal="center" vertical="center" wrapText="1"/>
    </xf>
    <xf numFmtId="2" fontId="6" fillId="0" borderId="3" xfId="3" applyNumberFormat="1" applyFont="1" applyBorder="1" applyAlignment="1">
      <alignment horizontal="center" vertical="center" wrapText="1"/>
    </xf>
    <xf numFmtId="165" fontId="6" fillId="2" borderId="36" xfId="3" applyNumberFormat="1" applyFont="1" applyFill="1" applyBorder="1" applyAlignment="1">
      <alignment horizontal="center" vertical="center" wrapText="1"/>
    </xf>
    <xf numFmtId="1" fontId="5" fillId="0" borderId="34" xfId="3" applyNumberFormat="1" applyFont="1" applyBorder="1" applyAlignment="1">
      <alignment horizontal="left" vertical="center" wrapText="1"/>
    </xf>
    <xf numFmtId="1" fontId="5" fillId="0" borderId="48" xfId="3" applyNumberFormat="1" applyFont="1" applyFill="1" applyBorder="1" applyAlignment="1">
      <alignment horizontal="center" vertical="center" wrapText="1"/>
    </xf>
    <xf numFmtId="1" fontId="6" fillId="0" borderId="48" xfId="3" applyNumberFormat="1" applyFont="1" applyFill="1" applyBorder="1" applyAlignment="1">
      <alignment horizontal="left" vertical="center" wrapText="1"/>
    </xf>
    <xf numFmtId="1" fontId="6" fillId="0" borderId="36" xfId="3" applyNumberFormat="1" applyFont="1" applyFill="1" applyBorder="1" applyAlignment="1">
      <alignment horizontal="center" vertical="center" wrapText="1"/>
    </xf>
    <xf numFmtId="0" fontId="6" fillId="0" borderId="23" xfId="3" applyFont="1" applyFill="1" applyBorder="1" applyAlignment="1">
      <alignment horizontal="center" vertical="center" wrapText="1"/>
    </xf>
    <xf numFmtId="2" fontId="6" fillId="0" borderId="37" xfId="3" applyNumberFormat="1" applyFont="1" applyFill="1" applyBorder="1" applyAlignment="1">
      <alignment horizontal="center" vertical="center" wrapText="1"/>
    </xf>
    <xf numFmtId="1" fontId="6" fillId="0" borderId="36" xfId="3" applyNumberFormat="1" applyFont="1" applyFill="1" applyBorder="1" applyAlignment="1">
      <alignment horizontal="center" vertical="distributed" wrapText="1"/>
    </xf>
    <xf numFmtId="0" fontId="6" fillId="0" borderId="23" xfId="3" applyFont="1" applyFill="1" applyBorder="1" applyAlignment="1">
      <alignment horizontal="center" vertical="distributed" wrapText="1"/>
    </xf>
    <xf numFmtId="2" fontId="6" fillId="0" borderId="37" xfId="3" applyNumberFormat="1" applyFont="1" applyFill="1" applyBorder="1" applyAlignment="1">
      <alignment horizontal="center" vertical="distributed" wrapText="1"/>
    </xf>
    <xf numFmtId="0" fontId="6" fillId="0" borderId="48" xfId="3" applyFont="1" applyFill="1" applyBorder="1" applyAlignment="1">
      <alignment horizontal="center" vertical="center" wrapText="1"/>
    </xf>
    <xf numFmtId="2" fontId="6" fillId="0" borderId="36" xfId="3" applyNumberFormat="1" applyFont="1" applyFill="1" applyBorder="1" applyAlignment="1">
      <alignment horizontal="center" vertical="center" wrapText="1"/>
    </xf>
    <xf numFmtId="0" fontId="6" fillId="0" borderId="37" xfId="3" applyFont="1" applyFill="1" applyBorder="1" applyAlignment="1">
      <alignment horizontal="center" vertical="center" wrapText="1"/>
    </xf>
    <xf numFmtId="0" fontId="6" fillId="0" borderId="36" xfId="3" applyFont="1" applyFill="1" applyBorder="1" applyAlignment="1">
      <alignment horizontal="center" vertical="center" wrapText="1"/>
    </xf>
    <xf numFmtId="0" fontId="6" fillId="0" borderId="48" xfId="3" applyFont="1" applyFill="1" applyBorder="1" applyAlignment="1">
      <alignment horizontal="center" vertical="top" wrapText="1"/>
    </xf>
    <xf numFmtId="165" fontId="6" fillId="0" borderId="48" xfId="3" applyNumberFormat="1" applyFont="1" applyFill="1" applyBorder="1" applyAlignment="1">
      <alignment horizontal="right" vertical="center" wrapText="1"/>
    </xf>
    <xf numFmtId="165" fontId="6" fillId="0" borderId="48" xfId="3" applyNumberFormat="1" applyFont="1" applyFill="1" applyBorder="1" applyAlignment="1">
      <alignment horizontal="center" vertical="center" wrapText="1"/>
    </xf>
    <xf numFmtId="171" fontId="6" fillId="0" borderId="48" xfId="3" applyNumberFormat="1" applyFont="1" applyFill="1" applyBorder="1" applyAlignment="1">
      <alignment horizontal="center" vertical="center" wrapText="1"/>
    </xf>
    <xf numFmtId="0" fontId="5" fillId="0" borderId="48" xfId="3" applyFont="1" applyFill="1" applyBorder="1" applyAlignment="1">
      <alignment horizontal="center" vertical="distributed" wrapText="1"/>
    </xf>
    <xf numFmtId="10" fontId="16" fillId="0" borderId="0" xfId="2" applyNumberFormat="1" applyFont="1" applyFill="1" applyAlignment="1">
      <alignment horizontal="center" vertical="center"/>
    </xf>
    <xf numFmtId="165" fontId="71" fillId="0" borderId="0" xfId="3" applyNumberFormat="1" applyFont="1" applyAlignment="1">
      <alignment horizontal="center" vertical="center"/>
    </xf>
    <xf numFmtId="0" fontId="49" fillId="0" borderId="54" xfId="12" applyFont="1" applyBorder="1" applyAlignment="1">
      <alignment horizontal="left" vertical="center" wrapText="1"/>
    </xf>
    <xf numFmtId="1" fontId="49" fillId="0" borderId="31" xfId="3" applyNumberFormat="1" applyFont="1" applyBorder="1" applyAlignment="1">
      <alignment horizontal="center" vertical="center" wrapText="1"/>
    </xf>
    <xf numFmtId="0" fontId="49" fillId="0" borderId="32" xfId="3" applyFont="1" applyBorder="1" applyAlignment="1">
      <alignment horizontal="center" vertical="center" wrapText="1"/>
    </xf>
    <xf numFmtId="2" fontId="49" fillId="0" borderId="33" xfId="3" applyNumberFormat="1" applyFont="1" applyBorder="1" applyAlignment="1">
      <alignment horizontal="center" vertical="center" wrapText="1"/>
    </xf>
    <xf numFmtId="1" fontId="49" fillId="0" borderId="31" xfId="3" applyNumberFormat="1" applyFont="1" applyBorder="1" applyAlignment="1">
      <alignment horizontal="center" vertical="distributed" wrapText="1"/>
    </xf>
    <xf numFmtId="0" fontId="49" fillId="0" borderId="32" xfId="3" applyFont="1" applyBorder="1" applyAlignment="1">
      <alignment horizontal="center" vertical="distributed" wrapText="1"/>
    </xf>
    <xf numFmtId="2" fontId="49" fillId="0" borderId="33" xfId="3" applyNumberFormat="1" applyFont="1" applyBorder="1" applyAlignment="1">
      <alignment horizontal="center" vertical="distributed" wrapText="1"/>
    </xf>
    <xf numFmtId="0" fontId="49" fillId="0" borderId="54" xfId="3" applyFont="1" applyBorder="1" applyAlignment="1">
      <alignment horizontal="center" vertical="center" wrapText="1"/>
    </xf>
    <xf numFmtId="2" fontId="49" fillId="0" borderId="31" xfId="3" applyNumberFormat="1" applyFont="1" applyBorder="1" applyAlignment="1">
      <alignment horizontal="center" vertical="center" wrapText="1"/>
    </xf>
    <xf numFmtId="165" fontId="49" fillId="0" borderId="54" xfId="3" applyNumberFormat="1" applyFont="1" applyBorder="1" applyAlignment="1">
      <alignment horizontal="center" vertical="center" wrapText="1"/>
    </xf>
    <xf numFmtId="43" fontId="49" fillId="0" borderId="54" xfId="1" applyFont="1" applyFill="1" applyBorder="1" applyAlignment="1">
      <alignment horizontal="center" vertical="center" wrapText="1"/>
    </xf>
    <xf numFmtId="43" fontId="49" fillId="0" borderId="54" xfId="1" applyFont="1" applyFill="1" applyBorder="1" applyAlignment="1">
      <alignment horizontal="center" vertical="distributed" wrapText="1"/>
    </xf>
    <xf numFmtId="165" fontId="49" fillId="0" borderId="54" xfId="1" applyNumberFormat="1" applyFont="1" applyFill="1" applyBorder="1" applyAlignment="1">
      <alignment horizontal="right" vertical="distributed" wrapText="1"/>
    </xf>
    <xf numFmtId="43" fontId="49" fillId="0" borderId="31" xfId="1" applyFont="1" applyFill="1" applyBorder="1" applyAlignment="1">
      <alignment horizontal="center" vertical="distributed" wrapText="1"/>
    </xf>
    <xf numFmtId="171" fontId="49" fillId="0" borderId="54" xfId="3" applyNumberFormat="1" applyFont="1" applyBorder="1" applyAlignment="1">
      <alignment horizontal="center" vertical="center" wrapText="1"/>
    </xf>
    <xf numFmtId="180" fontId="6" fillId="0" borderId="31" xfId="3" applyNumberFormat="1" applyFont="1" applyBorder="1" applyAlignment="1">
      <alignment horizontal="left" vertical="center" wrapText="1"/>
    </xf>
    <xf numFmtId="2" fontId="6" fillId="0" borderId="42" xfId="3" applyNumberFormat="1" applyFont="1" applyBorder="1" applyAlignment="1">
      <alignment horizontal="center" vertical="center" wrapText="1"/>
    </xf>
    <xf numFmtId="2" fontId="6" fillId="0" borderId="31" xfId="3" applyNumberFormat="1" applyFont="1" applyFill="1" applyBorder="1" applyAlignment="1">
      <alignment horizontal="center" vertical="center" wrapText="1"/>
    </xf>
    <xf numFmtId="4" fontId="6" fillId="0" borderId="34" xfId="3" applyNumberFormat="1" applyFont="1" applyFill="1" applyBorder="1" applyAlignment="1">
      <alignment horizontal="center" vertical="center" wrapText="1"/>
    </xf>
    <xf numFmtId="172" fontId="6" fillId="0" borderId="31" xfId="3" applyNumberFormat="1" applyFont="1" applyBorder="1" applyAlignment="1">
      <alignment horizontal="center" vertical="center" wrapText="1"/>
    </xf>
    <xf numFmtId="0" fontId="39" fillId="0" borderId="54" xfId="3" applyFont="1" applyFill="1" applyBorder="1" applyAlignment="1">
      <alignment horizontal="center" vertical="center" wrapText="1"/>
    </xf>
    <xf numFmtId="165" fontId="3" fillId="0" borderId="0" xfId="3" applyNumberFormat="1" applyAlignment="1">
      <alignment vertical="center"/>
    </xf>
    <xf numFmtId="180" fontId="5" fillId="0" borderId="31" xfId="3" applyNumberFormat="1" applyFont="1" applyBorder="1" applyAlignment="1">
      <alignment horizontal="left" vertical="center" wrapText="1"/>
    </xf>
    <xf numFmtId="180" fontId="6" fillId="0" borderId="31" xfId="3" applyNumberFormat="1" applyFont="1" applyBorder="1" applyAlignment="1">
      <alignment horizontal="center" vertical="center" wrapText="1"/>
    </xf>
    <xf numFmtId="4" fontId="6" fillId="2" borderId="3" xfId="3" applyNumberFormat="1" applyFont="1" applyFill="1" applyBorder="1" applyAlignment="1">
      <alignment horizontal="center" vertical="center" wrapText="1"/>
    </xf>
    <xf numFmtId="172" fontId="6" fillId="0" borderId="32" xfId="3" applyNumberFormat="1" applyFont="1" applyBorder="1" applyAlignment="1">
      <alignment horizontal="center" vertical="center" wrapText="1"/>
    </xf>
    <xf numFmtId="165" fontId="6" fillId="2" borderId="34" xfId="3" applyNumberFormat="1" applyFont="1" applyFill="1" applyBorder="1" applyAlignment="1">
      <alignment horizontal="center" vertical="center" wrapText="1"/>
    </xf>
    <xf numFmtId="175" fontId="6" fillId="0" borderId="23" xfId="3" applyNumberFormat="1" applyFont="1" applyBorder="1" applyAlignment="1">
      <alignment horizontal="center" vertical="center" wrapText="1"/>
    </xf>
    <xf numFmtId="175" fontId="6" fillId="0" borderId="48" xfId="3" applyNumberFormat="1" applyFont="1" applyBorder="1" applyAlignment="1">
      <alignment horizontal="center" vertical="center" wrapText="1"/>
    </xf>
    <xf numFmtId="1" fontId="5" fillId="2" borderId="54" xfId="3" applyNumberFormat="1" applyFont="1" applyFill="1" applyBorder="1" applyAlignment="1">
      <alignment horizontal="center" vertical="center" wrapText="1"/>
    </xf>
    <xf numFmtId="0" fontId="6" fillId="2" borderId="32" xfId="3" applyFont="1" applyFill="1" applyBorder="1" applyAlignment="1">
      <alignment horizontal="center" vertical="center" wrapText="1"/>
    </xf>
    <xf numFmtId="0" fontId="6" fillId="2" borderId="54" xfId="3" applyFont="1" applyFill="1" applyBorder="1" applyAlignment="1">
      <alignment horizontal="center" vertical="center" wrapText="1"/>
    </xf>
    <xf numFmtId="2" fontId="6" fillId="2" borderId="31" xfId="3" applyNumberFormat="1" applyFont="1" applyFill="1" applyBorder="1" applyAlignment="1">
      <alignment horizontal="center" vertical="center" wrapText="1"/>
    </xf>
    <xf numFmtId="0" fontId="6" fillId="2" borderId="33" xfId="3" applyFont="1" applyFill="1" applyBorder="1" applyAlignment="1">
      <alignment horizontal="center" vertical="center" wrapText="1"/>
    </xf>
    <xf numFmtId="0" fontId="6" fillId="2" borderId="31" xfId="3" applyFont="1" applyFill="1" applyBorder="1" applyAlignment="1">
      <alignment horizontal="center" vertical="center" wrapText="1"/>
    </xf>
    <xf numFmtId="0" fontId="6" fillId="2" borderId="54" xfId="3" applyFont="1" applyFill="1" applyBorder="1" applyAlignment="1">
      <alignment horizontal="center" vertical="top" wrapText="1"/>
    </xf>
    <xf numFmtId="165" fontId="6" fillId="2" borderId="54" xfId="3" applyNumberFormat="1" applyFont="1" applyFill="1" applyBorder="1" applyAlignment="1">
      <alignment horizontal="right" vertical="center" wrapText="1"/>
    </xf>
    <xf numFmtId="171" fontId="6" fillId="2" borderId="54" xfId="3" applyNumberFormat="1" applyFont="1" applyFill="1" applyBorder="1" applyAlignment="1">
      <alignment horizontal="center" vertical="center" wrapText="1"/>
    </xf>
    <xf numFmtId="0" fontId="5" fillId="2" borderId="54" xfId="3" applyFont="1" applyFill="1" applyBorder="1" applyAlignment="1">
      <alignment horizontal="center" vertical="distributed" wrapText="1"/>
    </xf>
    <xf numFmtId="14" fontId="6" fillId="0" borderId="3" xfId="3" applyNumberFormat="1" applyFont="1" applyBorder="1" applyAlignment="1">
      <alignment horizontal="center" vertical="center" wrapText="1"/>
    </xf>
    <xf numFmtId="14" fontId="6" fillId="0" borderId="0" xfId="3" applyNumberFormat="1" applyFont="1" applyBorder="1" applyAlignment="1">
      <alignment horizontal="center" vertical="center" wrapText="1"/>
    </xf>
    <xf numFmtId="14" fontId="6" fillId="0" borderId="43" xfId="3" applyNumberFormat="1" applyFont="1" applyBorder="1" applyAlignment="1">
      <alignment horizontal="center" vertical="center" wrapText="1"/>
    </xf>
    <xf numFmtId="0" fontId="6" fillId="0" borderId="0" xfId="3" applyFont="1" applyFill="1" applyAlignment="1">
      <alignment wrapText="1"/>
    </xf>
    <xf numFmtId="0" fontId="6" fillId="0" borderId="16" xfId="3" applyFont="1" applyFill="1" applyBorder="1" applyAlignment="1">
      <alignment wrapText="1"/>
    </xf>
    <xf numFmtId="0" fontId="49" fillId="0" borderId="0" xfId="3" applyFont="1" applyFill="1" applyAlignment="1">
      <alignment wrapText="1"/>
    </xf>
    <xf numFmtId="0" fontId="49" fillId="0" borderId="43" xfId="3" applyFont="1" applyFill="1" applyBorder="1" applyAlignment="1">
      <alignment horizontal="center" wrapText="1"/>
    </xf>
    <xf numFmtId="0" fontId="49" fillId="0" borderId="16" xfId="3" applyFont="1" applyFill="1" applyBorder="1" applyAlignment="1">
      <alignment wrapText="1"/>
    </xf>
    <xf numFmtId="0" fontId="49" fillId="0" borderId="17" xfId="3" applyFont="1" applyFill="1" applyBorder="1" applyAlignment="1">
      <alignment horizontal="center" wrapText="1"/>
    </xf>
    <xf numFmtId="0" fontId="6" fillId="0" borderId="54" xfId="3" applyFont="1" applyFill="1" applyBorder="1" applyAlignment="1">
      <alignment horizontal="left" vertical="distributed" wrapText="1"/>
    </xf>
    <xf numFmtId="10" fontId="72" fillId="0" borderId="0" xfId="2" applyNumberFormat="1" applyFont="1" applyFill="1" applyAlignment="1">
      <alignment horizontal="center" vertical="center"/>
    </xf>
    <xf numFmtId="1" fontId="6" fillId="0" borderId="3" xfId="3" applyNumberFormat="1" applyFont="1" applyBorder="1" applyAlignment="1">
      <alignment horizontal="center" vertical="distributed" wrapText="1"/>
    </xf>
    <xf numFmtId="0" fontId="6" fillId="0" borderId="0" xfId="3" applyFont="1" applyAlignment="1">
      <alignment horizontal="center" vertical="distributed" wrapText="1"/>
    </xf>
    <xf numFmtId="2" fontId="6" fillId="0" borderId="43" xfId="3" applyNumberFormat="1" applyFont="1" applyBorder="1" applyAlignment="1">
      <alignment horizontal="center" vertical="distributed" wrapText="1"/>
    </xf>
    <xf numFmtId="175" fontId="6" fillId="0" borderId="42" xfId="3" applyNumberFormat="1" applyFont="1" applyBorder="1" applyAlignment="1">
      <alignment horizontal="center" vertical="center" wrapText="1"/>
    </xf>
    <xf numFmtId="2" fontId="6" fillId="0" borderId="42" xfId="1" applyNumberFormat="1" applyFont="1" applyBorder="1" applyAlignment="1">
      <alignment horizontal="center" vertical="center" wrapText="1"/>
    </xf>
    <xf numFmtId="1" fontId="6" fillId="0" borderId="42" xfId="3" applyNumberFormat="1" applyFont="1" applyBorder="1" applyAlignment="1">
      <alignment horizontal="center" vertical="center" wrapText="1"/>
    </xf>
    <xf numFmtId="165" fontId="6" fillId="0" borderId="42" xfId="3" applyNumberFormat="1" applyFont="1" applyBorder="1" applyAlignment="1">
      <alignment vertical="center" wrapText="1"/>
    </xf>
    <xf numFmtId="0" fontId="3" fillId="0" borderId="42" xfId="3" applyBorder="1" applyAlignment="1">
      <alignment horizontal="center" vertical="distributed" wrapText="1"/>
    </xf>
    <xf numFmtId="49" fontId="6" fillId="0" borderId="48" xfId="12" applyNumberFormat="1" applyFont="1" applyBorder="1" applyAlignment="1">
      <alignment horizontal="center" vertical="center" wrapText="1"/>
    </xf>
    <xf numFmtId="0" fontId="6" fillId="0" borderId="48" xfId="12" applyFont="1" applyBorder="1" applyAlignment="1">
      <alignment horizontal="left" vertical="center" wrapText="1"/>
    </xf>
    <xf numFmtId="1" fontId="6" fillId="0" borderId="36" xfId="3" applyNumberFormat="1" applyFont="1" applyBorder="1" applyAlignment="1">
      <alignment horizontal="center" vertical="distributed" wrapText="1"/>
    </xf>
    <xf numFmtId="2" fontId="6" fillId="0" borderId="37" xfId="3" applyNumberFormat="1" applyFont="1" applyBorder="1" applyAlignment="1">
      <alignment horizontal="center" vertical="distributed" wrapText="1"/>
    </xf>
    <xf numFmtId="2" fontId="6" fillId="0" borderId="48" xfId="1" applyNumberFormat="1" applyFont="1" applyFill="1" applyBorder="1" applyAlignment="1">
      <alignment horizontal="center" vertical="center" wrapText="1"/>
    </xf>
    <xf numFmtId="2" fontId="6" fillId="0" borderId="48" xfId="1" applyNumberFormat="1" applyFont="1" applyFill="1" applyBorder="1" applyAlignment="1">
      <alignment horizontal="center" vertical="distributed" wrapText="1"/>
    </xf>
    <xf numFmtId="165" fontId="6" fillId="0" borderId="48" xfId="1" applyNumberFormat="1" applyFont="1" applyFill="1" applyBorder="1" applyAlignment="1">
      <alignment horizontal="center" vertical="distributed" wrapText="1"/>
    </xf>
    <xf numFmtId="43" fontId="6" fillId="0" borderId="48" xfId="1" applyFont="1" applyFill="1" applyBorder="1" applyAlignment="1">
      <alignment horizontal="center" vertical="distributed" wrapText="1"/>
    </xf>
    <xf numFmtId="165" fontId="6" fillId="0" borderId="54" xfId="1" applyNumberFormat="1" applyFont="1" applyFill="1" applyBorder="1" applyAlignment="1">
      <alignment horizontal="right" vertical="distributed" wrapText="1"/>
    </xf>
    <xf numFmtId="1" fontId="6" fillId="0" borderId="34" xfId="3" applyNumberFormat="1" applyFont="1" applyFill="1" applyBorder="1" applyAlignment="1">
      <alignment horizontal="center" vertical="center" wrapText="1"/>
    </xf>
    <xf numFmtId="2" fontId="6" fillId="0" borderId="49" xfId="3" applyNumberFormat="1" applyFont="1" applyFill="1" applyBorder="1" applyAlignment="1">
      <alignment horizontal="center" vertical="center" wrapText="1"/>
    </xf>
    <xf numFmtId="165" fontId="6" fillId="0" borderId="49" xfId="3" applyNumberFormat="1" applyFont="1" applyFill="1" applyBorder="1" applyAlignment="1">
      <alignment horizontal="center" vertical="center" wrapText="1"/>
    </xf>
    <xf numFmtId="0" fontId="6" fillId="0" borderId="54" xfId="3" applyFont="1" applyBorder="1" applyAlignment="1">
      <alignment horizontal="center" vertical="center" wrapText="1"/>
    </xf>
    <xf numFmtId="0" fontId="6" fillId="0" borderId="48" xfId="3" applyFont="1" applyBorder="1" applyAlignment="1">
      <alignment horizontal="center" vertical="center" wrapText="1"/>
    </xf>
    <xf numFmtId="165" fontId="6" fillId="0" borderId="54" xfId="1" applyNumberFormat="1" applyFont="1" applyFill="1" applyBorder="1" applyAlignment="1">
      <alignment horizontal="right" vertical="distributed" wrapText="1"/>
    </xf>
    <xf numFmtId="43" fontId="6" fillId="0" borderId="54" xfId="1" applyFont="1" applyFill="1" applyBorder="1" applyAlignment="1">
      <alignment horizontal="center" vertical="distributed" wrapText="1"/>
    </xf>
    <xf numFmtId="0" fontId="6" fillId="0" borderId="54" xfId="12" applyFont="1" applyBorder="1" applyAlignment="1">
      <alignment horizontal="left" vertical="center" wrapText="1"/>
    </xf>
    <xf numFmtId="0" fontId="6" fillId="0" borderId="54" xfId="3" applyFont="1" applyBorder="1" applyAlignment="1">
      <alignment horizontal="left" vertical="distributed" wrapText="1"/>
    </xf>
    <xf numFmtId="0" fontId="6" fillId="0" borderId="54" xfId="12" applyFont="1" applyBorder="1" applyAlignment="1">
      <alignment horizontal="left" vertical="center" wrapText="1"/>
    </xf>
    <xf numFmtId="0" fontId="6" fillId="0" borderId="54" xfId="3" applyFont="1" applyBorder="1" applyAlignment="1">
      <alignment horizontal="center" vertical="center" wrapText="1"/>
    </xf>
    <xf numFmtId="0" fontId="6" fillId="0" borderId="48" xfId="3" applyFont="1" applyBorder="1" applyAlignment="1">
      <alignment horizontal="center" vertical="center" wrapText="1"/>
    </xf>
    <xf numFmtId="165" fontId="6" fillId="0" borderId="54" xfId="1" applyNumberFormat="1" applyFont="1" applyFill="1" applyBorder="1" applyAlignment="1">
      <alignment horizontal="right" vertical="distributed" wrapText="1"/>
    </xf>
    <xf numFmtId="172" fontId="6" fillId="0" borderId="32" xfId="1" applyNumberFormat="1" applyFont="1" applyFill="1" applyBorder="1" applyAlignment="1">
      <alignment horizontal="center" vertical="center" wrapText="1"/>
    </xf>
    <xf numFmtId="17" fontId="6" fillId="0" borderId="49" xfId="3" applyNumberFormat="1" applyFont="1" applyBorder="1" applyAlignment="1">
      <alignment horizontal="center" vertical="distributed" wrapText="1"/>
    </xf>
    <xf numFmtId="0" fontId="6" fillId="0" borderId="54" xfId="3" applyFont="1" applyBorder="1" applyAlignment="1">
      <alignment horizontal="left" vertical="distributed" wrapText="1"/>
    </xf>
    <xf numFmtId="0" fontId="6" fillId="0" borderId="54" xfId="12" applyFont="1" applyBorder="1" applyAlignment="1">
      <alignment horizontal="left" vertical="center" wrapText="1"/>
    </xf>
    <xf numFmtId="0" fontId="6" fillId="0" borderId="54" xfId="3" applyFont="1" applyBorder="1" applyAlignment="1">
      <alignment horizontal="center" vertical="center" wrapText="1"/>
    </xf>
    <xf numFmtId="0" fontId="6" fillId="0" borderId="48" xfId="3" applyFont="1" applyBorder="1" applyAlignment="1">
      <alignment horizontal="center" vertical="center" wrapText="1"/>
    </xf>
    <xf numFmtId="165" fontId="6" fillId="0" borderId="54" xfId="1" applyNumberFormat="1" applyFont="1" applyFill="1" applyBorder="1" applyAlignment="1">
      <alignment horizontal="right" vertical="distributed" wrapText="1"/>
    </xf>
    <xf numFmtId="0" fontId="27" fillId="0" borderId="49" xfId="3" applyFont="1" applyBorder="1" applyAlignment="1">
      <alignment horizontal="center" vertical="center" wrapText="1"/>
    </xf>
    <xf numFmtId="180" fontId="27" fillId="0" borderId="34" xfId="3" applyNumberFormat="1" applyFont="1" applyBorder="1" applyAlignment="1">
      <alignment horizontal="center" vertical="center" wrapText="1"/>
    </xf>
    <xf numFmtId="0" fontId="27" fillId="2" borderId="49" xfId="3" applyFont="1" applyFill="1" applyBorder="1" applyAlignment="1">
      <alignment horizontal="center" vertical="center" wrapText="1"/>
    </xf>
    <xf numFmtId="0" fontId="27" fillId="0" borderId="34" xfId="3" applyFont="1" applyBorder="1" applyAlignment="1">
      <alignment horizontal="center" vertical="center" wrapText="1"/>
    </xf>
    <xf numFmtId="0" fontId="27" fillId="0" borderId="54" xfId="3" applyFont="1" applyBorder="1" applyAlignment="1">
      <alignment horizontal="center" vertical="center" wrapText="1"/>
    </xf>
    <xf numFmtId="0" fontId="5" fillId="0" borderId="54" xfId="12" applyFont="1" applyBorder="1" applyAlignment="1">
      <alignment horizontal="left" vertical="center" wrapText="1"/>
    </xf>
    <xf numFmtId="0" fontId="62" fillId="0" borderId="0" xfId="18" applyFont="1" applyAlignment="1">
      <alignment vertical="center"/>
    </xf>
    <xf numFmtId="0" fontId="1" fillId="0" borderId="0" xfId="18"/>
    <xf numFmtId="0" fontId="1" fillId="2" borderId="1" xfId="18" applyFill="1" applyBorder="1"/>
    <xf numFmtId="0" fontId="1" fillId="2" borderId="44" xfId="18" applyFill="1" applyBorder="1"/>
    <xf numFmtId="0" fontId="1" fillId="2" borderId="103" xfId="18" applyFill="1" applyBorder="1"/>
    <xf numFmtId="0" fontId="1" fillId="2" borderId="0" xfId="18" applyFill="1"/>
    <xf numFmtId="0" fontId="1" fillId="10" borderId="2" xfId="18" applyFill="1" applyBorder="1" applyAlignment="1">
      <alignment horizontal="center"/>
    </xf>
    <xf numFmtId="0" fontId="1" fillId="0" borderId="2" xfId="18" applyBorder="1"/>
    <xf numFmtId="0" fontId="1" fillId="4" borderId="2" xfId="18" applyFill="1" applyBorder="1"/>
    <xf numFmtId="39" fontId="1" fillId="0" borderId="0" xfId="18" applyNumberFormat="1"/>
    <xf numFmtId="181" fontId="1" fillId="0" borderId="0" xfId="18" applyNumberFormat="1"/>
    <xf numFmtId="0" fontId="1" fillId="0" borderId="56" xfId="18" applyBorder="1"/>
    <xf numFmtId="0" fontId="1" fillId="0" borderId="46" xfId="18" applyBorder="1" applyAlignment="1">
      <alignment horizontal="center"/>
    </xf>
    <xf numFmtId="0" fontId="1" fillId="0" borderId="81" xfId="18" applyBorder="1" applyAlignment="1">
      <alignment horizontal="center"/>
    </xf>
    <xf numFmtId="0" fontId="1" fillId="0" borderId="86" xfId="18" applyBorder="1"/>
    <xf numFmtId="1" fontId="46" fillId="0" borderId="42" xfId="3" applyNumberFormat="1" applyFont="1" applyBorder="1" applyAlignment="1">
      <alignment horizontal="left" vertical="center" wrapText="1"/>
    </xf>
    <xf numFmtId="1" fontId="6" fillId="0" borderId="103" xfId="3" applyNumberFormat="1" applyFont="1" applyBorder="1" applyAlignment="1">
      <alignment horizontal="center" vertical="distributed" wrapText="1"/>
    </xf>
    <xf numFmtId="0" fontId="46" fillId="0" borderId="42" xfId="3" applyFont="1" applyBorder="1" applyAlignment="1">
      <alignment horizontal="center" vertical="center" wrapText="1"/>
    </xf>
    <xf numFmtId="2" fontId="46" fillId="0" borderId="42" xfId="3" applyNumberFormat="1" applyFont="1" applyBorder="1" applyAlignment="1">
      <alignment horizontal="center" vertical="center" wrapText="1"/>
    </xf>
    <xf numFmtId="43" fontId="46" fillId="0" borderId="43" xfId="1" applyFont="1" applyFill="1" applyBorder="1" applyAlignment="1">
      <alignment horizontal="center" vertical="center" wrapText="1"/>
    </xf>
    <xf numFmtId="2" fontId="46" fillId="0" borderId="42" xfId="1" applyNumberFormat="1" applyFont="1" applyFill="1" applyBorder="1" applyAlignment="1">
      <alignment horizontal="center" vertical="center" wrapText="1"/>
    </xf>
    <xf numFmtId="172" fontId="46" fillId="0" borderId="42" xfId="1" applyNumberFormat="1" applyFont="1" applyFill="1" applyBorder="1" applyAlignment="1">
      <alignment horizontal="center" vertical="center" wrapText="1"/>
    </xf>
    <xf numFmtId="43" fontId="46" fillId="0" borderId="42" xfId="1" applyFont="1" applyFill="1" applyBorder="1" applyAlignment="1">
      <alignment horizontal="center" vertical="distributed" wrapText="1"/>
    </xf>
    <xf numFmtId="43" fontId="46" fillId="0" borderId="42" xfId="1" applyFont="1" applyFill="1" applyBorder="1" applyAlignment="1">
      <alignment horizontal="center" vertical="center" wrapText="1"/>
    </xf>
    <xf numFmtId="165" fontId="46" fillId="0" borderId="42" xfId="3" applyNumberFormat="1" applyFont="1" applyBorder="1" applyAlignment="1">
      <alignment horizontal="right" vertical="center" wrapText="1"/>
    </xf>
    <xf numFmtId="43" fontId="6" fillId="0" borderId="103" xfId="1" applyFont="1" applyFill="1" applyBorder="1" applyAlignment="1">
      <alignment horizontal="center" vertical="distributed" wrapText="1"/>
    </xf>
    <xf numFmtId="171" fontId="46" fillId="0" borderId="42" xfId="3" applyNumberFormat="1" applyFont="1" applyBorder="1" applyAlignment="1">
      <alignment horizontal="center" vertical="center" wrapText="1"/>
    </xf>
    <xf numFmtId="0" fontId="45" fillId="0" borderId="42" xfId="3" applyFont="1" applyBorder="1" applyAlignment="1">
      <alignment horizontal="center" vertical="distributed" wrapText="1"/>
    </xf>
    <xf numFmtId="184" fontId="6" fillId="0" borderId="33" xfId="1" applyNumberFormat="1" applyFont="1" applyFill="1" applyBorder="1" applyAlignment="1">
      <alignment horizontal="left" vertical="center" wrapText="1" indent="2"/>
    </xf>
    <xf numFmtId="0" fontId="6" fillId="0" borderId="103" xfId="3" applyFont="1" applyBorder="1" applyAlignment="1">
      <alignment horizontal="center" vertical="center" wrapText="1"/>
    </xf>
    <xf numFmtId="2" fontId="6" fillId="0" borderId="103" xfId="3" applyNumberFormat="1" applyFont="1" applyBorder="1" applyAlignment="1">
      <alignment horizontal="center" vertical="center" wrapText="1"/>
    </xf>
    <xf numFmtId="165" fontId="6" fillId="2" borderId="103" xfId="3" applyNumberFormat="1" applyFont="1" applyFill="1" applyBorder="1" applyAlignment="1">
      <alignment horizontal="center" vertical="center" wrapText="1"/>
    </xf>
    <xf numFmtId="1" fontId="5" fillId="2" borderId="54" xfId="0" applyNumberFormat="1" applyFont="1" applyFill="1" applyBorder="1" applyAlignment="1">
      <alignment vertical="center" wrapText="1"/>
    </xf>
    <xf numFmtId="0" fontId="5" fillId="2" borderId="54" xfId="0" applyFont="1" applyFill="1" applyBorder="1" applyAlignment="1">
      <alignment vertical="center" wrapText="1"/>
    </xf>
    <xf numFmtId="2" fontId="44" fillId="5" borderId="52" xfId="3" applyNumberFormat="1" applyFont="1" applyFill="1" applyBorder="1" applyAlignment="1">
      <alignment horizontal="center" vertical="distributed" wrapText="1"/>
    </xf>
    <xf numFmtId="165" fontId="44" fillId="5" borderId="50" xfId="1" applyNumberFormat="1" applyFont="1" applyFill="1" applyBorder="1" applyAlignment="1">
      <alignment horizontal="center" vertical="center" wrapText="1"/>
    </xf>
    <xf numFmtId="165" fontId="44" fillId="5" borderId="52" xfId="3" applyNumberFormat="1" applyFont="1" applyFill="1" applyBorder="1" applyAlignment="1">
      <alignment horizontal="center" vertical="center" wrapText="1"/>
    </xf>
    <xf numFmtId="4" fontId="6" fillId="2" borderId="103" xfId="3" applyNumberFormat="1" applyFont="1" applyFill="1" applyBorder="1" applyAlignment="1">
      <alignment horizontal="center" vertical="center" wrapText="1"/>
    </xf>
    <xf numFmtId="1" fontId="6" fillId="0" borderId="31" xfId="3" applyNumberFormat="1" applyFont="1" applyFill="1" applyBorder="1" applyAlignment="1">
      <alignment horizontal="left" vertical="center" wrapText="1"/>
    </xf>
    <xf numFmtId="2" fontId="6" fillId="0" borderId="34" xfId="3" applyNumberFormat="1" applyFont="1" applyFill="1" applyBorder="1" applyAlignment="1">
      <alignment horizontal="center" vertical="center" wrapText="1"/>
    </xf>
    <xf numFmtId="172" fontId="6" fillId="0" borderId="34" xfId="3" applyNumberFormat="1" applyFont="1" applyFill="1" applyBorder="1" applyAlignment="1">
      <alignment horizontal="center" vertical="center" wrapText="1"/>
    </xf>
    <xf numFmtId="165" fontId="6" fillId="0" borderId="54" xfId="1" applyNumberFormat="1" applyFont="1" applyFill="1" applyBorder="1" applyAlignment="1">
      <alignment horizontal="right" vertical="center" wrapText="1"/>
    </xf>
    <xf numFmtId="0" fontId="5" fillId="0" borderId="49" xfId="3" applyFont="1" applyFill="1" applyBorder="1" applyAlignment="1">
      <alignment horizontal="center" vertical="center" wrapText="1"/>
    </xf>
    <xf numFmtId="0" fontId="6" fillId="2" borderId="54" xfId="12" applyFont="1" applyFill="1" applyBorder="1" applyAlignment="1">
      <alignment horizontal="left" vertical="center" wrapText="1"/>
    </xf>
    <xf numFmtId="1" fontId="6" fillId="2" borderId="12" xfId="3" applyNumberFormat="1" applyFont="1" applyFill="1" applyBorder="1" applyAlignment="1">
      <alignment horizontal="center" vertical="center" wrapText="1"/>
    </xf>
    <xf numFmtId="0" fontId="6" fillId="0" borderId="13" xfId="3" applyFont="1" applyBorder="1" applyAlignment="1">
      <alignment horizontal="center" vertical="center" wrapText="1"/>
    </xf>
    <xf numFmtId="2" fontId="6" fillId="2" borderId="14" xfId="3" applyNumberFormat="1" applyFont="1" applyFill="1" applyBorder="1" applyAlignment="1">
      <alignment horizontal="center" vertical="center" wrapText="1"/>
    </xf>
    <xf numFmtId="1" fontId="6" fillId="0" borderId="103" xfId="3" applyNumberFormat="1" applyFont="1" applyBorder="1" applyAlignment="1">
      <alignment horizontal="center" vertical="center" wrapText="1"/>
    </xf>
    <xf numFmtId="0" fontId="6" fillId="0" borderId="0" xfId="3" applyFont="1" applyBorder="1" applyAlignment="1">
      <alignment horizontal="center" vertical="distributed" wrapText="1"/>
    </xf>
    <xf numFmtId="172" fontId="6" fillId="0" borderId="0" xfId="3" applyNumberFormat="1" applyFont="1" applyAlignment="1">
      <alignment horizontal="center" vertical="center" wrapText="1"/>
    </xf>
    <xf numFmtId="14" fontId="6" fillId="0" borderId="103" xfId="3" applyNumberFormat="1" applyFont="1" applyBorder="1" applyAlignment="1">
      <alignment horizontal="center" vertical="center" wrapText="1"/>
    </xf>
    <xf numFmtId="4" fontId="6" fillId="0" borderId="32" xfId="3" applyNumberFormat="1" applyFont="1" applyBorder="1" applyAlignment="1">
      <alignment horizontal="center" vertical="center" wrapText="1"/>
    </xf>
    <xf numFmtId="1" fontId="27" fillId="0" borderId="31" xfId="3" applyNumberFormat="1" applyFont="1" applyBorder="1" applyAlignment="1">
      <alignment horizontal="left" vertical="center" wrapText="1"/>
    </xf>
    <xf numFmtId="1" fontId="6" fillId="0" borderId="35" xfId="1" applyNumberFormat="1" applyFont="1" applyFill="1" applyBorder="1" applyAlignment="1">
      <alignment horizontal="center" vertical="center" wrapText="1"/>
    </xf>
    <xf numFmtId="1" fontId="6" fillId="0" borderId="31" xfId="3" applyNumberFormat="1" applyFont="1" applyFill="1" applyBorder="1" applyAlignment="1">
      <alignment horizontal="center" vertical="center" wrapText="1"/>
    </xf>
    <xf numFmtId="0" fontId="6" fillId="0" borderId="32" xfId="3" applyFont="1" applyFill="1" applyBorder="1" applyAlignment="1">
      <alignment horizontal="center" vertical="center" wrapText="1"/>
    </xf>
    <xf numFmtId="2" fontId="6" fillId="0" borderId="33" xfId="3" applyNumberFormat="1" applyFont="1" applyFill="1" applyBorder="1" applyAlignment="1">
      <alignment horizontal="center" vertical="center" wrapText="1"/>
    </xf>
    <xf numFmtId="0" fontId="6" fillId="0" borderId="42" xfId="3" applyFont="1" applyBorder="1" applyAlignment="1">
      <alignment horizontal="center" vertical="distributed" wrapText="1"/>
    </xf>
    <xf numFmtId="43" fontId="3" fillId="0" borderId="0" xfId="1" applyFont="1" applyBorder="1" applyAlignment="1">
      <alignment horizontal="center" vertical="center" wrapText="1"/>
    </xf>
    <xf numFmtId="43" fontId="21" fillId="6" borderId="45" xfId="1" applyFont="1" applyFill="1" applyBorder="1" applyAlignment="1" applyProtection="1">
      <alignment horizontal="center" vertical="center"/>
    </xf>
    <xf numFmtId="43" fontId="39" fillId="0" borderId="0" xfId="1" applyFont="1" applyBorder="1" applyAlignment="1" applyProtection="1">
      <alignment horizontal="center" vertical="center"/>
      <protection locked="0"/>
    </xf>
    <xf numFmtId="43" fontId="16" fillId="0" borderId="0" xfId="1" applyFont="1" applyBorder="1" applyAlignment="1">
      <alignment horizontal="center" vertical="center" wrapText="1"/>
    </xf>
    <xf numFmtId="43" fontId="73" fillId="0" borderId="0" xfId="1" applyFont="1" applyBorder="1" applyAlignment="1">
      <alignment horizontal="center" vertical="center" wrapText="1"/>
    </xf>
    <xf numFmtId="14" fontId="6" fillId="0" borderId="34" xfId="3" applyNumberFormat="1" applyFont="1" applyBorder="1" applyAlignment="1">
      <alignment horizontal="center" vertical="center" wrapText="1"/>
    </xf>
    <xf numFmtId="14" fontId="6" fillId="0" borderId="24" xfId="3" applyNumberFormat="1" applyFont="1" applyBorder="1" applyAlignment="1">
      <alignment horizontal="center" vertical="center" wrapText="1"/>
    </xf>
    <xf numFmtId="14" fontId="6" fillId="0" borderId="35" xfId="3" applyNumberFormat="1" applyFont="1" applyBorder="1" applyAlignment="1">
      <alignment horizontal="center" vertical="center" wrapText="1"/>
    </xf>
    <xf numFmtId="175" fontId="6" fillId="0" borderId="31" xfId="3" applyNumberFormat="1" applyFont="1" applyBorder="1" applyAlignment="1">
      <alignment horizontal="center" vertical="center" wrapText="1"/>
    </xf>
    <xf numFmtId="1" fontId="46" fillId="0" borderId="104" xfId="3" applyNumberFormat="1" applyFont="1" applyBorder="1" applyAlignment="1">
      <alignment horizontal="left" vertical="center" wrapText="1"/>
    </xf>
    <xf numFmtId="0" fontId="46" fillId="0" borderId="104" xfId="3" applyFont="1" applyBorder="1" applyAlignment="1">
      <alignment horizontal="center" vertical="center" wrapText="1"/>
    </xf>
    <xf numFmtId="2" fontId="46" fillId="0" borderId="104" xfId="3" applyNumberFormat="1" applyFont="1" applyBorder="1" applyAlignment="1">
      <alignment horizontal="center" vertical="center" wrapText="1"/>
    </xf>
    <xf numFmtId="2" fontId="46" fillId="0" borderId="104" xfId="1" applyNumberFormat="1" applyFont="1" applyFill="1" applyBorder="1" applyAlignment="1">
      <alignment horizontal="center" vertical="center" wrapText="1"/>
    </xf>
    <xf numFmtId="172" fontId="46" fillId="0" borderId="104" xfId="1" applyNumberFormat="1" applyFont="1" applyFill="1" applyBorder="1" applyAlignment="1">
      <alignment horizontal="center" vertical="center" wrapText="1"/>
    </xf>
    <xf numFmtId="43" fontId="46" fillId="0" borderId="104" xfId="1" applyFont="1" applyFill="1" applyBorder="1" applyAlignment="1">
      <alignment horizontal="center" vertical="distributed" wrapText="1"/>
    </xf>
    <xf numFmtId="43" fontId="46" fillId="0" borderId="104" xfId="1" applyFont="1" applyFill="1" applyBorder="1" applyAlignment="1">
      <alignment horizontal="center" vertical="center" wrapText="1"/>
    </xf>
    <xf numFmtId="165" fontId="46" fillId="0" borderId="104" xfId="3" applyNumberFormat="1" applyFont="1" applyBorder="1" applyAlignment="1">
      <alignment horizontal="right" vertical="center" wrapText="1"/>
    </xf>
    <xf numFmtId="171" fontId="46" fillId="0" borderId="104" xfId="3" applyNumberFormat="1" applyFont="1" applyBorder="1" applyAlignment="1">
      <alignment horizontal="center" vertical="center" wrapText="1"/>
    </xf>
    <xf numFmtId="0" fontId="45" fillId="0" borderId="104" xfId="3" applyFont="1" applyBorder="1" applyAlignment="1">
      <alignment horizontal="center" vertical="distributed" wrapText="1"/>
    </xf>
    <xf numFmtId="2" fontId="6" fillId="0" borderId="104" xfId="3" applyNumberFormat="1" applyFont="1" applyBorder="1" applyAlignment="1">
      <alignment horizontal="center" vertical="center" wrapText="1"/>
    </xf>
    <xf numFmtId="1" fontId="6" fillId="0" borderId="104" xfId="3" applyNumberFormat="1" applyFont="1" applyBorder="1" applyAlignment="1">
      <alignment horizontal="left" vertical="center" wrapText="1"/>
    </xf>
    <xf numFmtId="175" fontId="6" fillId="0" borderId="104" xfId="3" applyNumberFormat="1" applyFont="1" applyBorder="1" applyAlignment="1">
      <alignment horizontal="center" vertical="center" wrapText="1"/>
    </xf>
    <xf numFmtId="2" fontId="6" fillId="0" borderId="104" xfId="1" applyNumberFormat="1" applyFont="1" applyBorder="1" applyAlignment="1">
      <alignment horizontal="center" vertical="center" wrapText="1"/>
    </xf>
    <xf numFmtId="1" fontId="6" fillId="0" borderId="104" xfId="3" applyNumberFormat="1" applyFont="1" applyBorder="1" applyAlignment="1">
      <alignment horizontal="center" vertical="center" wrapText="1"/>
    </xf>
    <xf numFmtId="165" fontId="6" fillId="0" borderId="104" xfId="3" applyNumberFormat="1" applyFont="1" applyBorder="1" applyAlignment="1">
      <alignment vertical="center" wrapText="1"/>
    </xf>
    <xf numFmtId="165" fontId="6" fillId="0" borderId="104" xfId="3" applyNumberFormat="1" applyFont="1" applyBorder="1" applyAlignment="1">
      <alignment horizontal="center" vertical="center" wrapText="1"/>
    </xf>
    <xf numFmtId="171" fontId="6" fillId="0" borderId="104" xfId="3" applyNumberFormat="1" applyFont="1" applyBorder="1" applyAlignment="1">
      <alignment horizontal="center" vertical="center" wrapText="1"/>
    </xf>
    <xf numFmtId="0" fontId="3" fillId="0" borderId="104" xfId="3" applyBorder="1" applyAlignment="1">
      <alignment horizontal="center" vertical="distributed" wrapText="1"/>
    </xf>
    <xf numFmtId="2" fontId="6" fillId="0" borderId="104" xfId="1" applyNumberFormat="1" applyFont="1" applyFill="1" applyBorder="1" applyAlignment="1">
      <alignment horizontal="center" vertical="distributed" wrapText="1"/>
    </xf>
    <xf numFmtId="1" fontId="5" fillId="0" borderId="104" xfId="3" applyNumberFormat="1" applyFont="1" applyBorder="1" applyAlignment="1">
      <alignment horizontal="center" vertical="center" wrapText="1"/>
    </xf>
    <xf numFmtId="0" fontId="6" fillId="0" borderId="104" xfId="3" applyFont="1" applyBorder="1" applyAlignment="1">
      <alignment horizontal="center" vertical="center" wrapText="1"/>
    </xf>
    <xf numFmtId="0" fontId="6" fillId="0" borderId="104" xfId="3" applyFont="1" applyBorder="1" applyAlignment="1">
      <alignment horizontal="center" vertical="top" wrapText="1"/>
    </xf>
    <xf numFmtId="165" fontId="6" fillId="0" borderId="104" xfId="3" applyNumberFormat="1" applyFont="1" applyBorder="1" applyAlignment="1">
      <alignment horizontal="right" vertical="center" wrapText="1"/>
    </xf>
    <xf numFmtId="0" fontId="5" fillId="0" borderId="104" xfId="3" applyFont="1" applyBorder="1" applyAlignment="1">
      <alignment horizontal="center" vertical="distributed" wrapText="1"/>
    </xf>
    <xf numFmtId="17" fontId="6" fillId="0" borderId="33" xfId="3" applyNumberFormat="1" applyFont="1" applyBorder="1" applyAlignment="1">
      <alignment horizontal="center" vertical="distributed" wrapText="1"/>
    </xf>
    <xf numFmtId="0" fontId="6" fillId="0" borderId="1" xfId="3" applyFont="1" applyBorder="1" applyAlignment="1">
      <alignment wrapText="1"/>
    </xf>
    <xf numFmtId="0" fontId="6" fillId="0" borderId="103" xfId="3" applyFont="1" applyBorder="1" applyAlignment="1">
      <alignment wrapText="1"/>
    </xf>
    <xf numFmtId="0" fontId="6" fillId="0" borderId="4" xfId="3" applyFont="1" applyBorder="1" applyAlignment="1">
      <alignment wrapText="1"/>
    </xf>
    <xf numFmtId="1" fontId="5" fillId="2" borderId="104" xfId="0" applyNumberFormat="1" applyFont="1" applyFill="1" applyBorder="1" applyAlignment="1">
      <alignment vertical="center" wrapText="1"/>
    </xf>
    <xf numFmtId="1" fontId="74" fillId="0" borderId="57" xfId="3" applyNumberFormat="1" applyFont="1" applyBorder="1" applyAlignment="1">
      <alignment horizontal="left" vertical="center" wrapText="1"/>
    </xf>
    <xf numFmtId="0" fontId="5" fillId="0" borderId="33" xfId="3" applyFont="1" applyBorder="1" applyAlignment="1">
      <alignment horizontal="left" vertical="distributed" wrapText="1"/>
    </xf>
    <xf numFmtId="0" fontId="3" fillId="2" borderId="24" xfId="3" applyFill="1" applyBorder="1"/>
    <xf numFmtId="4" fontId="6" fillId="0" borderId="0" xfId="3" applyNumberFormat="1" applyFont="1" applyAlignment="1">
      <alignment horizontal="center" vertical="center" wrapText="1"/>
    </xf>
    <xf numFmtId="0" fontId="16" fillId="5" borderId="2" xfId="3" applyFont="1" applyFill="1" applyBorder="1" applyAlignment="1">
      <alignment horizontal="center" vertical="center" wrapText="1"/>
    </xf>
    <xf numFmtId="4" fontId="6" fillId="0" borderId="49" xfId="3" applyNumberFormat="1" applyFont="1" applyFill="1" applyBorder="1" applyAlignment="1">
      <alignment horizontal="center" vertical="center" wrapText="1"/>
    </xf>
    <xf numFmtId="0" fontId="6" fillId="0" borderId="104" xfId="3" applyFont="1" applyBorder="1" applyAlignment="1">
      <alignment horizontal="center" vertical="distributed" wrapText="1"/>
    </xf>
    <xf numFmtId="0" fontId="6" fillId="0" borderId="35" xfId="12" applyFont="1" applyBorder="1" applyAlignment="1">
      <alignment horizontal="left" vertical="center" wrapText="1"/>
    </xf>
    <xf numFmtId="171" fontId="6" fillId="0" borderId="34" xfId="3" applyNumberFormat="1" applyFont="1" applyBorder="1" applyAlignment="1">
      <alignment horizontal="center" vertical="center" wrapText="1"/>
    </xf>
    <xf numFmtId="0" fontId="28" fillId="0" borderId="42" xfId="3" applyFont="1" applyFill="1" applyBorder="1" applyAlignment="1">
      <alignment vertical="center"/>
    </xf>
    <xf numFmtId="0" fontId="3" fillId="0" borderId="46" xfId="3" applyBorder="1" applyAlignment="1">
      <alignment horizontal="center"/>
    </xf>
    <xf numFmtId="0" fontId="3" fillId="0" borderId="5" xfId="3" applyBorder="1" applyAlignment="1">
      <alignment horizontal="center"/>
    </xf>
    <xf numFmtId="0" fontId="3" fillId="0" borderId="47" xfId="3" applyBorder="1" applyAlignment="1">
      <alignment horizontal="center"/>
    </xf>
    <xf numFmtId="0" fontId="24" fillId="0" borderId="58" xfId="3" applyFont="1" applyBorder="1" applyAlignment="1">
      <alignment horizontal="left" vertical="center"/>
    </xf>
    <xf numFmtId="0" fontId="24" fillId="0" borderId="59" xfId="3" applyFont="1" applyBorder="1" applyAlignment="1">
      <alignment horizontal="left" vertical="center"/>
    </xf>
    <xf numFmtId="0" fontId="24" fillId="0" borderId="34" xfId="3" applyFont="1" applyBorder="1" applyAlignment="1">
      <alignment horizontal="left" vertical="center"/>
    </xf>
    <xf numFmtId="0" fontId="24" fillId="0" borderId="24" xfId="3" applyFont="1" applyBorder="1" applyAlignment="1">
      <alignment horizontal="left" vertical="center"/>
    </xf>
    <xf numFmtId="0" fontId="24" fillId="0" borderId="40" xfId="3" applyFont="1" applyBorder="1" applyAlignment="1">
      <alignment horizontal="left" vertical="center"/>
    </xf>
    <xf numFmtId="0" fontId="24" fillId="0" borderId="4" xfId="3" applyFont="1" applyBorder="1" applyAlignment="1">
      <alignment horizontal="left" vertical="center"/>
    </xf>
    <xf numFmtId="0" fontId="24" fillId="0" borderId="16" xfId="3" applyFont="1" applyBorder="1" applyAlignment="1">
      <alignment horizontal="left" vertical="center"/>
    </xf>
    <xf numFmtId="4" fontId="3" fillId="0" borderId="0" xfId="3" applyNumberFormat="1" applyAlignment="1">
      <alignment horizontal="center"/>
    </xf>
    <xf numFmtId="0" fontId="3" fillId="0" borderId="4" xfId="3" applyBorder="1" applyAlignment="1">
      <alignment horizontal="left" vertical="center"/>
    </xf>
    <xf numFmtId="0" fontId="3" fillId="0" borderId="16" xfId="3" applyBorder="1" applyAlignment="1">
      <alignment horizontal="left" vertical="center"/>
    </xf>
    <xf numFmtId="4" fontId="10" fillId="2" borderId="0" xfId="3" applyNumberFormat="1" applyFont="1" applyFill="1" applyAlignment="1">
      <alignment horizontal="center"/>
    </xf>
    <xf numFmtId="4" fontId="10" fillId="2" borderId="43" xfId="3" applyNumberFormat="1" applyFont="1" applyFill="1" applyBorder="1" applyAlignment="1">
      <alignment horizontal="center"/>
    </xf>
    <xf numFmtId="0" fontId="52" fillId="2" borderId="13" xfId="0" applyFont="1" applyFill="1" applyBorder="1" applyAlignment="1">
      <alignment horizontal="center" vertical="center"/>
    </xf>
    <xf numFmtId="0" fontId="52" fillId="0" borderId="13" xfId="0" applyFont="1" applyBorder="1" applyAlignment="1">
      <alignment horizontal="center" vertical="center"/>
    </xf>
    <xf numFmtId="0" fontId="52" fillId="2" borderId="69" xfId="0" applyFont="1" applyFill="1" applyBorder="1" applyAlignment="1">
      <alignment horizontal="center" vertical="center"/>
    </xf>
    <xf numFmtId="0" fontId="60" fillId="2" borderId="9" xfId="3" applyFont="1" applyFill="1" applyBorder="1" applyAlignment="1">
      <alignment horizontal="right" vertical="center"/>
    </xf>
    <xf numFmtId="0" fontId="60" fillId="2" borderId="10" xfId="3" applyFont="1" applyFill="1" applyBorder="1" applyAlignment="1">
      <alignment horizontal="right" vertical="center"/>
    </xf>
    <xf numFmtId="0" fontId="60" fillId="2" borderId="10" xfId="3" applyFont="1" applyFill="1" applyBorder="1" applyAlignment="1">
      <alignment horizontal="center" vertical="center"/>
    </xf>
    <xf numFmtId="0" fontId="57" fillId="0" borderId="4" xfId="3" applyFont="1" applyBorder="1" applyAlignment="1">
      <alignment horizontal="center" vertical="center"/>
    </xf>
    <xf numFmtId="0" fontId="57" fillId="0" borderId="16" xfId="3" applyFont="1" applyBorder="1" applyAlignment="1">
      <alignment horizontal="center" vertical="center"/>
    </xf>
    <xf numFmtId="0" fontId="57" fillId="0" borderId="17" xfId="3" applyFont="1" applyBorder="1" applyAlignment="1">
      <alignment horizontal="center" vertical="center"/>
    </xf>
    <xf numFmtId="0" fontId="3" fillId="0" borderId="58" xfId="3" applyBorder="1" applyAlignment="1">
      <alignment horizontal="left" vertical="center"/>
    </xf>
    <xf numFmtId="0" fontId="3" fillId="0" borderId="59" xfId="3" applyBorder="1" applyAlignment="1">
      <alignment horizontal="left" vertical="center"/>
    </xf>
    <xf numFmtId="4" fontId="10" fillId="2" borderId="44" xfId="3" applyNumberFormat="1" applyFont="1" applyFill="1" applyBorder="1" applyAlignment="1">
      <alignment horizontal="center"/>
    </xf>
    <xf numFmtId="4" fontId="10" fillId="2" borderId="45" xfId="3" applyNumberFormat="1" applyFont="1" applyFill="1" applyBorder="1" applyAlignment="1">
      <alignment horizontal="center"/>
    </xf>
    <xf numFmtId="0" fontId="3" fillId="0" borderId="34" xfId="3" applyBorder="1" applyAlignment="1">
      <alignment horizontal="left" vertical="center"/>
    </xf>
    <xf numFmtId="0" fontId="3" fillId="0" borderId="24" xfId="3" applyBorder="1" applyAlignment="1">
      <alignment horizontal="left" vertical="center"/>
    </xf>
    <xf numFmtId="0" fontId="3" fillId="0" borderId="40" xfId="3" applyBorder="1" applyAlignment="1">
      <alignment horizontal="left" vertical="center"/>
    </xf>
    <xf numFmtId="0" fontId="10" fillId="0" borderId="41" xfId="0" applyFont="1" applyBorder="1" applyAlignment="1">
      <alignment horizontal="center" vertical="center"/>
    </xf>
    <xf numFmtId="0" fontId="10" fillId="0" borderId="40" xfId="0" applyFont="1" applyBorder="1" applyAlignment="1">
      <alignment horizontal="center" vertical="center"/>
    </xf>
    <xf numFmtId="0" fontId="52" fillId="0" borderId="41" xfId="0" applyFont="1" applyBorder="1" applyAlignment="1">
      <alignment horizontal="center" vertical="center"/>
    </xf>
    <xf numFmtId="0" fontId="52" fillId="0" borderId="40" xfId="0" applyFont="1" applyBorder="1" applyAlignment="1">
      <alignment horizontal="center" vertical="center"/>
    </xf>
    <xf numFmtId="0" fontId="58" fillId="4" borderId="13" xfId="0" applyFont="1" applyFill="1" applyBorder="1" applyAlignment="1">
      <alignment horizontal="center" vertical="center"/>
    </xf>
    <xf numFmtId="0" fontId="10" fillId="0" borderId="66" xfId="0" applyFont="1" applyBorder="1" applyAlignment="1">
      <alignment horizontal="center" vertical="center"/>
    </xf>
    <xf numFmtId="0" fontId="10" fillId="0" borderId="13" xfId="0" applyFont="1" applyBorder="1" applyAlignment="1">
      <alignment horizontal="center" vertical="center"/>
    </xf>
    <xf numFmtId="0" fontId="54" fillId="0" borderId="2" xfId="3" applyFont="1" applyBorder="1" applyAlignment="1">
      <alignment horizontal="center" vertical="center"/>
    </xf>
    <xf numFmtId="0" fontId="51" fillId="4" borderId="56" xfId="3" applyFont="1" applyFill="1" applyBorder="1" applyAlignment="1">
      <alignment horizontal="center" vertical="center"/>
    </xf>
    <xf numFmtId="0" fontId="51" fillId="4" borderId="55" xfId="3" applyFont="1" applyFill="1" applyBorder="1" applyAlignment="1">
      <alignment horizontal="center" vertical="center"/>
    </xf>
    <xf numFmtId="0" fontId="51" fillId="4" borderId="1" xfId="3" applyFont="1" applyFill="1" applyBorder="1" applyAlignment="1">
      <alignment horizontal="center" vertical="center"/>
    </xf>
    <xf numFmtId="0" fontId="51" fillId="4" borderId="44" xfId="3" applyFont="1" applyFill="1" applyBorder="1" applyAlignment="1">
      <alignment horizontal="center" vertical="center"/>
    </xf>
    <xf numFmtId="0" fontId="51" fillId="4" borderId="45" xfId="3" applyFont="1" applyFill="1" applyBorder="1" applyAlignment="1">
      <alignment horizontal="center" vertical="center"/>
    </xf>
    <xf numFmtId="0" fontId="51" fillId="4" borderId="4" xfId="3" applyFont="1" applyFill="1" applyBorder="1" applyAlignment="1">
      <alignment horizontal="center" vertical="center"/>
    </xf>
    <xf numFmtId="0" fontId="51" fillId="4" borderId="16" xfId="3" applyFont="1" applyFill="1" applyBorder="1" applyAlignment="1">
      <alignment horizontal="center" vertical="center"/>
    </xf>
    <xf numFmtId="0" fontId="51" fillId="4" borderId="17" xfId="3" applyFont="1" applyFill="1" applyBorder="1" applyAlignment="1">
      <alignment horizontal="center" vertical="center"/>
    </xf>
    <xf numFmtId="0" fontId="51" fillId="4" borderId="56" xfId="3" applyFont="1" applyFill="1" applyBorder="1" applyAlignment="1">
      <alignment horizontal="center" vertical="center" wrapText="1"/>
    </xf>
    <xf numFmtId="0" fontId="51" fillId="4" borderId="55" xfId="3" applyFont="1" applyFill="1" applyBorder="1" applyAlignment="1">
      <alignment horizontal="center" vertical="center" wrapText="1"/>
    </xf>
    <xf numFmtId="0" fontId="51" fillId="4" borderId="2" xfId="3" applyFont="1" applyFill="1" applyBorder="1" applyAlignment="1">
      <alignment horizontal="center" vertical="center"/>
    </xf>
    <xf numFmtId="0" fontId="51" fillId="4" borderId="1" xfId="3" applyFont="1" applyFill="1" applyBorder="1" applyAlignment="1">
      <alignment horizontal="center" vertical="center" wrapText="1"/>
    </xf>
    <xf numFmtId="0" fontId="51" fillId="4" borderId="45" xfId="3" applyFont="1" applyFill="1" applyBorder="1" applyAlignment="1">
      <alignment horizontal="center" vertical="center" wrapText="1"/>
    </xf>
    <xf numFmtId="0" fontId="51" fillId="4" borderId="4" xfId="3" applyFont="1" applyFill="1" applyBorder="1" applyAlignment="1">
      <alignment horizontal="center" vertical="center" wrapText="1"/>
    </xf>
    <xf numFmtId="0" fontId="51" fillId="4" borderId="17" xfId="3" applyFont="1" applyFill="1" applyBorder="1" applyAlignment="1">
      <alignment horizontal="center" vertical="center" wrapText="1"/>
    </xf>
    <xf numFmtId="0" fontId="53" fillId="4" borderId="2" xfId="3" applyFont="1" applyFill="1" applyBorder="1" applyAlignment="1">
      <alignment horizontal="center" vertical="center"/>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1" fillId="4" borderId="46" xfId="3" applyFont="1" applyFill="1" applyBorder="1" applyAlignment="1">
      <alignment horizontal="center" vertical="center"/>
    </xf>
    <xf numFmtId="0" fontId="51" fillId="4" borderId="5" xfId="3" applyFont="1" applyFill="1" applyBorder="1" applyAlignment="1">
      <alignment horizontal="center" vertical="center"/>
    </xf>
    <xf numFmtId="0" fontId="51" fillId="4" borderId="47" xfId="3" applyFont="1" applyFill="1" applyBorder="1" applyAlignment="1">
      <alignment horizontal="center" vertical="center"/>
    </xf>
    <xf numFmtId="176" fontId="10" fillId="0" borderId="58" xfId="3" applyNumberFormat="1" applyFont="1" applyBorder="1" applyAlignment="1">
      <alignment horizontal="center" vertical="center"/>
    </xf>
    <xf numFmtId="176" fontId="10" fillId="0" borderId="59" xfId="3" applyNumberFormat="1" applyFont="1" applyBorder="1" applyAlignment="1">
      <alignment horizontal="center" vertical="center"/>
    </xf>
    <xf numFmtId="176" fontId="10" fillId="0" borderId="60" xfId="3" applyNumberFormat="1" applyFont="1" applyBorder="1" applyAlignment="1">
      <alignment horizontal="center" vertical="center"/>
    </xf>
    <xf numFmtId="0" fontId="52" fillId="0" borderId="61" xfId="3" applyFont="1" applyBorder="1" applyAlignment="1">
      <alignment horizontal="center" vertical="center"/>
    </xf>
    <xf numFmtId="0" fontId="52" fillId="0" borderId="25" xfId="3" applyFont="1" applyBorder="1" applyAlignment="1">
      <alignment horizontal="center" vertical="center"/>
    </xf>
    <xf numFmtId="0" fontId="52" fillId="0" borderId="52" xfId="3" applyFont="1" applyBorder="1" applyAlignment="1">
      <alignment horizontal="center" vertical="center"/>
    </xf>
    <xf numFmtId="0" fontId="51" fillId="0" borderId="46" xfId="3" applyFont="1" applyBorder="1" applyAlignment="1">
      <alignment horizontal="left" vertical="center"/>
    </xf>
    <xf numFmtId="0" fontId="51" fillId="0" borderId="5" xfId="3" applyFont="1" applyBorder="1" applyAlignment="1">
      <alignment horizontal="left" vertical="center"/>
    </xf>
    <xf numFmtId="0" fontId="51" fillId="0" borderId="5" xfId="3" applyFont="1" applyBorder="1" applyAlignment="1">
      <alignment horizontal="center" vertical="center"/>
    </xf>
    <xf numFmtId="0" fontId="51" fillId="0" borderId="47" xfId="3" applyFont="1" applyBorder="1" applyAlignment="1">
      <alignment horizontal="center" vertical="center"/>
    </xf>
    <xf numFmtId="0" fontId="10" fillId="0" borderId="46" xfId="3" applyFont="1" applyBorder="1" applyAlignment="1">
      <alignment horizontal="left" vertical="center"/>
    </xf>
    <xf numFmtId="0" fontId="10" fillId="0" borderId="5" xfId="3" applyFont="1" applyBorder="1" applyAlignment="1">
      <alignment horizontal="left" vertical="center"/>
    </xf>
    <xf numFmtId="0" fontId="10" fillId="0" borderId="47" xfId="3" applyFont="1" applyBorder="1" applyAlignment="1">
      <alignment horizontal="left" vertical="center"/>
    </xf>
    <xf numFmtId="0" fontId="9" fillId="2" borderId="0" xfId="3" applyFont="1" applyFill="1" applyAlignment="1">
      <alignment horizontal="center" vertical="center" wrapText="1"/>
    </xf>
    <xf numFmtId="164" fontId="5" fillId="4" borderId="5" xfId="4" applyNumberFormat="1" applyFont="1" applyFill="1" applyBorder="1" applyAlignment="1">
      <alignment horizontal="center" vertical="center" wrapText="1"/>
    </xf>
    <xf numFmtId="43" fontId="67" fillId="3" borderId="0" xfId="0" applyNumberFormat="1" applyFont="1" applyFill="1" applyAlignment="1">
      <alignment horizontal="center" wrapText="1"/>
    </xf>
    <xf numFmtId="165" fontId="21" fillId="4" borderId="2" xfId="6" applyNumberFormat="1" applyFont="1" applyFill="1" applyBorder="1" applyAlignment="1" applyProtection="1">
      <alignment horizontal="center" vertical="center"/>
      <protection locked="0"/>
    </xf>
    <xf numFmtId="0" fontId="34" fillId="5" borderId="46" xfId="10" applyFont="1" applyFill="1" applyBorder="1" applyAlignment="1">
      <alignment horizontal="left" vertical="center" wrapText="1"/>
    </xf>
    <xf numFmtId="0" fontId="34" fillId="5" borderId="5" xfId="10" applyFont="1" applyFill="1" applyBorder="1" applyAlignment="1">
      <alignment horizontal="left" vertical="center" wrapText="1"/>
    </xf>
    <xf numFmtId="0" fontId="26" fillId="6" borderId="9" xfId="10" applyFont="1" applyFill="1" applyBorder="1" applyAlignment="1">
      <alignment horizontal="center" vertical="center" wrapText="1"/>
    </xf>
    <xf numFmtId="0" fontId="26" fillId="6" borderId="10" xfId="10" applyFont="1" applyFill="1" applyBorder="1" applyAlignment="1">
      <alignment horizontal="center" vertical="center" wrapText="1"/>
    </xf>
    <xf numFmtId="0" fontId="26" fillId="6" borderId="39" xfId="10" applyFont="1" applyFill="1" applyBorder="1" applyAlignment="1">
      <alignment horizontal="center" vertical="center" wrapText="1"/>
    </xf>
    <xf numFmtId="0" fontId="26" fillId="2" borderId="3" xfId="4" applyFont="1" applyFill="1" applyBorder="1" applyAlignment="1">
      <alignment horizontal="left" vertical="center"/>
    </xf>
    <xf numFmtId="0" fontId="26" fillId="2" borderId="43" xfId="4" applyFont="1" applyFill="1" applyBorder="1" applyAlignment="1">
      <alignment horizontal="left" vertical="center"/>
    </xf>
    <xf numFmtId="0" fontId="30" fillId="4" borderId="2" xfId="4" applyFont="1" applyFill="1" applyBorder="1" applyAlignment="1">
      <alignment horizontal="center" vertical="center"/>
    </xf>
    <xf numFmtId="0" fontId="21" fillId="4" borderId="2" xfId="0" applyFont="1" applyFill="1" applyBorder="1" applyAlignment="1">
      <alignment horizontal="center" vertical="center"/>
    </xf>
    <xf numFmtId="0" fontId="21" fillId="4" borderId="2" xfId="6" applyFont="1" applyFill="1" applyBorder="1" applyAlignment="1" applyProtection="1">
      <alignment horizontal="center" vertical="center"/>
      <protection locked="0"/>
    </xf>
    <xf numFmtId="4" fontId="21" fillId="4" borderId="2" xfId="6" applyNumberFormat="1" applyFont="1" applyFill="1" applyBorder="1" applyAlignment="1" applyProtection="1">
      <alignment horizontal="center" vertical="center"/>
      <protection locked="0"/>
    </xf>
    <xf numFmtId="167" fontId="9" fillId="4" borderId="2" xfId="3" applyNumberFormat="1" applyFont="1" applyFill="1" applyBorder="1" applyAlignment="1">
      <alignment horizontal="center" vertical="center"/>
    </xf>
    <xf numFmtId="0" fontId="16" fillId="2" borderId="1" xfId="3" applyFont="1" applyFill="1" applyBorder="1" applyAlignment="1">
      <alignment horizontal="center" vertical="center" wrapText="1"/>
    </xf>
    <xf numFmtId="0" fontId="16" fillId="2" borderId="44" xfId="3" applyFont="1" applyFill="1" applyBorder="1" applyAlignment="1">
      <alignment horizontal="center" vertical="center" wrapText="1"/>
    </xf>
    <xf numFmtId="0" fontId="16" fillId="2" borderId="45" xfId="3" applyFont="1" applyFill="1" applyBorder="1" applyAlignment="1">
      <alignment horizontal="center" vertical="center" wrapText="1"/>
    </xf>
    <xf numFmtId="0" fontId="16" fillId="2" borderId="3" xfId="3" applyFont="1" applyFill="1" applyBorder="1" applyAlignment="1">
      <alignment horizontal="center" vertical="center" wrapText="1"/>
    </xf>
    <xf numFmtId="0" fontId="16" fillId="2" borderId="0" xfId="3" applyFont="1" applyFill="1" applyAlignment="1">
      <alignment horizontal="center" vertical="center" wrapText="1"/>
    </xf>
    <xf numFmtId="0" fontId="16" fillId="2" borderId="43" xfId="3" applyFont="1" applyFill="1" applyBorder="1" applyAlignment="1">
      <alignment horizontal="center" vertical="center" wrapText="1"/>
    </xf>
    <xf numFmtId="0" fontId="16" fillId="2" borderId="4" xfId="3" applyFont="1" applyFill="1" applyBorder="1" applyAlignment="1">
      <alignment horizontal="center" vertical="center" wrapText="1"/>
    </xf>
    <xf numFmtId="0" fontId="16" fillId="2" borderId="16" xfId="3" applyFont="1" applyFill="1" applyBorder="1" applyAlignment="1">
      <alignment horizontal="center" vertical="center" wrapText="1"/>
    </xf>
    <xf numFmtId="0" fontId="16" fillId="2" borderId="17" xfId="3" applyFont="1" applyFill="1" applyBorder="1" applyAlignment="1">
      <alignment horizontal="center" vertical="center" wrapText="1"/>
    </xf>
    <xf numFmtId="0" fontId="16" fillId="4" borderId="46" xfId="3" applyFont="1" applyFill="1" applyBorder="1" applyAlignment="1">
      <alignment horizontal="center" vertical="center"/>
    </xf>
    <xf numFmtId="0" fontId="16" fillId="4" borderId="5" xfId="3" applyFont="1" applyFill="1" applyBorder="1" applyAlignment="1">
      <alignment horizontal="center" vertical="center"/>
    </xf>
    <xf numFmtId="0" fontId="16" fillId="4" borderId="47" xfId="3" applyFont="1" applyFill="1" applyBorder="1" applyAlignment="1">
      <alignment horizontal="center" vertical="center"/>
    </xf>
    <xf numFmtId="0" fontId="26" fillId="2" borderId="1" xfId="3" applyFont="1" applyFill="1" applyBorder="1" applyAlignment="1">
      <alignment horizontal="left" vertical="center"/>
    </xf>
    <xf numFmtId="0" fontId="26" fillId="2" borderId="45" xfId="3" applyFont="1" applyFill="1" applyBorder="1" applyAlignment="1">
      <alignment horizontal="left" vertical="center"/>
    </xf>
    <xf numFmtId="0" fontId="27" fillId="2" borderId="44" xfId="4" applyFont="1" applyFill="1" applyBorder="1" applyAlignment="1">
      <alignment horizontal="left" vertical="center" wrapText="1"/>
    </xf>
    <xf numFmtId="0" fontId="27" fillId="2" borderId="44" xfId="4" applyFont="1" applyFill="1" applyBorder="1" applyAlignment="1">
      <alignment horizontal="left" vertical="center"/>
    </xf>
    <xf numFmtId="0" fontId="27" fillId="2" borderId="45" xfId="4" applyFont="1" applyFill="1" applyBorder="1" applyAlignment="1">
      <alignment horizontal="left" vertical="center"/>
    </xf>
    <xf numFmtId="14" fontId="6" fillId="0" borderId="34" xfId="3" applyNumberFormat="1" applyFont="1" applyBorder="1" applyAlignment="1">
      <alignment horizontal="center" vertical="center" wrapText="1"/>
    </xf>
    <xf numFmtId="14" fontId="6" fillId="0" borderId="24" xfId="3" applyNumberFormat="1" applyFont="1" applyBorder="1" applyAlignment="1">
      <alignment horizontal="center" vertical="center" wrapText="1"/>
    </xf>
    <xf numFmtId="14" fontId="6" fillId="0" borderId="35" xfId="3" applyNumberFormat="1" applyFont="1" applyBorder="1" applyAlignment="1">
      <alignment horizontal="center" vertical="center" wrapText="1"/>
    </xf>
    <xf numFmtId="165" fontId="5" fillId="8" borderId="56" xfId="3" applyNumberFormat="1" applyFont="1" applyFill="1" applyBorder="1" applyAlignment="1">
      <alignment horizontal="center" vertical="center" wrapText="1"/>
    </xf>
    <xf numFmtId="165" fontId="5" fillId="8" borderId="55" xfId="3" applyNumberFormat="1" applyFont="1" applyFill="1" applyBorder="1" applyAlignment="1">
      <alignment horizontal="center" vertical="center" wrapText="1"/>
    </xf>
    <xf numFmtId="0" fontId="5" fillId="8" borderId="56" xfId="3" applyFont="1" applyFill="1" applyBorder="1" applyAlignment="1">
      <alignment horizontal="center" vertical="center" wrapText="1"/>
    </xf>
    <xf numFmtId="0" fontId="5" fillId="8" borderId="55" xfId="3" applyFont="1" applyFill="1" applyBorder="1" applyAlignment="1">
      <alignment horizontal="center" vertical="center" wrapText="1"/>
    </xf>
    <xf numFmtId="0" fontId="5" fillId="8" borderId="56" xfId="3" applyFont="1" applyFill="1" applyBorder="1" applyAlignment="1">
      <alignment horizontal="center" vertical="distributed" wrapText="1"/>
    </xf>
    <xf numFmtId="0" fontId="5" fillId="8" borderId="55" xfId="3" applyFont="1" applyFill="1" applyBorder="1" applyAlignment="1">
      <alignment horizontal="center" vertical="distributed" wrapText="1"/>
    </xf>
    <xf numFmtId="0" fontId="5" fillId="8" borderId="46" xfId="3" applyFont="1" applyFill="1" applyBorder="1" applyAlignment="1">
      <alignment horizontal="center" vertical="center" wrapText="1"/>
    </xf>
    <xf numFmtId="0" fontId="5" fillId="8" borderId="5" xfId="3" applyFont="1" applyFill="1" applyBorder="1" applyAlignment="1">
      <alignment horizontal="center" vertical="center" wrapText="1"/>
    </xf>
    <xf numFmtId="0" fontId="5" fillId="8" borderId="47" xfId="3" applyFont="1" applyFill="1" applyBorder="1" applyAlignment="1">
      <alignment horizontal="center" vertical="center" wrapText="1"/>
    </xf>
    <xf numFmtId="0" fontId="5" fillId="8" borderId="46" xfId="3" applyFont="1" applyFill="1" applyBorder="1" applyAlignment="1">
      <alignment horizontal="center" vertical="distributed" wrapText="1"/>
    </xf>
    <xf numFmtId="0" fontId="5" fillId="8" borderId="5" xfId="3" applyFont="1" applyFill="1" applyBorder="1" applyAlignment="1">
      <alignment horizontal="center" vertical="distributed" wrapText="1"/>
    </xf>
    <xf numFmtId="0" fontId="5" fillId="8" borderId="47" xfId="3" applyFont="1" applyFill="1" applyBorder="1" applyAlignment="1">
      <alignment horizontal="center" vertical="distributed" wrapText="1"/>
    </xf>
    <xf numFmtId="1" fontId="6" fillId="0" borderId="61" xfId="3" applyNumberFormat="1" applyFont="1" applyBorder="1" applyAlignment="1">
      <alignment horizontal="center" vertical="center" wrapText="1"/>
    </xf>
    <xf numFmtId="1" fontId="6" fillId="0" borderId="25" xfId="3" applyNumberFormat="1" applyFont="1" applyBorder="1" applyAlignment="1">
      <alignment horizontal="center" vertical="center" wrapText="1"/>
    </xf>
    <xf numFmtId="1" fontId="6" fillId="0" borderId="52" xfId="3" applyNumberFormat="1" applyFont="1" applyBorder="1" applyAlignment="1">
      <alignment horizontal="center" vertical="center" wrapText="1"/>
    </xf>
    <xf numFmtId="2" fontId="6" fillId="0" borderId="61" xfId="3" applyNumberFormat="1" applyFont="1" applyBorder="1" applyAlignment="1">
      <alignment horizontal="center" vertical="center" wrapText="1"/>
    </xf>
    <xf numFmtId="2" fontId="6" fillId="0" borderId="25" xfId="3" applyNumberFormat="1" applyFont="1" applyBorder="1" applyAlignment="1">
      <alignment horizontal="center" vertical="center" wrapText="1"/>
    </xf>
    <xf numFmtId="2" fontId="6" fillId="0" borderId="52" xfId="3" applyNumberFormat="1" applyFont="1" applyBorder="1" applyAlignment="1">
      <alignment horizontal="center" vertical="center" wrapText="1"/>
    </xf>
    <xf numFmtId="0" fontId="44" fillId="5" borderId="4" xfId="0" applyFont="1" applyFill="1" applyBorder="1" applyAlignment="1">
      <alignment horizontal="right" vertical="center" wrapText="1"/>
    </xf>
    <xf numFmtId="0" fontId="44" fillId="5" borderId="16" xfId="0" applyFont="1" applyFill="1" applyBorder="1" applyAlignment="1">
      <alignment horizontal="right" vertical="center" wrapText="1"/>
    </xf>
    <xf numFmtId="0" fontId="44" fillId="5" borderId="17" xfId="0" applyFont="1" applyFill="1" applyBorder="1" applyAlignment="1">
      <alignment horizontal="right" vertical="center" wrapText="1"/>
    </xf>
    <xf numFmtId="4" fontId="44" fillId="5" borderId="4" xfId="3" applyNumberFormat="1" applyFont="1" applyFill="1" applyBorder="1" applyAlignment="1">
      <alignment horizontal="right" vertical="center" wrapText="1"/>
    </xf>
    <xf numFmtId="4" fontId="44" fillId="5" borderId="17" xfId="3" applyNumberFormat="1" applyFont="1" applyFill="1" applyBorder="1" applyAlignment="1">
      <alignment horizontal="right" vertical="center" wrapText="1"/>
    </xf>
    <xf numFmtId="0" fontId="44" fillId="5" borderId="4" xfId="3" applyFont="1" applyFill="1" applyBorder="1" applyAlignment="1">
      <alignment horizontal="right" vertical="center" wrapText="1"/>
    </xf>
    <xf numFmtId="0" fontId="44" fillId="5" borderId="16" xfId="3" applyFont="1" applyFill="1" applyBorder="1" applyAlignment="1">
      <alignment horizontal="right" vertical="center" wrapText="1"/>
    </xf>
    <xf numFmtId="0" fontId="44" fillId="5" borderId="17" xfId="3" applyFont="1" applyFill="1" applyBorder="1" applyAlignment="1">
      <alignment horizontal="right" vertical="center" wrapText="1"/>
    </xf>
    <xf numFmtId="0" fontId="44" fillId="5" borderId="1" xfId="0" applyFont="1" applyFill="1" applyBorder="1" applyAlignment="1">
      <alignment horizontal="right" vertical="center" wrapText="1"/>
    </xf>
    <xf numFmtId="0" fontId="44" fillId="5" borderId="44" xfId="0" applyFont="1" applyFill="1" applyBorder="1" applyAlignment="1">
      <alignment horizontal="right" vertical="center" wrapText="1"/>
    </xf>
    <xf numFmtId="0" fontId="44" fillId="5" borderId="45" xfId="0" applyFont="1" applyFill="1" applyBorder="1" applyAlignment="1">
      <alignment horizontal="right" vertical="center" wrapText="1"/>
    </xf>
    <xf numFmtId="10" fontId="44" fillId="5" borderId="1" xfId="3" applyNumberFormat="1" applyFont="1" applyFill="1" applyBorder="1" applyAlignment="1">
      <alignment horizontal="right" vertical="center" wrapText="1"/>
    </xf>
    <xf numFmtId="10" fontId="44" fillId="5" borderId="45" xfId="3" applyNumberFormat="1" applyFont="1" applyFill="1" applyBorder="1" applyAlignment="1">
      <alignment horizontal="right" vertical="center" wrapText="1"/>
    </xf>
    <xf numFmtId="10" fontId="44" fillId="5" borderId="4" xfId="3" applyNumberFormat="1" applyFont="1" applyFill="1" applyBorder="1" applyAlignment="1">
      <alignment horizontal="right" vertical="center" wrapText="1"/>
    </xf>
    <xf numFmtId="10" fontId="44" fillId="5" borderId="17" xfId="3" applyNumberFormat="1" applyFont="1" applyFill="1" applyBorder="1" applyAlignment="1">
      <alignment horizontal="right" vertical="center" wrapText="1"/>
    </xf>
    <xf numFmtId="172" fontId="44" fillId="5" borderId="56" xfId="3" applyNumberFormat="1" applyFont="1" applyFill="1" applyBorder="1" applyAlignment="1">
      <alignment horizontal="center" vertical="center" wrapText="1"/>
    </xf>
    <xf numFmtId="172" fontId="44" fillId="5" borderId="55" xfId="3" applyNumberFormat="1" applyFont="1" applyFill="1" applyBorder="1" applyAlignment="1">
      <alignment horizontal="center" vertical="center" wrapText="1"/>
    </xf>
    <xf numFmtId="0" fontId="44" fillId="5" borderId="46" xfId="3" applyFont="1" applyFill="1" applyBorder="1" applyAlignment="1">
      <alignment horizontal="right" vertical="center" wrapText="1"/>
    </xf>
    <xf numFmtId="0" fontId="44" fillId="5" borderId="5" xfId="3" applyFont="1" applyFill="1" applyBorder="1" applyAlignment="1">
      <alignment horizontal="right" vertical="center" wrapText="1"/>
    </xf>
    <xf numFmtId="0" fontId="44" fillId="5" borderId="47" xfId="3" applyFont="1" applyFill="1" applyBorder="1" applyAlignment="1">
      <alignment horizontal="right" vertical="center" wrapText="1"/>
    </xf>
    <xf numFmtId="1" fontId="5" fillId="8" borderId="56" xfId="3" applyNumberFormat="1" applyFont="1" applyFill="1" applyBorder="1" applyAlignment="1">
      <alignment horizontal="center" vertical="center" wrapText="1"/>
    </xf>
    <xf numFmtId="1" fontId="5" fillId="8" borderId="55" xfId="3" applyNumberFormat="1" applyFont="1" applyFill="1" applyBorder="1" applyAlignment="1">
      <alignment horizontal="center" vertical="center" wrapText="1"/>
    </xf>
    <xf numFmtId="1" fontId="5" fillId="8" borderId="56" xfId="3" applyNumberFormat="1" applyFont="1" applyFill="1" applyBorder="1" applyAlignment="1">
      <alignment horizontal="left" vertical="center" wrapText="1"/>
    </xf>
    <xf numFmtId="1" fontId="5" fillId="8" borderId="55" xfId="3" applyNumberFormat="1" applyFont="1" applyFill="1" applyBorder="1" applyAlignment="1">
      <alignment horizontal="left" vertical="center" wrapText="1"/>
    </xf>
    <xf numFmtId="0" fontId="5" fillId="8" borderId="46" xfId="4" applyFont="1" applyFill="1" applyBorder="1" applyAlignment="1">
      <alignment horizontal="center" vertical="center" wrapText="1"/>
    </xf>
    <xf numFmtId="0" fontId="5" fillId="8" borderId="5" xfId="4" applyFont="1" applyFill="1" applyBorder="1" applyAlignment="1">
      <alignment horizontal="center" vertical="center" wrapText="1"/>
    </xf>
    <xf numFmtId="0" fontId="5" fillId="8" borderId="47" xfId="4" applyFont="1" applyFill="1" applyBorder="1" applyAlignment="1">
      <alignment horizontal="center" vertical="center" wrapText="1"/>
    </xf>
    <xf numFmtId="14" fontId="6" fillId="0" borderId="58" xfId="3" applyNumberFormat="1" applyFont="1" applyBorder="1" applyAlignment="1">
      <alignment horizontal="center" vertical="center" wrapText="1"/>
    </xf>
    <xf numFmtId="14" fontId="6" fillId="0" borderId="59" xfId="3" applyNumberFormat="1" applyFont="1" applyBorder="1" applyAlignment="1">
      <alignment horizontal="center" vertical="center" wrapText="1"/>
    </xf>
    <xf numFmtId="14" fontId="6" fillId="0" borderId="60" xfId="3" applyNumberFormat="1" applyFont="1" applyBorder="1" applyAlignment="1">
      <alignment horizontal="center" vertical="center" wrapText="1"/>
    </xf>
    <xf numFmtId="0" fontId="39" fillId="0" borderId="1" xfId="3" applyFont="1" applyFill="1" applyBorder="1" applyAlignment="1">
      <alignment horizontal="center" vertical="center" wrapText="1"/>
    </xf>
    <xf numFmtId="0" fontId="39" fillId="0" borderId="45" xfId="3" applyFont="1" applyFill="1" applyBorder="1" applyAlignment="1">
      <alignment horizontal="center" vertical="center" wrapText="1"/>
    </xf>
    <xf numFmtId="0" fontId="39" fillId="0" borderId="103" xfId="3" applyFont="1" applyFill="1" applyBorder="1" applyAlignment="1">
      <alignment horizontal="center" vertical="center" wrapText="1"/>
    </xf>
    <xf numFmtId="0" fontId="39" fillId="0" borderId="43" xfId="3" applyFont="1" applyFill="1" applyBorder="1" applyAlignment="1">
      <alignment horizontal="center" vertical="center" wrapText="1"/>
    </xf>
    <xf numFmtId="0" fontId="39" fillId="0" borderId="4" xfId="3" applyFont="1" applyFill="1" applyBorder="1" applyAlignment="1">
      <alignment horizontal="center" vertical="center" wrapText="1"/>
    </xf>
    <xf numFmtId="0" fontId="39" fillId="0" borderId="17" xfId="3" applyFont="1" applyFill="1" applyBorder="1" applyAlignment="1">
      <alignment horizontal="center" vertical="center" wrapText="1"/>
    </xf>
    <xf numFmtId="1" fontId="5" fillId="0" borderId="34" xfId="3" applyNumberFormat="1" applyFont="1" applyBorder="1" applyAlignment="1">
      <alignment horizontal="center" vertical="distributed" wrapText="1"/>
    </xf>
    <xf numFmtId="1" fontId="5" fillId="0" borderId="24" xfId="3" applyNumberFormat="1" applyFont="1" applyBorder="1" applyAlignment="1">
      <alignment horizontal="center" vertical="distributed" wrapText="1"/>
    </xf>
    <xf numFmtId="1" fontId="5" fillId="0" borderId="35" xfId="3" applyNumberFormat="1" applyFont="1" applyBorder="1" applyAlignment="1">
      <alignment horizontal="center" vertical="distributed" wrapText="1"/>
    </xf>
    <xf numFmtId="0" fontId="39" fillId="0" borderId="3" xfId="3" applyFont="1" applyFill="1" applyBorder="1" applyAlignment="1">
      <alignment horizontal="center" wrapText="1"/>
    </xf>
    <xf numFmtId="0" fontId="39" fillId="0" borderId="43" xfId="3" applyFont="1" applyFill="1" applyBorder="1" applyAlignment="1">
      <alignment horizontal="center" wrapText="1"/>
    </xf>
    <xf numFmtId="1" fontId="6" fillId="4" borderId="5" xfId="0" applyNumberFormat="1" applyFont="1" applyFill="1" applyBorder="1" applyAlignment="1">
      <alignment vertical="center"/>
    </xf>
    <xf numFmtId="0" fontId="39" fillId="0" borderId="3" xfId="3" applyFont="1" applyFill="1" applyBorder="1" applyAlignment="1">
      <alignment horizontal="center" vertical="center" wrapText="1"/>
    </xf>
    <xf numFmtId="0" fontId="44" fillId="5" borderId="46" xfId="0" applyFont="1" applyFill="1" applyBorder="1" applyAlignment="1">
      <alignment horizontal="right" vertical="center" wrapText="1"/>
    </xf>
    <xf numFmtId="0" fontId="44" fillId="5" borderId="5" xfId="0" applyFont="1" applyFill="1" applyBorder="1" applyAlignment="1">
      <alignment horizontal="right" vertical="center" wrapText="1"/>
    </xf>
    <xf numFmtId="0" fontId="44" fillId="5" borderId="47" xfId="0" applyFont="1" applyFill="1" applyBorder="1" applyAlignment="1">
      <alignment horizontal="right" vertical="center" wrapText="1"/>
    </xf>
    <xf numFmtId="4" fontId="44" fillId="5" borderId="46" xfId="3" applyNumberFormat="1" applyFont="1" applyFill="1" applyBorder="1" applyAlignment="1">
      <alignment horizontal="right" vertical="center" wrapText="1"/>
    </xf>
    <xf numFmtId="4" fontId="44" fillId="5" borderId="47" xfId="3" applyNumberFormat="1" applyFont="1" applyFill="1" applyBorder="1" applyAlignment="1">
      <alignment horizontal="right" vertical="center" wrapText="1"/>
    </xf>
    <xf numFmtId="165" fontId="39" fillId="0" borderId="1" xfId="3" applyNumberFormat="1" applyFont="1" applyFill="1" applyBorder="1" applyAlignment="1">
      <alignment horizontal="center" vertical="center" wrapText="1"/>
    </xf>
    <xf numFmtId="165" fontId="39" fillId="0" borderId="45" xfId="3" applyNumberFormat="1" applyFont="1" applyFill="1" applyBorder="1" applyAlignment="1">
      <alignment horizontal="center" vertical="center" wrapText="1"/>
    </xf>
    <xf numFmtId="165" fontId="39" fillId="0" borderId="3" xfId="3" applyNumberFormat="1" applyFont="1" applyFill="1" applyBorder="1" applyAlignment="1">
      <alignment horizontal="center" vertical="center" wrapText="1"/>
    </xf>
    <xf numFmtId="165" fontId="39" fillId="0" borderId="43" xfId="3" applyNumberFormat="1" applyFont="1" applyFill="1" applyBorder="1" applyAlignment="1">
      <alignment horizontal="center" vertical="center" wrapText="1"/>
    </xf>
    <xf numFmtId="165" fontId="39" fillId="0" borderId="4" xfId="3" applyNumberFormat="1" applyFont="1" applyFill="1" applyBorder="1" applyAlignment="1">
      <alignment horizontal="center" vertical="center" wrapText="1"/>
    </xf>
    <xf numFmtId="165" fontId="39" fillId="0" borderId="17" xfId="3" applyNumberFormat="1" applyFont="1" applyFill="1" applyBorder="1" applyAlignment="1">
      <alignment horizontal="center" vertical="center" wrapText="1"/>
    </xf>
    <xf numFmtId="0" fontId="49" fillId="0" borderId="1" xfId="3" applyFont="1" applyBorder="1" applyAlignment="1">
      <alignment horizontal="left" wrapText="1"/>
    </xf>
    <xf numFmtId="0" fontId="49" fillId="0" borderId="45" xfId="3" applyFont="1" applyBorder="1" applyAlignment="1">
      <alignment horizontal="left" wrapText="1"/>
    </xf>
    <xf numFmtId="0" fontId="49" fillId="0" borderId="103" xfId="3" applyFont="1" applyBorder="1" applyAlignment="1">
      <alignment horizontal="left" wrapText="1"/>
    </xf>
    <xf numFmtId="0" fontId="49" fillId="0" borderId="43" xfId="3" applyFont="1" applyBorder="1" applyAlignment="1">
      <alignment horizontal="left" wrapText="1"/>
    </xf>
    <xf numFmtId="0" fontId="49" fillId="0" borderId="4" xfId="3" applyFont="1" applyBorder="1" applyAlignment="1">
      <alignment horizontal="left" wrapText="1"/>
    </xf>
    <xf numFmtId="0" fontId="49" fillId="0" borderId="17" xfId="3" applyFont="1" applyBorder="1" applyAlignment="1">
      <alignment horizontal="left" wrapText="1"/>
    </xf>
    <xf numFmtId="1" fontId="5" fillId="0" borderId="56" xfId="3" applyNumberFormat="1" applyFont="1" applyFill="1" applyBorder="1" applyAlignment="1">
      <alignment horizontal="center" vertical="center" wrapText="1"/>
    </xf>
    <xf numFmtId="1" fontId="5" fillId="0" borderId="55" xfId="3" applyNumberFormat="1" applyFont="1" applyFill="1" applyBorder="1" applyAlignment="1">
      <alignment horizontal="center" vertical="center" wrapText="1"/>
    </xf>
    <xf numFmtId="0" fontId="5" fillId="8" borderId="56" xfId="3" applyFont="1" applyFill="1" applyBorder="1" applyAlignment="1">
      <alignment horizontal="center" wrapText="1"/>
    </xf>
    <xf numFmtId="0" fontId="5" fillId="8" borderId="55" xfId="3" applyFont="1" applyFill="1" applyBorder="1" applyAlignment="1">
      <alignment horizontal="center" wrapText="1"/>
    </xf>
    <xf numFmtId="0" fontId="6" fillId="4" borderId="5" xfId="0" applyFont="1" applyFill="1" applyBorder="1" applyAlignment="1">
      <alignment vertical="center"/>
    </xf>
    <xf numFmtId="0" fontId="6" fillId="4" borderId="47" xfId="0" applyFont="1" applyFill="1" applyBorder="1" applyAlignment="1">
      <alignment vertical="center"/>
    </xf>
    <xf numFmtId="1" fontId="5" fillId="8" borderId="42" xfId="3" applyNumberFormat="1" applyFont="1" applyFill="1" applyBorder="1" applyAlignment="1">
      <alignment horizontal="center" vertical="center" wrapText="1"/>
    </xf>
    <xf numFmtId="1" fontId="5" fillId="8" borderId="42" xfId="3" applyNumberFormat="1" applyFont="1" applyFill="1" applyBorder="1" applyAlignment="1">
      <alignment horizontal="left" vertical="center" wrapText="1"/>
    </xf>
    <xf numFmtId="0" fontId="5" fillId="8" borderId="42" xfId="3" applyFont="1" applyFill="1" applyBorder="1" applyAlignment="1">
      <alignment horizontal="center" vertical="center" wrapText="1"/>
    </xf>
    <xf numFmtId="0" fontId="39" fillId="0" borderId="31" xfId="3" applyFont="1" applyFill="1" applyBorder="1" applyAlignment="1">
      <alignment horizontal="center" vertical="center" wrapText="1"/>
    </xf>
    <xf numFmtId="0" fontId="39" fillId="0" borderId="33" xfId="3" applyFont="1" applyFill="1" applyBorder="1" applyAlignment="1">
      <alignment horizontal="center" vertical="center" wrapText="1"/>
    </xf>
    <xf numFmtId="165" fontId="5" fillId="8" borderId="42" xfId="3" applyNumberFormat="1" applyFont="1" applyFill="1" applyBorder="1" applyAlignment="1">
      <alignment horizontal="center" vertical="center" wrapText="1"/>
    </xf>
    <xf numFmtId="0" fontId="5" fillId="8" borderId="42" xfId="3" applyFont="1" applyFill="1" applyBorder="1" applyAlignment="1">
      <alignment horizontal="center" vertical="distributed" wrapText="1"/>
    </xf>
    <xf numFmtId="0" fontId="5" fillId="8" borderId="1" xfId="3" applyFont="1" applyFill="1" applyBorder="1" applyAlignment="1">
      <alignment horizontal="center" vertical="center" wrapText="1"/>
    </xf>
    <xf numFmtId="0" fontId="5" fillId="8" borderId="44" xfId="3" applyFont="1" applyFill="1" applyBorder="1" applyAlignment="1">
      <alignment horizontal="center" vertical="center" wrapText="1"/>
    </xf>
    <xf numFmtId="0" fontId="5" fillId="8" borderId="45" xfId="3" applyFont="1" applyFill="1" applyBorder="1" applyAlignment="1">
      <alignment horizontal="center" vertical="center" wrapText="1"/>
    </xf>
    <xf numFmtId="0" fontId="5" fillId="8" borderId="1" xfId="3" applyFont="1" applyFill="1" applyBorder="1" applyAlignment="1">
      <alignment horizontal="center" vertical="distributed" wrapText="1"/>
    </xf>
    <xf numFmtId="0" fontId="5" fillId="8" borderId="44" xfId="3" applyFont="1" applyFill="1" applyBorder="1" applyAlignment="1">
      <alignment horizontal="center" vertical="distributed" wrapText="1"/>
    </xf>
    <xf numFmtId="0" fontId="5" fillId="8" borderId="45" xfId="3" applyFont="1" applyFill="1" applyBorder="1" applyAlignment="1">
      <alignment horizontal="center" vertical="distributed" wrapText="1"/>
    </xf>
    <xf numFmtId="0" fontId="44" fillId="5" borderId="61" xfId="0" applyFont="1" applyFill="1" applyBorder="1" applyAlignment="1">
      <alignment horizontal="right" vertical="center" wrapText="1"/>
    </xf>
    <xf numFmtId="0" fontId="44" fillId="5" borderId="25" xfId="0" applyFont="1" applyFill="1" applyBorder="1" applyAlignment="1">
      <alignment horizontal="right" vertical="center" wrapText="1"/>
    </xf>
    <xf numFmtId="0" fontId="44" fillId="5" borderId="52" xfId="0" applyFont="1" applyFill="1" applyBorder="1" applyAlignment="1">
      <alignment horizontal="right" vertical="center" wrapText="1"/>
    </xf>
    <xf numFmtId="4" fontId="44" fillId="5" borderId="61" xfId="3" applyNumberFormat="1" applyFont="1" applyFill="1" applyBorder="1" applyAlignment="1">
      <alignment horizontal="right" vertical="center" wrapText="1"/>
    </xf>
    <xf numFmtId="4" fontId="44" fillId="5" borderId="52" xfId="3" applyNumberFormat="1" applyFont="1" applyFill="1" applyBorder="1" applyAlignment="1">
      <alignment horizontal="right" vertical="center" wrapText="1"/>
    </xf>
    <xf numFmtId="0" fontId="44" fillId="5" borderId="61" xfId="3" applyFont="1" applyFill="1" applyBorder="1" applyAlignment="1">
      <alignment horizontal="right" vertical="center" wrapText="1"/>
    </xf>
    <xf numFmtId="0" fontId="44" fillId="5" borderId="25" xfId="3" applyFont="1" applyFill="1" applyBorder="1" applyAlignment="1">
      <alignment horizontal="right" vertical="center" wrapText="1"/>
    </xf>
    <xf numFmtId="0" fontId="44" fillId="5" borderId="52" xfId="3" applyFont="1" applyFill="1" applyBorder="1" applyAlignment="1">
      <alignment horizontal="right" vertical="center" wrapText="1"/>
    </xf>
    <xf numFmtId="0" fontId="48" fillId="5" borderId="46" xfId="3" applyFont="1" applyFill="1" applyBorder="1" applyAlignment="1">
      <alignment horizontal="right" vertical="center" wrapText="1"/>
    </xf>
    <xf numFmtId="0" fontId="48" fillId="5" borderId="5" xfId="3" applyFont="1" applyFill="1" applyBorder="1" applyAlignment="1">
      <alignment horizontal="right" vertical="center" wrapText="1"/>
    </xf>
    <xf numFmtId="0" fontId="48" fillId="5" borderId="47" xfId="3" applyFont="1" applyFill="1" applyBorder="1" applyAlignment="1">
      <alignment horizontal="right" vertical="center" wrapText="1"/>
    </xf>
    <xf numFmtId="0" fontId="48" fillId="5" borderId="46" xfId="0" applyFont="1" applyFill="1" applyBorder="1" applyAlignment="1">
      <alignment horizontal="right" vertical="center" wrapText="1"/>
    </xf>
    <xf numFmtId="0" fontId="48" fillId="5" borderId="5" xfId="0" applyFont="1" applyFill="1" applyBorder="1" applyAlignment="1">
      <alignment horizontal="right" vertical="center" wrapText="1"/>
    </xf>
    <xf numFmtId="0" fontId="48" fillId="5" borderId="47" xfId="0" applyFont="1" applyFill="1" applyBorder="1" applyAlignment="1">
      <alignment horizontal="right" vertical="center" wrapText="1"/>
    </xf>
    <xf numFmtId="4" fontId="48" fillId="5" borderId="46" xfId="3" applyNumberFormat="1" applyFont="1" applyFill="1" applyBorder="1" applyAlignment="1">
      <alignment horizontal="right" vertical="center" wrapText="1"/>
    </xf>
    <xf numFmtId="4" fontId="48" fillId="5" borderId="47" xfId="3" applyNumberFormat="1" applyFont="1" applyFill="1" applyBorder="1" applyAlignment="1">
      <alignment horizontal="right" vertical="center" wrapText="1"/>
    </xf>
    <xf numFmtId="0" fontId="39" fillId="0" borderId="1" xfId="3" applyFont="1" applyBorder="1" applyAlignment="1">
      <alignment horizontal="center" vertical="center" wrapText="1"/>
    </xf>
    <xf numFmtId="0" fontId="39" fillId="0" borderId="45" xfId="3" applyFont="1" applyBorder="1" applyAlignment="1">
      <alignment horizontal="center" vertical="center" wrapText="1"/>
    </xf>
    <xf numFmtId="0" fontId="39" fillId="0" borderId="103" xfId="3" applyFont="1" applyBorder="1" applyAlignment="1">
      <alignment horizontal="center" vertical="center" wrapText="1"/>
    </xf>
    <xf numFmtId="0" fontId="39" fillId="0" borderId="43" xfId="3" applyFont="1" applyBorder="1" applyAlignment="1">
      <alignment horizontal="center" vertical="center" wrapText="1"/>
    </xf>
    <xf numFmtId="0" fontId="39" fillId="0" borderId="4" xfId="3" applyFont="1" applyBorder="1" applyAlignment="1">
      <alignment horizontal="center" vertical="center" wrapText="1"/>
    </xf>
    <xf numFmtId="0" fontId="39" fillId="0" borderId="17" xfId="3" applyFont="1" applyBorder="1" applyAlignment="1">
      <alignment horizontal="center" vertical="center" wrapText="1"/>
    </xf>
    <xf numFmtId="0" fontId="5" fillId="2" borderId="1" xfId="3" applyFont="1" applyFill="1" applyBorder="1" applyAlignment="1">
      <alignment horizontal="center" vertical="center" wrapText="1"/>
    </xf>
    <xf numFmtId="0" fontId="5" fillId="2" borderId="44" xfId="3" applyFont="1" applyFill="1" applyBorder="1" applyAlignment="1">
      <alignment horizontal="center" vertical="center" wrapText="1"/>
    </xf>
    <xf numFmtId="0" fontId="5" fillId="2" borderId="45"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2" borderId="0" xfId="3" applyFont="1" applyFill="1" applyAlignment="1">
      <alignment horizontal="center" vertical="center" wrapText="1"/>
    </xf>
    <xf numFmtId="0" fontId="5" fillId="2" borderId="43" xfId="3" applyFont="1" applyFill="1" applyBorder="1" applyAlignment="1">
      <alignment horizontal="center" vertical="center" wrapText="1"/>
    </xf>
    <xf numFmtId="0" fontId="5" fillId="2" borderId="4" xfId="3" applyFont="1" applyFill="1" applyBorder="1" applyAlignment="1">
      <alignment horizontal="center" vertical="center" wrapText="1"/>
    </xf>
    <xf numFmtId="0" fontId="5" fillId="2" borderId="16" xfId="3" applyFont="1" applyFill="1" applyBorder="1" applyAlignment="1">
      <alignment horizontal="center" vertical="center" wrapText="1"/>
    </xf>
    <xf numFmtId="0" fontId="5" fillId="2" borderId="17" xfId="3" applyFont="1" applyFill="1" applyBorder="1" applyAlignment="1">
      <alignment horizontal="center" vertical="center" wrapText="1"/>
    </xf>
    <xf numFmtId="0" fontId="27" fillId="2" borderId="1" xfId="3" applyFont="1" applyFill="1" applyBorder="1" applyAlignment="1">
      <alignment horizontal="left" vertical="center" wrapText="1"/>
    </xf>
    <xf numFmtId="0" fontId="27" fillId="2" borderId="45" xfId="3" applyFont="1" applyFill="1" applyBorder="1" applyAlignment="1">
      <alignment horizontal="left" vertical="center" wrapText="1"/>
    </xf>
    <xf numFmtId="0" fontId="26" fillId="2" borderId="1" xfId="4" applyFont="1" applyFill="1" applyBorder="1" applyAlignment="1">
      <alignment horizontal="left" vertical="center"/>
    </xf>
    <xf numFmtId="0" fontId="26" fillId="2" borderId="44" xfId="4" applyFont="1" applyFill="1" applyBorder="1" applyAlignment="1">
      <alignment horizontal="left" vertical="center"/>
    </xf>
    <xf numFmtId="0" fontId="27" fillId="0" borderId="44" xfId="3" applyFont="1" applyBorder="1" applyAlignment="1">
      <alignment horizontal="left" wrapText="1"/>
    </xf>
    <xf numFmtId="0" fontId="27" fillId="0" borderId="44" xfId="3" applyFont="1" applyBorder="1" applyAlignment="1">
      <alignment horizontal="left"/>
    </xf>
    <xf numFmtId="0" fontId="30" fillId="4" borderId="46" xfId="4" applyFont="1" applyFill="1" applyBorder="1" applyAlignment="1">
      <alignment horizontal="center" vertical="center"/>
    </xf>
    <xf numFmtId="0" fontId="30" fillId="4" borderId="5" xfId="4" applyFont="1" applyFill="1" applyBorder="1" applyAlignment="1">
      <alignment horizontal="center" vertical="center"/>
    </xf>
    <xf numFmtId="0" fontId="30" fillId="4" borderId="47" xfId="4" applyFont="1" applyFill="1" applyBorder="1" applyAlignment="1">
      <alignment horizontal="center" vertical="center"/>
    </xf>
    <xf numFmtId="0" fontId="27" fillId="2" borderId="3" xfId="3" applyFont="1" applyFill="1" applyBorder="1" applyAlignment="1">
      <alignment horizontal="left" vertical="center"/>
    </xf>
    <xf numFmtId="0" fontId="27" fillId="2" borderId="43" xfId="3" applyFont="1" applyFill="1" applyBorder="1" applyAlignment="1">
      <alignment horizontal="left" vertical="center"/>
    </xf>
    <xf numFmtId="0" fontId="26" fillId="2" borderId="0" xfId="4" applyFont="1" applyFill="1" applyAlignment="1">
      <alignment horizontal="left" vertical="center"/>
    </xf>
    <xf numFmtId="166" fontId="27" fillId="2" borderId="3" xfId="3" applyNumberFormat="1" applyFont="1" applyFill="1" applyBorder="1" applyAlignment="1">
      <alignment horizontal="left" vertical="center"/>
    </xf>
    <xf numFmtId="166" fontId="27" fillId="2" borderId="43" xfId="3" applyNumberFormat="1" applyFont="1" applyFill="1" applyBorder="1" applyAlignment="1">
      <alignment horizontal="left" vertical="center"/>
    </xf>
    <xf numFmtId="0" fontId="26" fillId="0" borderId="3" xfId="4" applyFont="1" applyBorder="1" applyAlignment="1">
      <alignment horizontal="left" vertical="center"/>
    </xf>
    <xf numFmtId="0" fontId="26" fillId="0" borderId="0" xfId="4" applyFont="1" applyAlignment="1">
      <alignment horizontal="left" vertical="center"/>
    </xf>
    <xf numFmtId="1" fontId="6" fillId="6" borderId="5" xfId="0" applyNumberFormat="1" applyFont="1" applyFill="1" applyBorder="1" applyAlignment="1">
      <alignment vertical="center"/>
    </xf>
    <xf numFmtId="181" fontId="61" fillId="0" borderId="76" xfId="18" applyNumberFormat="1" applyFont="1" applyBorder="1" applyAlignment="1">
      <alignment horizontal="center" vertical="center"/>
    </xf>
    <xf numFmtId="0" fontId="61" fillId="0" borderId="86" xfId="18" applyFont="1" applyBorder="1" applyAlignment="1">
      <alignment horizontal="center" vertical="center"/>
    </xf>
    <xf numFmtId="0" fontId="0" fillId="0" borderId="79" xfId="18" applyFont="1" applyBorder="1" applyAlignment="1">
      <alignment horizontal="center"/>
    </xf>
    <xf numFmtId="0" fontId="1" fillId="0" borderId="2" xfId="18" applyBorder="1" applyAlignment="1">
      <alignment horizontal="center"/>
    </xf>
    <xf numFmtId="0" fontId="0" fillId="0" borderId="84" xfId="18" applyFont="1" applyBorder="1" applyAlignment="1">
      <alignment horizontal="center"/>
    </xf>
    <xf numFmtId="0" fontId="1" fillId="0" borderId="86" xfId="18" applyBorder="1" applyAlignment="1">
      <alignment horizontal="center"/>
    </xf>
    <xf numFmtId="181" fontId="1" fillId="0" borderId="86" xfId="18" applyNumberFormat="1" applyBorder="1" applyAlignment="1">
      <alignment horizontal="center"/>
    </xf>
    <xf numFmtId="181" fontId="1" fillId="4" borderId="46" xfId="18" applyNumberFormat="1" applyFill="1" applyBorder="1" applyAlignment="1">
      <alignment horizontal="center"/>
    </xf>
    <xf numFmtId="181" fontId="1" fillId="4" borderId="5" xfId="18" applyNumberFormat="1" applyFill="1" applyBorder="1" applyAlignment="1">
      <alignment horizontal="center"/>
    </xf>
    <xf numFmtId="181" fontId="1" fillId="4" borderId="47" xfId="18" applyNumberFormat="1" applyFill="1" applyBorder="1" applyAlignment="1">
      <alignment horizontal="center"/>
    </xf>
    <xf numFmtId="0" fontId="1" fillId="0" borderId="0" xfId="18" applyAlignment="1">
      <alignment horizontal="center"/>
    </xf>
    <xf numFmtId="4" fontId="1" fillId="0" borderId="0" xfId="18" applyNumberFormat="1" applyAlignment="1">
      <alignment horizontal="center"/>
    </xf>
    <xf numFmtId="181" fontId="0" fillId="4" borderId="46" xfId="18" applyNumberFormat="1" applyFont="1" applyFill="1" applyBorder="1" applyAlignment="1">
      <alignment horizontal="center"/>
    </xf>
    <xf numFmtId="181" fontId="1" fillId="0" borderId="92" xfId="18" applyNumberFormat="1" applyBorder="1" applyAlignment="1">
      <alignment horizontal="center"/>
    </xf>
    <xf numFmtId="181" fontId="1" fillId="0" borderId="93" xfId="18" applyNumberFormat="1" applyBorder="1" applyAlignment="1">
      <alignment horizontal="center"/>
    </xf>
    <xf numFmtId="0" fontId="1" fillId="0" borderId="84" xfId="18" applyBorder="1" applyAlignment="1">
      <alignment horizontal="center"/>
    </xf>
    <xf numFmtId="181" fontId="1" fillId="4" borderId="81" xfId="18" applyNumberFormat="1" applyFill="1" applyBorder="1" applyAlignment="1">
      <alignment horizontal="center"/>
    </xf>
    <xf numFmtId="10" fontId="1" fillId="0" borderId="2" xfId="18" applyNumberFormat="1" applyBorder="1" applyAlignment="1">
      <alignment horizontal="center"/>
    </xf>
    <xf numFmtId="10" fontId="1" fillId="0" borderId="46" xfId="18" applyNumberFormat="1" applyBorder="1" applyAlignment="1">
      <alignment horizontal="center"/>
    </xf>
    <xf numFmtId="10" fontId="1" fillId="0" borderId="81" xfId="18" applyNumberFormat="1" applyBorder="1" applyAlignment="1">
      <alignment horizontal="center"/>
    </xf>
    <xf numFmtId="0" fontId="1" fillId="0" borderId="79" xfId="18" applyBorder="1" applyAlignment="1">
      <alignment horizontal="center"/>
    </xf>
    <xf numFmtId="10" fontId="1" fillId="0" borderId="5" xfId="18" applyNumberFormat="1" applyBorder="1" applyAlignment="1">
      <alignment horizontal="center"/>
    </xf>
    <xf numFmtId="10" fontId="1" fillId="0" borderId="47" xfId="18" applyNumberFormat="1" applyBorder="1" applyAlignment="1">
      <alignment horizontal="center"/>
    </xf>
    <xf numFmtId="10" fontId="1" fillId="4" borderId="55" xfId="18" applyNumberFormat="1" applyFill="1" applyBorder="1" applyAlignment="1">
      <alignment horizontal="center"/>
    </xf>
    <xf numFmtId="0" fontId="1" fillId="4" borderId="55" xfId="18" applyFill="1" applyBorder="1" applyAlignment="1">
      <alignment horizontal="center"/>
    </xf>
    <xf numFmtId="10" fontId="1" fillId="4" borderId="88" xfId="18" applyNumberFormat="1" applyFill="1" applyBorder="1" applyAlignment="1">
      <alignment horizontal="center"/>
    </xf>
    <xf numFmtId="10" fontId="1" fillId="4" borderId="91" xfId="18" applyNumberFormat="1" applyFill="1" applyBorder="1" applyAlignment="1">
      <alignment horizontal="center"/>
    </xf>
    <xf numFmtId="181" fontId="1" fillId="0" borderId="46" xfId="18" applyNumberFormat="1" applyBorder="1" applyAlignment="1">
      <alignment horizontal="center"/>
    </xf>
    <xf numFmtId="0" fontId="1" fillId="0" borderId="81" xfId="18" applyBorder="1" applyAlignment="1">
      <alignment horizontal="center"/>
    </xf>
    <xf numFmtId="0" fontId="1" fillId="0" borderId="87" xfId="18" applyBorder="1" applyAlignment="1">
      <alignment horizontal="center"/>
    </xf>
    <xf numFmtId="0" fontId="1" fillId="0" borderId="55" xfId="18" applyBorder="1" applyAlignment="1">
      <alignment horizontal="center"/>
    </xf>
    <xf numFmtId="181" fontId="61" fillId="0" borderId="55" xfId="18" applyNumberFormat="1" applyFont="1" applyBorder="1" applyAlignment="1">
      <alignment horizontal="center" vertical="center"/>
    </xf>
    <xf numFmtId="0" fontId="61" fillId="0" borderId="2" xfId="18" applyFont="1" applyBorder="1" applyAlignment="1">
      <alignment horizontal="center" vertical="center"/>
    </xf>
    <xf numFmtId="0" fontId="61" fillId="0" borderId="56" xfId="18" applyFont="1" applyBorder="1" applyAlignment="1">
      <alignment horizontal="center" vertical="center"/>
    </xf>
    <xf numFmtId="39" fontId="1" fillId="0" borderId="2" xfId="18" applyNumberFormat="1" applyBorder="1" applyAlignment="1">
      <alignment horizontal="center" vertical="center"/>
    </xf>
    <xf numFmtId="39" fontId="1" fillId="0" borderId="86" xfId="18" applyNumberFormat="1" applyBorder="1" applyAlignment="1">
      <alignment horizontal="center" vertical="center"/>
    </xf>
    <xf numFmtId="0" fontId="1" fillId="0" borderId="82" xfId="18" applyBorder="1" applyAlignment="1">
      <alignment horizontal="center"/>
    </xf>
    <xf numFmtId="39" fontId="1" fillId="0" borderId="56" xfId="18" applyNumberFormat="1" applyBorder="1" applyAlignment="1">
      <alignment horizontal="center" vertical="center"/>
    </xf>
    <xf numFmtId="0" fontId="1" fillId="0" borderId="79" xfId="18" applyBorder="1" applyAlignment="1">
      <alignment horizontal="center" vertical="center"/>
    </xf>
    <xf numFmtId="0" fontId="1" fillId="0" borderId="84" xfId="18" applyBorder="1" applyAlignment="1">
      <alignment horizontal="center" vertical="center"/>
    </xf>
    <xf numFmtId="0" fontId="61" fillId="0" borderId="47" xfId="18" applyFont="1" applyBorder="1" applyAlignment="1">
      <alignment horizontal="center" vertical="center" wrapText="1"/>
    </xf>
    <xf numFmtId="0" fontId="61" fillId="0" borderId="2" xfId="18" applyFont="1" applyBorder="1" applyAlignment="1">
      <alignment horizontal="center" vertical="center" wrapText="1"/>
    </xf>
    <xf numFmtId="0" fontId="61" fillId="0" borderId="85" xfId="18" applyFont="1" applyBorder="1" applyAlignment="1">
      <alignment horizontal="center" vertical="center" wrapText="1"/>
    </xf>
    <xf numFmtId="0" fontId="61" fillId="0" borderId="86" xfId="18" applyFont="1" applyBorder="1" applyAlignment="1">
      <alignment horizontal="center" vertical="center" wrapText="1"/>
    </xf>
    <xf numFmtId="39" fontId="61" fillId="0" borderId="2" xfId="18" applyNumberFormat="1" applyFont="1" applyBorder="1" applyAlignment="1">
      <alignment horizontal="center" vertical="center"/>
    </xf>
    <xf numFmtId="39" fontId="61" fillId="0" borderId="86" xfId="18" applyNumberFormat="1" applyFont="1" applyBorder="1" applyAlignment="1">
      <alignment horizontal="center" vertical="center"/>
    </xf>
    <xf numFmtId="10" fontId="0" fillId="4" borderId="2" xfId="19" applyNumberFormat="1" applyFont="1" applyFill="1" applyBorder="1" applyAlignment="1">
      <alignment horizontal="center"/>
    </xf>
    <xf numFmtId="0" fontId="1" fillId="0" borderId="83" xfId="18" applyBorder="1" applyAlignment="1">
      <alignment horizontal="center" vertical="center"/>
    </xf>
    <xf numFmtId="0" fontId="61" fillId="0" borderId="45" xfId="18" applyFont="1" applyBorder="1" applyAlignment="1">
      <alignment horizontal="center" vertical="center" wrapText="1"/>
    </xf>
    <xf numFmtId="0" fontId="61" fillId="0" borderId="56" xfId="18" applyFont="1" applyBorder="1" applyAlignment="1">
      <alignment horizontal="center" vertical="center" wrapText="1"/>
    </xf>
    <xf numFmtId="39" fontId="61" fillId="0" borderId="56" xfId="18" applyNumberFormat="1" applyFont="1" applyBorder="1" applyAlignment="1">
      <alignment horizontal="center" vertical="center"/>
    </xf>
    <xf numFmtId="0" fontId="1" fillId="0" borderId="46" xfId="18" applyBorder="1" applyAlignment="1">
      <alignment horizontal="center"/>
    </xf>
    <xf numFmtId="39" fontId="1" fillId="0" borderId="46" xfId="18" applyNumberFormat="1" applyBorder="1" applyAlignment="1">
      <alignment horizontal="center" vertical="center"/>
    </xf>
    <xf numFmtId="39" fontId="1" fillId="0" borderId="5" xfId="18" applyNumberFormat="1" applyBorder="1" applyAlignment="1">
      <alignment horizontal="center" vertical="center"/>
    </xf>
    <xf numFmtId="39" fontId="1" fillId="0" borderId="47" xfId="18" applyNumberFormat="1" applyBorder="1" applyAlignment="1">
      <alignment horizontal="center" vertical="center"/>
    </xf>
    <xf numFmtId="17" fontId="61" fillId="10" borderId="76" xfId="18" applyNumberFormat="1" applyFont="1" applyFill="1" applyBorder="1" applyAlignment="1">
      <alignment horizontal="center" vertical="center"/>
    </xf>
    <xf numFmtId="0" fontId="63" fillId="10" borderId="77" xfId="18" applyFont="1" applyFill="1" applyBorder="1" applyAlignment="1">
      <alignment horizontal="center" vertical="center"/>
    </xf>
    <xf numFmtId="0" fontId="63" fillId="10" borderId="78" xfId="18" applyFont="1" applyFill="1" applyBorder="1" applyAlignment="1">
      <alignment horizontal="center" vertical="center"/>
    </xf>
    <xf numFmtId="0" fontId="63" fillId="10" borderId="4" xfId="18" applyFont="1" applyFill="1" applyBorder="1" applyAlignment="1">
      <alignment horizontal="center" vertical="center"/>
    </xf>
    <xf numFmtId="0" fontId="63" fillId="10" borderId="80" xfId="18" applyFont="1" applyFill="1" applyBorder="1" applyAlignment="1">
      <alignment horizontal="center" vertical="center"/>
    </xf>
    <xf numFmtId="0" fontId="61" fillId="0" borderId="47" xfId="18" applyFont="1" applyBorder="1" applyAlignment="1">
      <alignment horizontal="center" vertical="center"/>
    </xf>
    <xf numFmtId="0" fontId="61" fillId="0" borderId="72" xfId="18" applyFont="1" applyBorder="1" applyAlignment="1">
      <alignment horizontal="center" vertical="center"/>
    </xf>
    <xf numFmtId="0" fontId="61" fillId="0" borderId="73" xfId="18" applyFont="1" applyBorder="1" applyAlignment="1">
      <alignment horizontal="center" vertical="center"/>
    </xf>
    <xf numFmtId="0" fontId="61" fillId="0" borderId="74" xfId="18" applyFont="1" applyBorder="1" applyAlignment="1">
      <alignment horizontal="center" vertical="center"/>
    </xf>
    <xf numFmtId="0" fontId="1" fillId="0" borderId="75" xfId="18" applyBorder="1" applyAlignment="1">
      <alignment horizontal="center" vertical="center"/>
    </xf>
    <xf numFmtId="0" fontId="61" fillId="0" borderId="76" xfId="18" applyFont="1" applyBorder="1" applyAlignment="1">
      <alignment horizontal="center" vertical="center"/>
    </xf>
    <xf numFmtId="0" fontId="62" fillId="0" borderId="0" xfId="18" applyFont="1" applyAlignment="1">
      <alignment horizontal="center" vertical="center"/>
    </xf>
    <xf numFmtId="0" fontId="62" fillId="0" borderId="16" xfId="18" applyFont="1" applyBorder="1" applyAlignment="1">
      <alignment horizontal="center" vertical="center"/>
    </xf>
    <xf numFmtId="0" fontId="1" fillId="0" borderId="70" xfId="18" applyBorder="1" applyAlignment="1">
      <alignment horizontal="center"/>
    </xf>
    <xf numFmtId="0" fontId="1" fillId="0" borderId="44" xfId="18" applyBorder="1" applyAlignment="1">
      <alignment horizontal="center"/>
    </xf>
    <xf numFmtId="0" fontId="1" fillId="0" borderId="45" xfId="18" applyBorder="1" applyAlignment="1">
      <alignment horizontal="center"/>
    </xf>
    <xf numFmtId="0" fontId="1" fillId="0" borderId="71" xfId="18" applyBorder="1" applyAlignment="1">
      <alignment horizontal="center"/>
    </xf>
    <xf numFmtId="0" fontId="1" fillId="0" borderId="43" xfId="18" applyBorder="1" applyAlignment="1">
      <alignment horizontal="center"/>
    </xf>
    <xf numFmtId="0" fontId="61" fillId="0" borderId="1" xfId="18" applyFont="1" applyBorder="1" applyAlignment="1">
      <alignment horizontal="center" vertical="center"/>
    </xf>
    <xf numFmtId="0" fontId="61" fillId="0" borderId="44" xfId="18" applyFont="1" applyBorder="1" applyAlignment="1">
      <alignment horizontal="center" vertical="center"/>
    </xf>
    <xf numFmtId="0" fontId="61" fillId="0" borderId="4" xfId="18" applyFont="1" applyBorder="1" applyAlignment="1">
      <alignment horizontal="center" vertical="center"/>
    </xf>
    <xf numFmtId="0" fontId="61" fillId="0" borderId="16" xfId="18" applyFont="1" applyBorder="1" applyAlignment="1">
      <alignment horizontal="center" vertical="center"/>
    </xf>
    <xf numFmtId="0" fontId="1" fillId="0" borderId="1" xfId="18" applyBorder="1" applyAlignment="1">
      <alignment horizontal="left" vertical="center"/>
    </xf>
    <xf numFmtId="0" fontId="1" fillId="0" borderId="44" xfId="18" applyBorder="1" applyAlignment="1">
      <alignment horizontal="left" vertical="center"/>
    </xf>
    <xf numFmtId="0" fontId="0" fillId="0" borderId="4" xfId="18" applyFont="1" applyBorder="1" applyAlignment="1">
      <alignment horizontal="left"/>
    </xf>
    <xf numFmtId="0" fontId="1" fillId="0" borderId="16" xfId="18" applyBorder="1" applyAlignment="1">
      <alignment horizontal="left"/>
    </xf>
    <xf numFmtId="0" fontId="1" fillId="0" borderId="45" xfId="18" applyBorder="1" applyAlignment="1">
      <alignment horizontal="left" vertical="center"/>
    </xf>
    <xf numFmtId="0" fontId="1" fillId="0" borderId="4" xfId="18" applyBorder="1" applyAlignment="1">
      <alignment horizontal="left" vertical="center"/>
    </xf>
    <xf numFmtId="0" fontId="1" fillId="0" borderId="16" xfId="18" applyBorder="1" applyAlignment="1">
      <alignment horizontal="left" vertical="center"/>
    </xf>
    <xf numFmtId="0" fontId="1" fillId="0" borderId="17" xfId="18" applyBorder="1" applyAlignment="1">
      <alignment horizontal="left" vertical="center"/>
    </xf>
    <xf numFmtId="0" fontId="1" fillId="0" borderId="4" xfId="18" applyBorder="1" applyAlignment="1">
      <alignment horizontal="center"/>
    </xf>
    <xf numFmtId="0" fontId="1" fillId="0" borderId="16" xfId="18" applyBorder="1" applyAlignment="1">
      <alignment horizontal="center"/>
    </xf>
    <xf numFmtId="10" fontId="0" fillId="4" borderId="46" xfId="2" applyNumberFormat="1" applyFont="1" applyFill="1" applyBorder="1" applyAlignment="1">
      <alignment horizontal="center"/>
    </xf>
    <xf numFmtId="10" fontId="0" fillId="4" borderId="5" xfId="2" applyNumberFormat="1" applyFont="1" applyFill="1" applyBorder="1" applyAlignment="1">
      <alignment horizontal="center"/>
    </xf>
    <xf numFmtId="10" fontId="0" fillId="4" borderId="47" xfId="2" applyNumberFormat="1" applyFont="1" applyFill="1" applyBorder="1" applyAlignment="1">
      <alignment horizontal="center"/>
    </xf>
    <xf numFmtId="39" fontId="0" fillId="0" borderId="2" xfId="0" applyNumberFormat="1" applyBorder="1" applyAlignment="1">
      <alignment horizontal="center" vertical="center"/>
    </xf>
    <xf numFmtId="39" fontId="0" fillId="0" borderId="86" xfId="0" applyNumberFormat="1" applyBorder="1" applyAlignment="1">
      <alignment horizontal="center" vertical="center"/>
    </xf>
    <xf numFmtId="10" fontId="0" fillId="4" borderId="88" xfId="0" applyNumberFormat="1" applyFill="1" applyBorder="1" applyAlignment="1">
      <alignment horizontal="center"/>
    </xf>
    <xf numFmtId="10" fontId="0" fillId="4" borderId="89" xfId="0" applyNumberFormat="1" applyFill="1" applyBorder="1" applyAlignment="1">
      <alignment horizontal="center"/>
    </xf>
    <xf numFmtId="10" fontId="0" fillId="4" borderId="90" xfId="0" applyNumberFormat="1" applyFill="1" applyBorder="1" applyAlignment="1">
      <alignment horizontal="center"/>
    </xf>
    <xf numFmtId="10" fontId="0" fillId="0" borderId="2" xfId="0" applyNumberFormat="1" applyBorder="1" applyAlignment="1">
      <alignment horizontal="center"/>
    </xf>
    <xf numFmtId="0" fontId="0" fillId="0" borderId="2" xfId="0" applyBorder="1" applyAlignment="1">
      <alignment horizontal="center"/>
    </xf>
    <xf numFmtId="181" fontId="0" fillId="4" borderId="46" xfId="0" applyNumberFormat="1" applyFill="1" applyBorder="1" applyAlignment="1">
      <alignment horizontal="center"/>
    </xf>
    <xf numFmtId="181" fontId="0" fillId="4" borderId="5" xfId="0" applyNumberFormat="1" applyFill="1" applyBorder="1" applyAlignment="1">
      <alignment horizontal="center"/>
    </xf>
    <xf numFmtId="181" fontId="0" fillId="4" borderId="47" xfId="0" applyNumberFormat="1" applyFill="1" applyBorder="1" applyAlignment="1">
      <alignment horizontal="center"/>
    </xf>
    <xf numFmtId="181" fontId="0" fillId="0" borderId="86" xfId="0" applyNumberFormat="1" applyBorder="1" applyAlignment="1">
      <alignment horizontal="center"/>
    </xf>
    <xf numFmtId="0" fontId="0" fillId="0" borderId="86" xfId="0" applyBorder="1" applyAlignment="1">
      <alignment horizontal="center"/>
    </xf>
    <xf numFmtId="0" fontId="0" fillId="0" borderId="0" xfId="0" applyAlignment="1">
      <alignment horizontal="center"/>
    </xf>
    <xf numFmtId="17" fontId="61" fillId="10" borderId="76" xfId="0" applyNumberFormat="1" applyFont="1" applyFill="1" applyBorder="1" applyAlignment="1">
      <alignment horizontal="center" vertical="center"/>
    </xf>
    <xf numFmtId="39" fontId="0" fillId="0" borderId="46" xfId="0" applyNumberFormat="1" applyBorder="1" applyAlignment="1">
      <alignment horizontal="center" vertical="center"/>
    </xf>
    <xf numFmtId="39" fontId="0" fillId="0" borderId="5" xfId="0" applyNumberFormat="1" applyBorder="1" applyAlignment="1">
      <alignment horizontal="center" vertical="center"/>
    </xf>
    <xf numFmtId="39" fontId="0" fillId="0" borderId="47" xfId="0" applyNumberFormat="1" applyBorder="1" applyAlignment="1">
      <alignment horizontal="center" vertical="center"/>
    </xf>
    <xf numFmtId="39" fontId="0" fillId="0" borderId="56" xfId="0" applyNumberFormat="1" applyBorder="1" applyAlignment="1">
      <alignment horizontal="center" vertical="center"/>
    </xf>
    <xf numFmtId="0" fontId="0" fillId="0" borderId="79" xfId="0" applyBorder="1" applyAlignment="1">
      <alignment horizontal="center"/>
    </xf>
    <xf numFmtId="181" fontId="0" fillId="0" borderId="92" xfId="0" applyNumberFormat="1" applyBorder="1" applyAlignment="1">
      <alignment horizontal="center"/>
    </xf>
    <xf numFmtId="181" fontId="0" fillId="0" borderId="93" xfId="0" applyNumberFormat="1" applyBorder="1" applyAlignment="1">
      <alignment horizontal="center"/>
    </xf>
    <xf numFmtId="10" fontId="0" fillId="0" borderId="46" xfId="0" applyNumberFormat="1" applyBorder="1" applyAlignment="1">
      <alignment horizontal="center"/>
    </xf>
    <xf numFmtId="10" fontId="0" fillId="0" borderId="81" xfId="0" applyNumberFormat="1" applyBorder="1" applyAlignment="1">
      <alignment horizontal="center"/>
    </xf>
    <xf numFmtId="181" fontId="0" fillId="4" borderId="81" xfId="0" applyNumberFormat="1" applyFill="1" applyBorder="1" applyAlignment="1">
      <alignment horizontal="center"/>
    </xf>
    <xf numFmtId="0" fontId="0" fillId="0" borderId="87" xfId="0" applyBorder="1" applyAlignment="1">
      <alignment horizontal="center"/>
    </xf>
    <xf numFmtId="0" fontId="0" fillId="0" borderId="55" xfId="0" applyBorder="1" applyAlignment="1">
      <alignment horizontal="center"/>
    </xf>
    <xf numFmtId="181" fontId="61" fillId="0" borderId="55" xfId="0" applyNumberFormat="1" applyFont="1" applyBorder="1" applyAlignment="1">
      <alignment horizontal="center" vertical="center"/>
    </xf>
    <xf numFmtId="0" fontId="61" fillId="0" borderId="2" xfId="0" applyFont="1" applyBorder="1" applyAlignment="1">
      <alignment horizontal="center" vertical="center"/>
    </xf>
    <xf numFmtId="0" fontId="61" fillId="0" borderId="86" xfId="0" applyFont="1" applyBorder="1" applyAlignment="1">
      <alignment horizontal="center" vertical="center"/>
    </xf>
    <xf numFmtId="10" fontId="0" fillId="4" borderId="55" xfId="0" applyNumberFormat="1" applyFill="1" applyBorder="1" applyAlignment="1">
      <alignment horizontal="center"/>
    </xf>
    <xf numFmtId="0" fontId="0" fillId="4" borderId="55" xfId="0" applyFill="1" applyBorder="1" applyAlignment="1">
      <alignment horizontal="center"/>
    </xf>
    <xf numFmtId="0" fontId="0" fillId="0" borderId="84" xfId="0" applyBorder="1" applyAlignment="1">
      <alignment horizontal="center"/>
    </xf>
    <xf numFmtId="181" fontId="0" fillId="0" borderId="46" xfId="0" applyNumberFormat="1" applyBorder="1" applyAlignment="1">
      <alignment horizontal="center"/>
    </xf>
    <xf numFmtId="0" fontId="0" fillId="0" borderId="81" xfId="0" applyBorder="1" applyAlignment="1">
      <alignment horizontal="center"/>
    </xf>
    <xf numFmtId="10" fontId="0" fillId="4" borderId="91" xfId="0" applyNumberFormat="1" applyFill="1" applyBorder="1" applyAlignment="1">
      <alignment horizontal="center"/>
    </xf>
    <xf numFmtId="10" fontId="0" fillId="4" borderId="2" xfId="2" applyNumberFormat="1" applyFont="1" applyFill="1" applyBorder="1" applyAlignment="1">
      <alignment horizontal="center"/>
    </xf>
    <xf numFmtId="0" fontId="0" fillId="0" borderId="79" xfId="0" applyBorder="1" applyAlignment="1">
      <alignment horizontal="center" vertical="center"/>
    </xf>
    <xf numFmtId="0" fontId="0" fillId="0" borderId="84" xfId="0" applyBorder="1" applyAlignment="1">
      <alignment horizontal="center" vertical="center"/>
    </xf>
    <xf numFmtId="0" fontId="61" fillId="0" borderId="47" xfId="0" applyFont="1" applyBorder="1" applyAlignment="1">
      <alignment horizontal="center" vertical="center" wrapText="1"/>
    </xf>
    <xf numFmtId="0" fontId="61" fillId="0" borderId="2" xfId="0" applyFont="1" applyBorder="1" applyAlignment="1">
      <alignment horizontal="center" vertical="center" wrapText="1"/>
    </xf>
    <xf numFmtId="0" fontId="61" fillId="0" borderId="85" xfId="0" applyFont="1" applyBorder="1" applyAlignment="1">
      <alignment horizontal="center" vertical="center" wrapText="1"/>
    </xf>
    <xf numFmtId="0" fontId="61" fillId="0" borderId="86" xfId="0" applyFont="1" applyBorder="1" applyAlignment="1">
      <alignment horizontal="center" vertical="center" wrapText="1"/>
    </xf>
    <xf numFmtId="39" fontId="61" fillId="0" borderId="2" xfId="0" applyNumberFormat="1" applyFont="1" applyBorder="1" applyAlignment="1">
      <alignment horizontal="center" vertical="center"/>
    </xf>
    <xf numFmtId="39" fontId="61" fillId="0" borderId="86" xfId="0" applyNumberFormat="1" applyFont="1" applyBorder="1" applyAlignment="1">
      <alignment horizontal="center" vertical="center"/>
    </xf>
    <xf numFmtId="0" fontId="0" fillId="0" borderId="82" xfId="0" applyBorder="1" applyAlignment="1">
      <alignment horizontal="center"/>
    </xf>
    <xf numFmtId="0" fontId="0" fillId="0" borderId="83" xfId="0" applyBorder="1" applyAlignment="1">
      <alignment horizontal="center" vertical="center"/>
    </xf>
    <xf numFmtId="0" fontId="61" fillId="0" borderId="45" xfId="0" applyFont="1" applyBorder="1" applyAlignment="1">
      <alignment horizontal="center" vertical="center" wrapText="1"/>
    </xf>
    <xf numFmtId="0" fontId="61" fillId="0" borderId="56" xfId="0" applyFont="1" applyBorder="1" applyAlignment="1">
      <alignment horizontal="center" vertical="center" wrapText="1"/>
    </xf>
    <xf numFmtId="39" fontId="61" fillId="0" borderId="56" xfId="0" applyNumberFormat="1" applyFont="1" applyBorder="1" applyAlignment="1">
      <alignment horizontal="center" vertical="center"/>
    </xf>
    <xf numFmtId="0" fontId="0" fillId="0" borderId="46" xfId="0" applyBorder="1" applyAlignment="1">
      <alignment horizontal="center"/>
    </xf>
    <xf numFmtId="0" fontId="63" fillId="10" borderId="77" xfId="0" applyFont="1" applyFill="1" applyBorder="1" applyAlignment="1">
      <alignment horizontal="center" vertical="center"/>
    </xf>
    <xf numFmtId="0" fontId="63" fillId="10" borderId="78" xfId="0" applyFont="1" applyFill="1" applyBorder="1" applyAlignment="1">
      <alignment horizontal="center" vertical="center"/>
    </xf>
    <xf numFmtId="0" fontId="63" fillId="10" borderId="4" xfId="0" applyFont="1" applyFill="1" applyBorder="1" applyAlignment="1">
      <alignment horizontal="center" vertical="center"/>
    </xf>
    <xf numFmtId="0" fontId="63" fillId="10" borderId="80" xfId="0" applyFont="1" applyFill="1" applyBorder="1" applyAlignment="1">
      <alignment horizontal="center" vertical="center"/>
    </xf>
    <xf numFmtId="0" fontId="61" fillId="0" borderId="47" xfId="0" applyFont="1" applyBorder="1" applyAlignment="1">
      <alignment horizontal="center" vertical="center"/>
    </xf>
    <xf numFmtId="0" fontId="61" fillId="0" borderId="72" xfId="0" applyFont="1" applyBorder="1" applyAlignment="1">
      <alignment horizontal="center" vertical="center"/>
    </xf>
    <xf numFmtId="0" fontId="61" fillId="0" borderId="73" xfId="0" applyFont="1" applyBorder="1" applyAlignment="1">
      <alignment horizontal="center" vertical="center"/>
    </xf>
    <xf numFmtId="0" fontId="61" fillId="0" borderId="74" xfId="0" applyFont="1" applyBorder="1" applyAlignment="1">
      <alignment horizontal="center" vertical="center"/>
    </xf>
    <xf numFmtId="0" fontId="0" fillId="0" borderId="75" xfId="0" applyBorder="1" applyAlignment="1">
      <alignment horizontal="center" vertical="center"/>
    </xf>
    <xf numFmtId="0" fontId="61" fillId="0" borderId="76" xfId="0" applyFont="1" applyBorder="1" applyAlignment="1">
      <alignment horizontal="center" vertical="center"/>
    </xf>
    <xf numFmtId="0" fontId="62" fillId="0" borderId="0" xfId="0" applyFont="1" applyAlignment="1">
      <alignment horizontal="center" vertical="center"/>
    </xf>
    <xf numFmtId="0" fontId="62" fillId="0" borderId="16" xfId="0" applyFont="1" applyBorder="1" applyAlignment="1">
      <alignment horizontal="center" vertical="center"/>
    </xf>
    <xf numFmtId="0" fontId="0" fillId="0" borderId="70"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71" xfId="0" applyBorder="1" applyAlignment="1">
      <alignment horizontal="center"/>
    </xf>
    <xf numFmtId="0" fontId="0" fillId="0" borderId="43" xfId="0" applyBorder="1" applyAlignment="1">
      <alignment horizontal="center"/>
    </xf>
    <xf numFmtId="0" fontId="61" fillId="0" borderId="1" xfId="0" applyFont="1" applyBorder="1" applyAlignment="1">
      <alignment horizontal="center" vertical="center"/>
    </xf>
    <xf numFmtId="0" fontId="61" fillId="0" borderId="44" xfId="0" applyFont="1" applyBorder="1" applyAlignment="1">
      <alignment horizontal="center" vertical="center"/>
    </xf>
    <xf numFmtId="0" fontId="61" fillId="0" borderId="4" xfId="0" applyFont="1" applyBorder="1" applyAlignment="1">
      <alignment horizontal="center" vertical="center"/>
    </xf>
    <xf numFmtId="0" fontId="61" fillId="0" borderId="16" xfId="0" applyFont="1" applyBorder="1" applyAlignment="1">
      <alignment horizontal="center" vertical="center"/>
    </xf>
    <xf numFmtId="0" fontId="0" fillId="0" borderId="1" xfId="0" applyBorder="1" applyAlignment="1">
      <alignment horizontal="left" vertical="center"/>
    </xf>
    <xf numFmtId="0" fontId="0" fillId="0" borderId="44" xfId="0" applyBorder="1" applyAlignment="1">
      <alignment horizontal="left" vertical="center"/>
    </xf>
    <xf numFmtId="0" fontId="0" fillId="0" borderId="4" xfId="0" applyBorder="1" applyAlignment="1">
      <alignment horizontal="left"/>
    </xf>
    <xf numFmtId="0" fontId="0" fillId="0" borderId="16" xfId="0" applyBorder="1" applyAlignment="1">
      <alignment horizontal="left"/>
    </xf>
    <xf numFmtId="0" fontId="0" fillId="0" borderId="45" xfId="0" applyBorder="1" applyAlignment="1">
      <alignment horizontal="left" vertical="center"/>
    </xf>
    <xf numFmtId="0" fontId="0" fillId="0" borderId="4"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4" xfId="0" applyBorder="1" applyAlignment="1">
      <alignment horizontal="center"/>
    </xf>
    <xf numFmtId="0" fontId="0" fillId="0" borderId="16" xfId="0" applyBorder="1" applyAlignment="1">
      <alignment horizontal="center"/>
    </xf>
    <xf numFmtId="0" fontId="61" fillId="11" borderId="94" xfId="0" applyFont="1" applyFill="1" applyBorder="1" applyAlignment="1">
      <alignment horizontal="center" vertical="center"/>
    </xf>
    <xf numFmtId="0" fontId="61" fillId="11" borderId="89" xfId="0" applyFont="1" applyFill="1" applyBorder="1" applyAlignment="1">
      <alignment horizontal="center" vertical="center"/>
    </xf>
    <xf numFmtId="44" fontId="30" fillId="11" borderId="89" xfId="17" applyFont="1" applyFill="1" applyBorder="1" applyAlignment="1">
      <alignment horizontal="center" vertical="center" wrapText="1"/>
    </xf>
    <xf numFmtId="44" fontId="30" fillId="11" borderId="91" xfId="17" applyFont="1" applyFill="1" applyBorder="1" applyAlignment="1">
      <alignment horizontal="center" vertical="center" wrapText="1"/>
    </xf>
    <xf numFmtId="0" fontId="21" fillId="4" borderId="79" xfId="6" applyFont="1" applyFill="1" applyBorder="1" applyAlignment="1" applyProtection="1">
      <alignment horizontal="center" vertical="center"/>
      <protection locked="0"/>
    </xf>
    <xf numFmtId="4" fontId="21" fillId="4" borderId="82" xfId="6" applyNumberFormat="1" applyFont="1" applyFill="1" applyBorder="1" applyAlignment="1" applyProtection="1">
      <alignment horizontal="center" vertical="center"/>
      <protection locked="0"/>
    </xf>
  </cellXfs>
  <cellStyles count="20">
    <cellStyle name="Moeda" xfId="17" builtinId="4"/>
    <cellStyle name="Moeda 2 3 2" xfId="15"/>
    <cellStyle name="Normal" xfId="0" builtinId="0"/>
    <cellStyle name="Normal 101" xfId="5"/>
    <cellStyle name="Normal 16 2" xfId="7"/>
    <cellStyle name="Normal 2 10" xfId="12"/>
    <cellStyle name="Normal 2 14 2" xfId="10"/>
    <cellStyle name="Normal 3 10" xfId="6"/>
    <cellStyle name="Normal 4" xfId="13"/>
    <cellStyle name="Normal 4 2 10 2" xfId="3"/>
    <cellStyle name="Normal 5" xfId="18"/>
    <cellStyle name="Normal 68" xfId="11"/>
    <cellStyle name="Normal 69" xfId="9"/>
    <cellStyle name="Normal_PLANILHA e RESUMO ORIGINAL (MEDIÇÃO)" xfId="4"/>
    <cellStyle name="Porcentagem" xfId="2" builtinId="5"/>
    <cellStyle name="Porcentagem 5" xfId="16"/>
    <cellStyle name="Porcentagem 6" xfId="19"/>
    <cellStyle name="Separador de milhares 11 4" xfId="8"/>
    <cellStyle name="Vírgula" xfId="1" builtinId="3"/>
    <cellStyle name="Vírgula 2 3 2" xfId="14"/>
  </cellStyles>
  <dxfs count="684">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strike val="0"/>
        <color rgb="FF0000FF"/>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strike val="0"/>
        <color rgb="FF0000FF"/>
      </font>
    </dxf>
    <dxf>
      <font>
        <strike val="0"/>
        <color rgb="FF0000FF"/>
      </font>
    </dxf>
    <dxf>
      <font>
        <strike val="0"/>
        <color rgb="FF0000FF"/>
      </font>
    </dxf>
    <dxf>
      <font>
        <strike val="0"/>
        <color rgb="FF0000FF"/>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b/>
        <i val="0"/>
        <color rgb="FFFF0000"/>
      </font>
      <fill>
        <patternFill>
          <bgColor rgb="FFFFFF00"/>
        </patternFill>
      </fill>
    </dxf>
    <dxf>
      <font>
        <b/>
        <i val="0"/>
        <strike val="0"/>
        <color rgb="FFFF0000"/>
      </font>
    </dxf>
    <dxf>
      <font>
        <strike val="0"/>
        <color rgb="FF0000FF"/>
      </font>
    </dxf>
    <dxf>
      <font>
        <strike val="0"/>
        <color rgb="FF0000FF"/>
      </font>
    </dxf>
    <dxf>
      <font>
        <strike val="0"/>
        <color rgb="FF0000FF"/>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Acompanhamento de Cronograma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v>Med. Prevista</c:v>
          </c:tx>
          <c:spPr>
            <a:solidFill>
              <a:schemeClr val="accent1"/>
            </a:solidFill>
            <a:ln>
              <a:noFill/>
            </a:ln>
            <a:effectLst/>
          </c:spPr>
          <c:invertIfNegative val="0"/>
          <c:cat>
            <c:numRef>
              <c:f>ACOMPANHAMENTO!$G$10:$GD$10</c:f>
              <c:numCache>
                <c:formatCode>mmm\-yy</c:formatCode>
                <c:ptCount val="180"/>
                <c:pt idx="0">
                  <c:v>44774</c:v>
                </c:pt>
                <c:pt idx="4">
                  <c:v>44805</c:v>
                </c:pt>
                <c:pt idx="8">
                  <c:v>44835</c:v>
                </c:pt>
                <c:pt idx="12">
                  <c:v>44866</c:v>
                </c:pt>
                <c:pt idx="16">
                  <c:v>44896</c:v>
                </c:pt>
                <c:pt idx="20">
                  <c:v>44927</c:v>
                </c:pt>
                <c:pt idx="24">
                  <c:v>44958</c:v>
                </c:pt>
                <c:pt idx="28">
                  <c:v>44986</c:v>
                </c:pt>
                <c:pt idx="32">
                  <c:v>45017</c:v>
                </c:pt>
                <c:pt idx="36">
                  <c:v>45047</c:v>
                </c:pt>
                <c:pt idx="40">
                  <c:v>45078</c:v>
                </c:pt>
                <c:pt idx="44">
                  <c:v>45108</c:v>
                </c:pt>
                <c:pt idx="48">
                  <c:v>45139</c:v>
                </c:pt>
                <c:pt idx="52">
                  <c:v>45170</c:v>
                </c:pt>
                <c:pt idx="56">
                  <c:v>45200</c:v>
                </c:pt>
                <c:pt idx="60">
                  <c:v>45231</c:v>
                </c:pt>
                <c:pt idx="64">
                  <c:v>45261</c:v>
                </c:pt>
                <c:pt idx="68">
                  <c:v>45292</c:v>
                </c:pt>
                <c:pt idx="72">
                  <c:v>45323</c:v>
                </c:pt>
                <c:pt idx="76">
                  <c:v>45352</c:v>
                </c:pt>
                <c:pt idx="80">
                  <c:v>45383</c:v>
                </c:pt>
                <c:pt idx="84">
                  <c:v>45413</c:v>
                </c:pt>
                <c:pt idx="88">
                  <c:v>45444</c:v>
                </c:pt>
                <c:pt idx="92">
                  <c:v>45474</c:v>
                </c:pt>
                <c:pt idx="96">
                  <c:v>45505</c:v>
                </c:pt>
                <c:pt idx="100">
                  <c:v>45536</c:v>
                </c:pt>
                <c:pt idx="104">
                  <c:v>45566</c:v>
                </c:pt>
                <c:pt idx="108">
                  <c:v>45597</c:v>
                </c:pt>
                <c:pt idx="112">
                  <c:v>45627</c:v>
                </c:pt>
                <c:pt idx="116">
                  <c:v>45658</c:v>
                </c:pt>
                <c:pt idx="120">
                  <c:v>45689</c:v>
                </c:pt>
                <c:pt idx="124">
                  <c:v>45717</c:v>
                </c:pt>
                <c:pt idx="128">
                  <c:v>45748</c:v>
                </c:pt>
                <c:pt idx="132">
                  <c:v>45778</c:v>
                </c:pt>
                <c:pt idx="136">
                  <c:v>45809</c:v>
                </c:pt>
                <c:pt idx="140">
                  <c:v>45839</c:v>
                </c:pt>
                <c:pt idx="144">
                  <c:v>45870</c:v>
                </c:pt>
                <c:pt idx="148">
                  <c:v>45901</c:v>
                </c:pt>
                <c:pt idx="152">
                  <c:v>45931</c:v>
                </c:pt>
                <c:pt idx="156">
                  <c:v>45962</c:v>
                </c:pt>
                <c:pt idx="160">
                  <c:v>45992</c:v>
                </c:pt>
                <c:pt idx="164">
                  <c:v>46023</c:v>
                </c:pt>
                <c:pt idx="168">
                  <c:v>46054</c:v>
                </c:pt>
                <c:pt idx="172">
                  <c:v>46082</c:v>
                </c:pt>
                <c:pt idx="176">
                  <c:v>46113</c:v>
                </c:pt>
              </c:numCache>
            </c:numRef>
          </c:cat>
          <c:val>
            <c:numRef>
              <c:f>ACOMPANHAMENTO!$G$32:$GD$32</c:f>
              <c:numCache>
                <c:formatCode>#,##0.00_ ;\-#,##0.00\ </c:formatCode>
                <c:ptCount val="180"/>
                <c:pt idx="0">
                  <c:v>75496.81</c:v>
                </c:pt>
                <c:pt idx="4">
                  <c:v>128956.45</c:v>
                </c:pt>
                <c:pt idx="8">
                  <c:v>524700.48</c:v>
                </c:pt>
                <c:pt idx="12">
                  <c:v>226012.02000000002</c:v>
                </c:pt>
                <c:pt idx="16">
                  <c:v>309980.18</c:v>
                </c:pt>
                <c:pt idx="20">
                  <c:v>105666.26</c:v>
                </c:pt>
                <c:pt idx="24">
                  <c:v>524272.39</c:v>
                </c:pt>
                <c:pt idx="28">
                  <c:v>114280.54</c:v>
                </c:pt>
                <c:pt idx="32">
                  <c:v>565020.41</c:v>
                </c:pt>
                <c:pt idx="36">
                  <c:v>600259.87</c:v>
                </c:pt>
                <c:pt idx="40">
                  <c:v>758232.38</c:v>
                </c:pt>
                <c:pt idx="44">
                  <c:v>1062101.28</c:v>
                </c:pt>
                <c:pt idx="48">
                  <c:v>394319.9</c:v>
                </c:pt>
                <c:pt idx="52">
                  <c:v>384755.9</c:v>
                </c:pt>
                <c:pt idx="56">
                  <c:v>315772.42</c:v>
                </c:pt>
                <c:pt idx="60">
                  <c:v>207302.66999999998</c:v>
                </c:pt>
                <c:pt idx="64">
                  <c:v>78743.64</c:v>
                </c:pt>
                <c:pt idx="68">
                  <c:v>273413.38</c:v>
                </c:pt>
                <c:pt idx="72">
                  <c:v>1858656.6</c:v>
                </c:pt>
                <c:pt idx="76">
                  <c:v>910953.5</c:v>
                </c:pt>
                <c:pt idx="80">
                  <c:v>1115534.18</c:v>
                </c:pt>
                <c:pt idx="84">
                  <c:v>612377.66</c:v>
                </c:pt>
                <c:pt idx="88">
                  <c:v>897064.87</c:v>
                </c:pt>
                <c:pt idx="92">
                  <c:v>740581.7300000001</c:v>
                </c:pt>
                <c:pt idx="96">
                  <c:v>1617046.84</c:v>
                </c:pt>
                <c:pt idx="100">
                  <c:v>1548779.62</c:v>
                </c:pt>
                <c:pt idx="104">
                  <c:v>893509.83000000007</c:v>
                </c:pt>
                <c:pt idx="108">
                  <c:v>571163.79999999993</c:v>
                </c:pt>
                <c:pt idx="112">
                  <c:v>688029.22</c:v>
                </c:pt>
                <c:pt idx="116">
                  <c:v>877513.45</c:v>
                </c:pt>
                <c:pt idx="120">
                  <c:v>896463.02999999991</c:v>
                </c:pt>
                <c:pt idx="124">
                  <c:v>1819947.8982857142</c:v>
                </c:pt>
                <c:pt idx="128">
                  <c:v>1819947.8982857142</c:v>
                </c:pt>
                <c:pt idx="132">
                  <c:v>1819947.8982857142</c:v>
                </c:pt>
                <c:pt idx="136">
                  <c:v>1819947.8982857142</c:v>
                </c:pt>
                <c:pt idx="140">
                  <c:v>1819947.8982857142</c:v>
                </c:pt>
                <c:pt idx="144">
                  <c:v>1819947.8982857142</c:v>
                </c:pt>
                <c:pt idx="148">
                  <c:v>1819947.8982857142</c:v>
                </c:pt>
                <c:pt idx="152">
                  <c:v>1819947.8982857142</c:v>
                </c:pt>
                <c:pt idx="156">
                  <c:v>1819947.8982857142</c:v>
                </c:pt>
                <c:pt idx="160">
                  <c:v>1819947.8982857142</c:v>
                </c:pt>
                <c:pt idx="164">
                  <c:v>1819947.8982857142</c:v>
                </c:pt>
                <c:pt idx="168">
                  <c:v>1819947.8982857142</c:v>
                </c:pt>
                <c:pt idx="172">
                  <c:v>1819947.8982857142</c:v>
                </c:pt>
                <c:pt idx="176">
                  <c:v>909973.91914285696</c:v>
                </c:pt>
              </c:numCache>
            </c:numRef>
          </c:val>
          <c:extLst>
            <c:ext xmlns:c16="http://schemas.microsoft.com/office/drawing/2014/chart" uri="{C3380CC4-5D6E-409C-BE32-E72D297353CC}">
              <c16:uniqueId val="{00000000-C653-4E5C-85A0-06EB9FF87F3F}"/>
            </c:ext>
          </c:extLst>
        </c:ser>
        <c:ser>
          <c:idx val="1"/>
          <c:order val="1"/>
          <c:tx>
            <c:v>Med. Realizada</c:v>
          </c:tx>
          <c:spPr>
            <a:solidFill>
              <a:schemeClr val="accent2"/>
            </a:solidFill>
            <a:ln>
              <a:noFill/>
            </a:ln>
            <a:effectLst/>
          </c:spPr>
          <c:invertIfNegative val="0"/>
          <c:cat>
            <c:numRef>
              <c:f>ACOMPANHAMENTO!$G$10:$GD$10</c:f>
              <c:numCache>
                <c:formatCode>mmm\-yy</c:formatCode>
                <c:ptCount val="180"/>
                <c:pt idx="0">
                  <c:v>44774</c:v>
                </c:pt>
                <c:pt idx="4">
                  <c:v>44805</c:v>
                </c:pt>
                <c:pt idx="8">
                  <c:v>44835</c:v>
                </c:pt>
                <c:pt idx="12">
                  <c:v>44866</c:v>
                </c:pt>
                <c:pt idx="16">
                  <c:v>44896</c:v>
                </c:pt>
                <c:pt idx="20">
                  <c:v>44927</c:v>
                </c:pt>
                <c:pt idx="24">
                  <c:v>44958</c:v>
                </c:pt>
                <c:pt idx="28">
                  <c:v>44986</c:v>
                </c:pt>
                <c:pt idx="32">
                  <c:v>45017</c:v>
                </c:pt>
                <c:pt idx="36">
                  <c:v>45047</c:v>
                </c:pt>
                <c:pt idx="40">
                  <c:v>45078</c:v>
                </c:pt>
                <c:pt idx="44">
                  <c:v>45108</c:v>
                </c:pt>
                <c:pt idx="48">
                  <c:v>45139</c:v>
                </c:pt>
                <c:pt idx="52">
                  <c:v>45170</c:v>
                </c:pt>
                <c:pt idx="56">
                  <c:v>45200</c:v>
                </c:pt>
                <c:pt idx="60">
                  <c:v>45231</c:v>
                </c:pt>
                <c:pt idx="64">
                  <c:v>45261</c:v>
                </c:pt>
                <c:pt idx="68">
                  <c:v>45292</c:v>
                </c:pt>
                <c:pt idx="72">
                  <c:v>45323</c:v>
                </c:pt>
                <c:pt idx="76">
                  <c:v>45352</c:v>
                </c:pt>
                <c:pt idx="80">
                  <c:v>45383</c:v>
                </c:pt>
                <c:pt idx="84">
                  <c:v>45413</c:v>
                </c:pt>
                <c:pt idx="88">
                  <c:v>45444</c:v>
                </c:pt>
                <c:pt idx="92">
                  <c:v>45474</c:v>
                </c:pt>
                <c:pt idx="96">
                  <c:v>45505</c:v>
                </c:pt>
                <c:pt idx="100">
                  <c:v>45536</c:v>
                </c:pt>
                <c:pt idx="104">
                  <c:v>45566</c:v>
                </c:pt>
                <c:pt idx="108">
                  <c:v>45597</c:v>
                </c:pt>
                <c:pt idx="112">
                  <c:v>45627</c:v>
                </c:pt>
                <c:pt idx="116">
                  <c:v>45658</c:v>
                </c:pt>
                <c:pt idx="120">
                  <c:v>45689</c:v>
                </c:pt>
                <c:pt idx="124">
                  <c:v>45717</c:v>
                </c:pt>
                <c:pt idx="128">
                  <c:v>45748</c:v>
                </c:pt>
                <c:pt idx="132">
                  <c:v>45778</c:v>
                </c:pt>
                <c:pt idx="136">
                  <c:v>45809</c:v>
                </c:pt>
                <c:pt idx="140">
                  <c:v>45839</c:v>
                </c:pt>
                <c:pt idx="144">
                  <c:v>45870</c:v>
                </c:pt>
                <c:pt idx="148">
                  <c:v>45901</c:v>
                </c:pt>
                <c:pt idx="152">
                  <c:v>45931</c:v>
                </c:pt>
                <c:pt idx="156">
                  <c:v>45962</c:v>
                </c:pt>
                <c:pt idx="160">
                  <c:v>45992</c:v>
                </c:pt>
                <c:pt idx="164">
                  <c:v>46023</c:v>
                </c:pt>
                <c:pt idx="168">
                  <c:v>46054</c:v>
                </c:pt>
                <c:pt idx="172">
                  <c:v>46082</c:v>
                </c:pt>
                <c:pt idx="176">
                  <c:v>46113</c:v>
                </c:pt>
              </c:numCache>
            </c:numRef>
          </c:cat>
          <c:val>
            <c:numRef>
              <c:f>ACOMPANHAMENTO!$G$34:$GD$34</c:f>
              <c:numCache>
                <c:formatCode>#,##0.00_ ;\-#,##0.00\ </c:formatCode>
                <c:ptCount val="180"/>
                <c:pt idx="0">
                  <c:v>75496.81</c:v>
                </c:pt>
                <c:pt idx="4">
                  <c:v>128956.45</c:v>
                </c:pt>
                <c:pt idx="8">
                  <c:v>524700.48</c:v>
                </c:pt>
                <c:pt idx="12">
                  <c:v>226012.02</c:v>
                </c:pt>
                <c:pt idx="16">
                  <c:v>309980.18</c:v>
                </c:pt>
                <c:pt idx="20">
                  <c:v>105666.26</c:v>
                </c:pt>
                <c:pt idx="24">
                  <c:v>524272.39</c:v>
                </c:pt>
                <c:pt idx="28">
                  <c:v>114280.54</c:v>
                </c:pt>
                <c:pt idx="32">
                  <c:v>565020.41</c:v>
                </c:pt>
                <c:pt idx="36">
                  <c:v>600259.87</c:v>
                </c:pt>
                <c:pt idx="40">
                  <c:v>758232.38</c:v>
                </c:pt>
                <c:pt idx="44">
                  <c:v>1062101.28</c:v>
                </c:pt>
                <c:pt idx="48">
                  <c:v>394319.9</c:v>
                </c:pt>
                <c:pt idx="52">
                  <c:v>384755.9</c:v>
                </c:pt>
                <c:pt idx="56">
                  <c:v>315772.42</c:v>
                </c:pt>
                <c:pt idx="60">
                  <c:v>207302.67</c:v>
                </c:pt>
                <c:pt idx="64">
                  <c:v>78743.64</c:v>
                </c:pt>
                <c:pt idx="68">
                  <c:v>273413.38</c:v>
                </c:pt>
                <c:pt idx="72">
                  <c:v>1858656.6</c:v>
                </c:pt>
                <c:pt idx="76">
                  <c:v>910953.5</c:v>
                </c:pt>
                <c:pt idx="80">
                  <c:v>1115534.18</c:v>
                </c:pt>
                <c:pt idx="84">
                  <c:v>612377.66</c:v>
                </c:pt>
                <c:pt idx="88">
                  <c:v>897604.87</c:v>
                </c:pt>
                <c:pt idx="92">
                  <c:v>740581.73</c:v>
                </c:pt>
                <c:pt idx="96">
                  <c:v>1617046.84</c:v>
                </c:pt>
                <c:pt idx="100">
                  <c:v>1548046.84</c:v>
                </c:pt>
                <c:pt idx="104">
                  <c:v>893509.83</c:v>
                </c:pt>
                <c:pt idx="108">
                  <c:v>571163.80000000005</c:v>
                </c:pt>
                <c:pt idx="112">
                  <c:v>688029.22</c:v>
                </c:pt>
                <c:pt idx="116">
                  <c:v>877513.45</c:v>
                </c:pt>
                <c:pt idx="120">
                  <c:v>896463.03</c:v>
                </c:pt>
                <c:pt idx="124">
                  <c:v>740154.92</c:v>
                </c:pt>
                <c:pt idx="128">
                  <c:v>693109.67</c:v>
                </c:pt>
                <c:pt idx="132">
                  <c:v>693109.67</c:v>
                </c:pt>
                <c:pt idx="136">
                  <c:v>661735.31999999995</c:v>
                </c:pt>
                <c:pt idx="140">
                  <c:v>2048506.94</c:v>
                </c:pt>
                <c:pt idx="144">
                  <c:v>1249415.99</c:v>
                </c:pt>
                <c:pt idx="148">
                  <c:v>1926510.64</c:v>
                </c:pt>
                <c:pt idx="152">
                  <c:v>1411968.3</c:v>
                </c:pt>
                <c:pt idx="156">
                  <c:v>1700604.5</c:v>
                </c:pt>
                <c:pt idx="160">
                  <c:v>1400660.0499999998</c:v>
                </c:pt>
                <c:pt idx="164">
                  <c:v>1213150.71</c:v>
                </c:pt>
                <c:pt idx="168">
                  <c:v>1466830.4600000007</c:v>
                </c:pt>
                <c:pt idx="172">
                  <c:v>1138791.0900000001</c:v>
                </c:pt>
                <c:pt idx="176">
                  <c:v>2407836.6199999996</c:v>
                </c:pt>
              </c:numCache>
            </c:numRef>
          </c:val>
          <c:extLst>
            <c:ext xmlns:c16="http://schemas.microsoft.com/office/drawing/2014/chart" uri="{C3380CC4-5D6E-409C-BE32-E72D297353CC}">
              <c16:uniqueId val="{00000001-C653-4E5C-85A0-06EB9FF87F3F}"/>
            </c:ext>
          </c:extLst>
        </c:ser>
        <c:dLbls>
          <c:showLegendKey val="0"/>
          <c:showVal val="0"/>
          <c:showCatName val="0"/>
          <c:showSerName val="0"/>
          <c:showPercent val="0"/>
          <c:showBubbleSize val="0"/>
        </c:dLbls>
        <c:gapWidth val="150"/>
        <c:axId val="234506992"/>
        <c:axId val="223386528"/>
      </c:barChart>
      <c:lineChart>
        <c:grouping val="standard"/>
        <c:varyColors val="0"/>
        <c:ser>
          <c:idx val="2"/>
          <c:order val="2"/>
          <c:tx>
            <c:v>Acum. Previsto</c:v>
          </c:tx>
          <c:spPr>
            <a:ln w="28575" cap="rnd">
              <a:solidFill>
                <a:schemeClr val="accent3"/>
              </a:solidFill>
              <a:round/>
            </a:ln>
            <a:effectLst/>
          </c:spPr>
          <c:marker>
            <c:symbol val="none"/>
          </c:marker>
          <c:val>
            <c:numRef>
              <c:f>ACOMPANHAMENTO!$G$33:$GD$33</c:f>
              <c:numCache>
                <c:formatCode>General</c:formatCode>
                <c:ptCount val="180"/>
                <c:pt idx="0" formatCode="#,##0.00_ ;\-#,##0.00\ ">
                  <c:v>75496.81</c:v>
                </c:pt>
                <c:pt idx="4" formatCode="#,##0.00_ ;\-#,##0.00\ ">
                  <c:v>204453.26</c:v>
                </c:pt>
                <c:pt idx="8" formatCode="#,##0.00_ ;\-#,##0.00\ ">
                  <c:v>729153.74</c:v>
                </c:pt>
                <c:pt idx="12" formatCode="#,##0.00_ ;\-#,##0.00\ ">
                  <c:v>955165.76</c:v>
                </c:pt>
                <c:pt idx="16" formatCode="#,##0.00_ ;\-#,##0.00\ ">
                  <c:v>1265145.94</c:v>
                </c:pt>
                <c:pt idx="20" formatCode="#,##0.00_ ;\-#,##0.00\ ">
                  <c:v>1370812.2</c:v>
                </c:pt>
                <c:pt idx="24" formatCode="#,##0.00_ ;\-#,##0.00\ ">
                  <c:v>1895084.5899999999</c:v>
                </c:pt>
                <c:pt idx="28" formatCode="#,##0.00_ ;\-#,##0.00\ ">
                  <c:v>2009365.13</c:v>
                </c:pt>
                <c:pt idx="32" formatCode="#,##0.00_ ;\-#,##0.00\ ">
                  <c:v>2574385.54</c:v>
                </c:pt>
                <c:pt idx="36" formatCode="#,##0.00_ ;\-#,##0.00\ ">
                  <c:v>3174645.41</c:v>
                </c:pt>
                <c:pt idx="40" formatCode="#,##0.00_ ;\-#,##0.00\ ">
                  <c:v>3932877.79</c:v>
                </c:pt>
                <c:pt idx="44" formatCode="#,##0.00_ ;\-#,##0.00\ ">
                  <c:v>4994979.07</c:v>
                </c:pt>
                <c:pt idx="48" formatCode="#,##0.00_ ;\-#,##0.00\ ">
                  <c:v>5389298.9700000007</c:v>
                </c:pt>
                <c:pt idx="52" formatCode="#,##0.00_ ;\-#,##0.00\ ">
                  <c:v>5774054.870000001</c:v>
                </c:pt>
                <c:pt idx="56" formatCode="#,##0.00_ ;\-#,##0.00\ ">
                  <c:v>6089827.290000001</c:v>
                </c:pt>
                <c:pt idx="60" formatCode="#,##0.00_ ;\-#,##0.00\ ">
                  <c:v>6297129.9600000009</c:v>
                </c:pt>
                <c:pt idx="64" formatCode="#,##0.00_ ;\-#,##0.00\ ">
                  <c:v>6375873.6000000006</c:v>
                </c:pt>
                <c:pt idx="68" formatCode="#,##0.00_ ;\-#,##0.00\ ">
                  <c:v>6649286.9800000004</c:v>
                </c:pt>
                <c:pt idx="72" formatCode="#,##0.00_ ;\-#,##0.00\ ">
                  <c:v>8507943.5800000001</c:v>
                </c:pt>
                <c:pt idx="76" formatCode="#,##0.00_ ;\-#,##0.00\ ">
                  <c:v>9418897.0800000001</c:v>
                </c:pt>
                <c:pt idx="80" formatCode="#,##0.00_ ;\-#,##0.00\ ">
                  <c:v>10534431.26</c:v>
                </c:pt>
                <c:pt idx="84" formatCode="#,##0.00_ ;\-#,##0.00\ ">
                  <c:v>11146808.92</c:v>
                </c:pt>
                <c:pt idx="88" formatCode="#,##0.00_ ;\-#,##0.00\ ">
                  <c:v>12043873.789999999</c:v>
                </c:pt>
                <c:pt idx="92" formatCode="#,##0.00_ ;\-#,##0.00\ ">
                  <c:v>12784455.52</c:v>
                </c:pt>
                <c:pt idx="96" formatCode="#,##0.00_ ;\-#,##0.00\ ">
                  <c:v>14401502.359999999</c:v>
                </c:pt>
                <c:pt idx="100" formatCode="#,##0.00_ ;\-#,##0.00\ ">
                  <c:v>15950281.98</c:v>
                </c:pt>
                <c:pt idx="104" formatCode="#,##0.00_ ;\-#,##0.00\ ">
                  <c:v>16843791.810000002</c:v>
                </c:pt>
                <c:pt idx="108" formatCode="#,##0.00_ ;\-#,##0.00\ ">
                  <c:v>17414955.610000003</c:v>
                </c:pt>
                <c:pt idx="112" formatCode="#,##0.00_ ;\-#,##0.00\ ">
                  <c:v>18102984.830000002</c:v>
                </c:pt>
                <c:pt idx="116" formatCode="#,##0.00_ ;\-#,##0.00\ ">
                  <c:v>18980498.280000001</c:v>
                </c:pt>
                <c:pt idx="120" formatCode="#,##0.00_ ;\-#,##0.00\ ">
                  <c:v>19876961.310000002</c:v>
                </c:pt>
                <c:pt idx="124" formatCode="#,##0.00_ ;\-#,##0.00\ ">
                  <c:v>21696909.208285715</c:v>
                </c:pt>
                <c:pt idx="128" formatCode="#,##0.00_ ;\-#,##0.00\ ">
                  <c:v>23516857.106571428</c:v>
                </c:pt>
                <c:pt idx="132" formatCode="#,##0.00_ ;\-#,##0.00\ ">
                  <c:v>25336805.004857142</c:v>
                </c:pt>
                <c:pt idx="136" formatCode="#,##0.00_ ;\-#,##0.00\ ">
                  <c:v>27156752.903142855</c:v>
                </c:pt>
                <c:pt idx="140" formatCode="#,##0.00_ ;\-#,##0.00\ ">
                  <c:v>28976700.801428568</c:v>
                </c:pt>
                <c:pt idx="144" formatCode="#,##0.00_ ;\-#,##0.00\ ">
                  <c:v>30796648.699714281</c:v>
                </c:pt>
                <c:pt idx="148" formatCode="#,##0.00_ ;\-#,##0.00\ ">
                  <c:v>32616596.597999994</c:v>
                </c:pt>
                <c:pt idx="152" formatCode="#,##0.00_ ;\-#,##0.00\ ">
                  <c:v>34436544.496285707</c:v>
                </c:pt>
                <c:pt idx="156" formatCode="#,##0.00_ ;\-#,##0.00\ ">
                  <c:v>36256492.394571424</c:v>
                </c:pt>
                <c:pt idx="160" formatCode="#,##0.00_ ;\-#,##0.00\ ">
                  <c:v>38076440.29285714</c:v>
                </c:pt>
                <c:pt idx="164" formatCode="#,##0.00_ ;\-#,##0.00\ ">
                  <c:v>39896388.191142857</c:v>
                </c:pt>
                <c:pt idx="168" formatCode="#,##0.00_ ;\-#,##0.00\ ">
                  <c:v>41716754.279428571</c:v>
                </c:pt>
                <c:pt idx="172" formatCode="#,##0.00_ ;\-#,##0.00\ ">
                  <c:v>43536702.177714288</c:v>
                </c:pt>
                <c:pt idx="176" formatCode="#,##0.00_ ;\-#,##0.00\ ">
                  <c:v>44446676.096857145</c:v>
                </c:pt>
              </c:numCache>
            </c:numRef>
          </c:val>
          <c:smooth val="0"/>
          <c:extLst>
            <c:ext xmlns:c16="http://schemas.microsoft.com/office/drawing/2014/chart" uri="{C3380CC4-5D6E-409C-BE32-E72D297353CC}">
              <c16:uniqueId val="{00000002-C653-4E5C-85A0-06EB9FF87F3F}"/>
            </c:ext>
          </c:extLst>
        </c:ser>
        <c:ser>
          <c:idx val="3"/>
          <c:order val="3"/>
          <c:tx>
            <c:v>Acum. Realizado</c:v>
          </c:tx>
          <c:spPr>
            <a:ln w="28575" cap="rnd">
              <a:solidFill>
                <a:schemeClr val="accent4"/>
              </a:solidFill>
              <a:round/>
            </a:ln>
            <a:effectLst/>
          </c:spPr>
          <c:marker>
            <c:symbol val="none"/>
          </c:marker>
          <c:val>
            <c:numRef>
              <c:f>ACOMPANHAMENTO!$G$35:$GD$35</c:f>
              <c:numCache>
                <c:formatCode>General</c:formatCode>
                <c:ptCount val="180"/>
                <c:pt idx="0" formatCode="#,##0.00_ ;\-#,##0.00\ ">
                  <c:v>75496.81</c:v>
                </c:pt>
                <c:pt idx="4" formatCode="#,##0.00_ ;\-#,##0.00\ ">
                  <c:v>204453.26</c:v>
                </c:pt>
                <c:pt idx="8" formatCode="#,##0.00_ ;\-#,##0.00\ ">
                  <c:v>729153.74</c:v>
                </c:pt>
                <c:pt idx="12" formatCode="#,##0.00_ ;\-#,##0.00\ ">
                  <c:v>955165.76</c:v>
                </c:pt>
                <c:pt idx="16" formatCode="#,##0.00_ ;\-#,##0.00\ ">
                  <c:v>1265145.94</c:v>
                </c:pt>
                <c:pt idx="20" formatCode="#,##0.00_ ;\-#,##0.00\ ">
                  <c:v>1370812.2</c:v>
                </c:pt>
                <c:pt idx="24" formatCode="#,##0.00_ ;\-#,##0.00\ ">
                  <c:v>1895084.5899999999</c:v>
                </c:pt>
                <c:pt idx="28" formatCode="#,##0.00_ ;\-#,##0.00\ ">
                  <c:v>2009365.13</c:v>
                </c:pt>
                <c:pt idx="32" formatCode="#,##0.00_ ;\-#,##0.00\ ">
                  <c:v>2574385.54</c:v>
                </c:pt>
                <c:pt idx="36" formatCode="#,##0.00_ ;\-#,##0.00\ ">
                  <c:v>3174645.41</c:v>
                </c:pt>
                <c:pt idx="40" formatCode="#,##0.00_ ;\-#,##0.00\ ">
                  <c:v>3932877.79</c:v>
                </c:pt>
                <c:pt idx="44" formatCode="#,##0.00_ ;\-#,##0.00\ ">
                  <c:v>4994979.07</c:v>
                </c:pt>
                <c:pt idx="48" formatCode="#,##0.00_ ;\-#,##0.00\ ">
                  <c:v>5389298.9700000007</c:v>
                </c:pt>
                <c:pt idx="52" formatCode="#,##0.00_ ;\-#,##0.00\ ">
                  <c:v>5774054.870000001</c:v>
                </c:pt>
                <c:pt idx="56" formatCode="#,##0.00_ ;\-#,##0.00\ ">
                  <c:v>6089827.290000001</c:v>
                </c:pt>
                <c:pt idx="60" formatCode="#,##0.00_ ;\-#,##0.00\ ">
                  <c:v>6297129.9600000009</c:v>
                </c:pt>
                <c:pt idx="64" formatCode="#,##0.00_ ;\-#,##0.00\ ">
                  <c:v>6375873.6000000006</c:v>
                </c:pt>
                <c:pt idx="68" formatCode="#,##0.00_ ;\-#,##0.00\ ">
                  <c:v>6649286.9800000004</c:v>
                </c:pt>
                <c:pt idx="72" formatCode="#,##0.00_ ;\-#,##0.00\ ">
                  <c:v>8507943.5800000001</c:v>
                </c:pt>
                <c:pt idx="76" formatCode="#,##0.00_ ;\-#,##0.00\ ">
                  <c:v>9418897.0800000001</c:v>
                </c:pt>
                <c:pt idx="80" formatCode="#,##0.00_ ;\-#,##0.00\ ">
                  <c:v>10534431.26</c:v>
                </c:pt>
                <c:pt idx="84" formatCode="#,##0.00_ ;\-#,##0.00\ ">
                  <c:v>11146808.92</c:v>
                </c:pt>
                <c:pt idx="88" formatCode="#,##0.00_ ;\-#,##0.00\ ">
                  <c:v>12044413.789999999</c:v>
                </c:pt>
                <c:pt idx="92" formatCode="#,##0.00_ ;\-#,##0.00\ ">
                  <c:v>12784995.52</c:v>
                </c:pt>
                <c:pt idx="96" formatCode="#,##0.00_ ;\-#,##0.00\ ">
                  <c:v>14402042.359999999</c:v>
                </c:pt>
                <c:pt idx="100" formatCode="#,##0.00_ ;\-#,##0.00\ ">
                  <c:v>15950089.199999999</c:v>
                </c:pt>
                <c:pt idx="104" formatCode="#,##0.00_ ;\-#,##0.00\ ">
                  <c:v>16843599.029999997</c:v>
                </c:pt>
                <c:pt idx="108" formatCode="#,##0.00_ ;\-#,##0.00\ ">
                  <c:v>17414762.829999998</c:v>
                </c:pt>
                <c:pt idx="112" formatCode="#,##0.00_ ;\-#,##0.00\ ">
                  <c:v>18102792.049999997</c:v>
                </c:pt>
                <c:pt idx="116" formatCode="#,##0.00_ ;\-#,##0.00\ ">
                  <c:v>18980305.499999996</c:v>
                </c:pt>
                <c:pt idx="120" formatCode="#,##0.00_ ;\-#,##0.00\ ">
                  <c:v>19876768.529999997</c:v>
                </c:pt>
                <c:pt idx="124" formatCode="#,##0.00_ ;\-#,##0.00\ ">
                  <c:v>20616923.449999999</c:v>
                </c:pt>
                <c:pt idx="128" formatCode="#,##0.00_ ;\-#,##0.00\ ">
                  <c:v>21310033.120000001</c:v>
                </c:pt>
                <c:pt idx="132" formatCode="#,##0.00_ ;\-#,##0.00\ ">
                  <c:v>22003142.790000003</c:v>
                </c:pt>
                <c:pt idx="136" formatCode="#,##0.00_ ;\-#,##0.00\ ">
                  <c:v>22664878.110000003</c:v>
                </c:pt>
                <c:pt idx="140" formatCode="#,##0.00_ ;\-#,##0.00\ ">
                  <c:v>24713385.050000004</c:v>
                </c:pt>
                <c:pt idx="144" formatCode="#,##0.00_ ;\-#,##0.00\ ">
                  <c:v>25962801.040000003</c:v>
                </c:pt>
                <c:pt idx="148" formatCode="#,##0.00_ ;\-#,##0.00\ ">
                  <c:v>27889311.680000003</c:v>
                </c:pt>
                <c:pt idx="152" formatCode="#,##0.00_ ;\-#,##0.00\ ">
                  <c:v>29301279.980000004</c:v>
                </c:pt>
                <c:pt idx="156" formatCode="#,##0.00_ ;\-#,##0.00\ ">
                  <c:v>31025808.855000004</c:v>
                </c:pt>
                <c:pt idx="160" formatCode="#,##0.00_ ;\-#,##0.00\ ">
                  <c:v>32450393.280000005</c:v>
                </c:pt>
                <c:pt idx="164" formatCode="#,##0.00_ ;\-#,##0.00\ ">
                  <c:v>33663543.990000002</c:v>
                </c:pt>
                <c:pt idx="168" formatCode="#,##0.00_ ;\-#,##0.00\ ">
                  <c:v>35130374.450000003</c:v>
                </c:pt>
                <c:pt idx="172" formatCode="#,##0.00_ ;\-#,##0.00\ ">
                  <c:v>36269165.540000007</c:v>
                </c:pt>
                <c:pt idx="176" formatCode="#,##0.00_ ;\-#,##0.00\ ">
                  <c:v>38677002.160000004</c:v>
                </c:pt>
              </c:numCache>
            </c:numRef>
          </c:val>
          <c:smooth val="0"/>
          <c:extLst>
            <c:ext xmlns:c16="http://schemas.microsoft.com/office/drawing/2014/chart" uri="{C3380CC4-5D6E-409C-BE32-E72D297353CC}">
              <c16:uniqueId val="{00000003-C653-4E5C-85A0-06EB9FF87F3F}"/>
            </c:ext>
          </c:extLst>
        </c:ser>
        <c:dLbls>
          <c:showLegendKey val="0"/>
          <c:showVal val="0"/>
          <c:showCatName val="0"/>
          <c:showSerName val="0"/>
          <c:showPercent val="0"/>
          <c:showBubbleSize val="0"/>
        </c:dLbls>
        <c:marker val="1"/>
        <c:smooth val="0"/>
        <c:axId val="5976480"/>
        <c:axId val="219351056"/>
      </c:lineChart>
      <c:dateAx>
        <c:axId val="234506992"/>
        <c:scaling>
          <c:orientation val="minMax"/>
          <c:max val="46143"/>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3386528"/>
        <c:crosses val="autoZero"/>
        <c:auto val="1"/>
        <c:lblOffset val="100"/>
        <c:baseTimeUnit val="months"/>
      </c:dateAx>
      <c:valAx>
        <c:axId val="223386528"/>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34506992"/>
        <c:crosses val="autoZero"/>
        <c:crossBetween val="between"/>
      </c:valAx>
      <c:valAx>
        <c:axId val="219351056"/>
        <c:scaling>
          <c:orientation val="minMax"/>
        </c:scaling>
        <c:delete val="0"/>
        <c:axPos val="r"/>
        <c:numFmt formatCode="#,##0.00_ ;\-#,##0.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76480"/>
        <c:crosses val="max"/>
        <c:crossBetween val="between"/>
      </c:valAx>
      <c:catAx>
        <c:axId val="5976480"/>
        <c:scaling>
          <c:orientation val="minMax"/>
        </c:scaling>
        <c:delete val="1"/>
        <c:axPos val="b"/>
        <c:majorTickMark val="out"/>
        <c:minorTickMark val="none"/>
        <c:tickLblPos val="nextTo"/>
        <c:crossAx val="219351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wmf"/></Relationships>
</file>

<file path=xl/drawings/drawing1.xml><?xml version="1.0" encoding="utf-8"?>
<xdr:wsDr xmlns:xdr="http://schemas.openxmlformats.org/drawingml/2006/spreadsheetDrawing" xmlns:a="http://schemas.openxmlformats.org/drawingml/2006/main">
  <xdr:twoCellAnchor editAs="oneCell">
    <xdr:from>
      <xdr:col>1</xdr:col>
      <xdr:colOff>206828</xdr:colOff>
      <xdr:row>0</xdr:row>
      <xdr:rowOff>95250</xdr:rowOff>
    </xdr:from>
    <xdr:to>
      <xdr:col>2</xdr:col>
      <xdr:colOff>207157</xdr:colOff>
      <xdr:row>5</xdr:row>
      <xdr:rowOff>96578</xdr:rowOff>
    </xdr:to>
    <xdr:pic>
      <xdr:nvPicPr>
        <xdr:cNvPr id="4" name="Imagem 3">
          <a:extLst>
            <a:ext uri="{FF2B5EF4-FFF2-40B4-BE49-F238E27FC236}">
              <a16:creationId xmlns:a16="http://schemas.microsoft.com/office/drawing/2014/main" id="{CEC9F75A-BEDA-4821-947C-E942659DF24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7828" y="95250"/>
          <a:ext cx="1048079" cy="10014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3012282</xdr:colOff>
      <xdr:row>1</xdr:row>
      <xdr:rowOff>59532</xdr:rowOff>
    </xdr:from>
    <xdr:to>
      <xdr:col>2</xdr:col>
      <xdr:colOff>3679032</xdr:colOff>
      <xdr:row>4</xdr:row>
      <xdr:rowOff>125120</xdr:rowOff>
    </xdr:to>
    <xdr:pic>
      <xdr:nvPicPr>
        <xdr:cNvPr id="3" name="Imagem 2">
          <a:extLst>
            <a:ext uri="{FF2B5EF4-FFF2-40B4-BE49-F238E27FC236}">
              <a16:creationId xmlns:a16="http://schemas.microsoft.com/office/drawing/2014/main" id="{EEC9D91B-9753-4785-9220-99831C9DAA8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822032" y="250032"/>
          <a:ext cx="666750" cy="637088"/>
        </a:xfrm>
        <a:prstGeom prst="rect">
          <a:avLst/>
        </a:prstGeom>
      </xdr:spPr>
    </xdr:pic>
    <xdr:clientData/>
  </xdr:twoCellAnchor>
  <xdr:twoCellAnchor editAs="oneCell">
    <xdr:from>
      <xdr:col>8</xdr:col>
      <xdr:colOff>333376</xdr:colOff>
      <xdr:row>1</xdr:row>
      <xdr:rowOff>71437</xdr:rowOff>
    </xdr:from>
    <xdr:to>
      <xdr:col>8</xdr:col>
      <xdr:colOff>1000126</xdr:colOff>
      <xdr:row>4</xdr:row>
      <xdr:rowOff>137025</xdr:rowOff>
    </xdr:to>
    <xdr:pic>
      <xdr:nvPicPr>
        <xdr:cNvPr id="4" name="Imagem 3">
          <a:extLst>
            <a:ext uri="{FF2B5EF4-FFF2-40B4-BE49-F238E27FC236}">
              <a16:creationId xmlns:a16="http://schemas.microsoft.com/office/drawing/2014/main" id="{041DEF15-F6F9-4C00-BB50-3101A8E0C2B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108657" y="261937"/>
          <a:ext cx="666750" cy="637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2</xdr:row>
      <xdr:rowOff>28575</xdr:rowOff>
    </xdr:from>
    <xdr:to>
      <xdr:col>2</xdr:col>
      <xdr:colOff>225608</xdr:colOff>
      <xdr:row>7</xdr:row>
      <xdr:rowOff>156075</xdr:rowOff>
    </xdr:to>
    <xdr:pic>
      <xdr:nvPicPr>
        <xdr:cNvPr id="3" name="Imagem 2">
          <a:extLst>
            <a:ext uri="{FF2B5EF4-FFF2-40B4-BE49-F238E27FC236}">
              <a16:creationId xmlns:a16="http://schemas.microsoft.com/office/drawing/2014/main" id="{39048915-F52A-4383-8C0C-DD521798A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390525"/>
          <a:ext cx="1120958" cy="1080000"/>
        </a:xfrm>
        <a:prstGeom prst="rect">
          <a:avLst/>
        </a:prstGeom>
      </xdr:spPr>
    </xdr:pic>
    <xdr:clientData/>
  </xdr:twoCellAnchor>
  <xdr:twoCellAnchor>
    <xdr:from>
      <xdr:col>0</xdr:col>
      <xdr:colOff>552451</xdr:colOff>
      <xdr:row>35</xdr:row>
      <xdr:rowOff>66674</xdr:rowOff>
    </xdr:from>
    <xdr:to>
      <xdr:col>37</xdr:col>
      <xdr:colOff>247652</xdr:colOff>
      <xdr:row>65</xdr:row>
      <xdr:rowOff>133349</xdr:rowOff>
    </xdr:to>
    <xdr:graphicFrame macro="">
      <xdr:nvGraphicFramePr>
        <xdr:cNvPr id="6" name="Gráfico 5">
          <a:extLst>
            <a:ext uri="{FF2B5EF4-FFF2-40B4-BE49-F238E27FC236}">
              <a16:creationId xmlns:a16="http://schemas.microsoft.com/office/drawing/2014/main" id="{B6483A15-9920-412A-A651-88E5A62D6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39</xdr:col>
      <xdr:colOff>104775</xdr:colOff>
      <xdr:row>3</xdr:row>
      <xdr:rowOff>76200</xdr:rowOff>
    </xdr:from>
    <xdr:to>
      <xdr:col>45</xdr:col>
      <xdr:colOff>176983</xdr:colOff>
      <xdr:row>7</xdr:row>
      <xdr:rowOff>0</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60015" y="624840"/>
          <a:ext cx="1992448" cy="655320"/>
        </a:xfrm>
        <a:prstGeom prst="rect">
          <a:avLst/>
        </a:prstGeom>
        <a:noFill/>
      </xdr:spPr>
    </xdr:pic>
    <xdr:clientData/>
  </xdr:twoCellAnchor>
  <xdr:twoCellAnchor editAs="oneCell">
    <xdr:from>
      <xdr:col>0</xdr:col>
      <xdr:colOff>323850</xdr:colOff>
      <xdr:row>2</xdr:row>
      <xdr:rowOff>28575</xdr:rowOff>
    </xdr:from>
    <xdr:to>
      <xdr:col>2</xdr:col>
      <xdr:colOff>225608</xdr:colOff>
      <xdr:row>7</xdr:row>
      <xdr:rowOff>156075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 y="394335"/>
          <a:ext cx="1120958" cy="104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STA%20TEMPORARIA/OSMARIO/2_Termo%20de%20Refer&#234;ncia/10%20PISO%20SEDURB/Or&#231;amento%20PISO%20SEDURB-REV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toria02\projetos\cad\der-es\059_16\tecnica\relatorios\01%20-%20CONTRATO%20009.2017\10%20-%20OBRA%2009%20-%20VSC\03%20-%20REL\07%20-%20JAN.2018\07%20-%20ITEF\AN&#193;LISE%20VIADUTO%20ST%20CATARINA\01%20-%20Aterro_VS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dro.brito\Downloads\31%20-MED_FEVEREIRO-25_CTO_047-2022-CanalGuaranhuns_REV00%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row r="2">
          <cell r="A2" t="str">
            <v>I</v>
          </cell>
        </row>
        <row r="3">
          <cell r="A3" t="str">
            <v>C</v>
          </cell>
        </row>
      </sheetData>
      <sheetData sheetId="8"/>
      <sheetData sheetId="9">
        <row r="4">
          <cell r="A4" t="str">
            <v>OBRA:</v>
          </cell>
        </row>
      </sheetData>
      <sheetData sheetId="10">
        <row r="1">
          <cell r="B1" t="str">
            <v>PLANILHA ORÇAMENTÁRIA</v>
          </cell>
        </row>
      </sheetData>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Granulometria"/>
      <sheetName val="Compactação e CBR"/>
      <sheetName val="Metodologia"/>
    </sheetNames>
    <sheetDataSet>
      <sheetData sheetId="0"/>
      <sheetData sheetId="1">
        <row r="7">
          <cell r="H7" t="str">
            <v>Faixa "A" DNIT</v>
          </cell>
        </row>
      </sheetData>
      <sheetData sheetId="2"/>
      <sheetData sheetId="3">
        <row r="6">
          <cell r="M6">
            <v>1.28</v>
          </cell>
        </row>
        <row r="7">
          <cell r="M7">
            <v>1.64</v>
          </cell>
        </row>
        <row r="8">
          <cell r="M8">
            <v>0.67</v>
          </cell>
        </row>
        <row r="10">
          <cell r="I10" t="str">
            <v>Faixa "A" DNIT</v>
          </cell>
          <cell r="K10" t="str">
            <v>Faixa "B" DNIT</v>
          </cell>
          <cell r="M10" t="str">
            <v>Faixa "C" DNIT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 EVOLUÇÃO FINANCEIRA"/>
      <sheetName val="10 - RESUMO"/>
      <sheetName val="11 - FINANCEIRO"/>
      <sheetName val="12 - CORPO"/>
      <sheetName val="CRONOGRAMA"/>
    </sheetNames>
    <sheetDataSet>
      <sheetData sheetId="0"/>
      <sheetData sheetId="1"/>
      <sheetData sheetId="2">
        <row r="159">
          <cell r="K159">
            <v>0</v>
          </cell>
        </row>
        <row r="256">
          <cell r="K256">
            <v>0</v>
          </cell>
        </row>
        <row r="306">
          <cell r="M306">
            <v>20201529.340000011</v>
          </cell>
        </row>
      </sheetData>
      <sheetData sheetId="3"/>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S74"/>
  <sheetViews>
    <sheetView view="pageBreakPreview" topLeftCell="A31" zoomScaleNormal="100" zoomScaleSheetLayoutView="100" workbookViewId="0">
      <selection activeCell="G66" sqref="G66"/>
    </sheetView>
  </sheetViews>
  <sheetFormatPr defaultRowHeight="12.75" x14ac:dyDescent="0.2"/>
  <cols>
    <col min="1" max="1" width="5.7109375" style="111" customWidth="1"/>
    <col min="2" max="2" width="20.7109375" style="111" customWidth="1"/>
    <col min="3" max="3" width="10.7109375" style="111" customWidth="1"/>
    <col min="4" max="4" width="1.85546875" style="111" bestFit="1" customWidth="1"/>
    <col min="5" max="5" width="10.7109375" style="111" customWidth="1"/>
    <col min="6" max="6" width="12.7109375" style="111" customWidth="1"/>
    <col min="7" max="8" width="14.7109375" style="111" customWidth="1"/>
    <col min="9" max="9" width="20.7109375" style="111" customWidth="1"/>
    <col min="10" max="10" width="17.28515625" style="111" customWidth="1"/>
    <col min="11" max="11" width="14.7109375" style="111" customWidth="1"/>
    <col min="12" max="12" width="20.7109375" style="111" customWidth="1"/>
    <col min="13" max="13" width="14.28515625" style="111" customWidth="1"/>
    <col min="14" max="14" width="15.7109375" style="111" customWidth="1"/>
    <col min="15" max="15" width="16.7109375" style="111" customWidth="1"/>
    <col min="16" max="16" width="17.28515625" style="111" customWidth="1"/>
    <col min="17" max="17" width="11.28515625" style="111" bestFit="1" customWidth="1"/>
    <col min="18" max="18" width="2" style="111" bestFit="1" customWidth="1"/>
    <col min="19" max="19" width="11.28515625" style="111" bestFit="1" customWidth="1"/>
    <col min="20" max="258" width="9.140625" style="111"/>
    <col min="259" max="259" width="16.42578125" style="111" customWidth="1"/>
    <col min="260" max="260" width="15.7109375" style="111" customWidth="1"/>
    <col min="261" max="263" width="14.7109375" style="111" customWidth="1"/>
    <col min="264" max="264" width="15.28515625" style="111" customWidth="1"/>
    <col min="265" max="266" width="14.7109375" style="111" customWidth="1"/>
    <col min="267" max="267" width="14" style="111" customWidth="1"/>
    <col min="268" max="268" width="13.42578125" style="111" customWidth="1"/>
    <col min="269" max="271" width="14.7109375" style="111" customWidth="1"/>
    <col min="272" max="514" width="9.140625" style="111"/>
    <col min="515" max="515" width="16.42578125" style="111" customWidth="1"/>
    <col min="516" max="516" width="15.7109375" style="111" customWidth="1"/>
    <col min="517" max="519" width="14.7109375" style="111" customWidth="1"/>
    <col min="520" max="520" width="15.28515625" style="111" customWidth="1"/>
    <col min="521" max="522" width="14.7109375" style="111" customWidth="1"/>
    <col min="523" max="523" width="14" style="111" customWidth="1"/>
    <col min="524" max="524" width="13.42578125" style="111" customWidth="1"/>
    <col min="525" max="527" width="14.7109375" style="111" customWidth="1"/>
    <col min="528" max="770" width="9.140625" style="111"/>
    <col min="771" max="771" width="16.42578125" style="111" customWidth="1"/>
    <col min="772" max="772" width="15.7109375" style="111" customWidth="1"/>
    <col min="773" max="775" width="14.7109375" style="111" customWidth="1"/>
    <col min="776" max="776" width="15.28515625" style="111" customWidth="1"/>
    <col min="777" max="778" width="14.7109375" style="111" customWidth="1"/>
    <col min="779" max="779" width="14" style="111" customWidth="1"/>
    <col min="780" max="780" width="13.42578125" style="111" customWidth="1"/>
    <col min="781" max="783" width="14.7109375" style="111" customWidth="1"/>
    <col min="784" max="1026" width="9.140625" style="111"/>
    <col min="1027" max="1027" width="16.42578125" style="111" customWidth="1"/>
    <col min="1028" max="1028" width="15.7109375" style="111" customWidth="1"/>
    <col min="1029" max="1031" width="14.7109375" style="111" customWidth="1"/>
    <col min="1032" max="1032" width="15.28515625" style="111" customWidth="1"/>
    <col min="1033" max="1034" width="14.7109375" style="111" customWidth="1"/>
    <col min="1035" max="1035" width="14" style="111" customWidth="1"/>
    <col min="1036" max="1036" width="13.42578125" style="111" customWidth="1"/>
    <col min="1037" max="1039" width="14.7109375" style="111" customWidth="1"/>
    <col min="1040" max="1282" width="9.140625" style="111"/>
    <col min="1283" max="1283" width="16.42578125" style="111" customWidth="1"/>
    <col min="1284" max="1284" width="15.7109375" style="111" customWidth="1"/>
    <col min="1285" max="1287" width="14.7109375" style="111" customWidth="1"/>
    <col min="1288" max="1288" width="15.28515625" style="111" customWidth="1"/>
    <col min="1289" max="1290" width="14.7109375" style="111" customWidth="1"/>
    <col min="1291" max="1291" width="14" style="111" customWidth="1"/>
    <col min="1292" max="1292" width="13.42578125" style="111" customWidth="1"/>
    <col min="1293" max="1295" width="14.7109375" style="111" customWidth="1"/>
    <col min="1296" max="1538" width="9.140625" style="111"/>
    <col min="1539" max="1539" width="16.42578125" style="111" customWidth="1"/>
    <col min="1540" max="1540" width="15.7109375" style="111" customWidth="1"/>
    <col min="1541" max="1543" width="14.7109375" style="111" customWidth="1"/>
    <col min="1544" max="1544" width="15.28515625" style="111" customWidth="1"/>
    <col min="1545" max="1546" width="14.7109375" style="111" customWidth="1"/>
    <col min="1547" max="1547" width="14" style="111" customWidth="1"/>
    <col min="1548" max="1548" width="13.42578125" style="111" customWidth="1"/>
    <col min="1549" max="1551" width="14.7109375" style="111" customWidth="1"/>
    <col min="1552" max="1794" width="9.140625" style="111"/>
    <col min="1795" max="1795" width="16.42578125" style="111" customWidth="1"/>
    <col min="1796" max="1796" width="15.7109375" style="111" customWidth="1"/>
    <col min="1797" max="1799" width="14.7109375" style="111" customWidth="1"/>
    <col min="1800" max="1800" width="15.28515625" style="111" customWidth="1"/>
    <col min="1801" max="1802" width="14.7109375" style="111" customWidth="1"/>
    <col min="1803" max="1803" width="14" style="111" customWidth="1"/>
    <col min="1804" max="1804" width="13.42578125" style="111" customWidth="1"/>
    <col min="1805" max="1807" width="14.7109375" style="111" customWidth="1"/>
    <col min="1808" max="2050" width="9.140625" style="111"/>
    <col min="2051" max="2051" width="16.42578125" style="111" customWidth="1"/>
    <col min="2052" max="2052" width="15.7109375" style="111" customWidth="1"/>
    <col min="2053" max="2055" width="14.7109375" style="111" customWidth="1"/>
    <col min="2056" max="2056" width="15.28515625" style="111" customWidth="1"/>
    <col min="2057" max="2058" width="14.7109375" style="111" customWidth="1"/>
    <col min="2059" max="2059" width="14" style="111" customWidth="1"/>
    <col min="2060" max="2060" width="13.42578125" style="111" customWidth="1"/>
    <col min="2061" max="2063" width="14.7109375" style="111" customWidth="1"/>
    <col min="2064" max="2306" width="9.140625" style="111"/>
    <col min="2307" max="2307" width="16.42578125" style="111" customWidth="1"/>
    <col min="2308" max="2308" width="15.7109375" style="111" customWidth="1"/>
    <col min="2309" max="2311" width="14.7109375" style="111" customWidth="1"/>
    <col min="2312" max="2312" width="15.28515625" style="111" customWidth="1"/>
    <col min="2313" max="2314" width="14.7109375" style="111" customWidth="1"/>
    <col min="2315" max="2315" width="14" style="111" customWidth="1"/>
    <col min="2316" max="2316" width="13.42578125" style="111" customWidth="1"/>
    <col min="2317" max="2319" width="14.7109375" style="111" customWidth="1"/>
    <col min="2320" max="2562" width="9.140625" style="111"/>
    <col min="2563" max="2563" width="16.42578125" style="111" customWidth="1"/>
    <col min="2564" max="2564" width="15.7109375" style="111" customWidth="1"/>
    <col min="2565" max="2567" width="14.7109375" style="111" customWidth="1"/>
    <col min="2568" max="2568" width="15.28515625" style="111" customWidth="1"/>
    <col min="2569" max="2570" width="14.7109375" style="111" customWidth="1"/>
    <col min="2571" max="2571" width="14" style="111" customWidth="1"/>
    <col min="2572" max="2572" width="13.42578125" style="111" customWidth="1"/>
    <col min="2573" max="2575" width="14.7109375" style="111" customWidth="1"/>
    <col min="2576" max="2818" width="9.140625" style="111"/>
    <col min="2819" max="2819" width="16.42578125" style="111" customWidth="1"/>
    <col min="2820" max="2820" width="15.7109375" style="111" customWidth="1"/>
    <col min="2821" max="2823" width="14.7109375" style="111" customWidth="1"/>
    <col min="2824" max="2824" width="15.28515625" style="111" customWidth="1"/>
    <col min="2825" max="2826" width="14.7109375" style="111" customWidth="1"/>
    <col min="2827" max="2827" width="14" style="111" customWidth="1"/>
    <col min="2828" max="2828" width="13.42578125" style="111" customWidth="1"/>
    <col min="2829" max="2831" width="14.7109375" style="111" customWidth="1"/>
    <col min="2832" max="3074" width="9.140625" style="111"/>
    <col min="3075" max="3075" width="16.42578125" style="111" customWidth="1"/>
    <col min="3076" max="3076" width="15.7109375" style="111" customWidth="1"/>
    <col min="3077" max="3079" width="14.7109375" style="111" customWidth="1"/>
    <col min="3080" max="3080" width="15.28515625" style="111" customWidth="1"/>
    <col min="3081" max="3082" width="14.7109375" style="111" customWidth="1"/>
    <col min="3083" max="3083" width="14" style="111" customWidth="1"/>
    <col min="3084" max="3084" width="13.42578125" style="111" customWidth="1"/>
    <col min="3085" max="3087" width="14.7109375" style="111" customWidth="1"/>
    <col min="3088" max="3330" width="9.140625" style="111"/>
    <col min="3331" max="3331" width="16.42578125" style="111" customWidth="1"/>
    <col min="3332" max="3332" width="15.7109375" style="111" customWidth="1"/>
    <col min="3333" max="3335" width="14.7109375" style="111" customWidth="1"/>
    <col min="3336" max="3336" width="15.28515625" style="111" customWidth="1"/>
    <col min="3337" max="3338" width="14.7109375" style="111" customWidth="1"/>
    <col min="3339" max="3339" width="14" style="111" customWidth="1"/>
    <col min="3340" max="3340" width="13.42578125" style="111" customWidth="1"/>
    <col min="3341" max="3343" width="14.7109375" style="111" customWidth="1"/>
    <col min="3344" max="3586" width="9.140625" style="111"/>
    <col min="3587" max="3587" width="16.42578125" style="111" customWidth="1"/>
    <col min="3588" max="3588" width="15.7109375" style="111" customWidth="1"/>
    <col min="3589" max="3591" width="14.7109375" style="111" customWidth="1"/>
    <col min="3592" max="3592" width="15.28515625" style="111" customWidth="1"/>
    <col min="3593" max="3594" width="14.7109375" style="111" customWidth="1"/>
    <col min="3595" max="3595" width="14" style="111" customWidth="1"/>
    <col min="3596" max="3596" width="13.42578125" style="111" customWidth="1"/>
    <col min="3597" max="3599" width="14.7109375" style="111" customWidth="1"/>
    <col min="3600" max="3842" width="9.140625" style="111"/>
    <col min="3843" max="3843" width="16.42578125" style="111" customWidth="1"/>
    <col min="3844" max="3844" width="15.7109375" style="111" customWidth="1"/>
    <col min="3845" max="3847" width="14.7109375" style="111" customWidth="1"/>
    <col min="3848" max="3848" width="15.28515625" style="111" customWidth="1"/>
    <col min="3849" max="3850" width="14.7109375" style="111" customWidth="1"/>
    <col min="3851" max="3851" width="14" style="111" customWidth="1"/>
    <col min="3852" max="3852" width="13.42578125" style="111" customWidth="1"/>
    <col min="3853" max="3855" width="14.7109375" style="111" customWidth="1"/>
    <col min="3856" max="4098" width="9.140625" style="111"/>
    <col min="4099" max="4099" width="16.42578125" style="111" customWidth="1"/>
    <col min="4100" max="4100" width="15.7109375" style="111" customWidth="1"/>
    <col min="4101" max="4103" width="14.7109375" style="111" customWidth="1"/>
    <col min="4104" max="4104" width="15.28515625" style="111" customWidth="1"/>
    <col min="4105" max="4106" width="14.7109375" style="111" customWidth="1"/>
    <col min="4107" max="4107" width="14" style="111" customWidth="1"/>
    <col min="4108" max="4108" width="13.42578125" style="111" customWidth="1"/>
    <col min="4109" max="4111" width="14.7109375" style="111" customWidth="1"/>
    <col min="4112" max="4354" width="9.140625" style="111"/>
    <col min="4355" max="4355" width="16.42578125" style="111" customWidth="1"/>
    <col min="4356" max="4356" width="15.7109375" style="111" customWidth="1"/>
    <col min="4357" max="4359" width="14.7109375" style="111" customWidth="1"/>
    <col min="4360" max="4360" width="15.28515625" style="111" customWidth="1"/>
    <col min="4361" max="4362" width="14.7109375" style="111" customWidth="1"/>
    <col min="4363" max="4363" width="14" style="111" customWidth="1"/>
    <col min="4364" max="4364" width="13.42578125" style="111" customWidth="1"/>
    <col min="4365" max="4367" width="14.7109375" style="111" customWidth="1"/>
    <col min="4368" max="4610" width="9.140625" style="111"/>
    <col min="4611" max="4611" width="16.42578125" style="111" customWidth="1"/>
    <col min="4612" max="4612" width="15.7109375" style="111" customWidth="1"/>
    <col min="4613" max="4615" width="14.7109375" style="111" customWidth="1"/>
    <col min="4616" max="4616" width="15.28515625" style="111" customWidth="1"/>
    <col min="4617" max="4618" width="14.7109375" style="111" customWidth="1"/>
    <col min="4619" max="4619" width="14" style="111" customWidth="1"/>
    <col min="4620" max="4620" width="13.42578125" style="111" customWidth="1"/>
    <col min="4621" max="4623" width="14.7109375" style="111" customWidth="1"/>
    <col min="4624" max="4866" width="9.140625" style="111"/>
    <col min="4867" max="4867" width="16.42578125" style="111" customWidth="1"/>
    <col min="4868" max="4868" width="15.7109375" style="111" customWidth="1"/>
    <col min="4869" max="4871" width="14.7109375" style="111" customWidth="1"/>
    <col min="4872" max="4872" width="15.28515625" style="111" customWidth="1"/>
    <col min="4873" max="4874" width="14.7109375" style="111" customWidth="1"/>
    <col min="4875" max="4875" width="14" style="111" customWidth="1"/>
    <col min="4876" max="4876" width="13.42578125" style="111" customWidth="1"/>
    <col min="4877" max="4879" width="14.7109375" style="111" customWidth="1"/>
    <col min="4880" max="5122" width="9.140625" style="111"/>
    <col min="5123" max="5123" width="16.42578125" style="111" customWidth="1"/>
    <col min="5124" max="5124" width="15.7109375" style="111" customWidth="1"/>
    <col min="5125" max="5127" width="14.7109375" style="111" customWidth="1"/>
    <col min="5128" max="5128" width="15.28515625" style="111" customWidth="1"/>
    <col min="5129" max="5130" width="14.7109375" style="111" customWidth="1"/>
    <col min="5131" max="5131" width="14" style="111" customWidth="1"/>
    <col min="5132" max="5132" width="13.42578125" style="111" customWidth="1"/>
    <col min="5133" max="5135" width="14.7109375" style="111" customWidth="1"/>
    <col min="5136" max="5378" width="9.140625" style="111"/>
    <col min="5379" max="5379" width="16.42578125" style="111" customWidth="1"/>
    <col min="5380" max="5380" width="15.7109375" style="111" customWidth="1"/>
    <col min="5381" max="5383" width="14.7109375" style="111" customWidth="1"/>
    <col min="5384" max="5384" width="15.28515625" style="111" customWidth="1"/>
    <col min="5385" max="5386" width="14.7109375" style="111" customWidth="1"/>
    <col min="5387" max="5387" width="14" style="111" customWidth="1"/>
    <col min="5388" max="5388" width="13.42578125" style="111" customWidth="1"/>
    <col min="5389" max="5391" width="14.7109375" style="111" customWidth="1"/>
    <col min="5392" max="5634" width="9.140625" style="111"/>
    <col min="5635" max="5635" width="16.42578125" style="111" customWidth="1"/>
    <col min="5636" max="5636" width="15.7109375" style="111" customWidth="1"/>
    <col min="5637" max="5639" width="14.7109375" style="111" customWidth="1"/>
    <col min="5640" max="5640" width="15.28515625" style="111" customWidth="1"/>
    <col min="5641" max="5642" width="14.7109375" style="111" customWidth="1"/>
    <col min="5643" max="5643" width="14" style="111" customWidth="1"/>
    <col min="5644" max="5644" width="13.42578125" style="111" customWidth="1"/>
    <col min="5645" max="5647" width="14.7109375" style="111" customWidth="1"/>
    <col min="5648" max="5890" width="9.140625" style="111"/>
    <col min="5891" max="5891" width="16.42578125" style="111" customWidth="1"/>
    <col min="5892" max="5892" width="15.7109375" style="111" customWidth="1"/>
    <col min="5893" max="5895" width="14.7109375" style="111" customWidth="1"/>
    <col min="5896" max="5896" width="15.28515625" style="111" customWidth="1"/>
    <col min="5897" max="5898" width="14.7109375" style="111" customWidth="1"/>
    <col min="5899" max="5899" width="14" style="111" customWidth="1"/>
    <col min="5900" max="5900" width="13.42578125" style="111" customWidth="1"/>
    <col min="5901" max="5903" width="14.7109375" style="111" customWidth="1"/>
    <col min="5904" max="6146" width="9.140625" style="111"/>
    <col min="6147" max="6147" width="16.42578125" style="111" customWidth="1"/>
    <col min="6148" max="6148" width="15.7109375" style="111" customWidth="1"/>
    <col min="6149" max="6151" width="14.7109375" style="111" customWidth="1"/>
    <col min="6152" max="6152" width="15.28515625" style="111" customWidth="1"/>
    <col min="6153" max="6154" width="14.7109375" style="111" customWidth="1"/>
    <col min="6155" max="6155" width="14" style="111" customWidth="1"/>
    <col min="6156" max="6156" width="13.42578125" style="111" customWidth="1"/>
    <col min="6157" max="6159" width="14.7109375" style="111" customWidth="1"/>
    <col min="6160" max="6402" width="9.140625" style="111"/>
    <col min="6403" max="6403" width="16.42578125" style="111" customWidth="1"/>
    <col min="6404" max="6404" width="15.7109375" style="111" customWidth="1"/>
    <col min="6405" max="6407" width="14.7109375" style="111" customWidth="1"/>
    <col min="6408" max="6408" width="15.28515625" style="111" customWidth="1"/>
    <col min="6409" max="6410" width="14.7109375" style="111" customWidth="1"/>
    <col min="6411" max="6411" width="14" style="111" customWidth="1"/>
    <col min="6412" max="6412" width="13.42578125" style="111" customWidth="1"/>
    <col min="6413" max="6415" width="14.7109375" style="111" customWidth="1"/>
    <col min="6416" max="6658" width="9.140625" style="111"/>
    <col min="6659" max="6659" width="16.42578125" style="111" customWidth="1"/>
    <col min="6660" max="6660" width="15.7109375" style="111" customWidth="1"/>
    <col min="6661" max="6663" width="14.7109375" style="111" customWidth="1"/>
    <col min="6664" max="6664" width="15.28515625" style="111" customWidth="1"/>
    <col min="6665" max="6666" width="14.7109375" style="111" customWidth="1"/>
    <col min="6667" max="6667" width="14" style="111" customWidth="1"/>
    <col min="6668" max="6668" width="13.42578125" style="111" customWidth="1"/>
    <col min="6669" max="6671" width="14.7109375" style="111" customWidth="1"/>
    <col min="6672" max="6914" width="9.140625" style="111"/>
    <col min="6915" max="6915" width="16.42578125" style="111" customWidth="1"/>
    <col min="6916" max="6916" width="15.7109375" style="111" customWidth="1"/>
    <col min="6917" max="6919" width="14.7109375" style="111" customWidth="1"/>
    <col min="6920" max="6920" width="15.28515625" style="111" customWidth="1"/>
    <col min="6921" max="6922" width="14.7109375" style="111" customWidth="1"/>
    <col min="6923" max="6923" width="14" style="111" customWidth="1"/>
    <col min="6924" max="6924" width="13.42578125" style="111" customWidth="1"/>
    <col min="6925" max="6927" width="14.7109375" style="111" customWidth="1"/>
    <col min="6928" max="7170" width="9.140625" style="111"/>
    <col min="7171" max="7171" width="16.42578125" style="111" customWidth="1"/>
    <col min="7172" max="7172" width="15.7109375" style="111" customWidth="1"/>
    <col min="7173" max="7175" width="14.7109375" style="111" customWidth="1"/>
    <col min="7176" max="7176" width="15.28515625" style="111" customWidth="1"/>
    <col min="7177" max="7178" width="14.7109375" style="111" customWidth="1"/>
    <col min="7179" max="7179" width="14" style="111" customWidth="1"/>
    <col min="7180" max="7180" width="13.42578125" style="111" customWidth="1"/>
    <col min="7181" max="7183" width="14.7109375" style="111" customWidth="1"/>
    <col min="7184" max="7426" width="9.140625" style="111"/>
    <col min="7427" max="7427" width="16.42578125" style="111" customWidth="1"/>
    <col min="7428" max="7428" width="15.7109375" style="111" customWidth="1"/>
    <col min="7429" max="7431" width="14.7109375" style="111" customWidth="1"/>
    <col min="7432" max="7432" width="15.28515625" style="111" customWidth="1"/>
    <col min="7433" max="7434" width="14.7109375" style="111" customWidth="1"/>
    <col min="7435" max="7435" width="14" style="111" customWidth="1"/>
    <col min="7436" max="7436" width="13.42578125" style="111" customWidth="1"/>
    <col min="7437" max="7439" width="14.7109375" style="111" customWidth="1"/>
    <col min="7440" max="7682" width="9.140625" style="111"/>
    <col min="7683" max="7683" width="16.42578125" style="111" customWidth="1"/>
    <col min="7684" max="7684" width="15.7109375" style="111" customWidth="1"/>
    <col min="7685" max="7687" width="14.7109375" style="111" customWidth="1"/>
    <col min="7688" max="7688" width="15.28515625" style="111" customWidth="1"/>
    <col min="7689" max="7690" width="14.7109375" style="111" customWidth="1"/>
    <col min="7691" max="7691" width="14" style="111" customWidth="1"/>
    <col min="7692" max="7692" width="13.42578125" style="111" customWidth="1"/>
    <col min="7693" max="7695" width="14.7109375" style="111" customWidth="1"/>
    <col min="7696" max="7938" width="9.140625" style="111"/>
    <col min="7939" max="7939" width="16.42578125" style="111" customWidth="1"/>
    <col min="7940" max="7940" width="15.7109375" style="111" customWidth="1"/>
    <col min="7941" max="7943" width="14.7109375" style="111" customWidth="1"/>
    <col min="7944" max="7944" width="15.28515625" style="111" customWidth="1"/>
    <col min="7945" max="7946" width="14.7109375" style="111" customWidth="1"/>
    <col min="7947" max="7947" width="14" style="111" customWidth="1"/>
    <col min="7948" max="7948" width="13.42578125" style="111" customWidth="1"/>
    <col min="7949" max="7951" width="14.7109375" style="111" customWidth="1"/>
    <col min="7952" max="8194" width="9.140625" style="111"/>
    <col min="8195" max="8195" width="16.42578125" style="111" customWidth="1"/>
    <col min="8196" max="8196" width="15.7109375" style="111" customWidth="1"/>
    <col min="8197" max="8199" width="14.7109375" style="111" customWidth="1"/>
    <col min="8200" max="8200" width="15.28515625" style="111" customWidth="1"/>
    <col min="8201" max="8202" width="14.7109375" style="111" customWidth="1"/>
    <col min="8203" max="8203" width="14" style="111" customWidth="1"/>
    <col min="8204" max="8204" width="13.42578125" style="111" customWidth="1"/>
    <col min="8205" max="8207" width="14.7109375" style="111" customWidth="1"/>
    <col min="8208" max="8450" width="9.140625" style="111"/>
    <col min="8451" max="8451" width="16.42578125" style="111" customWidth="1"/>
    <col min="8452" max="8452" width="15.7109375" style="111" customWidth="1"/>
    <col min="8453" max="8455" width="14.7109375" style="111" customWidth="1"/>
    <col min="8456" max="8456" width="15.28515625" style="111" customWidth="1"/>
    <col min="8457" max="8458" width="14.7109375" style="111" customWidth="1"/>
    <col min="8459" max="8459" width="14" style="111" customWidth="1"/>
    <col min="8460" max="8460" width="13.42578125" style="111" customWidth="1"/>
    <col min="8461" max="8463" width="14.7109375" style="111" customWidth="1"/>
    <col min="8464" max="8706" width="9.140625" style="111"/>
    <col min="8707" max="8707" width="16.42578125" style="111" customWidth="1"/>
    <col min="8708" max="8708" width="15.7109375" style="111" customWidth="1"/>
    <col min="8709" max="8711" width="14.7109375" style="111" customWidth="1"/>
    <col min="8712" max="8712" width="15.28515625" style="111" customWidth="1"/>
    <col min="8713" max="8714" width="14.7109375" style="111" customWidth="1"/>
    <col min="8715" max="8715" width="14" style="111" customWidth="1"/>
    <col min="8716" max="8716" width="13.42578125" style="111" customWidth="1"/>
    <col min="8717" max="8719" width="14.7109375" style="111" customWidth="1"/>
    <col min="8720" max="8962" width="9.140625" style="111"/>
    <col min="8963" max="8963" width="16.42578125" style="111" customWidth="1"/>
    <col min="8964" max="8964" width="15.7109375" style="111" customWidth="1"/>
    <col min="8965" max="8967" width="14.7109375" style="111" customWidth="1"/>
    <col min="8968" max="8968" width="15.28515625" style="111" customWidth="1"/>
    <col min="8969" max="8970" width="14.7109375" style="111" customWidth="1"/>
    <col min="8971" max="8971" width="14" style="111" customWidth="1"/>
    <col min="8972" max="8972" width="13.42578125" style="111" customWidth="1"/>
    <col min="8973" max="8975" width="14.7109375" style="111" customWidth="1"/>
    <col min="8976" max="9218" width="9.140625" style="111"/>
    <col min="9219" max="9219" width="16.42578125" style="111" customWidth="1"/>
    <col min="9220" max="9220" width="15.7109375" style="111" customWidth="1"/>
    <col min="9221" max="9223" width="14.7109375" style="111" customWidth="1"/>
    <col min="9224" max="9224" width="15.28515625" style="111" customWidth="1"/>
    <col min="9225" max="9226" width="14.7109375" style="111" customWidth="1"/>
    <col min="9227" max="9227" width="14" style="111" customWidth="1"/>
    <col min="9228" max="9228" width="13.42578125" style="111" customWidth="1"/>
    <col min="9229" max="9231" width="14.7109375" style="111" customWidth="1"/>
    <col min="9232" max="9474" width="9.140625" style="111"/>
    <col min="9475" max="9475" width="16.42578125" style="111" customWidth="1"/>
    <col min="9476" max="9476" width="15.7109375" style="111" customWidth="1"/>
    <col min="9477" max="9479" width="14.7109375" style="111" customWidth="1"/>
    <col min="9480" max="9480" width="15.28515625" style="111" customWidth="1"/>
    <col min="9481" max="9482" width="14.7109375" style="111" customWidth="1"/>
    <col min="9483" max="9483" width="14" style="111" customWidth="1"/>
    <col min="9484" max="9484" width="13.42578125" style="111" customWidth="1"/>
    <col min="9485" max="9487" width="14.7109375" style="111" customWidth="1"/>
    <col min="9488" max="9730" width="9.140625" style="111"/>
    <col min="9731" max="9731" width="16.42578125" style="111" customWidth="1"/>
    <col min="9732" max="9732" width="15.7109375" style="111" customWidth="1"/>
    <col min="9733" max="9735" width="14.7109375" style="111" customWidth="1"/>
    <col min="9736" max="9736" width="15.28515625" style="111" customWidth="1"/>
    <col min="9737" max="9738" width="14.7109375" style="111" customWidth="1"/>
    <col min="9739" max="9739" width="14" style="111" customWidth="1"/>
    <col min="9740" max="9740" width="13.42578125" style="111" customWidth="1"/>
    <col min="9741" max="9743" width="14.7109375" style="111" customWidth="1"/>
    <col min="9744" max="9986" width="9.140625" style="111"/>
    <col min="9987" max="9987" width="16.42578125" style="111" customWidth="1"/>
    <col min="9988" max="9988" width="15.7109375" style="111" customWidth="1"/>
    <col min="9989" max="9991" width="14.7109375" style="111" customWidth="1"/>
    <col min="9992" max="9992" width="15.28515625" style="111" customWidth="1"/>
    <col min="9993" max="9994" width="14.7109375" style="111" customWidth="1"/>
    <col min="9995" max="9995" width="14" style="111" customWidth="1"/>
    <col min="9996" max="9996" width="13.42578125" style="111" customWidth="1"/>
    <col min="9997" max="9999" width="14.7109375" style="111" customWidth="1"/>
    <col min="10000" max="10242" width="9.140625" style="111"/>
    <col min="10243" max="10243" width="16.42578125" style="111" customWidth="1"/>
    <col min="10244" max="10244" width="15.7109375" style="111" customWidth="1"/>
    <col min="10245" max="10247" width="14.7109375" style="111" customWidth="1"/>
    <col min="10248" max="10248" width="15.28515625" style="111" customWidth="1"/>
    <col min="10249" max="10250" width="14.7109375" style="111" customWidth="1"/>
    <col min="10251" max="10251" width="14" style="111" customWidth="1"/>
    <col min="10252" max="10252" width="13.42578125" style="111" customWidth="1"/>
    <col min="10253" max="10255" width="14.7109375" style="111" customWidth="1"/>
    <col min="10256" max="10498" width="9.140625" style="111"/>
    <col min="10499" max="10499" width="16.42578125" style="111" customWidth="1"/>
    <col min="10500" max="10500" width="15.7109375" style="111" customWidth="1"/>
    <col min="10501" max="10503" width="14.7109375" style="111" customWidth="1"/>
    <col min="10504" max="10504" width="15.28515625" style="111" customWidth="1"/>
    <col min="10505" max="10506" width="14.7109375" style="111" customWidth="1"/>
    <col min="10507" max="10507" width="14" style="111" customWidth="1"/>
    <col min="10508" max="10508" width="13.42578125" style="111" customWidth="1"/>
    <col min="10509" max="10511" width="14.7109375" style="111" customWidth="1"/>
    <col min="10512" max="10754" width="9.140625" style="111"/>
    <col min="10755" max="10755" width="16.42578125" style="111" customWidth="1"/>
    <col min="10756" max="10756" width="15.7109375" style="111" customWidth="1"/>
    <col min="10757" max="10759" width="14.7109375" style="111" customWidth="1"/>
    <col min="10760" max="10760" width="15.28515625" style="111" customWidth="1"/>
    <col min="10761" max="10762" width="14.7109375" style="111" customWidth="1"/>
    <col min="10763" max="10763" width="14" style="111" customWidth="1"/>
    <col min="10764" max="10764" width="13.42578125" style="111" customWidth="1"/>
    <col min="10765" max="10767" width="14.7109375" style="111" customWidth="1"/>
    <col min="10768" max="11010" width="9.140625" style="111"/>
    <col min="11011" max="11011" width="16.42578125" style="111" customWidth="1"/>
    <col min="11012" max="11012" width="15.7109375" style="111" customWidth="1"/>
    <col min="11013" max="11015" width="14.7109375" style="111" customWidth="1"/>
    <col min="11016" max="11016" width="15.28515625" style="111" customWidth="1"/>
    <col min="11017" max="11018" width="14.7109375" style="111" customWidth="1"/>
    <col min="11019" max="11019" width="14" style="111" customWidth="1"/>
    <col min="11020" max="11020" width="13.42578125" style="111" customWidth="1"/>
    <col min="11021" max="11023" width="14.7109375" style="111" customWidth="1"/>
    <col min="11024" max="11266" width="9.140625" style="111"/>
    <col min="11267" max="11267" width="16.42578125" style="111" customWidth="1"/>
    <col min="11268" max="11268" width="15.7109375" style="111" customWidth="1"/>
    <col min="11269" max="11271" width="14.7109375" style="111" customWidth="1"/>
    <col min="11272" max="11272" width="15.28515625" style="111" customWidth="1"/>
    <col min="11273" max="11274" width="14.7109375" style="111" customWidth="1"/>
    <col min="11275" max="11275" width="14" style="111" customWidth="1"/>
    <col min="11276" max="11276" width="13.42578125" style="111" customWidth="1"/>
    <col min="11277" max="11279" width="14.7109375" style="111" customWidth="1"/>
    <col min="11280" max="11522" width="9.140625" style="111"/>
    <col min="11523" max="11523" width="16.42578125" style="111" customWidth="1"/>
    <col min="11524" max="11524" width="15.7109375" style="111" customWidth="1"/>
    <col min="11525" max="11527" width="14.7109375" style="111" customWidth="1"/>
    <col min="11528" max="11528" width="15.28515625" style="111" customWidth="1"/>
    <col min="11529" max="11530" width="14.7109375" style="111" customWidth="1"/>
    <col min="11531" max="11531" width="14" style="111" customWidth="1"/>
    <col min="11532" max="11532" width="13.42578125" style="111" customWidth="1"/>
    <col min="11533" max="11535" width="14.7109375" style="111" customWidth="1"/>
    <col min="11536" max="11778" width="9.140625" style="111"/>
    <col min="11779" max="11779" width="16.42578125" style="111" customWidth="1"/>
    <col min="11780" max="11780" width="15.7109375" style="111" customWidth="1"/>
    <col min="11781" max="11783" width="14.7109375" style="111" customWidth="1"/>
    <col min="11784" max="11784" width="15.28515625" style="111" customWidth="1"/>
    <col min="11785" max="11786" width="14.7109375" style="111" customWidth="1"/>
    <col min="11787" max="11787" width="14" style="111" customWidth="1"/>
    <col min="11788" max="11788" width="13.42578125" style="111" customWidth="1"/>
    <col min="11789" max="11791" width="14.7109375" style="111" customWidth="1"/>
    <col min="11792" max="12034" width="9.140625" style="111"/>
    <col min="12035" max="12035" width="16.42578125" style="111" customWidth="1"/>
    <col min="12036" max="12036" width="15.7109375" style="111" customWidth="1"/>
    <col min="12037" max="12039" width="14.7109375" style="111" customWidth="1"/>
    <col min="12040" max="12040" width="15.28515625" style="111" customWidth="1"/>
    <col min="12041" max="12042" width="14.7109375" style="111" customWidth="1"/>
    <col min="12043" max="12043" width="14" style="111" customWidth="1"/>
    <col min="12044" max="12044" width="13.42578125" style="111" customWidth="1"/>
    <col min="12045" max="12047" width="14.7109375" style="111" customWidth="1"/>
    <col min="12048" max="12290" width="9.140625" style="111"/>
    <col min="12291" max="12291" width="16.42578125" style="111" customWidth="1"/>
    <col min="12292" max="12292" width="15.7109375" style="111" customWidth="1"/>
    <col min="12293" max="12295" width="14.7109375" style="111" customWidth="1"/>
    <col min="12296" max="12296" width="15.28515625" style="111" customWidth="1"/>
    <col min="12297" max="12298" width="14.7109375" style="111" customWidth="1"/>
    <col min="12299" max="12299" width="14" style="111" customWidth="1"/>
    <col min="12300" max="12300" width="13.42578125" style="111" customWidth="1"/>
    <col min="12301" max="12303" width="14.7109375" style="111" customWidth="1"/>
    <col min="12304" max="12546" width="9.140625" style="111"/>
    <col min="12547" max="12547" width="16.42578125" style="111" customWidth="1"/>
    <col min="12548" max="12548" width="15.7109375" style="111" customWidth="1"/>
    <col min="12549" max="12551" width="14.7109375" style="111" customWidth="1"/>
    <col min="12552" max="12552" width="15.28515625" style="111" customWidth="1"/>
    <col min="12553" max="12554" width="14.7109375" style="111" customWidth="1"/>
    <col min="12555" max="12555" width="14" style="111" customWidth="1"/>
    <col min="12556" max="12556" width="13.42578125" style="111" customWidth="1"/>
    <col min="12557" max="12559" width="14.7109375" style="111" customWidth="1"/>
    <col min="12560" max="12802" width="9.140625" style="111"/>
    <col min="12803" max="12803" width="16.42578125" style="111" customWidth="1"/>
    <col min="12804" max="12804" width="15.7109375" style="111" customWidth="1"/>
    <col min="12805" max="12807" width="14.7109375" style="111" customWidth="1"/>
    <col min="12808" max="12808" width="15.28515625" style="111" customWidth="1"/>
    <col min="12809" max="12810" width="14.7109375" style="111" customWidth="1"/>
    <col min="12811" max="12811" width="14" style="111" customWidth="1"/>
    <col min="12812" max="12812" width="13.42578125" style="111" customWidth="1"/>
    <col min="12813" max="12815" width="14.7109375" style="111" customWidth="1"/>
    <col min="12816" max="13058" width="9.140625" style="111"/>
    <col min="13059" max="13059" width="16.42578125" style="111" customWidth="1"/>
    <col min="13060" max="13060" width="15.7109375" style="111" customWidth="1"/>
    <col min="13061" max="13063" width="14.7109375" style="111" customWidth="1"/>
    <col min="13064" max="13064" width="15.28515625" style="111" customWidth="1"/>
    <col min="13065" max="13066" width="14.7109375" style="111" customWidth="1"/>
    <col min="13067" max="13067" width="14" style="111" customWidth="1"/>
    <col min="13068" max="13068" width="13.42578125" style="111" customWidth="1"/>
    <col min="13069" max="13071" width="14.7109375" style="111" customWidth="1"/>
    <col min="13072" max="13314" width="9.140625" style="111"/>
    <col min="13315" max="13315" width="16.42578125" style="111" customWidth="1"/>
    <col min="13316" max="13316" width="15.7109375" style="111" customWidth="1"/>
    <col min="13317" max="13319" width="14.7109375" style="111" customWidth="1"/>
    <col min="13320" max="13320" width="15.28515625" style="111" customWidth="1"/>
    <col min="13321" max="13322" width="14.7109375" style="111" customWidth="1"/>
    <col min="13323" max="13323" width="14" style="111" customWidth="1"/>
    <col min="13324" max="13324" width="13.42578125" style="111" customWidth="1"/>
    <col min="13325" max="13327" width="14.7109375" style="111" customWidth="1"/>
    <col min="13328" max="13570" width="9.140625" style="111"/>
    <col min="13571" max="13571" width="16.42578125" style="111" customWidth="1"/>
    <col min="13572" max="13572" width="15.7109375" style="111" customWidth="1"/>
    <col min="13573" max="13575" width="14.7109375" style="111" customWidth="1"/>
    <col min="13576" max="13576" width="15.28515625" style="111" customWidth="1"/>
    <col min="13577" max="13578" width="14.7109375" style="111" customWidth="1"/>
    <col min="13579" max="13579" width="14" style="111" customWidth="1"/>
    <col min="13580" max="13580" width="13.42578125" style="111" customWidth="1"/>
    <col min="13581" max="13583" width="14.7109375" style="111" customWidth="1"/>
    <col min="13584" max="13826" width="9.140625" style="111"/>
    <col min="13827" max="13827" width="16.42578125" style="111" customWidth="1"/>
    <col min="13828" max="13828" width="15.7109375" style="111" customWidth="1"/>
    <col min="13829" max="13831" width="14.7109375" style="111" customWidth="1"/>
    <col min="13832" max="13832" width="15.28515625" style="111" customWidth="1"/>
    <col min="13833" max="13834" width="14.7109375" style="111" customWidth="1"/>
    <col min="13835" max="13835" width="14" style="111" customWidth="1"/>
    <col min="13836" max="13836" width="13.42578125" style="111" customWidth="1"/>
    <col min="13837" max="13839" width="14.7109375" style="111" customWidth="1"/>
    <col min="13840" max="14082" width="9.140625" style="111"/>
    <col min="14083" max="14083" width="16.42578125" style="111" customWidth="1"/>
    <col min="14084" max="14084" width="15.7109375" style="111" customWidth="1"/>
    <col min="14085" max="14087" width="14.7109375" style="111" customWidth="1"/>
    <col min="14088" max="14088" width="15.28515625" style="111" customWidth="1"/>
    <col min="14089" max="14090" width="14.7109375" style="111" customWidth="1"/>
    <col min="14091" max="14091" width="14" style="111" customWidth="1"/>
    <col min="14092" max="14092" width="13.42578125" style="111" customWidth="1"/>
    <col min="14093" max="14095" width="14.7109375" style="111" customWidth="1"/>
    <col min="14096" max="14338" width="9.140625" style="111"/>
    <col min="14339" max="14339" width="16.42578125" style="111" customWidth="1"/>
    <col min="14340" max="14340" width="15.7109375" style="111" customWidth="1"/>
    <col min="14341" max="14343" width="14.7109375" style="111" customWidth="1"/>
    <col min="14344" max="14344" width="15.28515625" style="111" customWidth="1"/>
    <col min="14345" max="14346" width="14.7109375" style="111" customWidth="1"/>
    <col min="14347" max="14347" width="14" style="111" customWidth="1"/>
    <col min="14348" max="14348" width="13.42578125" style="111" customWidth="1"/>
    <col min="14349" max="14351" width="14.7109375" style="111" customWidth="1"/>
    <col min="14352" max="14594" width="9.140625" style="111"/>
    <col min="14595" max="14595" width="16.42578125" style="111" customWidth="1"/>
    <col min="14596" max="14596" width="15.7109375" style="111" customWidth="1"/>
    <col min="14597" max="14599" width="14.7109375" style="111" customWidth="1"/>
    <col min="14600" max="14600" width="15.28515625" style="111" customWidth="1"/>
    <col min="14601" max="14602" width="14.7109375" style="111" customWidth="1"/>
    <col min="14603" max="14603" width="14" style="111" customWidth="1"/>
    <col min="14604" max="14604" width="13.42578125" style="111" customWidth="1"/>
    <col min="14605" max="14607" width="14.7109375" style="111" customWidth="1"/>
    <col min="14608" max="14850" width="9.140625" style="111"/>
    <col min="14851" max="14851" width="16.42578125" style="111" customWidth="1"/>
    <col min="14852" max="14852" width="15.7109375" style="111" customWidth="1"/>
    <col min="14853" max="14855" width="14.7109375" style="111" customWidth="1"/>
    <col min="14856" max="14856" width="15.28515625" style="111" customWidth="1"/>
    <col min="14857" max="14858" width="14.7109375" style="111" customWidth="1"/>
    <col min="14859" max="14859" width="14" style="111" customWidth="1"/>
    <col min="14860" max="14860" width="13.42578125" style="111" customWidth="1"/>
    <col min="14861" max="14863" width="14.7109375" style="111" customWidth="1"/>
    <col min="14864" max="15106" width="9.140625" style="111"/>
    <col min="15107" max="15107" width="16.42578125" style="111" customWidth="1"/>
    <col min="15108" max="15108" width="15.7109375" style="111" customWidth="1"/>
    <col min="15109" max="15111" width="14.7109375" style="111" customWidth="1"/>
    <col min="15112" max="15112" width="15.28515625" style="111" customWidth="1"/>
    <col min="15113" max="15114" width="14.7109375" style="111" customWidth="1"/>
    <col min="15115" max="15115" width="14" style="111" customWidth="1"/>
    <col min="15116" max="15116" width="13.42578125" style="111" customWidth="1"/>
    <col min="15117" max="15119" width="14.7109375" style="111" customWidth="1"/>
    <col min="15120" max="15362" width="9.140625" style="111"/>
    <col min="15363" max="15363" width="16.42578125" style="111" customWidth="1"/>
    <col min="15364" max="15364" width="15.7109375" style="111" customWidth="1"/>
    <col min="15365" max="15367" width="14.7109375" style="111" customWidth="1"/>
    <col min="15368" max="15368" width="15.28515625" style="111" customWidth="1"/>
    <col min="15369" max="15370" width="14.7109375" style="111" customWidth="1"/>
    <col min="15371" max="15371" width="14" style="111" customWidth="1"/>
    <col min="15372" max="15372" width="13.42578125" style="111" customWidth="1"/>
    <col min="15373" max="15375" width="14.7109375" style="111" customWidth="1"/>
    <col min="15376" max="15618" width="9.140625" style="111"/>
    <col min="15619" max="15619" width="16.42578125" style="111" customWidth="1"/>
    <col min="15620" max="15620" width="15.7109375" style="111" customWidth="1"/>
    <col min="15621" max="15623" width="14.7109375" style="111" customWidth="1"/>
    <col min="15624" max="15624" width="15.28515625" style="111" customWidth="1"/>
    <col min="15625" max="15626" width="14.7109375" style="111" customWidth="1"/>
    <col min="15627" max="15627" width="14" style="111" customWidth="1"/>
    <col min="15628" max="15628" width="13.42578125" style="111" customWidth="1"/>
    <col min="15629" max="15631" width="14.7109375" style="111" customWidth="1"/>
    <col min="15632" max="15874" width="9.140625" style="111"/>
    <col min="15875" max="15875" width="16.42578125" style="111" customWidth="1"/>
    <col min="15876" max="15876" width="15.7109375" style="111" customWidth="1"/>
    <col min="15877" max="15879" width="14.7109375" style="111" customWidth="1"/>
    <col min="15880" max="15880" width="15.28515625" style="111" customWidth="1"/>
    <col min="15881" max="15882" width="14.7109375" style="111" customWidth="1"/>
    <col min="15883" max="15883" width="14" style="111" customWidth="1"/>
    <col min="15884" max="15884" width="13.42578125" style="111" customWidth="1"/>
    <col min="15885" max="15887" width="14.7109375" style="111" customWidth="1"/>
    <col min="15888" max="16130" width="9.140625" style="111"/>
    <col min="16131" max="16131" width="16.42578125" style="111" customWidth="1"/>
    <col min="16132" max="16132" width="15.7109375" style="111" customWidth="1"/>
    <col min="16133" max="16135" width="14.7109375" style="111" customWidth="1"/>
    <col min="16136" max="16136" width="15.28515625" style="111" customWidth="1"/>
    <col min="16137" max="16138" width="14.7109375" style="111" customWidth="1"/>
    <col min="16139" max="16139" width="14" style="111" customWidth="1"/>
    <col min="16140" max="16140" width="13.42578125" style="111" customWidth="1"/>
    <col min="16141" max="16143" width="14.7109375" style="111" customWidth="1"/>
    <col min="16144" max="16384" width="9.140625" style="111"/>
  </cols>
  <sheetData>
    <row r="1" spans="2:19" ht="23.25" customHeight="1" x14ac:dyDescent="0.2">
      <c r="B1" s="1280" t="s">
        <v>629</v>
      </c>
      <c r="C1" s="1281"/>
      <c r="D1" s="1281"/>
      <c r="E1" s="1282"/>
      <c r="F1" s="1282"/>
      <c r="G1" s="1282"/>
      <c r="H1" s="1282"/>
      <c r="I1" s="1282"/>
      <c r="J1" s="1282"/>
      <c r="K1" s="1282"/>
      <c r="L1" s="1282"/>
      <c r="M1" s="1282"/>
      <c r="N1" s="1282"/>
      <c r="O1" s="1283"/>
    </row>
    <row r="2" spans="2:19" s="643" customFormat="1" ht="15.95" customHeight="1" x14ac:dyDescent="0.25">
      <c r="B2" s="1284" t="s">
        <v>630</v>
      </c>
      <c r="C2" s="1285"/>
      <c r="D2" s="1285"/>
      <c r="E2" s="1285"/>
      <c r="F2" s="1286"/>
      <c r="G2" s="1284" t="s">
        <v>631</v>
      </c>
      <c r="H2" s="1285"/>
      <c r="I2" s="1286"/>
      <c r="J2" s="1284" t="s">
        <v>632</v>
      </c>
      <c r="K2" s="1285"/>
      <c r="L2" s="1286"/>
      <c r="M2" s="1284" t="s">
        <v>633</v>
      </c>
      <c r="N2" s="1285"/>
      <c r="O2" s="1286"/>
    </row>
    <row r="3" spans="2:19" s="643" customFormat="1" ht="15.95" customHeight="1" x14ac:dyDescent="0.25">
      <c r="B3" s="644" t="s">
        <v>634</v>
      </c>
      <c r="C3" s="1287" t="s">
        <v>635</v>
      </c>
      <c r="D3" s="1288"/>
      <c r="E3" s="1289"/>
      <c r="F3" s="645" t="s">
        <v>636</v>
      </c>
      <c r="G3" s="646" t="s">
        <v>634</v>
      </c>
      <c r="H3" s="647" t="s">
        <v>635</v>
      </c>
      <c r="I3" s="648" t="s">
        <v>636</v>
      </c>
      <c r="J3" s="646" t="s">
        <v>634</v>
      </c>
      <c r="K3" s="647" t="s">
        <v>635</v>
      </c>
      <c r="L3" s="648" t="s">
        <v>636</v>
      </c>
      <c r="M3" s="646" t="s">
        <v>634</v>
      </c>
      <c r="N3" s="647" t="s">
        <v>635</v>
      </c>
      <c r="O3" s="648" t="s">
        <v>636</v>
      </c>
    </row>
    <row r="4" spans="2:19" s="643" customFormat="1" ht="15.95" customHeight="1" x14ac:dyDescent="0.25">
      <c r="B4" s="649">
        <v>29964701.739999998</v>
      </c>
      <c r="C4" s="1290" t="s">
        <v>665</v>
      </c>
      <c r="D4" s="1291"/>
      <c r="E4" s="1292"/>
      <c r="F4" s="651">
        <v>44742</v>
      </c>
      <c r="G4" s="652"/>
      <c r="H4" s="650">
        <v>245</v>
      </c>
      <c r="I4" s="653">
        <v>45061</v>
      </c>
      <c r="J4" s="652">
        <v>33289444.019999988</v>
      </c>
      <c r="K4" s="650">
        <v>244</v>
      </c>
      <c r="L4" s="653">
        <v>45338</v>
      </c>
      <c r="M4" s="652">
        <v>37438713.379999973</v>
      </c>
      <c r="N4" s="650">
        <v>212</v>
      </c>
      <c r="O4" s="653">
        <v>45531</v>
      </c>
      <c r="Q4" s="654"/>
    </row>
    <row r="5" spans="2:19" s="643" customFormat="1" ht="15.95" customHeight="1" x14ac:dyDescent="0.25">
      <c r="B5" s="1293" t="s">
        <v>637</v>
      </c>
      <c r="C5" s="1294"/>
      <c r="D5" s="1294"/>
      <c r="E5" s="1295"/>
      <c r="F5" s="1296"/>
      <c r="G5" s="1297" t="s">
        <v>638</v>
      </c>
      <c r="H5" s="1298"/>
      <c r="I5" s="1299"/>
      <c r="J5" s="1297" t="s">
        <v>638</v>
      </c>
      <c r="K5" s="1298"/>
      <c r="L5" s="1299"/>
      <c r="M5" s="1297" t="s">
        <v>638</v>
      </c>
      <c r="N5" s="1298"/>
      <c r="O5" s="1299"/>
    </row>
    <row r="6" spans="2:19" s="643" customFormat="1" ht="9.75" customHeight="1" x14ac:dyDescent="0.25">
      <c r="B6" s="1279"/>
      <c r="C6" s="1279"/>
      <c r="D6" s="1279"/>
      <c r="E6" s="1279"/>
      <c r="F6" s="1279"/>
      <c r="G6" s="1279"/>
      <c r="H6" s="1279"/>
      <c r="I6" s="1279"/>
      <c r="J6" s="1279"/>
      <c r="K6" s="1279"/>
      <c r="L6" s="1279"/>
      <c r="M6" s="1279"/>
      <c r="N6" s="1279"/>
      <c r="O6" s="1279"/>
    </row>
    <row r="7" spans="2:19" s="643" customFormat="1" ht="19.5" customHeight="1" x14ac:dyDescent="0.25">
      <c r="B7" s="1263" t="s">
        <v>639</v>
      </c>
      <c r="C7" s="1263"/>
      <c r="D7" s="1263"/>
      <c r="E7" s="1263"/>
      <c r="F7" s="1263"/>
      <c r="G7" s="1263"/>
      <c r="H7" s="1263"/>
      <c r="I7" s="1263"/>
      <c r="J7" s="1263"/>
      <c r="K7" s="1263"/>
      <c r="L7" s="1263"/>
      <c r="M7" s="1263"/>
      <c r="N7" s="1263"/>
      <c r="O7" s="1263"/>
    </row>
    <row r="8" spans="2:19" s="655" customFormat="1" ht="15.75" x14ac:dyDescent="0.25">
      <c r="B8" s="1264" t="s">
        <v>640</v>
      </c>
      <c r="C8" s="1266" t="s">
        <v>641</v>
      </c>
      <c r="D8" s="1267"/>
      <c r="E8" s="1268"/>
      <c r="F8" s="1272" t="s">
        <v>642</v>
      </c>
      <c r="G8" s="1274" t="s">
        <v>643</v>
      </c>
      <c r="H8" s="1274"/>
      <c r="I8" s="1274"/>
      <c r="J8" s="1274"/>
      <c r="K8" s="1274"/>
      <c r="L8" s="1275" t="s">
        <v>644</v>
      </c>
      <c r="M8" s="1276"/>
      <c r="N8" s="1274" t="s">
        <v>645</v>
      </c>
      <c r="O8" s="1274"/>
      <c r="Q8" s="656"/>
      <c r="S8" s="656"/>
    </row>
    <row r="9" spans="2:19" s="655" customFormat="1" ht="25.5" x14ac:dyDescent="0.25">
      <c r="B9" s="1265"/>
      <c r="C9" s="1269"/>
      <c r="D9" s="1270"/>
      <c r="E9" s="1271"/>
      <c r="F9" s="1273"/>
      <c r="G9" s="657" t="s">
        <v>646</v>
      </c>
      <c r="H9" s="657" t="s">
        <v>647</v>
      </c>
      <c r="I9" s="657" t="s">
        <v>648</v>
      </c>
      <c r="J9" s="657" t="s">
        <v>649</v>
      </c>
      <c r="K9" s="657" t="s">
        <v>650</v>
      </c>
      <c r="L9" s="1277"/>
      <c r="M9" s="1278"/>
      <c r="N9" s="657" t="s">
        <v>500</v>
      </c>
      <c r="O9" s="657" t="s">
        <v>651</v>
      </c>
    </row>
    <row r="10" spans="2:19" s="666" customFormat="1" ht="15.75" x14ac:dyDescent="0.25">
      <c r="B10" s="658">
        <v>1</v>
      </c>
      <c r="C10" s="659">
        <v>44776</v>
      </c>
      <c r="D10" s="660" t="s">
        <v>652</v>
      </c>
      <c r="E10" s="659">
        <v>44804</v>
      </c>
      <c r="F10" s="660">
        <f t="shared" ref="F10:F18" si="0">((E10-C10)+1)</f>
        <v>29</v>
      </c>
      <c r="G10" s="661">
        <v>75496.81</v>
      </c>
      <c r="H10" s="662">
        <f>G10</f>
        <v>75496.81</v>
      </c>
      <c r="I10" s="663">
        <f t="shared" ref="I10:I26" si="1">$B$4-H10</f>
        <v>29889204.93</v>
      </c>
      <c r="J10" s="662"/>
      <c r="K10" s="662">
        <f t="shared" ref="K10:K18" si="2">G10+J10</f>
        <v>75496.81</v>
      </c>
      <c r="L10" s="1261">
        <f>(C4-F10)</f>
        <v>246</v>
      </c>
      <c r="M10" s="1261"/>
      <c r="N10" s="664">
        <f t="shared" ref="N10:O18" si="3">(G10/($B$4+$G$4+$J$4))</f>
        <v>1.1935472227615142E-3</v>
      </c>
      <c r="O10" s="665">
        <f>(H10/($B$4+$G$4+$J$4))</f>
        <v>1.1935472227615142E-3</v>
      </c>
    </row>
    <row r="11" spans="2:19" s="666" customFormat="1" ht="15.75" x14ac:dyDescent="0.25">
      <c r="B11" s="667">
        <v>2</v>
      </c>
      <c r="C11" s="668">
        <v>44805</v>
      </c>
      <c r="D11" s="669" t="s">
        <v>652</v>
      </c>
      <c r="E11" s="668">
        <v>44836</v>
      </c>
      <c r="F11" s="669">
        <f t="shared" si="0"/>
        <v>32</v>
      </c>
      <c r="G11" s="670">
        <v>128956.45000000001</v>
      </c>
      <c r="H11" s="670">
        <f t="shared" ref="H11:H17" si="4">H10+G11</f>
        <v>204453.26</v>
      </c>
      <c r="I11" s="671">
        <f t="shared" si="1"/>
        <v>29760248.479999997</v>
      </c>
      <c r="J11" s="670"/>
      <c r="K11" s="670">
        <f t="shared" si="2"/>
        <v>128956.45000000001</v>
      </c>
      <c r="L11" s="1262">
        <f>L10-F11</f>
        <v>214</v>
      </c>
      <c r="M11" s="1262"/>
      <c r="N11" s="672">
        <f t="shared" si="3"/>
        <v>2.0387035260785733E-3</v>
      </c>
      <c r="O11" s="673">
        <f>(H11/($B$4+$G$4+$J$4))</f>
        <v>3.2322507488400875E-3</v>
      </c>
    </row>
    <row r="12" spans="2:19" s="666" customFormat="1" ht="15.75" x14ac:dyDescent="0.25">
      <c r="B12" s="674">
        <v>3</v>
      </c>
      <c r="C12" s="675">
        <v>44837</v>
      </c>
      <c r="D12" s="676" t="s">
        <v>652</v>
      </c>
      <c r="E12" s="675">
        <v>44865</v>
      </c>
      <c r="F12" s="676">
        <f t="shared" si="0"/>
        <v>29</v>
      </c>
      <c r="G12" s="677">
        <v>524700.4800000001</v>
      </c>
      <c r="H12" s="677">
        <f t="shared" si="4"/>
        <v>729153.74000000011</v>
      </c>
      <c r="I12" s="678">
        <f t="shared" si="1"/>
        <v>29235548</v>
      </c>
      <c r="J12" s="677"/>
      <c r="K12" s="677">
        <f t="shared" si="2"/>
        <v>524700.4800000001</v>
      </c>
      <c r="L12" s="1262">
        <f t="shared" ref="L12:L17" si="5">L11-F12</f>
        <v>185</v>
      </c>
      <c r="M12" s="1262"/>
      <c r="N12" s="672">
        <f t="shared" si="3"/>
        <v>8.2951160543820804E-3</v>
      </c>
      <c r="O12" s="673">
        <f t="shared" si="3"/>
        <v>1.1527366803222168E-2</v>
      </c>
    </row>
    <row r="13" spans="2:19" s="666" customFormat="1" ht="15.75" x14ac:dyDescent="0.25">
      <c r="B13" s="667">
        <v>4</v>
      </c>
      <c r="C13" s="668">
        <v>44866</v>
      </c>
      <c r="D13" s="669" t="s">
        <v>652</v>
      </c>
      <c r="E13" s="668">
        <v>44890</v>
      </c>
      <c r="F13" s="669">
        <f t="shared" si="0"/>
        <v>25</v>
      </c>
      <c r="G13" s="670">
        <v>226012.02000000002</v>
      </c>
      <c r="H13" s="670">
        <f t="shared" si="4"/>
        <v>955165.76000000013</v>
      </c>
      <c r="I13" s="671">
        <f t="shared" si="1"/>
        <v>29009535.979999997</v>
      </c>
      <c r="J13" s="670"/>
      <c r="K13" s="670">
        <f t="shared" si="2"/>
        <v>226012.02000000002</v>
      </c>
      <c r="L13" s="1262">
        <f t="shared" si="5"/>
        <v>160</v>
      </c>
      <c r="M13" s="1262"/>
      <c r="N13" s="672">
        <f t="shared" si="3"/>
        <v>3.5730783695591883E-3</v>
      </c>
      <c r="O13" s="673">
        <f t="shared" si="3"/>
        <v>1.5100445172781356E-2</v>
      </c>
    </row>
    <row r="14" spans="2:19" s="679" customFormat="1" ht="15.75" x14ac:dyDescent="0.25">
      <c r="B14" s="667">
        <v>5</v>
      </c>
      <c r="C14" s="668">
        <v>44896</v>
      </c>
      <c r="D14" s="669" t="s">
        <v>652</v>
      </c>
      <c r="E14" s="668">
        <v>44926</v>
      </c>
      <c r="F14" s="669">
        <f t="shared" si="0"/>
        <v>31</v>
      </c>
      <c r="G14" s="670">
        <v>309980.18</v>
      </c>
      <c r="H14" s="670">
        <f t="shared" si="4"/>
        <v>1265145.9400000002</v>
      </c>
      <c r="I14" s="671">
        <f t="shared" si="1"/>
        <v>28699555.799999997</v>
      </c>
      <c r="J14" s="670"/>
      <c r="K14" s="670">
        <f t="shared" si="2"/>
        <v>309980.18</v>
      </c>
      <c r="L14" s="1262">
        <f t="shared" si="5"/>
        <v>129</v>
      </c>
      <c r="M14" s="1262"/>
      <c r="N14" s="672">
        <f t="shared" si="3"/>
        <v>4.9005512014363818E-3</v>
      </c>
      <c r="O14" s="673">
        <f t="shared" si="3"/>
        <v>2.000099637421774E-2</v>
      </c>
    </row>
    <row r="15" spans="2:19" s="679" customFormat="1" ht="15.75" x14ac:dyDescent="0.25">
      <c r="B15" s="667">
        <v>6</v>
      </c>
      <c r="C15" s="668">
        <v>44927</v>
      </c>
      <c r="D15" s="669" t="s">
        <v>652</v>
      </c>
      <c r="E15" s="668">
        <v>44957</v>
      </c>
      <c r="F15" s="669">
        <f t="shared" si="0"/>
        <v>31</v>
      </c>
      <c r="G15" s="670">
        <v>105666.25999999997</v>
      </c>
      <c r="H15" s="670">
        <f t="shared" si="4"/>
        <v>1370812.2000000002</v>
      </c>
      <c r="I15" s="671">
        <f t="shared" si="1"/>
        <v>28593889.539999999</v>
      </c>
      <c r="J15" s="680"/>
      <c r="K15" s="670">
        <f t="shared" si="2"/>
        <v>105666.25999999997</v>
      </c>
      <c r="L15" s="1262">
        <f t="shared" si="5"/>
        <v>98</v>
      </c>
      <c r="M15" s="1262"/>
      <c r="N15" s="672">
        <f t="shared" si="3"/>
        <v>1.6705033121610839E-3</v>
      </c>
      <c r="O15" s="673">
        <f t="shared" si="3"/>
        <v>2.1671499686378822E-2</v>
      </c>
    </row>
    <row r="16" spans="2:19" s="679" customFormat="1" ht="15.75" x14ac:dyDescent="0.25">
      <c r="B16" s="667">
        <v>7</v>
      </c>
      <c r="C16" s="668">
        <v>44958</v>
      </c>
      <c r="D16" s="669" t="s">
        <v>652</v>
      </c>
      <c r="E16" s="668">
        <v>44985</v>
      </c>
      <c r="F16" s="669">
        <f t="shared" si="0"/>
        <v>28</v>
      </c>
      <c r="G16" s="670">
        <v>524272.39</v>
      </c>
      <c r="H16" s="670">
        <f t="shared" si="4"/>
        <v>1895084.5900000003</v>
      </c>
      <c r="I16" s="671">
        <f t="shared" si="1"/>
        <v>28069617.149999999</v>
      </c>
      <c r="J16" s="681"/>
      <c r="K16" s="670">
        <f t="shared" si="2"/>
        <v>524272.39</v>
      </c>
      <c r="L16" s="1262">
        <f t="shared" si="5"/>
        <v>70</v>
      </c>
      <c r="M16" s="1262"/>
      <c r="N16" s="672">
        <f t="shared" si="3"/>
        <v>8.2883482766363432E-3</v>
      </c>
      <c r="O16" s="673">
        <f t="shared" si="3"/>
        <v>2.9959847963015169E-2</v>
      </c>
      <c r="Q16" s="679">
        <f>1270-905</f>
        <v>365</v>
      </c>
    </row>
    <row r="17" spans="2:15" s="683" customFormat="1" ht="15.75" x14ac:dyDescent="0.25">
      <c r="B17" s="667">
        <v>8</v>
      </c>
      <c r="C17" s="668">
        <v>44986</v>
      </c>
      <c r="D17" s="669" t="s">
        <v>652</v>
      </c>
      <c r="E17" s="668">
        <v>45016</v>
      </c>
      <c r="F17" s="669">
        <f t="shared" si="0"/>
        <v>31</v>
      </c>
      <c r="G17" s="670">
        <v>114280.54</v>
      </c>
      <c r="H17" s="670">
        <f t="shared" si="4"/>
        <v>2009365.1300000004</v>
      </c>
      <c r="I17" s="671">
        <f t="shared" si="1"/>
        <v>27955336.609999999</v>
      </c>
      <c r="J17" s="682"/>
      <c r="K17" s="670">
        <f t="shared" si="2"/>
        <v>114280.54</v>
      </c>
      <c r="L17" s="1262">
        <f t="shared" si="5"/>
        <v>39</v>
      </c>
      <c r="M17" s="1262"/>
      <c r="N17" s="672">
        <f t="shared" si="3"/>
        <v>1.8066885360147817E-3</v>
      </c>
      <c r="O17" s="673">
        <f t="shared" si="3"/>
        <v>3.1766536499029954E-2</v>
      </c>
    </row>
    <row r="18" spans="2:15" s="683" customFormat="1" ht="15.75" x14ac:dyDescent="0.25">
      <c r="B18" s="667">
        <v>9</v>
      </c>
      <c r="C18" s="668">
        <v>45017</v>
      </c>
      <c r="D18" s="669" t="s">
        <v>652</v>
      </c>
      <c r="E18" s="668">
        <v>45046</v>
      </c>
      <c r="F18" s="669">
        <f t="shared" si="0"/>
        <v>30</v>
      </c>
      <c r="G18" s="670">
        <v>565020.41</v>
      </c>
      <c r="H18" s="670">
        <f>H17+G18</f>
        <v>2574385.5400000005</v>
      </c>
      <c r="I18" s="671">
        <f t="shared" si="1"/>
        <v>27390316.199999999</v>
      </c>
      <c r="J18" s="682"/>
      <c r="K18" s="670">
        <f t="shared" si="2"/>
        <v>565020.41</v>
      </c>
      <c r="L18" s="1262">
        <f>L17-F18</f>
        <v>9</v>
      </c>
      <c r="M18" s="1262"/>
      <c r="N18" s="672">
        <f t="shared" si="3"/>
        <v>8.9325435228199985E-3</v>
      </c>
      <c r="O18" s="673">
        <f t="shared" si="3"/>
        <v>4.0699080021849951E-2</v>
      </c>
    </row>
    <row r="19" spans="2:15" s="683" customFormat="1" ht="15.75" x14ac:dyDescent="0.2">
      <c r="B19" s="684" t="s">
        <v>653</v>
      </c>
      <c r="C19" s="685"/>
      <c r="D19" s="685"/>
      <c r="E19" s="685"/>
      <c r="F19" s="686"/>
      <c r="G19" s="687"/>
      <c r="H19" s="687"/>
      <c r="I19" s="688"/>
      <c r="J19" s="687"/>
      <c r="K19" s="687"/>
      <c r="L19" s="1260">
        <v>245</v>
      </c>
      <c r="M19" s="1260"/>
      <c r="N19" s="689"/>
      <c r="O19" s="690"/>
    </row>
    <row r="20" spans="2:15" s="683" customFormat="1" ht="15.75" x14ac:dyDescent="0.25">
      <c r="B20" s="667">
        <v>10</v>
      </c>
      <c r="C20" s="668">
        <v>45047</v>
      </c>
      <c r="D20" s="669" t="s">
        <v>652</v>
      </c>
      <c r="E20" s="668">
        <v>45077</v>
      </c>
      <c r="F20" s="669">
        <f t="shared" ref="F20:F26" si="6">((E20-C20)+1)</f>
        <v>31</v>
      </c>
      <c r="G20" s="670">
        <v>600259.87</v>
      </c>
      <c r="H20" s="670">
        <f>H18+G20</f>
        <v>3174645.4100000006</v>
      </c>
      <c r="I20" s="671">
        <f t="shared" si="1"/>
        <v>26790056.329999998</v>
      </c>
      <c r="J20" s="682"/>
      <c r="K20" s="670">
        <f t="shared" ref="K20:K26" si="7">G20+J20</f>
        <v>600259.87</v>
      </c>
      <c r="L20" s="1262">
        <f>L19+L18-F20</f>
        <v>223</v>
      </c>
      <c r="M20" s="1262"/>
      <c r="N20" s="672">
        <f t="shared" ref="N20:O25" si="8">(G20/($B$4+$G$4+$J$4))</f>
        <v>9.4896526194111729E-3</v>
      </c>
      <c r="O20" s="673">
        <f t="shared" si="8"/>
        <v>5.0188732641261127E-2</v>
      </c>
    </row>
    <row r="21" spans="2:15" s="679" customFormat="1" ht="15.75" x14ac:dyDescent="0.25">
      <c r="B21" s="667">
        <v>11</v>
      </c>
      <c r="C21" s="668">
        <v>45078</v>
      </c>
      <c r="D21" s="669" t="s">
        <v>652</v>
      </c>
      <c r="E21" s="668">
        <v>45107</v>
      </c>
      <c r="F21" s="669">
        <f t="shared" si="6"/>
        <v>30</v>
      </c>
      <c r="G21" s="670">
        <v>758232.37999999989</v>
      </c>
      <c r="H21" s="670">
        <f t="shared" ref="H21:H26" si="9">H20+G21</f>
        <v>3932877.7900000005</v>
      </c>
      <c r="I21" s="671">
        <f t="shared" si="1"/>
        <v>26031823.949999999</v>
      </c>
      <c r="J21" s="682"/>
      <c r="K21" s="670">
        <f t="shared" si="7"/>
        <v>758232.37999999989</v>
      </c>
      <c r="L21" s="1256">
        <f t="shared" ref="L21:L26" si="10">L20-F21</f>
        <v>193</v>
      </c>
      <c r="M21" s="1257"/>
      <c r="N21" s="672">
        <f t="shared" si="8"/>
        <v>1.1987078015042662E-2</v>
      </c>
      <c r="O21" s="673">
        <f t="shared" si="8"/>
        <v>6.2175810656303787E-2</v>
      </c>
    </row>
    <row r="22" spans="2:15" s="692" customFormat="1" ht="15.75" x14ac:dyDescent="0.25">
      <c r="B22" s="667">
        <v>12</v>
      </c>
      <c r="C22" s="668">
        <v>45108</v>
      </c>
      <c r="D22" s="669" t="s">
        <v>652</v>
      </c>
      <c r="E22" s="668">
        <v>45138</v>
      </c>
      <c r="F22" s="669">
        <f t="shared" si="6"/>
        <v>31</v>
      </c>
      <c r="G22" s="691">
        <v>1062101.2799999998</v>
      </c>
      <c r="H22" s="670">
        <f t="shared" si="9"/>
        <v>4994979.07</v>
      </c>
      <c r="I22" s="671">
        <f t="shared" si="1"/>
        <v>24969722.669999998</v>
      </c>
      <c r="J22" s="682"/>
      <c r="K22" s="670">
        <f t="shared" si="7"/>
        <v>1062101.2799999998</v>
      </c>
      <c r="L22" s="1256">
        <f t="shared" si="10"/>
        <v>162</v>
      </c>
      <c r="M22" s="1257"/>
      <c r="N22" s="672">
        <f t="shared" si="8"/>
        <v>1.6791014521480432E-2</v>
      </c>
      <c r="O22" s="673">
        <f t="shared" si="8"/>
        <v>7.8966825177784222E-2</v>
      </c>
    </row>
    <row r="23" spans="2:15" s="679" customFormat="1" ht="15.75" x14ac:dyDescent="0.25">
      <c r="B23" s="693" t="s">
        <v>654</v>
      </c>
      <c r="C23" s="694">
        <v>45139</v>
      </c>
      <c r="D23" s="669" t="s">
        <v>652</v>
      </c>
      <c r="E23" s="695">
        <v>45169</v>
      </c>
      <c r="F23" s="696">
        <f t="shared" si="6"/>
        <v>31</v>
      </c>
      <c r="G23" s="691">
        <v>394319.9000000002</v>
      </c>
      <c r="H23" s="670">
        <f t="shared" si="9"/>
        <v>5389298.9700000007</v>
      </c>
      <c r="I23" s="671">
        <f t="shared" si="1"/>
        <v>24575402.769999996</v>
      </c>
      <c r="J23" s="682"/>
      <c r="K23" s="670">
        <f t="shared" si="7"/>
        <v>394319.9000000002</v>
      </c>
      <c r="L23" s="1256">
        <f t="shared" si="10"/>
        <v>131</v>
      </c>
      <c r="M23" s="1257"/>
      <c r="N23" s="672">
        <f t="shared" si="8"/>
        <v>6.2338981146964787E-3</v>
      </c>
      <c r="O23" s="673">
        <f t="shared" si="8"/>
        <v>8.5200723292480698E-2</v>
      </c>
    </row>
    <row r="24" spans="2:15" s="679" customFormat="1" ht="15.75" x14ac:dyDescent="0.25">
      <c r="B24" s="693" t="s">
        <v>655</v>
      </c>
      <c r="C24" s="694">
        <v>45170</v>
      </c>
      <c r="D24" s="669" t="s">
        <v>652</v>
      </c>
      <c r="E24" s="695">
        <v>45199</v>
      </c>
      <c r="F24" s="696">
        <f t="shared" si="6"/>
        <v>30</v>
      </c>
      <c r="G24" s="691">
        <v>384755.89999999991</v>
      </c>
      <c r="H24" s="670">
        <f t="shared" si="9"/>
        <v>5774054.870000001</v>
      </c>
      <c r="I24" s="671">
        <f t="shared" si="1"/>
        <v>24190646.869999997</v>
      </c>
      <c r="J24" s="682"/>
      <c r="K24" s="670">
        <f t="shared" si="7"/>
        <v>384755.89999999991</v>
      </c>
      <c r="L24" s="1256">
        <f t="shared" si="10"/>
        <v>101</v>
      </c>
      <c r="M24" s="1257"/>
      <c r="N24" s="672">
        <f t="shared" si="8"/>
        <v>6.0826985389992871E-3</v>
      </c>
      <c r="O24" s="673">
        <f t="shared" si="8"/>
        <v>9.1283421831479999E-2</v>
      </c>
    </row>
    <row r="25" spans="2:15" s="692" customFormat="1" ht="15.75" x14ac:dyDescent="0.25">
      <c r="B25" s="693" t="s">
        <v>656</v>
      </c>
      <c r="C25" s="694">
        <v>45200</v>
      </c>
      <c r="D25" s="669" t="s">
        <v>652</v>
      </c>
      <c r="E25" s="695">
        <v>45230</v>
      </c>
      <c r="F25" s="696">
        <f t="shared" si="6"/>
        <v>31</v>
      </c>
      <c r="G25" s="691">
        <v>315772.42</v>
      </c>
      <c r="H25" s="670">
        <f t="shared" si="9"/>
        <v>6089827.290000001</v>
      </c>
      <c r="I25" s="671">
        <f t="shared" si="1"/>
        <v>23874874.449999996</v>
      </c>
      <c r="J25" s="682"/>
      <c r="K25" s="670">
        <f t="shared" si="7"/>
        <v>315772.42</v>
      </c>
      <c r="L25" s="1256">
        <f t="shared" si="10"/>
        <v>70</v>
      </c>
      <c r="M25" s="1257"/>
      <c r="N25" s="672">
        <f t="shared" si="8"/>
        <v>4.99212211636071E-3</v>
      </c>
      <c r="O25" s="673">
        <f t="shared" si="8"/>
        <v>9.62755439478407E-2</v>
      </c>
    </row>
    <row r="26" spans="2:15" s="705" customFormat="1" ht="15.75" x14ac:dyDescent="0.25">
      <c r="B26" s="693">
        <v>16</v>
      </c>
      <c r="C26" s="694">
        <v>45231</v>
      </c>
      <c r="D26" s="669" t="s">
        <v>652</v>
      </c>
      <c r="E26" s="695">
        <v>45260</v>
      </c>
      <c r="F26" s="696">
        <f t="shared" si="6"/>
        <v>30</v>
      </c>
      <c r="G26" s="691">
        <v>207302.66999999998</v>
      </c>
      <c r="H26" s="670">
        <f t="shared" si="9"/>
        <v>6297129.9600000009</v>
      </c>
      <c r="I26" s="671">
        <f t="shared" si="1"/>
        <v>23667571.779999997</v>
      </c>
      <c r="J26" s="682"/>
      <c r="K26" s="670">
        <f t="shared" si="7"/>
        <v>207302.66999999998</v>
      </c>
      <c r="L26" s="1256">
        <f t="shared" si="10"/>
        <v>40</v>
      </c>
      <c r="M26" s="1257"/>
      <c r="N26" s="672">
        <f>(G26/($B$4+$G$4+$J$4))</f>
        <v>3.2772977566806684E-3</v>
      </c>
      <c r="O26" s="673">
        <f>(H26/($B$4+$G$4+$J$4))</f>
        <v>9.9552841704521375E-2</v>
      </c>
    </row>
    <row r="27" spans="2:15" s="705" customFormat="1" ht="15.75" x14ac:dyDescent="0.25">
      <c r="B27" s="693">
        <v>17</v>
      </c>
      <c r="C27" s="694">
        <v>45261</v>
      </c>
      <c r="D27" s="669" t="s">
        <v>652</v>
      </c>
      <c r="E27" s="695">
        <v>45291</v>
      </c>
      <c r="F27" s="696">
        <f>((E27-C27)+1)</f>
        <v>31</v>
      </c>
      <c r="G27" s="691">
        <v>78743.640000000029</v>
      </c>
      <c r="H27" s="670">
        <f>H26+G27</f>
        <v>6375873.6000000006</v>
      </c>
      <c r="I27" s="671">
        <f>$B$4-H27</f>
        <v>23588828.139999997</v>
      </c>
      <c r="J27" s="682"/>
      <c r="K27" s="670">
        <f>G27+J27</f>
        <v>78743.640000000029</v>
      </c>
      <c r="L27" s="1256">
        <f>L26-F27</f>
        <v>9</v>
      </c>
      <c r="M27" s="1257"/>
      <c r="N27" s="672">
        <f>(G27/($B$4+$G$4+$J$4))</f>
        <v>1.2448771389431226E-3</v>
      </c>
      <c r="O27" s="673">
        <f>(H27/($B$4+$G$4+$J$4))</f>
        <v>0.10079771884346449</v>
      </c>
    </row>
    <row r="28" spans="2:15" s="683" customFormat="1" ht="15.75" x14ac:dyDescent="0.2">
      <c r="B28" s="684" t="s">
        <v>670</v>
      </c>
      <c r="C28" s="685"/>
      <c r="D28" s="685"/>
      <c r="E28" s="685"/>
      <c r="F28" s="686"/>
      <c r="G28" s="687"/>
      <c r="H28" s="687"/>
      <c r="I28" s="688"/>
      <c r="J28" s="687"/>
      <c r="K28" s="687"/>
      <c r="L28" s="1260">
        <v>244</v>
      </c>
      <c r="M28" s="1260"/>
      <c r="N28" s="689"/>
      <c r="O28" s="690"/>
    </row>
    <row r="29" spans="2:15" s="705" customFormat="1" ht="15.75" x14ac:dyDescent="0.25">
      <c r="B29" s="693">
        <v>18</v>
      </c>
      <c r="C29" s="694">
        <v>45294</v>
      </c>
      <c r="D29" s="669" t="s">
        <v>652</v>
      </c>
      <c r="E29" s="695">
        <v>45322</v>
      </c>
      <c r="F29" s="696">
        <f t="shared" ref="F29:F34" si="11">((E29-C29)+1)</f>
        <v>29</v>
      </c>
      <c r="G29" s="691">
        <v>273431.38</v>
      </c>
      <c r="H29" s="670">
        <f>H27+G29</f>
        <v>6649304.9800000004</v>
      </c>
      <c r="I29" s="671">
        <f>$B$4-H29</f>
        <v>23315396.759999998</v>
      </c>
      <c r="J29" s="773"/>
      <c r="K29" s="670">
        <f t="shared" ref="K29:K34" si="12">G29+J29</f>
        <v>273431.38</v>
      </c>
      <c r="L29" s="1256">
        <f t="shared" ref="L29:L34" si="13">L28-F29</f>
        <v>215</v>
      </c>
      <c r="M29" s="1257"/>
      <c r="N29" s="672">
        <f t="shared" ref="N29:O31" si="14">(G29/($B$4+$G$4+$J$4))</f>
        <v>4.3227424339498353E-3</v>
      </c>
      <c r="O29" s="673">
        <f t="shared" si="14"/>
        <v>0.10512046127741433</v>
      </c>
    </row>
    <row r="30" spans="2:15" s="705" customFormat="1" ht="15.75" x14ac:dyDescent="0.25">
      <c r="B30" s="693">
        <v>19</v>
      </c>
      <c r="C30" s="694">
        <v>45323</v>
      </c>
      <c r="D30" s="669" t="s">
        <v>652</v>
      </c>
      <c r="E30" s="695">
        <v>45351</v>
      </c>
      <c r="F30" s="696">
        <f t="shared" si="11"/>
        <v>29</v>
      </c>
      <c r="G30" s="691">
        <v>1858656.6</v>
      </c>
      <c r="H30" s="670">
        <f t="shared" ref="H30:H35" si="15">H29+G30</f>
        <v>8507961.5800000001</v>
      </c>
      <c r="I30" s="671">
        <f>J4-H30</f>
        <v>24781482.43999999</v>
      </c>
      <c r="J30" s="773"/>
      <c r="K30" s="670">
        <f t="shared" si="12"/>
        <v>1858656.6</v>
      </c>
      <c r="L30" s="1256">
        <f t="shared" si="13"/>
        <v>186</v>
      </c>
      <c r="M30" s="1257"/>
      <c r="N30" s="672">
        <f t="shared" si="14"/>
        <v>2.9383949109867805E-2</v>
      </c>
      <c r="O30" s="673">
        <f t="shared" si="14"/>
        <v>0.13450441038728211</v>
      </c>
    </row>
    <row r="31" spans="2:15" s="692" customFormat="1" ht="15.75" x14ac:dyDescent="0.25">
      <c r="B31" s="693">
        <v>20</v>
      </c>
      <c r="C31" s="694">
        <v>45352</v>
      </c>
      <c r="D31" s="669" t="s">
        <v>652</v>
      </c>
      <c r="E31" s="695">
        <v>45382</v>
      </c>
      <c r="F31" s="696">
        <f t="shared" si="11"/>
        <v>31</v>
      </c>
      <c r="G31" s="691">
        <v>910953.49999999965</v>
      </c>
      <c r="H31" s="670">
        <f t="shared" si="15"/>
        <v>9418915.0800000001</v>
      </c>
      <c r="I31" s="671">
        <f>J4-H31</f>
        <v>23870528.93999999</v>
      </c>
      <c r="J31" s="773"/>
      <c r="K31" s="670">
        <f t="shared" si="12"/>
        <v>910953.49999999965</v>
      </c>
      <c r="L31" s="1256">
        <f t="shared" si="13"/>
        <v>155</v>
      </c>
      <c r="M31" s="1257"/>
      <c r="N31" s="672">
        <f t="shared" si="14"/>
        <v>1.4401482923449092E-2</v>
      </c>
      <c r="O31" s="673">
        <f t="shared" si="14"/>
        <v>0.14890589331073123</v>
      </c>
    </row>
    <row r="32" spans="2:15" s="692" customFormat="1" ht="15.75" x14ac:dyDescent="0.25">
      <c r="B32" s="693">
        <v>21</v>
      </c>
      <c r="C32" s="694">
        <v>45383</v>
      </c>
      <c r="D32" s="669" t="s">
        <v>652</v>
      </c>
      <c r="E32" s="695">
        <v>45412</v>
      </c>
      <c r="F32" s="696">
        <f t="shared" si="11"/>
        <v>30</v>
      </c>
      <c r="G32" s="691">
        <v>1115534.18</v>
      </c>
      <c r="H32" s="670">
        <f t="shared" si="15"/>
        <v>10534449.26</v>
      </c>
      <c r="I32" s="671">
        <f>J4-H32</f>
        <v>22754994.75999999</v>
      </c>
      <c r="J32" s="773"/>
      <c r="K32" s="670">
        <f t="shared" si="12"/>
        <v>1115534.18</v>
      </c>
      <c r="L32" s="1256">
        <f t="shared" si="13"/>
        <v>125</v>
      </c>
      <c r="M32" s="1257"/>
      <c r="N32" s="672">
        <f t="shared" ref="N32:O34" si="16">(G32/($B$4+$G$4+$J$4))</f>
        <v>1.7635748085707767E-2</v>
      </c>
      <c r="O32" s="673">
        <f t="shared" si="16"/>
        <v>0.16654164139643898</v>
      </c>
    </row>
    <row r="33" spans="2:16" s="692" customFormat="1" ht="15.75" x14ac:dyDescent="0.25">
      <c r="B33" s="693">
        <v>22</v>
      </c>
      <c r="C33" s="694">
        <v>45413</v>
      </c>
      <c r="D33" s="669" t="s">
        <v>652</v>
      </c>
      <c r="E33" s="695">
        <v>45443</v>
      </c>
      <c r="F33" s="696">
        <f t="shared" si="11"/>
        <v>31</v>
      </c>
      <c r="G33" s="691">
        <v>612377.66</v>
      </c>
      <c r="H33" s="670">
        <f t="shared" si="15"/>
        <v>11146826.92</v>
      </c>
      <c r="I33" s="671">
        <f>J4-H33</f>
        <v>22142617.099999987</v>
      </c>
      <c r="J33" s="773"/>
      <c r="K33" s="670">
        <f t="shared" si="12"/>
        <v>612377.66</v>
      </c>
      <c r="L33" s="1256">
        <f t="shared" si="13"/>
        <v>94</v>
      </c>
      <c r="M33" s="1257"/>
      <c r="N33" s="672">
        <f t="shared" si="16"/>
        <v>9.6812256752860804E-3</v>
      </c>
      <c r="O33" s="673">
        <f t="shared" si="16"/>
        <v>0.17622286707172508</v>
      </c>
    </row>
    <row r="34" spans="2:16" s="692" customFormat="1" ht="15.75" x14ac:dyDescent="0.25">
      <c r="B34" s="693">
        <v>23</v>
      </c>
      <c r="C34" s="694">
        <v>45444</v>
      </c>
      <c r="D34" s="669" t="s">
        <v>652</v>
      </c>
      <c r="E34" s="695">
        <v>45473</v>
      </c>
      <c r="F34" s="696">
        <f t="shared" si="11"/>
        <v>30</v>
      </c>
      <c r="G34" s="691">
        <v>897064.87</v>
      </c>
      <c r="H34" s="670">
        <f t="shared" si="15"/>
        <v>12043891.789999999</v>
      </c>
      <c r="I34" s="671">
        <f>J4-H34</f>
        <v>21245552.229999989</v>
      </c>
      <c r="J34" s="773"/>
      <c r="K34" s="670">
        <f t="shared" si="12"/>
        <v>897064.87</v>
      </c>
      <c r="L34" s="1256">
        <f t="shared" si="13"/>
        <v>64</v>
      </c>
      <c r="M34" s="1257"/>
      <c r="N34" s="672">
        <f t="shared" si="16"/>
        <v>1.418191423220953E-2</v>
      </c>
      <c r="O34" s="673">
        <f t="shared" si="16"/>
        <v>0.19040478130393459</v>
      </c>
    </row>
    <row r="35" spans="2:16" s="692" customFormat="1" ht="15.75" x14ac:dyDescent="0.25">
      <c r="B35" s="693">
        <v>24</v>
      </c>
      <c r="C35" s="694">
        <v>45474</v>
      </c>
      <c r="D35" s="669" t="s">
        <v>652</v>
      </c>
      <c r="E35" s="695">
        <v>45504</v>
      </c>
      <c r="F35" s="696">
        <f>((E35-C35)+1)</f>
        <v>31</v>
      </c>
      <c r="G35" s="691">
        <v>740581.73</v>
      </c>
      <c r="H35" s="670">
        <f t="shared" si="15"/>
        <v>12784473.52</v>
      </c>
      <c r="I35" s="671">
        <f>J4-H35</f>
        <v>20504970.499999989</v>
      </c>
      <c r="J35" s="773"/>
      <c r="K35" s="670">
        <f>G35+J35</f>
        <v>740581.73</v>
      </c>
      <c r="L35" s="1256">
        <f>L34-F35</f>
        <v>33</v>
      </c>
      <c r="M35" s="1257"/>
      <c r="N35" s="672">
        <f>(G35/($B$4+$G$4+$J$4))</f>
        <v>1.1708034645032254E-2</v>
      </c>
      <c r="O35" s="673">
        <f>(H35/($B$4+$G$4+$J$4))</f>
        <v>0.20211281594896685</v>
      </c>
    </row>
    <row r="36" spans="2:16" s="683" customFormat="1" ht="15.75" x14ac:dyDescent="0.2">
      <c r="B36" s="684" t="s">
        <v>973</v>
      </c>
      <c r="C36" s="685"/>
      <c r="D36" s="685"/>
      <c r="E36" s="685"/>
      <c r="F36" s="686"/>
      <c r="G36" s="687"/>
      <c r="H36" s="687"/>
      <c r="I36" s="688"/>
      <c r="J36" s="687"/>
      <c r="K36" s="687"/>
      <c r="L36" s="1260">
        <v>212</v>
      </c>
      <c r="M36" s="1260"/>
      <c r="N36" s="689"/>
      <c r="O36" s="690"/>
    </row>
    <row r="37" spans="2:16" s="705" customFormat="1" ht="15.75" x14ac:dyDescent="0.25">
      <c r="B37" s="693">
        <v>25</v>
      </c>
      <c r="C37" s="694">
        <v>45505</v>
      </c>
      <c r="D37" s="669" t="s">
        <v>652</v>
      </c>
      <c r="E37" s="695">
        <v>45535</v>
      </c>
      <c r="F37" s="696">
        <f t="shared" ref="F37:F43" si="17">((E37-C37)+1)</f>
        <v>31</v>
      </c>
      <c r="G37" s="691">
        <v>1617046.84</v>
      </c>
      <c r="H37" s="670">
        <f>H35+G37</f>
        <v>14401520.359999999</v>
      </c>
      <c r="I37" s="671">
        <f t="shared" ref="I37:I43" si="18">$M$4-H37</f>
        <v>23037193.019999973</v>
      </c>
      <c r="J37" s="773"/>
      <c r="K37" s="670">
        <f t="shared" ref="K37:K43" si="19">G37+J37</f>
        <v>1617046.84</v>
      </c>
      <c r="L37" s="1256">
        <f t="shared" ref="L37:L43" si="20">L36-F37</f>
        <v>181</v>
      </c>
      <c r="M37" s="1257"/>
      <c r="N37" s="672">
        <f t="shared" ref="N37:O41" si="21">(G37/($B$4+$G$4+$J$4))</f>
        <v>2.5564282318117585E-2</v>
      </c>
      <c r="O37" s="673">
        <f t="shared" si="21"/>
        <v>0.22767709826708443</v>
      </c>
    </row>
    <row r="38" spans="2:16" s="705" customFormat="1" ht="15.75" x14ac:dyDescent="0.25">
      <c r="B38" s="693">
        <v>26</v>
      </c>
      <c r="C38" s="694">
        <v>45536</v>
      </c>
      <c r="D38" s="669" t="s">
        <v>652</v>
      </c>
      <c r="E38" s="695">
        <v>45565</v>
      </c>
      <c r="F38" s="696">
        <f t="shared" si="17"/>
        <v>30</v>
      </c>
      <c r="G38" s="691">
        <v>1548779.62</v>
      </c>
      <c r="H38" s="670">
        <f t="shared" ref="H38:H43" si="22">H37+G38</f>
        <v>15950299.98</v>
      </c>
      <c r="I38" s="671">
        <f t="shared" si="18"/>
        <v>21488413.399999972</v>
      </c>
      <c r="J38" s="773"/>
      <c r="K38" s="670">
        <f t="shared" si="19"/>
        <v>1548779.62</v>
      </c>
      <c r="L38" s="1256">
        <f t="shared" si="20"/>
        <v>151</v>
      </c>
      <c r="M38" s="1257"/>
      <c r="N38" s="672">
        <f t="shared" si="21"/>
        <v>2.4485029422046223E-2</v>
      </c>
      <c r="O38" s="673">
        <f t="shared" si="21"/>
        <v>0.25216212768913066</v>
      </c>
    </row>
    <row r="39" spans="2:16" s="692" customFormat="1" ht="15.75" x14ac:dyDescent="0.25">
      <c r="B39" s="693">
        <v>27</v>
      </c>
      <c r="C39" s="694">
        <v>45566</v>
      </c>
      <c r="D39" s="669" t="s">
        <v>652</v>
      </c>
      <c r="E39" s="695">
        <v>45596</v>
      </c>
      <c r="F39" s="696">
        <f t="shared" si="17"/>
        <v>31</v>
      </c>
      <c r="G39" s="691">
        <v>893509.83</v>
      </c>
      <c r="H39" s="670">
        <f t="shared" si="22"/>
        <v>16843809.809999999</v>
      </c>
      <c r="I39" s="671">
        <f t="shared" si="18"/>
        <v>20594903.569999974</v>
      </c>
      <c r="J39" s="773"/>
      <c r="K39" s="670">
        <f t="shared" si="19"/>
        <v>893509.83</v>
      </c>
      <c r="L39" s="1256">
        <f t="shared" si="20"/>
        <v>120</v>
      </c>
      <c r="M39" s="1257"/>
      <c r="N39" s="672">
        <f t="shared" si="21"/>
        <v>1.4125711750027753E-2</v>
      </c>
      <c r="O39" s="673">
        <f t="shared" si="21"/>
        <v>0.2662878394391584</v>
      </c>
      <c r="P39" s="712"/>
    </row>
    <row r="40" spans="2:16" s="692" customFormat="1" ht="15.75" x14ac:dyDescent="0.25">
      <c r="B40" s="693">
        <v>28</v>
      </c>
      <c r="C40" s="694">
        <v>45597</v>
      </c>
      <c r="D40" s="669" t="s">
        <v>652</v>
      </c>
      <c r="E40" s="695">
        <v>45626</v>
      </c>
      <c r="F40" s="696">
        <f t="shared" si="17"/>
        <v>30</v>
      </c>
      <c r="G40" s="691">
        <v>571163.80000000028</v>
      </c>
      <c r="H40" s="670">
        <f t="shared" si="22"/>
        <v>17414973.609999999</v>
      </c>
      <c r="I40" s="671">
        <f t="shared" si="18"/>
        <v>20023739.769999973</v>
      </c>
      <c r="J40" s="773"/>
      <c r="K40" s="670">
        <f t="shared" si="19"/>
        <v>571163.80000000028</v>
      </c>
      <c r="L40" s="1256">
        <f t="shared" si="20"/>
        <v>90</v>
      </c>
      <c r="M40" s="1257"/>
      <c r="N40" s="672">
        <f t="shared" si="21"/>
        <v>9.0296658525295739E-3</v>
      </c>
      <c r="O40" s="673">
        <f t="shared" si="21"/>
        <v>0.27531750529168797</v>
      </c>
      <c r="P40" s="712"/>
    </row>
    <row r="41" spans="2:16" s="692" customFormat="1" ht="15.75" x14ac:dyDescent="0.25">
      <c r="B41" s="693">
        <v>29</v>
      </c>
      <c r="C41" s="694">
        <v>45627</v>
      </c>
      <c r="D41" s="669" t="s">
        <v>652</v>
      </c>
      <c r="E41" s="695">
        <v>45657</v>
      </c>
      <c r="F41" s="696">
        <f t="shared" si="17"/>
        <v>31</v>
      </c>
      <c r="G41" s="691">
        <v>688029.22</v>
      </c>
      <c r="H41" s="670">
        <f t="shared" si="22"/>
        <v>18103002.829999998</v>
      </c>
      <c r="I41" s="671">
        <f t="shared" si="18"/>
        <v>19335710.549999975</v>
      </c>
      <c r="J41" s="773"/>
      <c r="K41" s="670">
        <f t="shared" si="19"/>
        <v>688029.22</v>
      </c>
      <c r="L41" s="1256">
        <f t="shared" si="20"/>
        <v>59</v>
      </c>
      <c r="M41" s="1257"/>
      <c r="N41" s="672">
        <f t="shared" si="21"/>
        <v>1.0877219378007771E-2</v>
      </c>
      <c r="O41" s="673">
        <f>(H41/($B$4+$G$4+$J$4))</f>
        <v>0.2861947246696957</v>
      </c>
    </row>
    <row r="42" spans="2:16" s="692" customFormat="1" ht="15.75" x14ac:dyDescent="0.25">
      <c r="B42" s="693">
        <v>30</v>
      </c>
      <c r="C42" s="694">
        <v>45658</v>
      </c>
      <c r="D42" s="669" t="s">
        <v>652</v>
      </c>
      <c r="E42" s="695">
        <v>45688</v>
      </c>
      <c r="F42" s="696">
        <f t="shared" si="17"/>
        <v>31</v>
      </c>
      <c r="G42" s="691">
        <v>877513.45</v>
      </c>
      <c r="H42" s="670">
        <f t="shared" si="22"/>
        <v>18980516.279999997</v>
      </c>
      <c r="I42" s="671">
        <f t="shared" si="18"/>
        <v>18458197.099999975</v>
      </c>
      <c r="J42" s="773"/>
      <c r="K42" s="670">
        <f t="shared" si="19"/>
        <v>877513.45</v>
      </c>
      <c r="L42" s="1256">
        <f t="shared" si="20"/>
        <v>28</v>
      </c>
      <c r="M42" s="1257"/>
      <c r="N42" s="672">
        <f t="shared" ref="N42" si="23">(G42/($B$4+$G$4+$J$4))</f>
        <v>1.3872821132222339E-2</v>
      </c>
      <c r="O42" s="673">
        <f>(H42/($B$4+$G$4+$J$4))</f>
        <v>0.30006754580191802</v>
      </c>
    </row>
    <row r="43" spans="2:16" s="692" customFormat="1" ht="15.75" x14ac:dyDescent="0.25">
      <c r="B43" s="693">
        <v>31</v>
      </c>
      <c r="C43" s="694">
        <v>45689</v>
      </c>
      <c r="D43" s="669" t="s">
        <v>652</v>
      </c>
      <c r="E43" s="695">
        <v>45716</v>
      </c>
      <c r="F43" s="696">
        <f t="shared" si="17"/>
        <v>28</v>
      </c>
      <c r="G43" s="691">
        <v>896463.03</v>
      </c>
      <c r="H43" s="670">
        <f t="shared" si="22"/>
        <v>19876979.309999999</v>
      </c>
      <c r="I43" s="671">
        <f t="shared" si="18"/>
        <v>17561734.069999974</v>
      </c>
      <c r="J43" s="773"/>
      <c r="K43" s="670">
        <f t="shared" si="19"/>
        <v>896463.03</v>
      </c>
      <c r="L43" s="1256">
        <f t="shared" si="20"/>
        <v>0</v>
      </c>
      <c r="M43" s="1257"/>
      <c r="N43" s="672">
        <f t="shared" ref="N43" si="24">(G43/($B$4+$G$4+$J$4))</f>
        <v>1.4172399598935003E-2</v>
      </c>
      <c r="O43" s="673">
        <f>(H43/($B$4+$G$4+$J$4))</f>
        <v>0.31423994540085309</v>
      </c>
    </row>
    <row r="44" spans="2:16" s="692" customFormat="1" ht="15.75" x14ac:dyDescent="0.25">
      <c r="B44" s="693">
        <v>32</v>
      </c>
      <c r="C44" s="694">
        <v>45717</v>
      </c>
      <c r="D44" s="669" t="s">
        <v>652</v>
      </c>
      <c r="E44" s="695">
        <v>45747</v>
      </c>
      <c r="F44" s="696">
        <f t="shared" ref="F44" si="25">((E44-C44)+1)</f>
        <v>31</v>
      </c>
      <c r="G44" s="691">
        <v>740154.92</v>
      </c>
      <c r="H44" s="670">
        <f t="shared" ref="H44" si="26">H43+G44</f>
        <v>20617134.23</v>
      </c>
      <c r="I44" s="671">
        <f t="shared" ref="I44" si="27">$M$4-H44</f>
        <v>16821579.149999972</v>
      </c>
      <c r="J44" s="773"/>
      <c r="K44" s="670">
        <f t="shared" ref="K44" si="28">G44+J44</f>
        <v>740154.92</v>
      </c>
      <c r="L44" s="1256">
        <f t="shared" ref="L44" si="29">L43-F44</f>
        <v>-31</v>
      </c>
      <c r="M44" s="1257"/>
      <c r="N44" s="672">
        <f t="shared" ref="N44" si="30">(G44/($B$4+$G$4+$J$4))</f>
        <v>1.1701287103114301E-2</v>
      </c>
      <c r="O44" s="673">
        <f>(H44/($B$4+$G$4+$J$4))</f>
        <v>0.32594123250396739</v>
      </c>
    </row>
    <row r="45" spans="2:16" s="692" customFormat="1" ht="15.75" x14ac:dyDescent="0.25">
      <c r="B45" s="697">
        <v>33</v>
      </c>
      <c r="C45" s="698">
        <v>45748</v>
      </c>
      <c r="D45" s="838" t="s">
        <v>652</v>
      </c>
      <c r="E45" s="699">
        <v>45777</v>
      </c>
      <c r="F45" s="700">
        <f t="shared" ref="F45" si="31">((E45-C45)+1)</f>
        <v>30</v>
      </c>
      <c r="G45" s="708">
        <f>'11 - FINANCEIRO'!M1</f>
        <v>2407836.6199999996</v>
      </c>
      <c r="H45" s="702">
        <f t="shared" ref="H45" si="32">H44+G45</f>
        <v>23024970.850000001</v>
      </c>
      <c r="I45" s="703">
        <f t="shared" ref="I45" si="33">$M$4-H45</f>
        <v>14413742.529999971</v>
      </c>
      <c r="J45" s="708"/>
      <c r="K45" s="702">
        <f t="shared" ref="K45" si="34">G45+J45</f>
        <v>2407836.6199999996</v>
      </c>
      <c r="L45" s="1258">
        <f t="shared" ref="L45" si="35">L44-F45</f>
        <v>-61</v>
      </c>
      <c r="M45" s="1259"/>
      <c r="N45" s="704">
        <f t="shared" ref="N45" si="36">(G45/($B$4+$G$4+$J$4))</f>
        <v>3.8066068098300723E-2</v>
      </c>
      <c r="O45" s="711">
        <f>(H45/($B$4+$G$4+$J$4))</f>
        <v>0.36400730060226816</v>
      </c>
    </row>
    <row r="46" spans="2:16" s="692" customFormat="1" ht="15.75" x14ac:dyDescent="0.25">
      <c r="B46" s="697"/>
      <c r="C46" s="698"/>
      <c r="D46" s="698"/>
      <c r="E46" s="698"/>
      <c r="F46" s="700"/>
      <c r="G46" s="708"/>
      <c r="H46" s="708"/>
      <c r="I46" s="709"/>
      <c r="J46" s="708"/>
      <c r="K46" s="708"/>
      <c r="L46" s="1240"/>
      <c r="M46" s="1240"/>
      <c r="N46" s="710"/>
      <c r="O46" s="711"/>
    </row>
    <row r="47" spans="2:16" s="692" customFormat="1" ht="15.75" x14ac:dyDescent="0.25">
      <c r="B47" s="697"/>
      <c r="C47" s="699"/>
      <c r="D47" s="706"/>
      <c r="E47" s="699"/>
      <c r="F47" s="706"/>
      <c r="G47" s="708"/>
      <c r="H47" s="708"/>
      <c r="I47" s="709"/>
      <c r="J47" s="708"/>
      <c r="K47" s="708"/>
      <c r="L47" s="1240"/>
      <c r="M47" s="1240"/>
      <c r="N47" s="710"/>
      <c r="O47" s="711"/>
    </row>
    <row r="48" spans="2:16" s="692" customFormat="1" ht="14.25" customHeight="1" x14ac:dyDescent="0.25">
      <c r="B48" s="697"/>
      <c r="C48" s="698"/>
      <c r="D48" s="698"/>
      <c r="E48" s="698"/>
      <c r="F48" s="700"/>
      <c r="G48" s="708"/>
      <c r="H48" s="708"/>
      <c r="I48" s="709"/>
      <c r="J48" s="708"/>
      <c r="K48" s="708"/>
      <c r="L48" s="1240"/>
      <c r="M48" s="1240"/>
      <c r="N48" s="710"/>
      <c r="O48" s="711"/>
    </row>
    <row r="49" spans="2:15" s="692" customFormat="1" ht="18.75" customHeight="1" x14ac:dyDescent="0.25">
      <c r="B49" s="697"/>
      <c r="C49" s="698"/>
      <c r="D49" s="698"/>
      <c r="E49" s="698"/>
      <c r="F49" s="700"/>
      <c r="G49" s="708"/>
      <c r="H49" s="708"/>
      <c r="I49" s="709"/>
      <c r="J49" s="708"/>
      <c r="K49" s="708"/>
      <c r="L49" s="1240"/>
      <c r="M49" s="1240"/>
      <c r="N49" s="710"/>
      <c r="O49" s="711"/>
    </row>
    <row r="50" spans="2:15" s="692" customFormat="1" ht="15.75" customHeight="1" x14ac:dyDescent="0.25">
      <c r="B50" s="697"/>
      <c r="C50" s="699"/>
      <c r="D50" s="706"/>
      <c r="E50" s="699"/>
      <c r="F50" s="706"/>
      <c r="G50" s="708"/>
      <c r="H50" s="701"/>
      <c r="I50" s="707"/>
      <c r="J50" s="708"/>
      <c r="K50" s="701"/>
      <c r="L50" s="1241"/>
      <c r="M50" s="1241"/>
      <c r="N50" s="710"/>
      <c r="O50" s="711"/>
    </row>
    <row r="51" spans="2:15" s="692" customFormat="1" ht="15.75" x14ac:dyDescent="0.25">
      <c r="B51" s="713"/>
      <c r="C51" s="714"/>
      <c r="D51" s="714"/>
      <c r="E51" s="714"/>
      <c r="F51" s="714"/>
      <c r="G51" s="715"/>
      <c r="H51" s="715"/>
      <c r="I51" s="715"/>
      <c r="J51" s="715"/>
      <c r="K51" s="715"/>
      <c r="L51" s="1242"/>
      <c r="M51" s="1242"/>
      <c r="N51" s="716"/>
      <c r="O51" s="717"/>
    </row>
    <row r="52" spans="2:15" s="722" customFormat="1" ht="20.25" customHeight="1" x14ac:dyDescent="0.25">
      <c r="B52" s="1243" t="s">
        <v>657</v>
      </c>
      <c r="C52" s="1244"/>
      <c r="D52" s="1244"/>
      <c r="E52" s="1244"/>
      <c r="F52" s="718">
        <f>SUBTOTAL(9,F10:F51)</f>
        <v>995</v>
      </c>
      <c r="G52" s="719">
        <f>SUBTOTAL(9,G10:G51)</f>
        <v>23024970.850000001</v>
      </c>
      <c r="H52" s="719"/>
      <c r="I52" s="719">
        <f>MIN(I10:I51)</f>
        <v>14413742.529999971</v>
      </c>
      <c r="J52" s="719">
        <f>SUM(J10:J51)</f>
        <v>0</v>
      </c>
      <c r="K52" s="719">
        <f>SUM(K10:K51)</f>
        <v>23024970.850000001</v>
      </c>
      <c r="L52" s="1245">
        <f>SUM($C$4+$H$4+$K$4+N4)-($F$52)</f>
        <v>-19</v>
      </c>
      <c r="M52" s="1245"/>
      <c r="N52" s="720"/>
      <c r="O52" s="721">
        <f>($G$52/($B$4+G4+J4))</f>
        <v>0.36400730060226816</v>
      </c>
    </row>
    <row r="53" spans="2:15" ht="15.75" hidden="1" customHeight="1" x14ac:dyDescent="0.2">
      <c r="B53" s="1246" t="s">
        <v>658</v>
      </c>
      <c r="C53" s="1247"/>
      <c r="D53" s="1247"/>
      <c r="E53" s="1247"/>
      <c r="F53" s="1247"/>
      <c r="G53" s="1247"/>
      <c r="H53" s="1247"/>
      <c r="I53" s="1247"/>
      <c r="J53" s="1247"/>
      <c r="K53" s="1247"/>
      <c r="L53" s="1247"/>
      <c r="M53" s="1248"/>
    </row>
    <row r="54" spans="2:15" ht="12.75" hidden="1" customHeight="1" x14ac:dyDescent="0.2">
      <c r="B54" s="1249" t="s">
        <v>659</v>
      </c>
      <c r="C54" s="1250"/>
      <c r="D54" s="1250"/>
      <c r="E54" s="1250"/>
      <c r="F54" s="1250"/>
      <c r="G54" s="1250"/>
      <c r="H54" s="723"/>
      <c r="I54" s="1251"/>
      <c r="J54" s="1251"/>
      <c r="K54" s="1251"/>
      <c r="L54" s="1251"/>
      <c r="M54" s="1252"/>
    </row>
    <row r="55" spans="2:15" ht="12.75" hidden="1" customHeight="1" x14ac:dyDescent="0.2">
      <c r="B55" s="1253" t="s">
        <v>660</v>
      </c>
      <c r="C55" s="1254"/>
      <c r="D55" s="1254"/>
      <c r="E55" s="1254"/>
      <c r="F55" s="1254"/>
      <c r="G55" s="1255"/>
      <c r="H55" s="724"/>
      <c r="I55" s="1238"/>
      <c r="J55" s="1238"/>
      <c r="K55" s="1238"/>
      <c r="L55" s="1238"/>
      <c r="M55" s="1239"/>
    </row>
    <row r="56" spans="2:15" ht="12.75" hidden="1" customHeight="1" x14ac:dyDescent="0.2">
      <c r="B56" s="1236" t="s">
        <v>661</v>
      </c>
      <c r="C56" s="1237"/>
      <c r="D56" s="1237"/>
      <c r="E56" s="1237"/>
      <c r="F56" s="1237"/>
      <c r="G56" s="1237"/>
      <c r="H56" s="725"/>
      <c r="I56" s="1238"/>
      <c r="J56" s="1238"/>
      <c r="K56" s="1238"/>
      <c r="L56" s="1238"/>
      <c r="M56" s="1239"/>
    </row>
    <row r="57" spans="2:15" ht="12.75" hidden="1" customHeight="1" x14ac:dyDescent="0.2">
      <c r="B57" s="1225"/>
      <c r="C57" s="1226"/>
      <c r="D57" s="1226"/>
      <c r="E57" s="1226"/>
      <c r="F57" s="1226"/>
      <c r="G57" s="1226"/>
      <c r="H57" s="1227"/>
      <c r="I57" s="292"/>
      <c r="J57" s="292"/>
      <c r="K57" s="292"/>
      <c r="L57" s="292"/>
      <c r="M57" s="726"/>
    </row>
    <row r="58" spans="2:15" ht="12.75" hidden="1" customHeight="1" x14ac:dyDescent="0.2">
      <c r="B58" s="1228" t="s">
        <v>662</v>
      </c>
      <c r="C58" s="1229"/>
      <c r="D58" s="1229"/>
      <c r="E58" s="1229"/>
      <c r="F58" s="1229"/>
      <c r="G58" s="1229"/>
      <c r="H58" s="727"/>
      <c r="I58" s="292"/>
      <c r="J58" s="292"/>
      <c r="K58" s="292"/>
      <c r="L58" s="292"/>
      <c r="M58" s="726"/>
    </row>
    <row r="59" spans="2:15" ht="12.75" hidden="1" customHeight="1" x14ac:dyDescent="0.2">
      <c r="B59" s="1230" t="s">
        <v>660</v>
      </c>
      <c r="C59" s="1231"/>
      <c r="D59" s="1231"/>
      <c r="E59" s="1231"/>
      <c r="F59" s="1231"/>
      <c r="G59" s="1232"/>
      <c r="H59" s="728"/>
      <c r="I59" s="292"/>
      <c r="J59" s="292"/>
      <c r="K59" s="292"/>
      <c r="L59" s="292"/>
      <c r="M59" s="726"/>
    </row>
    <row r="60" spans="2:15" ht="12.75" hidden="1" customHeight="1" x14ac:dyDescent="0.2">
      <c r="B60" s="1233" t="s">
        <v>663</v>
      </c>
      <c r="C60" s="1234"/>
      <c r="D60" s="1234"/>
      <c r="E60" s="1234"/>
      <c r="F60" s="1234"/>
      <c r="G60" s="1234"/>
      <c r="H60" s="729"/>
      <c r="I60" s="265"/>
      <c r="J60" s="265"/>
      <c r="K60" s="265"/>
      <c r="L60" s="265"/>
      <c r="M60" s="730"/>
    </row>
    <row r="61" spans="2:15" ht="15.75" hidden="1" customHeight="1" x14ac:dyDescent="0.2">
      <c r="F61" s="731" t="s">
        <v>664</v>
      </c>
      <c r="G61" s="732">
        <f>SUM($G$10:G15)</f>
        <v>1370812.2000000002</v>
      </c>
      <c r="I61" s="733">
        <v>28699555.799999997</v>
      </c>
    </row>
    <row r="62" spans="2:15" ht="15.75" hidden="1" customHeight="1" x14ac:dyDescent="0.2">
      <c r="B62" s="734"/>
      <c r="G62" s="111" t="b">
        <v>0</v>
      </c>
      <c r="J62" s="1235"/>
      <c r="K62" s="1235"/>
    </row>
    <row r="63" spans="2:15" ht="15.75" hidden="1" customHeight="1" x14ac:dyDescent="0.2">
      <c r="G63" s="732"/>
      <c r="I63" s="735"/>
    </row>
    <row r="64" spans="2:15" ht="15.75" customHeight="1" x14ac:dyDescent="0.2">
      <c r="G64" s="732"/>
      <c r="M64" s="732"/>
    </row>
    <row r="65" spans="7:12" ht="15.75" customHeight="1" x14ac:dyDescent="0.2">
      <c r="H65" s="736"/>
      <c r="K65" s="732"/>
      <c r="L65" s="732"/>
    </row>
    <row r="66" spans="7:12" ht="15.75" customHeight="1" x14ac:dyDescent="0.2">
      <c r="I66" s="737"/>
    </row>
    <row r="67" spans="7:12" ht="15.75" customHeight="1" x14ac:dyDescent="0.2">
      <c r="I67" s="737"/>
    </row>
    <row r="68" spans="7:12" ht="15.75" customHeight="1" x14ac:dyDescent="0.2"/>
    <row r="69" spans="7:12" ht="15.75" customHeight="1" x14ac:dyDescent="0.2"/>
    <row r="70" spans="7:12" ht="15.75" customHeight="1" x14ac:dyDescent="0.2"/>
    <row r="71" spans="7:12" ht="15.75" customHeight="1" x14ac:dyDescent="0.2"/>
    <row r="72" spans="7:12" ht="15.75" customHeight="1" x14ac:dyDescent="0.2"/>
    <row r="73" spans="7:12" ht="15.75" customHeight="1" x14ac:dyDescent="0.2"/>
    <row r="74" spans="7:12" x14ac:dyDescent="0.2">
      <c r="G74" s="111">
        <v>1617046.84</v>
      </c>
    </row>
  </sheetData>
  <mergeCells count="75">
    <mergeCell ref="B6:O6"/>
    <mergeCell ref="B1:O1"/>
    <mergeCell ref="B2:F2"/>
    <mergeCell ref="G2:I2"/>
    <mergeCell ref="J2:L2"/>
    <mergeCell ref="M2:O2"/>
    <mergeCell ref="C3:E3"/>
    <mergeCell ref="C4:E4"/>
    <mergeCell ref="B5:F5"/>
    <mergeCell ref="G5:I5"/>
    <mergeCell ref="J5:L5"/>
    <mergeCell ref="M5:O5"/>
    <mergeCell ref="B7:O7"/>
    <mergeCell ref="B8:B9"/>
    <mergeCell ref="C8:E9"/>
    <mergeCell ref="F8:F9"/>
    <mergeCell ref="G8:K8"/>
    <mergeCell ref="L8:M9"/>
    <mergeCell ref="N8:O8"/>
    <mergeCell ref="L21:M21"/>
    <mergeCell ref="L10:M10"/>
    <mergeCell ref="L11:M11"/>
    <mergeCell ref="L12:M12"/>
    <mergeCell ref="L13:M13"/>
    <mergeCell ref="L14:M14"/>
    <mergeCell ref="L15:M15"/>
    <mergeCell ref="L16:M16"/>
    <mergeCell ref="L17:M17"/>
    <mergeCell ref="L18:M18"/>
    <mergeCell ref="L19:M19"/>
    <mergeCell ref="L20:M20"/>
    <mergeCell ref="L34:M34"/>
    <mergeCell ref="L22:M22"/>
    <mergeCell ref="L23:M23"/>
    <mergeCell ref="L24:M24"/>
    <mergeCell ref="L25:M25"/>
    <mergeCell ref="L26:M26"/>
    <mergeCell ref="L27:M27"/>
    <mergeCell ref="L29:M29"/>
    <mergeCell ref="L30:M30"/>
    <mergeCell ref="L31:M31"/>
    <mergeCell ref="L32:M32"/>
    <mergeCell ref="L33:M33"/>
    <mergeCell ref="L28:M28"/>
    <mergeCell ref="L47:M47"/>
    <mergeCell ref="L35:M35"/>
    <mergeCell ref="L37:M37"/>
    <mergeCell ref="L38:M38"/>
    <mergeCell ref="L39:M39"/>
    <mergeCell ref="L40:M40"/>
    <mergeCell ref="L41:M41"/>
    <mergeCell ref="L42:M42"/>
    <mergeCell ref="L43:M43"/>
    <mergeCell ref="L44:M44"/>
    <mergeCell ref="L45:M45"/>
    <mergeCell ref="L46:M46"/>
    <mergeCell ref="L36:M36"/>
    <mergeCell ref="B56:G56"/>
    <mergeCell ref="I56:M56"/>
    <mergeCell ref="L48:M48"/>
    <mergeCell ref="L49:M49"/>
    <mergeCell ref="L50:M50"/>
    <mergeCell ref="L51:M51"/>
    <mergeCell ref="B52:E52"/>
    <mergeCell ref="L52:M52"/>
    <mergeCell ref="B53:M53"/>
    <mergeCell ref="B54:G54"/>
    <mergeCell ref="I54:M54"/>
    <mergeCell ref="B55:G55"/>
    <mergeCell ref="I55:M55"/>
    <mergeCell ref="B57:H57"/>
    <mergeCell ref="B58:G58"/>
    <mergeCell ref="B59:G59"/>
    <mergeCell ref="B60:G60"/>
    <mergeCell ref="J62:K62"/>
  </mergeCells>
  <printOptions horizontalCentered="1"/>
  <pageMargins left="0.25" right="0.25" top="0.75" bottom="0.75" header="0.3" footer="0.3"/>
  <pageSetup paperSize="9" scale="69" fitToHeight="27" orientation="landscape"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pageSetUpPr fitToPage="1"/>
  </sheetPr>
  <dimension ref="A1:I634"/>
  <sheetViews>
    <sheetView view="pageBreakPreview" zoomScaleNormal="100" zoomScaleSheetLayoutView="100" workbookViewId="0">
      <selection activeCell="H26" sqref="H26"/>
    </sheetView>
  </sheetViews>
  <sheetFormatPr defaultColWidth="9.140625" defaultRowHeight="16.5" x14ac:dyDescent="0.3"/>
  <cols>
    <col min="1" max="1" width="5.7109375" style="42" customWidth="1"/>
    <col min="2" max="2" width="15.7109375" style="97" customWidth="1"/>
    <col min="3" max="3" width="80.7109375" style="30" customWidth="1"/>
    <col min="4" max="4" width="12.7109375" style="97" customWidth="1"/>
    <col min="5" max="5" width="6.7109375" style="97" customWidth="1"/>
    <col min="6" max="6" width="5.7109375" style="99" customWidth="1"/>
    <col min="7" max="7" width="9.28515625" style="29" bestFit="1" customWidth="1"/>
    <col min="8" max="8" width="9.140625" style="29"/>
    <col min="9" max="16384" width="9.140625" style="30"/>
  </cols>
  <sheetData>
    <row r="1" spans="1:9" s="8" customFormat="1" ht="15.75" x14ac:dyDescent="0.25">
      <c r="A1" s="1"/>
      <c r="B1" s="2"/>
      <c r="C1" s="3"/>
      <c r="D1" s="4"/>
      <c r="E1" s="5"/>
      <c r="F1" s="6"/>
      <c r="G1" s="7"/>
      <c r="H1" s="7"/>
    </row>
    <row r="2" spans="1:9" s="8" customFormat="1" ht="15.75" x14ac:dyDescent="0.2">
      <c r="A2" s="9"/>
      <c r="B2" s="2"/>
      <c r="C2" s="1300" t="s">
        <v>1138</v>
      </c>
      <c r="D2" s="10"/>
      <c r="E2" s="5"/>
      <c r="F2" s="6"/>
      <c r="G2" s="7"/>
      <c r="H2" s="7"/>
    </row>
    <row r="3" spans="1:9" s="8" customFormat="1" ht="15.75" x14ac:dyDescent="0.2">
      <c r="A3" s="9"/>
      <c r="B3" s="2"/>
      <c r="C3" s="1300"/>
      <c r="D3" s="10"/>
      <c r="E3" s="5"/>
      <c r="F3" s="6"/>
      <c r="G3" s="7"/>
      <c r="H3" s="7"/>
    </row>
    <row r="4" spans="1:9" s="8" customFormat="1" ht="15.75" x14ac:dyDescent="0.2">
      <c r="A4" s="9"/>
      <c r="B4" s="2"/>
      <c r="C4" s="1300"/>
      <c r="D4" s="10"/>
      <c r="E4" s="5"/>
      <c r="F4" s="6"/>
      <c r="G4" s="7"/>
      <c r="H4" s="7"/>
    </row>
    <row r="5" spans="1:9" s="8" customFormat="1" ht="15.75" x14ac:dyDescent="0.2">
      <c r="A5" s="9"/>
      <c r="B5" s="2"/>
      <c r="C5" s="1300"/>
      <c r="D5" s="10"/>
      <c r="E5" s="5"/>
      <c r="F5" s="6"/>
      <c r="G5" s="11"/>
      <c r="H5" s="11"/>
    </row>
    <row r="6" spans="1:9" s="8" customFormat="1" ht="15.75" x14ac:dyDescent="0.2">
      <c r="A6" s="9"/>
      <c r="B6" s="2"/>
      <c r="C6" s="3"/>
      <c r="D6" s="10"/>
      <c r="E6" s="5"/>
      <c r="F6" s="6"/>
      <c r="G6" s="11"/>
      <c r="H6" s="11"/>
    </row>
    <row r="7" spans="1:9" s="8" customFormat="1" ht="15" x14ac:dyDescent="0.2">
      <c r="A7" s="9"/>
      <c r="B7" s="12" t="s">
        <v>0</v>
      </c>
      <c r="C7" s="13" t="s">
        <v>1</v>
      </c>
      <c r="D7" s="13"/>
      <c r="E7" s="13"/>
      <c r="F7" s="6"/>
      <c r="G7" s="11"/>
      <c r="H7" s="11"/>
    </row>
    <row r="8" spans="1:9" s="8" customFormat="1" ht="15" x14ac:dyDescent="0.2">
      <c r="A8" s="9"/>
      <c r="B8" s="12" t="s">
        <v>2</v>
      </c>
      <c r="C8" s="13" t="str">
        <f>'11 - FINANCEIRO'!C7</f>
        <v>Canal Guaranhus no Município de Vila Velha/ES</v>
      </c>
      <c r="D8" s="13"/>
      <c r="E8" s="13"/>
      <c r="F8" s="6"/>
      <c r="G8" s="11"/>
      <c r="H8" s="11"/>
    </row>
    <row r="9" spans="1:9" s="8" customFormat="1" ht="15" x14ac:dyDescent="0.2">
      <c r="A9" s="9"/>
      <c r="B9" s="12" t="s">
        <v>3</v>
      </c>
      <c r="C9" s="13" t="str">
        <f>'11 - FINANCEIRO'!C8</f>
        <v>Construção de Drenagem e Urbanização do Canal Guaranhuns</v>
      </c>
      <c r="D9" s="13"/>
      <c r="E9" s="13"/>
      <c r="F9" s="6"/>
      <c r="G9" s="11"/>
      <c r="H9" s="11"/>
    </row>
    <row r="10" spans="1:9" s="8" customFormat="1" ht="15" x14ac:dyDescent="0.2">
      <c r="A10" s="9"/>
      <c r="B10" s="12" t="s">
        <v>4</v>
      </c>
      <c r="C10" s="14" t="s">
        <v>5</v>
      </c>
      <c r="D10" s="13"/>
      <c r="E10" s="13"/>
      <c r="F10" s="6"/>
      <c r="G10" s="11"/>
      <c r="H10" s="11"/>
    </row>
    <row r="11" spans="1:9" s="8" customFormat="1" ht="15" x14ac:dyDescent="0.2">
      <c r="A11" s="9"/>
      <c r="B11" s="12" t="s">
        <v>6</v>
      </c>
      <c r="C11" s="15">
        <f>'11 - FINANCEIRO'!F9</f>
        <v>44742</v>
      </c>
      <c r="D11" s="13"/>
      <c r="E11" s="13"/>
      <c r="F11" s="6"/>
      <c r="G11" s="11"/>
      <c r="H11" s="11"/>
    </row>
    <row r="12" spans="1:9" s="8" customFormat="1" ht="24" x14ac:dyDescent="0.2">
      <c r="A12" s="9"/>
      <c r="B12" s="16" t="s">
        <v>7</v>
      </c>
      <c r="C12" s="17" t="str">
        <f>'11 - FINANCEIRO'!C10</f>
        <v>01/04/2026 a 30/04/2026</v>
      </c>
      <c r="D12" s="13"/>
      <c r="E12" s="13"/>
      <c r="F12" s="18"/>
      <c r="G12" s="18"/>
      <c r="H12" s="18"/>
      <c r="I12" s="18"/>
    </row>
    <row r="13" spans="1:9" s="8" customFormat="1" ht="8.1" customHeight="1" x14ac:dyDescent="0.2">
      <c r="A13" s="9"/>
      <c r="B13" s="13"/>
      <c r="C13" s="19"/>
      <c r="D13" s="10"/>
      <c r="E13" s="20"/>
      <c r="F13" s="6"/>
      <c r="G13" s="7"/>
      <c r="H13" s="7"/>
    </row>
    <row r="14" spans="1:9" s="8" customFormat="1" ht="15" customHeight="1" x14ac:dyDescent="0.2">
      <c r="A14" s="21"/>
      <c r="B14" s="1301">
        <f>'11 - FINANCEIRO'!C9</f>
        <v>44</v>
      </c>
      <c r="C14" s="1301"/>
      <c r="D14" s="1301"/>
      <c r="E14" s="1301"/>
      <c r="F14" s="6"/>
      <c r="G14" s="7"/>
      <c r="H14" s="7"/>
      <c r="I14" s="22"/>
    </row>
    <row r="15" spans="1:9" ht="15" customHeight="1" x14ac:dyDescent="0.3">
      <c r="A15" s="23" t="s">
        <v>8</v>
      </c>
      <c r="B15" s="24" t="str">
        <f>VLOOKUP(A15,'11 - FINANCEIRO'!A:M,1,0)</f>
        <v>1.0</v>
      </c>
      <c r="C15" s="25" t="str">
        <f>VLOOKUP(A15,'11 - FINANCEIRO'!A:M,2,FALSE)</f>
        <v xml:space="preserve">Administração e Canteiro </v>
      </c>
      <c r="D15" s="26"/>
      <c r="E15" s="27"/>
      <c r="F15" s="28" t="str">
        <f>A15</f>
        <v>1.0</v>
      </c>
      <c r="G15" s="29" t="str">
        <f>IF(D15&gt;0,"POSITIVO",IF(D15=0,"NULO",IF(D15&lt;0,"NEGATIVO")))</f>
        <v>NULO</v>
      </c>
      <c r="H15" s="29">
        <f>SUM(H17:H30)</f>
        <v>9</v>
      </c>
      <c r="I15" s="30" t="s">
        <v>9</v>
      </c>
    </row>
    <row r="16" spans="1:9" x14ac:dyDescent="0.3">
      <c r="A16" s="31" t="s">
        <v>10</v>
      </c>
      <c r="B16" s="32" t="str">
        <f>VLOOKUP(A16,'11 - FINANCEIRO'!A:M,1,0)</f>
        <v>1.1</v>
      </c>
      <c r="C16" s="33" t="str">
        <f>VLOOKUP(A16,'11 - FINANCEIRO'!A:M,2,FALSE)</f>
        <v>Implantação do Canteiro de Obras</v>
      </c>
      <c r="D16" s="34"/>
      <c r="E16" s="35"/>
      <c r="F16" s="28" t="str">
        <f t="shared" ref="F16:F79" si="0">A16</f>
        <v>1.1</v>
      </c>
      <c r="G16" s="29" t="str">
        <f>IF(D16&gt;0,"POSITIVO",IF(D16=0,"NULO",IF(D16&lt;0,"NEGATIVO")))</f>
        <v>NULO</v>
      </c>
      <c r="H16" s="29">
        <f>SUM(H17:H23)</f>
        <v>1</v>
      </c>
      <c r="I16" s="30" t="s">
        <v>9</v>
      </c>
    </row>
    <row r="17" spans="1:9" ht="38.25" hidden="1" x14ac:dyDescent="0.3">
      <c r="A17" s="36" t="s">
        <v>11</v>
      </c>
      <c r="B17" s="37" t="str">
        <f>VLOOKUP(A17,'11 - FINANCEIRO'!A:M,1,0)</f>
        <v>1.1.1</v>
      </c>
      <c r="C17" s="38" t="str">
        <f>VLOOKUP(A17,'11 - FINANCEIRO'!A:M,3,FALSE)</f>
        <v>Rede De Água Com Padrão De Entrada D'Água Diâm. 3/4", Conf. Espec. Cesan, Incl. Tubos E Conexões Para Alimentação, Distribuição, Extravasor E Limpeza, Cons. O Padrão A 25M, Conf. Projeto (1 Utilização)</v>
      </c>
      <c r="D17" s="39">
        <f>VLOOKUP(A17,'11 - FINANCEIRO'!A:M,10,0)</f>
        <v>0</v>
      </c>
      <c r="E17" s="40" t="str">
        <f>VLOOKUP(A17,'11 - FINANCEIRO'!A:M,4,0)</f>
        <v>m</v>
      </c>
      <c r="F17" s="41" t="str">
        <f t="shared" si="0"/>
        <v>1.1.1</v>
      </c>
      <c r="G17" s="29" t="str">
        <f>IF(D17&gt;0,"POSITIVO",IF(D17=0,"NULO",IF(D17&lt;0,"NEGATIVO")))</f>
        <v>NULO</v>
      </c>
      <c r="H17" s="29">
        <f t="shared" ref="H17:H23" si="1">IF(G17="NULO",0,1)</f>
        <v>0</v>
      </c>
    </row>
    <row r="18" spans="1:9" ht="25.5" hidden="1" x14ac:dyDescent="0.3">
      <c r="A18" s="36" t="s">
        <v>12</v>
      </c>
      <c r="B18" s="37" t="str">
        <f>VLOOKUP(A18,'11 - FINANCEIRO'!A:M,1,0)</f>
        <v>1.1.2</v>
      </c>
      <c r="C18" s="38" t="str">
        <f>VLOOKUP(A18,'11 - FINANCEIRO'!A:M,3,FALSE)</f>
        <v>Rede De Esgoto, Contendo Fossa E Filtro, Inclusive Tubos E Conexões De Ligação Entre Caixas, Considerando Distância De 25M, Conforme Projeto (1 Utilização)</v>
      </c>
      <c r="D18" s="39">
        <f>VLOOKUP(A18,'11 - FINANCEIRO'!A:M,10,0)</f>
        <v>0</v>
      </c>
      <c r="E18" s="40" t="str">
        <f>VLOOKUP(A18,'11 - FINANCEIRO'!A:M,4,0)</f>
        <v>m</v>
      </c>
      <c r="F18" s="41" t="str">
        <f t="shared" si="0"/>
        <v>1.1.2</v>
      </c>
      <c r="G18" s="29" t="str">
        <f t="shared" ref="G18:G28" si="2">IF(D18&gt;0,"POSITIVO",IF(D18=0,"NULO",IF(D18&lt;0,"NEGATIVO")))</f>
        <v>NULO</v>
      </c>
      <c r="H18" s="29">
        <f t="shared" si="1"/>
        <v>0</v>
      </c>
    </row>
    <row r="19" spans="1:9" ht="38.25" hidden="1" x14ac:dyDescent="0.3">
      <c r="A19" s="36" t="s">
        <v>13</v>
      </c>
      <c r="B19" s="37" t="str">
        <f>VLOOKUP(A19,'11 - FINANCEIRO'!A:M,1,0)</f>
        <v>1.1.3</v>
      </c>
      <c r="C19" s="38" t="str">
        <f>VLOOKUP(A19,'11 - FINANCEIRO'!A:M,3,FALSE)</f>
        <v>Rede De Luz, Incl. Padrão Entrada De Energia Trifás., Cabo De Ligação Até Barracões, Quadro De Distrib., Disj. E Chave De Força (Quando Necessário), Cons. 20M Entre Padrão Entrada E Qdg, Conf. Projeto (1 Utilização)</v>
      </c>
      <c r="D19" s="39">
        <f>VLOOKUP(A19,'11 - FINANCEIRO'!A:M,10,0)</f>
        <v>0</v>
      </c>
      <c r="E19" s="40" t="str">
        <f>VLOOKUP(A19,'11 - FINANCEIRO'!A:M,4,0)</f>
        <v>m</v>
      </c>
      <c r="F19" s="41" t="str">
        <f t="shared" si="0"/>
        <v>1.1.3</v>
      </c>
      <c r="G19" s="29" t="str">
        <f t="shared" si="2"/>
        <v>NULO</v>
      </c>
      <c r="H19" s="29">
        <f t="shared" si="1"/>
        <v>0</v>
      </c>
    </row>
    <row r="20" spans="1:9" ht="25.5" hidden="1" x14ac:dyDescent="0.3">
      <c r="A20" s="36" t="s">
        <v>14</v>
      </c>
      <c r="B20" s="37" t="str">
        <f>VLOOKUP(A20,'11 - FINANCEIRO'!A:M,1,0)</f>
        <v>1.1.4</v>
      </c>
      <c r="C20" s="38" t="str">
        <f>VLOOKUP(A20,'11 - FINANCEIRO'!A:M,3,FALSE)</f>
        <v>Reservatório De Poliestileno De 1000 L, Incl. Suporte Em Madeira De 7X12Cm E 8X7Cm, Elevado De 4M, Conf. Projeto (1 Utilização)</v>
      </c>
      <c r="D20" s="39">
        <f>VLOOKUP(A20,'11 - FINANCEIRO'!A:M,10,0)</f>
        <v>0</v>
      </c>
      <c r="E20" s="40" t="str">
        <f>VLOOKUP(A20,'11 - FINANCEIRO'!A:M,4,0)</f>
        <v>und</v>
      </c>
      <c r="F20" s="41" t="str">
        <f t="shared" si="0"/>
        <v>1.1.4</v>
      </c>
      <c r="G20" s="29" t="str">
        <f t="shared" si="2"/>
        <v>NULO</v>
      </c>
      <c r="H20" s="29">
        <f t="shared" si="1"/>
        <v>0</v>
      </c>
    </row>
    <row r="21" spans="1:9" ht="38.25" x14ac:dyDescent="0.3">
      <c r="A21" s="36" t="s">
        <v>15</v>
      </c>
      <c r="B21" s="37" t="str">
        <f>VLOOKUP(A21,'11 - FINANCEIRO'!A:M,1,0)</f>
        <v>1.1.5</v>
      </c>
      <c r="C21" s="38" t="str">
        <f>VLOOKUP(A21,'11 - FINANCEIRO'!A:M,3,FALSE)</f>
        <v>Tapume Telha Metálica Ondulada Em Aço Galvalume 0,50Mm Branca H=2,20M, Incl. Montagem Estr. Mad. 8"X8", C/Adesivo "Der-Es" 60X60Cm A Cada 10M, Incl. Faixas Pint. Esmalte Sint. Cores Azul C/ H=30Cm E Rosa C/ H=10Cm (Reaproveitamento 2X)</v>
      </c>
      <c r="D21" s="39">
        <f>VLOOKUP(A21,'11 - FINANCEIRO'!A:M,10,0)</f>
        <v>48.41799999999995</v>
      </c>
      <c r="E21" s="40" t="str">
        <f>VLOOKUP(A21,'11 - FINANCEIRO'!A:M,4,0)</f>
        <v>m</v>
      </c>
      <c r="F21" s="41" t="str">
        <f t="shared" si="0"/>
        <v>1.1.5</v>
      </c>
      <c r="G21" s="29" t="str">
        <f t="shared" si="2"/>
        <v>POSITIVO</v>
      </c>
      <c r="H21" s="29">
        <f t="shared" si="1"/>
        <v>1</v>
      </c>
    </row>
    <row r="22" spans="1:9" hidden="1" x14ac:dyDescent="0.3">
      <c r="A22" s="36" t="s">
        <v>16</v>
      </c>
      <c r="B22" s="37" t="str">
        <f>VLOOKUP(A22,'11 - FINANCEIRO'!A:M,1,0)</f>
        <v>1.1.6</v>
      </c>
      <c r="C22" s="38" t="str">
        <f>VLOOKUP(A22,'11 - FINANCEIRO'!A:M,3,FALSE)</f>
        <v>Placa De Obra Nas Dimensões De 2.0 X 4.0 M, Padrão Iopes</v>
      </c>
      <c r="D22" s="39">
        <f>VLOOKUP(A22,'11 - FINANCEIRO'!A:M,10,0)</f>
        <v>0</v>
      </c>
      <c r="E22" s="40" t="str">
        <f>VLOOKUP(A22,'11 - FINANCEIRO'!A:M,4,0)</f>
        <v>m²</v>
      </c>
      <c r="F22" s="41" t="str">
        <f t="shared" si="0"/>
        <v>1.1.6</v>
      </c>
      <c r="G22" s="29" t="str">
        <f t="shared" si="2"/>
        <v>NULO</v>
      </c>
      <c r="H22" s="29">
        <f t="shared" si="1"/>
        <v>0</v>
      </c>
    </row>
    <row r="23" spans="1:9" ht="25.5" hidden="1" x14ac:dyDescent="0.3">
      <c r="A23" s="42" t="s">
        <v>17</v>
      </c>
      <c r="B23" s="43" t="str">
        <f>VLOOKUP(A23,'11 - FINANCEIRO'!A:M,1,0)</f>
        <v>1.1.7</v>
      </c>
      <c r="C23" s="44" t="str">
        <f>VLOOKUP(A23,'11 - FINANCEIRO'!A:M,3,FALSE)</f>
        <v>Placa Para Inauguração De Obra Em Alumínio Polido E=4Mm, Dimensões 40 X 50 Cm, Gravação Em Baixo Relevo, Inclusive Pintura E Fixação</v>
      </c>
      <c r="D23" s="45">
        <f>VLOOKUP(A23,'11 - FINANCEIRO'!A:M,10,0)</f>
        <v>0</v>
      </c>
      <c r="E23" s="46" t="str">
        <f>VLOOKUP(A23,'11 - FINANCEIRO'!A:M,4,0)</f>
        <v>und</v>
      </c>
      <c r="F23" s="28" t="str">
        <f t="shared" si="0"/>
        <v>1.1.7</v>
      </c>
      <c r="G23" s="29" t="str">
        <f t="shared" si="2"/>
        <v>NULO</v>
      </c>
      <c r="H23" s="29">
        <f t="shared" si="1"/>
        <v>0</v>
      </c>
    </row>
    <row r="24" spans="1:9" x14ac:dyDescent="0.3">
      <c r="A24" s="31" t="s">
        <v>18</v>
      </c>
      <c r="B24" s="32" t="s">
        <v>18</v>
      </c>
      <c r="C24" s="33" t="str">
        <f>VLOOKUP(A24,'11 - FINANCEIRO'!A:M,2,FALSE)</f>
        <v>Canteiro de Obras</v>
      </c>
      <c r="D24" s="34"/>
      <c r="E24" s="35"/>
      <c r="F24" s="28" t="str">
        <f>A24</f>
        <v>1.2</v>
      </c>
      <c r="H24" s="29">
        <f>SUM(H25:H30)</f>
        <v>4</v>
      </c>
      <c r="I24" s="30" t="s">
        <v>9</v>
      </c>
    </row>
    <row r="25" spans="1:9" hidden="1" x14ac:dyDescent="0.3">
      <c r="A25" s="42" t="s">
        <v>19</v>
      </c>
      <c r="B25" s="47" t="str">
        <f>VLOOKUP(A25,'11 - FINANCEIRO'!A:M,1,0)</f>
        <v>1.2.1</v>
      </c>
      <c r="C25" s="44" t="str">
        <f>VLOOKUP(A25,'11 - FINANCEIRO'!A:M,3,FALSE)</f>
        <v>Mobilização E Desmobilização De Conteiner Locado Para Barracão De Obra</v>
      </c>
      <c r="D25" s="48">
        <f>VLOOKUP(A25,'11 - FINANCEIRO'!A:M,10,0)</f>
        <v>0</v>
      </c>
      <c r="E25" s="49" t="str">
        <f>VLOOKUP(A25,'11 - FINANCEIRO'!A:M,4,0)</f>
        <v>und</v>
      </c>
      <c r="F25" s="28" t="str">
        <f t="shared" si="0"/>
        <v>1.2.1</v>
      </c>
      <c r="G25" s="29" t="str">
        <f t="shared" si="2"/>
        <v>NULO</v>
      </c>
      <c r="H25" s="29">
        <f t="shared" ref="H25:H30" si="3">IF(G25="NULO",0,1)</f>
        <v>0</v>
      </c>
    </row>
    <row r="26" spans="1:9" ht="42" customHeight="1" x14ac:dyDescent="0.3">
      <c r="A26" s="50" t="s">
        <v>20</v>
      </c>
      <c r="B26" s="37" t="str">
        <f>VLOOKUP(A26,'11 - FINANCEIRO'!A:M,1,0)</f>
        <v>1.2.2</v>
      </c>
      <c r="C26" s="38" t="str">
        <f>VLOOKUP(A26,'11 - FINANCEIRO'!A:M,3,FALSE)</f>
        <v>Aluguel Mensal Container Para Refeitorio, Incl. Porta, 2 Janelas, Abert P/ Ar Cond., 2 Pt Iluminação, 2 Tomadas Elét. E 1 Tomada Telef. Isolamento Térmico (Paredes E Teto), Piso Em Comp. Naval Pintado, Cert. Nr18, Incl. Laudo Descontaminação.</v>
      </c>
      <c r="D26" s="39">
        <f>VLOOKUP(A26,'11 - FINANCEIRO'!A:M,10,0)</f>
        <v>1</v>
      </c>
      <c r="E26" s="40" t="str">
        <f>VLOOKUP(A26,'11 - FINANCEIRO'!A:M,4,0)</f>
        <v>mês</v>
      </c>
      <c r="F26" s="28" t="str">
        <f t="shared" si="0"/>
        <v>1.2.2</v>
      </c>
      <c r="G26" s="29" t="str">
        <f t="shared" si="2"/>
        <v>POSITIVO</v>
      </c>
      <c r="H26" s="29">
        <f t="shared" si="3"/>
        <v>1</v>
      </c>
    </row>
    <row r="27" spans="1:9" ht="42" customHeight="1" x14ac:dyDescent="0.3">
      <c r="A27" s="50" t="s">
        <v>21</v>
      </c>
      <c r="B27" s="37" t="str">
        <f>VLOOKUP(A27,'11 - FINANCEIRO'!A:M,1,0)</f>
        <v>1.2.3</v>
      </c>
      <c r="C27" s="38" t="str">
        <f>VLOOKUP(A27,'11 - FINANCEIRO'!A:M,3,FALSE)</f>
        <v>Aluguel Mensal Container Sanitário, Incl Porta, Básc, 2 Ptos Luz, 1 Pto Aterram., 3Vasos, 3Lavatórios, Calha Mictório, 6 Chuveiros (1 Eletrico), Torn.,Registros, Piso Comp. Naval Pintado, Cert Nr18 E Laudo Descontaminação</v>
      </c>
      <c r="D27" s="39">
        <f>VLOOKUP(A27,'11 - FINANCEIRO'!A:M,10,0)</f>
        <v>6</v>
      </c>
      <c r="E27" s="40" t="str">
        <f>VLOOKUP(A27,'11 - FINANCEIRO'!A:M,4,0)</f>
        <v>mês</v>
      </c>
      <c r="F27" s="28" t="str">
        <f t="shared" si="0"/>
        <v>1.2.3</v>
      </c>
      <c r="G27" s="29" t="str">
        <f t="shared" si="2"/>
        <v>POSITIVO</v>
      </c>
      <c r="H27" s="29">
        <f t="shared" si="3"/>
        <v>1</v>
      </c>
    </row>
    <row r="28" spans="1:9" ht="51" x14ac:dyDescent="0.3">
      <c r="A28" s="50" t="s">
        <v>22</v>
      </c>
      <c r="B28" s="37" t="str">
        <f>VLOOKUP(A28,'11 - FINANCEIRO'!A:M,1,0)</f>
        <v>1.2.4</v>
      </c>
      <c r="C28" s="38" t="str">
        <f>VLOOKUP(A28,'11 - FINANCEIRO'!A:M,3,FALSE)</f>
        <v>Aluguel Mensal Container Para Escritório, Dim. 6.00X2.40M, C/ Banheiro (Vaso+Lavat+Chuveiro E Básc), Incl. Porta, 2 Janelas, Abert P/ Ar Cond., 2 Pt Iluminação, 2 Tom. Elét. E 1 Tom.Telef. Isolam.Térmico(Teto E Paredes), Piso Em Comp. Naval, Cert. Nr18, Incl. Laudo Descontaminação.</v>
      </c>
      <c r="D28" s="39">
        <f>VLOOKUP(A28,'11 - FINANCEIRO'!A:M,10,0)</f>
        <v>1</v>
      </c>
      <c r="E28" s="40" t="str">
        <f>VLOOKUP(A28,'11 - FINANCEIRO'!A:M,4,0)</f>
        <v>mês</v>
      </c>
      <c r="F28" s="28" t="str">
        <f t="shared" si="0"/>
        <v>1.2.4</v>
      </c>
      <c r="G28" s="29" t="str">
        <f t="shared" si="2"/>
        <v>POSITIVO</v>
      </c>
      <c r="H28" s="29">
        <f t="shared" si="3"/>
        <v>1</v>
      </c>
    </row>
    <row r="29" spans="1:9" hidden="1" x14ac:dyDescent="0.3">
      <c r="A29" s="36" t="s">
        <v>23</v>
      </c>
      <c r="B29" s="37" t="str">
        <f>VLOOKUP(A29,'11 - FINANCEIRO'!A:M,1,0)</f>
        <v>1.2.5</v>
      </c>
      <c r="C29" s="38" t="str">
        <f>VLOOKUP(A29,'11 - FINANCEIRO'!A:M,3,FALSE)</f>
        <v>Mourao Reto De Concreto Base 10X10Cm H=2.50M</v>
      </c>
      <c r="D29" s="39">
        <f>VLOOKUP(A29,'11 - FINANCEIRO'!A:M,10,0)</f>
        <v>0</v>
      </c>
      <c r="E29" s="40" t="str">
        <f>VLOOKUP(A29,'11 - FINANCEIRO'!A:M,4,0)</f>
        <v>un</v>
      </c>
      <c r="F29" s="41" t="str">
        <f t="shared" si="0"/>
        <v>1.2.5</v>
      </c>
      <c r="G29" s="29" t="str">
        <f>IF(D29&gt;0,"POSITIVO",IF(D29=0,"NULO",IF(D29&lt;0,"NEGATIVO")))</f>
        <v>NULO</v>
      </c>
      <c r="H29" s="29">
        <f t="shared" si="3"/>
        <v>0</v>
      </c>
    </row>
    <row r="30" spans="1:9" ht="42" customHeight="1" x14ac:dyDescent="0.3">
      <c r="A30" s="50" t="s">
        <v>24</v>
      </c>
      <c r="B30" s="51" t="str">
        <f>VLOOKUP(A30,'11 - FINANCEIRO'!A:M,1,0)</f>
        <v>1.2.6</v>
      </c>
      <c r="C30" s="52" t="str">
        <f>VLOOKUP(A30,'11 - FINANCEIRO'!A:M,3,FALSE)</f>
        <v>Aluguel Mensal Container Para Vestiário, Incl. Porta, Venezianas De Circulação, 1 Pt Iluminação, Isolamento Térmico (Teto), Piso Em Comp. Naval Pintado, Cert. Nr18, Incl. Laudo Descontaminação.</v>
      </c>
      <c r="D30" s="53">
        <f>VLOOKUP(A30,'11 - FINANCEIRO'!A:M,10,0)</f>
        <v>1</v>
      </c>
      <c r="E30" s="54" t="str">
        <f>VLOOKUP(A30,'11 - FINANCEIRO'!A:M,4,0)</f>
        <v>mês</v>
      </c>
      <c r="F30" s="28" t="str">
        <f t="shared" si="0"/>
        <v>1.2.6</v>
      </c>
      <c r="G30" s="29" t="str">
        <f>IF(D30&gt;0,"POSITIVO",IF(D30=0,"NULO",IF(D30&lt;0,"NEGATIVO")))</f>
        <v>POSITIVO</v>
      </c>
      <c r="H30" s="29">
        <f t="shared" si="3"/>
        <v>1</v>
      </c>
    </row>
    <row r="31" spans="1:9" ht="15" customHeight="1" x14ac:dyDescent="0.3">
      <c r="A31" s="23" t="s">
        <v>25</v>
      </c>
      <c r="B31" s="55" t="str">
        <f>VLOOKUP(A31,'11 - FINANCEIRO'!A:M,1,0)</f>
        <v>2.0</v>
      </c>
      <c r="C31" s="56" t="str">
        <f>VLOOKUP(A31,'11 - FINANCEIRO'!A:M,2,FALSE)</f>
        <v>Canal Guaranhuns 01 - Revestimento em Concreto</v>
      </c>
      <c r="D31" s="57"/>
      <c r="E31" s="58"/>
      <c r="F31" s="28" t="str">
        <f t="shared" si="0"/>
        <v>2.0</v>
      </c>
      <c r="H31" s="29">
        <f>SUM(H32:H106)</f>
        <v>60</v>
      </c>
      <c r="I31" s="30" t="s">
        <v>9</v>
      </c>
    </row>
    <row r="32" spans="1:9" x14ac:dyDescent="0.3">
      <c r="A32" s="31" t="s">
        <v>26</v>
      </c>
      <c r="B32" s="55" t="str">
        <f>VLOOKUP(A32,'11 - FINANCEIRO'!A:M,1,0)</f>
        <v>2.1</v>
      </c>
      <c r="C32" s="56" t="str">
        <f>VLOOKUP(A32,'11 - FINANCEIRO'!A:M,2,FALSE)</f>
        <v>Estrutura</v>
      </c>
      <c r="D32" s="57"/>
      <c r="E32" s="58"/>
      <c r="F32" s="28" t="str">
        <f t="shared" si="0"/>
        <v>2.1</v>
      </c>
      <c r="H32" s="29">
        <f>SUM(H33:H45)</f>
        <v>10</v>
      </c>
      <c r="I32" s="30" t="s">
        <v>9</v>
      </c>
    </row>
    <row r="33" spans="1:9" s="62" customFormat="1" ht="24.75" customHeight="1" x14ac:dyDescent="0.3">
      <c r="A33" s="42" t="s">
        <v>27</v>
      </c>
      <c r="B33" s="59" t="str">
        <f>VLOOKUP(A33,'11 - FINANCEIRO'!A:M,1,0)</f>
        <v>2.1.1</v>
      </c>
      <c r="C33" s="60" t="str">
        <f>VLOOKUP(A33,'11 - FINANCEIRO'!A:M,3,FALSE)</f>
        <v>Concreto Para Bombeamento Fck = 30 Mpa - Confecção Em Central Dosadora De 30 M³/H - Areia E Brita Comerciais</v>
      </c>
      <c r="D33" s="61">
        <f>VLOOKUP(A33,'11 - FINANCEIRO'!A:M,10,0)</f>
        <v>370</v>
      </c>
      <c r="E33" s="59" t="str">
        <f>VLOOKUP(A33,'11 - FINANCEIRO'!A:M,4,0)</f>
        <v>m³</v>
      </c>
      <c r="F33" s="28" t="str">
        <f t="shared" si="0"/>
        <v>2.1.1</v>
      </c>
      <c r="G33" s="29" t="str">
        <f>IF(D33&gt;0,"POSITIVO",IF(D33=0,"NULO",IF(D33&lt;0,"NEGATIVO")))</f>
        <v>POSITIVO</v>
      </c>
      <c r="H33" s="29">
        <f t="shared" ref="H33:H60" si="4">IF(G33="NULO",0,1)</f>
        <v>1</v>
      </c>
    </row>
    <row r="34" spans="1:9" x14ac:dyDescent="0.3">
      <c r="A34" s="42" t="s">
        <v>28</v>
      </c>
      <c r="B34" s="59" t="str">
        <f>VLOOKUP(A34,'11 - FINANCEIRO'!A:M,1,0)</f>
        <v>2.1.2</v>
      </c>
      <c r="C34" s="60" t="str">
        <f>VLOOKUP(A34,'11 - FINANCEIRO'!A:M,3,FALSE)</f>
        <v>Servico De Bombeamento De Concreto Com Consumo Minimo De 40 M3</v>
      </c>
      <c r="D34" s="61">
        <f>VLOOKUP(A34,'11 - FINANCEIRO'!A:M,10,0)</f>
        <v>370</v>
      </c>
      <c r="E34" s="59" t="str">
        <f>VLOOKUP(A34,'11 - FINANCEIRO'!A:M,4,0)</f>
        <v xml:space="preserve"> m³</v>
      </c>
      <c r="F34" s="28" t="str">
        <f t="shared" si="0"/>
        <v>2.1.2</v>
      </c>
      <c r="G34" s="29" t="str">
        <f>IF(D34&gt;0,"POSITIVO",IF(D34=0,"NULO",IF(D34&lt;0,"NEGATIVO")))</f>
        <v>POSITIVO</v>
      </c>
      <c r="H34" s="29">
        <f t="shared" si="4"/>
        <v>1</v>
      </c>
    </row>
    <row r="35" spans="1:9" ht="27.75" customHeight="1" x14ac:dyDescent="0.3">
      <c r="A35" s="42" t="s">
        <v>29</v>
      </c>
      <c r="B35" s="59" t="str">
        <f>VLOOKUP(A35,'11 - FINANCEIRO'!A:M,1,0)</f>
        <v>2.1.3</v>
      </c>
      <c r="C35" s="60" t="str">
        <f>VLOOKUP(A35,'11 - FINANCEIRO'!A:M,3,FALSE)</f>
        <v>Fôrmas De Compensado Plastificado 12 Mm - Uso Geral - Utilização De 2 Vezes - Confecção, Instalação E Retirada</v>
      </c>
      <c r="D35" s="61">
        <f>VLOOKUP(A35,'11 - FINANCEIRO'!A:M,10,0)</f>
        <v>1251.6500000000015</v>
      </c>
      <c r="E35" s="59" t="str">
        <f>VLOOKUP(A35,'11 - FINANCEIRO'!A:M,4,0)</f>
        <v>m²</v>
      </c>
      <c r="F35" s="28" t="str">
        <f t="shared" si="0"/>
        <v>2.1.3</v>
      </c>
      <c r="G35" s="29" t="str">
        <f t="shared" ref="G35:G42" si="5">IF(D35&gt;0,"POSITIVO",IF(D35=0,"NULO",IF(D35&lt;0,"NEGATIVO")))</f>
        <v>POSITIVO</v>
      </c>
      <c r="H35" s="29">
        <f t="shared" si="4"/>
        <v>1</v>
      </c>
    </row>
    <row r="36" spans="1:9" x14ac:dyDescent="0.3">
      <c r="A36" s="42" t="s">
        <v>30</v>
      </c>
      <c r="B36" s="63" t="str">
        <f>VLOOKUP(A36,'11 - FINANCEIRO'!A:M,1,0)</f>
        <v>2.1.4</v>
      </c>
      <c r="C36" s="64" t="str">
        <f>VLOOKUP(A36,'11 - FINANCEIRO'!A:M,3,FALSE)</f>
        <v>Armação Em Aço Ca-50 - Fornecimento, Preparo E Colocação</v>
      </c>
      <c r="D36" s="65">
        <f>VLOOKUP(A36,'11 - FINANCEIRO'!A:M,10,0)</f>
        <v>23656.675000000047</v>
      </c>
      <c r="E36" s="63" t="str">
        <f>VLOOKUP(A36,'11 - FINANCEIRO'!A:M,4,0)</f>
        <v>kg</v>
      </c>
      <c r="F36" s="28" t="str">
        <f t="shared" si="0"/>
        <v>2.1.4</v>
      </c>
      <c r="G36" s="29" t="str">
        <f t="shared" si="5"/>
        <v>POSITIVO</v>
      </c>
      <c r="H36" s="29">
        <f t="shared" si="4"/>
        <v>1</v>
      </c>
    </row>
    <row r="37" spans="1:9" x14ac:dyDescent="0.3">
      <c r="A37" s="42" t="s">
        <v>31</v>
      </c>
      <c r="B37" s="66" t="str">
        <f>VLOOKUP(A37,'11 - FINANCEIRO'!A:M,1,0)</f>
        <v>2.1.5</v>
      </c>
      <c r="C37" s="67" t="str">
        <f>VLOOKUP(A37,'11 - FINANCEIRO'!A:M,3,FALSE)</f>
        <v>Armação Em Aço Ca-60 - Fornecimento, Preparo E Colocação</v>
      </c>
      <c r="D37" s="68">
        <f>VLOOKUP(A37,'11 - FINANCEIRO'!A:M,10,0)</f>
        <v>12096.948999999993</v>
      </c>
      <c r="E37" s="66" t="str">
        <f>VLOOKUP(A37,'11 - FINANCEIRO'!A:M,4,0)</f>
        <v>kg</v>
      </c>
      <c r="F37" s="28" t="str">
        <f t="shared" si="0"/>
        <v>2.1.5</v>
      </c>
      <c r="G37" s="29" t="str">
        <f t="shared" si="5"/>
        <v>POSITIVO</v>
      </c>
      <c r="H37" s="29">
        <f t="shared" si="4"/>
        <v>1</v>
      </c>
    </row>
    <row r="38" spans="1:9" x14ac:dyDescent="0.3">
      <c r="A38" s="42" t="s">
        <v>32</v>
      </c>
      <c r="B38" s="66" t="str">
        <f>VLOOKUP(A38,'11 - FINANCEIRO'!A:M,1,0)</f>
        <v>2.1.6</v>
      </c>
      <c r="C38" s="67" t="str">
        <f>VLOOKUP(A38,'11 - FINANCEIRO'!A:M,3,FALSE)</f>
        <v>Armação Em Aço Ca-25 - Fornecimento, Preparo E Colocação</v>
      </c>
      <c r="D38" s="68">
        <f>VLOOKUP(A38,'11 - FINANCEIRO'!A:M,10,0)</f>
        <v>50.552999999999884</v>
      </c>
      <c r="E38" s="66" t="str">
        <f>VLOOKUP(A38,'11 - FINANCEIRO'!A:M,4,0)</f>
        <v>kg</v>
      </c>
      <c r="F38" s="28" t="str">
        <f t="shared" si="0"/>
        <v>2.1.6</v>
      </c>
      <c r="G38" s="29" t="str">
        <f t="shared" si="5"/>
        <v>POSITIVO</v>
      </c>
      <c r="H38" s="29">
        <f t="shared" si="4"/>
        <v>1</v>
      </c>
    </row>
    <row r="39" spans="1:9" ht="26.25" customHeight="1" x14ac:dyDescent="0.3">
      <c r="A39" s="42" t="s">
        <v>33</v>
      </c>
      <c r="B39" s="66" t="str">
        <f>VLOOKUP(A39,'11 - FINANCEIRO'!A:M,1,0)</f>
        <v>2.1.7</v>
      </c>
      <c r="C39" s="67" t="str">
        <f>VLOOKUP(A39,'11 - FINANCEIRO'!A:M,3,FALSE)</f>
        <v>Concreto Magro - Confecção Em Betoneira E Lançamento Manual - Areia E Brita Comerciais</v>
      </c>
      <c r="D39" s="68">
        <f>VLOOKUP(A39,'11 - FINANCEIRO'!A:M,10,0)</f>
        <v>44.860000000000127</v>
      </c>
      <c r="E39" s="66" t="str">
        <f>VLOOKUP(A39,'11 - FINANCEIRO'!A:M,4,0)</f>
        <v>m³</v>
      </c>
      <c r="F39" s="28" t="str">
        <f t="shared" si="0"/>
        <v>2.1.7</v>
      </c>
      <c r="G39" s="29" t="str">
        <f t="shared" si="5"/>
        <v>POSITIVO</v>
      </c>
      <c r="H39" s="29">
        <f t="shared" si="4"/>
        <v>1</v>
      </c>
    </row>
    <row r="40" spans="1:9" ht="24.75" customHeight="1" x14ac:dyDescent="0.3">
      <c r="A40" s="42" t="s">
        <v>34</v>
      </c>
      <c r="B40" s="66" t="str">
        <f>VLOOKUP(A40,'11 - FINANCEIRO'!A:M,1,0)</f>
        <v>2.1.8</v>
      </c>
      <c r="C40" s="67" t="str">
        <f>VLOOKUP(A40,'11 - FINANCEIRO'!A:M,3,FALSE)</f>
        <v>Lastro Com Material Granular (Pedra Britada N.3), Aplicado Em Pisos Ou Lajes Sobre Solo, Espessura De *10 Cm*. Af_07/2019</v>
      </c>
      <c r="D40" s="68">
        <f>VLOOKUP(A40,'11 - FINANCEIRO'!A:M,10,0)</f>
        <v>269.15999999999985</v>
      </c>
      <c r="E40" s="66" t="str">
        <f>VLOOKUP(A40,'11 - FINANCEIRO'!A:M,4,0)</f>
        <v>m³</v>
      </c>
      <c r="F40" s="28" t="str">
        <f t="shared" si="0"/>
        <v>2.1.8</v>
      </c>
      <c r="G40" s="29" t="str">
        <f t="shared" si="5"/>
        <v>POSITIVO</v>
      </c>
      <c r="H40" s="29">
        <f t="shared" si="4"/>
        <v>1</v>
      </c>
    </row>
    <row r="41" spans="1:9" ht="29.25" customHeight="1" x14ac:dyDescent="0.3">
      <c r="A41" s="42" t="s">
        <v>35</v>
      </c>
      <c r="B41" s="69" t="str">
        <f>VLOOKUP(A41,'11 - FINANCEIRO'!A:M,1,0)</f>
        <v>2.1.9</v>
      </c>
      <c r="C41" s="70" t="str">
        <f>VLOOKUP(A41,'11 - FINANCEIRO'!A:M,3,FALSE)</f>
        <v>Lona Plástica Preta Para Isolamento De Concretagem Sobre Solo, Fornecimento E Colocação</v>
      </c>
      <c r="D41" s="71">
        <f>VLOOKUP(A41,'11 - FINANCEIRO'!A:M,10,0)</f>
        <v>897.20000000000073</v>
      </c>
      <c r="E41" s="69" t="str">
        <f>VLOOKUP(A41,'11 - FINANCEIRO'!A:M,4,0)</f>
        <v>m²</v>
      </c>
      <c r="F41" s="28" t="str">
        <f t="shared" si="0"/>
        <v>2.1.9</v>
      </c>
      <c r="G41" s="29" t="str">
        <f t="shared" si="5"/>
        <v>POSITIVO</v>
      </c>
      <c r="H41" s="29">
        <f t="shared" si="4"/>
        <v>1</v>
      </c>
    </row>
    <row r="42" spans="1:9" ht="18" customHeight="1" x14ac:dyDescent="0.3">
      <c r="A42" s="42" t="s">
        <v>36</v>
      </c>
      <c r="B42" s="72" t="str">
        <f>VLOOKUP(A42,'11 - FINANCEIRO'!A:M,1,0)</f>
        <v>2.1.10</v>
      </c>
      <c r="C42" s="73" t="str">
        <f>VLOOKUP(A42,'11 - FINANCEIRO'!A:M,3,FALSE)</f>
        <v>Escoramento Cavas Com Prancha Metalica</v>
      </c>
      <c r="D42" s="74">
        <f>VLOOKUP(A42,'11 - FINANCEIRO'!A:M,10,0)</f>
        <v>581</v>
      </c>
      <c r="E42" s="75" t="str">
        <f>VLOOKUP(A42,'11 - FINANCEIRO'!A:M,4,0)</f>
        <v>m²</v>
      </c>
      <c r="F42" s="28" t="str">
        <f t="shared" si="0"/>
        <v>2.1.10</v>
      </c>
      <c r="G42" s="29" t="str">
        <f t="shared" si="5"/>
        <v>POSITIVO</v>
      </c>
      <c r="H42" s="29">
        <f t="shared" si="4"/>
        <v>1</v>
      </c>
    </row>
    <row r="43" spans="1:9" ht="38.25" hidden="1" x14ac:dyDescent="0.3">
      <c r="A43" s="42" t="s">
        <v>37</v>
      </c>
      <c r="B43" s="47" t="str">
        <f>VLOOKUP(A43,'11 - FINANCEIRO'!A:M,1,0)</f>
        <v>2.1.11</v>
      </c>
      <c r="C43" s="44" t="str">
        <f>VLOOKUP(A43,'11 - FINANCEIRO'!A:M,3,FALSE)</f>
        <v>Locacao De Bomba Submersivel Para Drenagem E Esgotamento, Motor Eletrico Trifasico, Potencia De 4 Cv, Diametro De Recalque De 3". Faixa De Operacao: Q=60 M3/H (+ Ou - 1 M3/H) E Amt=2 M; Q=11 M3/H (+ Ou - 1 M3/H) E Amt = 23 M (+ Ou - 1 M)</v>
      </c>
      <c r="D43" s="48">
        <f>VLOOKUP(A43,'11 - FINANCEIRO'!A:M,10,0)</f>
        <v>0</v>
      </c>
      <c r="E43" s="49" t="str">
        <f>VLOOKUP(A43,'11 - FINANCEIRO'!A:M,4,0)</f>
        <v xml:space="preserve">h     </v>
      </c>
      <c r="F43" s="28" t="str">
        <f t="shared" si="0"/>
        <v>2.1.11</v>
      </c>
      <c r="G43" s="29" t="str">
        <f>IF(D43&gt;0,"POSITIVO",IF(D43=0,"NULO",IF(D43&lt;0,"NEGATIVO")))</f>
        <v>NULO</v>
      </c>
      <c r="H43" s="29">
        <f t="shared" si="4"/>
        <v>0</v>
      </c>
    </row>
    <row r="44" spans="1:9" hidden="1" x14ac:dyDescent="0.3">
      <c r="A44" s="42" t="s">
        <v>38</v>
      </c>
      <c r="B44" s="37" t="str">
        <f>VLOOKUP(A44,'11 - FINANCEIRO'!A:M,1,0)</f>
        <v>2.1.12</v>
      </c>
      <c r="C44" s="38" t="str">
        <f>VLOOKUP(A44,'11 - FINANCEIRO'!A:M,3,FALSE)</f>
        <v>Rebai Lencol Freatico C/ Pont Filtrantes</v>
      </c>
      <c r="D44" s="39">
        <f>VLOOKUP(A44,'11 - FINANCEIRO'!A:M,10,0)</f>
        <v>0</v>
      </c>
      <c r="E44" s="40" t="str">
        <f>VLOOKUP(A44,'11 - FINANCEIRO'!A:M,4,0)</f>
        <v>un</v>
      </c>
      <c r="F44" s="28" t="str">
        <f t="shared" si="0"/>
        <v>2.1.12</v>
      </c>
      <c r="G44" s="29" t="str">
        <f t="shared" ref="G44:G60" si="6">IF(D44&gt;0,"POSITIVO",IF(D44=0,"NULO",IF(D44&lt;0,"NEGATIVO")))</f>
        <v>NULO</v>
      </c>
      <c r="H44" s="29">
        <f t="shared" si="4"/>
        <v>0</v>
      </c>
    </row>
    <row r="45" spans="1:9" hidden="1" x14ac:dyDescent="0.3">
      <c r="A45" s="42" t="s">
        <v>39</v>
      </c>
      <c r="B45" s="51" t="str">
        <f>VLOOKUP(A45,'11 - FINANCEIRO'!A:M,1,0)</f>
        <v>2.1.13</v>
      </c>
      <c r="C45" s="52" t="str">
        <f>VLOOKUP(A45,'11 - FINANCEIRO'!A:M,3,FALSE)</f>
        <v>Barra Chata Em Qualquer Dimensão</v>
      </c>
      <c r="D45" s="53">
        <f>VLOOKUP(A45,'11 - FINANCEIRO'!A:M,10,0)</f>
        <v>0</v>
      </c>
      <c r="E45" s="54" t="str">
        <f>VLOOKUP(A45,'11 - FINANCEIRO'!A:M,4,0)</f>
        <v>kg</v>
      </c>
      <c r="F45" s="28" t="str">
        <f t="shared" si="0"/>
        <v>2.1.13</v>
      </c>
      <c r="G45" s="29" t="str">
        <f t="shared" si="6"/>
        <v>NULO</v>
      </c>
      <c r="H45" s="29">
        <f t="shared" si="4"/>
        <v>0</v>
      </c>
    </row>
    <row r="46" spans="1:9" hidden="1" x14ac:dyDescent="0.3">
      <c r="A46" s="42" t="s">
        <v>40</v>
      </c>
      <c r="B46" s="72" t="str">
        <f>VLOOKUP(A46,'11 - FINANCEIRO'!A:M,1,0)</f>
        <v>2.1.14</v>
      </c>
      <c r="C46" s="73" t="str">
        <f>VLOOKUP(A46,'11 - FINANCEIRO'!A:M,3,FALSE)</f>
        <v>Selante Base De Alcatrão E Poliuretano</v>
      </c>
      <c r="D46" s="74">
        <f>VLOOKUP(A46,'11 - FINANCEIRO'!A:M,10,0)</f>
        <v>0</v>
      </c>
      <c r="E46" s="75" t="str">
        <f>VLOOKUP(A46,'11 - FINANCEIRO'!A:M,4,0)</f>
        <v>m</v>
      </c>
      <c r="F46" s="28" t="str">
        <f t="shared" si="0"/>
        <v>2.1.14</v>
      </c>
      <c r="G46" s="29" t="str">
        <f t="shared" si="6"/>
        <v>NULO</v>
      </c>
      <c r="H46" s="29">
        <f t="shared" si="4"/>
        <v>0</v>
      </c>
    </row>
    <row r="47" spans="1:9" x14ac:dyDescent="0.3">
      <c r="A47" s="31" t="s">
        <v>41</v>
      </c>
      <c r="B47" s="55" t="str">
        <f>VLOOKUP(A47,'11 - FINANCEIRO'!A:M,1,0)</f>
        <v>2.2</v>
      </c>
      <c r="C47" s="56" t="str">
        <f>VLOOKUP(A47,'11 - FINANCEIRO'!A:M,2,FALSE)</f>
        <v>Terraplanagem e Pavimentação</v>
      </c>
      <c r="D47" s="57"/>
      <c r="E47" s="58"/>
      <c r="F47" s="28" t="str">
        <f t="shared" si="0"/>
        <v>2.2</v>
      </c>
      <c r="H47" s="29">
        <f>SUM(H48:H54)</f>
        <v>6</v>
      </c>
      <c r="I47" s="30" t="s">
        <v>9</v>
      </c>
    </row>
    <row r="48" spans="1:9" x14ac:dyDescent="0.3">
      <c r="A48" s="42" t="s">
        <v>42</v>
      </c>
      <c r="B48" s="59" t="str">
        <f>VLOOKUP(A48,'11 - FINANCEIRO'!A:M,1,0)</f>
        <v>2.2.1</v>
      </c>
      <c r="C48" s="60" t="str">
        <f>VLOOKUP(A48,'11 - FINANCEIRO'!A:M,3,FALSE)</f>
        <v>Escavação, Carga E Transporte De Material De 1º Categoria</v>
      </c>
      <c r="D48" s="61">
        <f>VLOOKUP(A48,'11 - FINANCEIRO'!A:M,10,0)</f>
        <v>3216.2079999999987</v>
      </c>
      <c r="E48" s="59" t="str">
        <f>VLOOKUP(A48,'11 - FINANCEIRO'!A:M,4,0)</f>
        <v>m³</v>
      </c>
      <c r="F48" s="28" t="str">
        <f t="shared" si="0"/>
        <v>2.2.1</v>
      </c>
      <c r="G48" s="29" t="str">
        <f t="shared" si="6"/>
        <v>POSITIVO</v>
      </c>
      <c r="H48" s="29">
        <f t="shared" si="4"/>
        <v>1</v>
      </c>
    </row>
    <row r="49" spans="1:9" ht="24.75" hidden="1" customHeight="1" x14ac:dyDescent="0.3">
      <c r="A49" s="42" t="s">
        <v>43</v>
      </c>
      <c r="B49" s="76" t="str">
        <f>VLOOKUP(A49,'11 - FINANCEIRO'!A:M,1,0)</f>
        <v>2.2.2</v>
      </c>
      <c r="C49" s="73" t="str">
        <f>VLOOKUP(A49,'11 - FINANCEIRO'!A:M,3,FALSE)</f>
        <v>Remoção Residuos Classe A Conama (Cacamba) Classe II B (NBR 10004) Inclusive Destinação Final</v>
      </c>
      <c r="D49" s="74">
        <f>VLOOKUP(A49,'11 - FINANCEIRO'!A:M,10,0)</f>
        <v>0</v>
      </c>
      <c r="E49" s="77" t="str">
        <f>VLOOKUP(A49,'11 - FINANCEIRO'!A:M,4,0)</f>
        <v>m³</v>
      </c>
      <c r="F49" s="28" t="str">
        <f t="shared" si="0"/>
        <v>2.2.2</v>
      </c>
      <c r="G49" s="29" t="str">
        <f t="shared" si="6"/>
        <v>NULO</v>
      </c>
      <c r="H49" s="29">
        <f t="shared" si="4"/>
        <v>0</v>
      </c>
    </row>
    <row r="50" spans="1:9" ht="15" customHeight="1" x14ac:dyDescent="0.3">
      <c r="A50" s="78" t="s">
        <v>44</v>
      </c>
      <c r="B50" s="59" t="str">
        <f>VLOOKUP(A50,'11 - FINANCEIRO'!A:M,1,0)</f>
        <v>2.2.3</v>
      </c>
      <c r="C50" s="60" t="str">
        <f>VLOOKUP(A50,'11 - FINANCEIRO'!A:M,3,FALSE)</f>
        <v>Destinação Final De Resíduos Classe II A Em Aterro Sanitário Controlado</v>
      </c>
      <c r="D50" s="61">
        <f>VLOOKUP(A50,'11 - FINANCEIRO'!A:M,10,0)</f>
        <v>9742.36</v>
      </c>
      <c r="E50" s="59" t="str">
        <f>VLOOKUP(A50,'11 - FINANCEIRO'!A:M,4,0)</f>
        <v>t</v>
      </c>
      <c r="F50" s="41" t="str">
        <f t="shared" si="0"/>
        <v>2.2.3</v>
      </c>
      <c r="G50" s="29" t="str">
        <f t="shared" si="6"/>
        <v>POSITIVO</v>
      </c>
      <c r="H50" s="29">
        <f t="shared" si="4"/>
        <v>1</v>
      </c>
    </row>
    <row r="51" spans="1:9" ht="15" customHeight="1" x14ac:dyDescent="0.3">
      <c r="A51" s="78" t="s">
        <v>45</v>
      </c>
      <c r="B51" s="76" t="str">
        <f>VLOOKUP(A51,'11 - FINANCEIRO'!A:M,1,0)</f>
        <v>2.2.4</v>
      </c>
      <c r="C51" s="73" t="str">
        <f>VLOOKUP(A51,'11 - FINANCEIRO'!A:M,3,FALSE)</f>
        <v>Compactação De Aterros A 100% Do Proctor Intermediário</v>
      </c>
      <c r="D51" s="74">
        <f>VLOOKUP(A51,'11 - FINANCEIRO'!A:M,10,0)</f>
        <v>810</v>
      </c>
      <c r="E51" s="77" t="str">
        <f>VLOOKUP(A51,'11 - FINANCEIRO'!A:M,4,0)</f>
        <v>m³</v>
      </c>
      <c r="F51" s="41" t="str">
        <f t="shared" si="0"/>
        <v>2.2.4</v>
      </c>
      <c r="G51" s="29" t="str">
        <f t="shared" si="6"/>
        <v>POSITIVO</v>
      </c>
      <c r="H51" s="29">
        <f t="shared" si="4"/>
        <v>1</v>
      </c>
    </row>
    <row r="52" spans="1:9" ht="15" customHeight="1" x14ac:dyDescent="0.3">
      <c r="A52" s="78" t="s">
        <v>46</v>
      </c>
      <c r="B52" s="51" t="str">
        <f>VLOOKUP(A52,'11 - FINANCEIRO'!A:M,1,0)</f>
        <v>2.2.5</v>
      </c>
      <c r="C52" s="52" t="str">
        <f>VLOOKUP(A52,'11 - FINANCEIRO'!A:M,3,FALSE)</f>
        <v>Aquisição De Solo De Jazida Comercial (Saibreira)</v>
      </c>
      <c r="D52" s="53">
        <f>VLOOKUP(A52,'11 - FINANCEIRO'!A:M,10,0)</f>
        <v>4305.2000000000007</v>
      </c>
      <c r="E52" s="54" t="str">
        <f>VLOOKUP(A52,'11 - FINANCEIRO'!A:M,4,0)</f>
        <v>m³</v>
      </c>
      <c r="F52" s="41" t="str">
        <f t="shared" si="0"/>
        <v>2.2.5</v>
      </c>
      <c r="G52" s="29" t="str">
        <f t="shared" si="6"/>
        <v>POSITIVO</v>
      </c>
      <c r="H52" s="29">
        <f t="shared" si="4"/>
        <v>1</v>
      </c>
    </row>
    <row r="53" spans="1:9" ht="24.75" customHeight="1" x14ac:dyDescent="0.3">
      <c r="A53" s="42" t="s">
        <v>47</v>
      </c>
      <c r="B53" s="59" t="str">
        <f>VLOOKUP(A53,'11 - FINANCEIRO'!A:M,1,0)</f>
        <v>2.2.6</v>
      </c>
      <c r="C53" s="60" t="str">
        <f>VLOOKUP(A53,'11 - FINANCEIRO'!A:M,3,FALSE)</f>
        <v>Transporte De Material De 3ª Categoria Com Caminhão Basculante De 12 M³ Para Rocha - Rodovia Pavimentada</v>
      </c>
      <c r="D53" s="61">
        <f>VLOOKUP(A53,'11 - FINANCEIRO'!A:M,10,0)</f>
        <v>-820413.85600000003</v>
      </c>
      <c r="E53" s="59" t="str">
        <f>VLOOKUP(A53,'11 - FINANCEIRO'!A:M,4,0)</f>
        <v>tkm</v>
      </c>
      <c r="F53" s="28" t="str">
        <f t="shared" si="0"/>
        <v>2.2.6</v>
      </c>
      <c r="G53" s="29" t="str">
        <f t="shared" si="6"/>
        <v>NEGATIVO</v>
      </c>
      <c r="H53" s="29">
        <f t="shared" si="4"/>
        <v>1</v>
      </c>
    </row>
    <row r="54" spans="1:9" x14ac:dyDescent="0.3">
      <c r="A54" s="42" t="s">
        <v>48</v>
      </c>
      <c r="B54" s="59" t="str">
        <f>VLOOKUP(A54,'11 - FINANCEIRO'!A:M,1,0)</f>
        <v>2.2.7</v>
      </c>
      <c r="C54" s="60" t="str">
        <f>VLOOKUP(A54,'11 - FINANCEIRO'!A:M,3,FALSE)</f>
        <v>Aterro Com Areia Em Áreas De Calçada, Inclusive Fornecimento E Adensamento</v>
      </c>
      <c r="D54" s="61">
        <f>VLOOKUP(A54,'11 - FINANCEIRO'!A:M,10,0)</f>
        <v>2067.7410000000018</v>
      </c>
      <c r="E54" s="59" t="str">
        <f>VLOOKUP(A54,'11 - FINANCEIRO'!A:M,4,0)</f>
        <v>m³</v>
      </c>
      <c r="F54" s="28" t="str">
        <f t="shared" si="0"/>
        <v>2.2.7</v>
      </c>
      <c r="G54" s="29" t="str">
        <f t="shared" si="6"/>
        <v>POSITIVO</v>
      </c>
      <c r="H54" s="29">
        <f t="shared" si="4"/>
        <v>1</v>
      </c>
    </row>
    <row r="55" spans="1:9" x14ac:dyDescent="0.3">
      <c r="A55" s="31" t="s">
        <v>49</v>
      </c>
      <c r="B55" s="24" t="str">
        <f>VLOOKUP(A55,'11 - FINANCEIRO'!A:M,1,0)</f>
        <v>2.3</v>
      </c>
      <c r="C55" s="25" t="str">
        <f>VLOOKUP(A55,'11 - FINANCEIRO'!A:M,2,FALSE)</f>
        <v>Drenagem Pluvial</v>
      </c>
      <c r="D55" s="26"/>
      <c r="E55" s="27"/>
      <c r="F55" s="28" t="str">
        <f t="shared" si="0"/>
        <v>2.3</v>
      </c>
      <c r="H55" s="29">
        <f>SUM(H56)</f>
        <v>1</v>
      </c>
      <c r="I55" s="30" t="s">
        <v>9</v>
      </c>
    </row>
    <row r="56" spans="1:9" ht="42" customHeight="1" x14ac:dyDescent="0.3">
      <c r="A56" s="78" t="s">
        <v>50</v>
      </c>
      <c r="B56" s="79" t="str">
        <f>VLOOKUP(A56,'11 - FINANCEIRO'!A:M,1,0)</f>
        <v>2.3.1</v>
      </c>
      <c r="C56" s="80" t="str">
        <f>VLOOKUP(A56,'11 - FINANCEIRO'!A:M,3,FALSE)</f>
        <v>Tampão Fofo Articulado, Classe B125 Carga Max 12,5 T, Redondo Tampa 600 Mm, Rede Pluvial/Esgoto, P = Chamine Cx Areia / Poco Visita Assentado Com Arg Cim/Areia 1:4, Fornecimento E Assentamento</v>
      </c>
      <c r="D56" s="81">
        <f>VLOOKUP(A56,'11 - FINANCEIRO'!A:M,10,0)</f>
        <v>1</v>
      </c>
      <c r="E56" s="82" t="str">
        <f>VLOOKUP(A56,'11 - FINANCEIRO'!A:M,4,0)</f>
        <v>UN</v>
      </c>
      <c r="F56" s="41" t="str">
        <f t="shared" si="0"/>
        <v>2.3.1</v>
      </c>
      <c r="G56" s="29" t="str">
        <f t="shared" si="6"/>
        <v>POSITIVO</v>
      </c>
      <c r="H56" s="29">
        <f t="shared" si="4"/>
        <v>1</v>
      </c>
    </row>
    <row r="57" spans="1:9" x14ac:dyDescent="0.3">
      <c r="A57" s="31" t="s">
        <v>51</v>
      </c>
      <c r="B57" s="32" t="str">
        <f>VLOOKUP(A57,'11 - FINANCEIRO'!A:M,1,0)</f>
        <v>2.4</v>
      </c>
      <c r="C57" s="33" t="str">
        <f>VLOOKUP(A57,'11 - FINANCEIRO'!A:M,2,FALSE)</f>
        <v>Obras Complementares</v>
      </c>
      <c r="D57" s="34"/>
      <c r="E57" s="35"/>
      <c r="F57" s="28" t="str">
        <f t="shared" si="0"/>
        <v>2.4</v>
      </c>
      <c r="H57" s="29">
        <f>SUM(H58:H75)</f>
        <v>2</v>
      </c>
      <c r="I57" s="30" t="s">
        <v>9</v>
      </c>
    </row>
    <row r="58" spans="1:9" ht="38.25" hidden="1" x14ac:dyDescent="0.3">
      <c r="A58" s="83" t="s">
        <v>52</v>
      </c>
      <c r="B58" s="37" t="s">
        <v>52</v>
      </c>
      <c r="C58" s="38" t="str">
        <f>VLOOKUP(A58,'11 - FINANCEIRO'!A:M,3,FALSE)</f>
        <v>Índice De Preço Para Remoção De Entulho Decorrente Da Execução De Obras (Classe A Conama - Nbr 10.004 - Classe Ii-B), Incluindo Aluguel Da Caçamba, Carga, Transporte E Descarga Em Área Licenciada</v>
      </c>
      <c r="D58" s="39">
        <f>VLOOKUP(A58,'11 - FINANCEIRO'!A:M,10,0)</f>
        <v>0</v>
      </c>
      <c r="E58" s="40" t="str">
        <f>VLOOKUP(A58,'11 - FINANCEIRO'!A:M,4,0)</f>
        <v>m³</v>
      </c>
      <c r="F58" s="41" t="str">
        <f t="shared" si="0"/>
        <v>2.4.1</v>
      </c>
      <c r="G58" s="29" t="str">
        <f t="shared" si="6"/>
        <v>NULO</v>
      </c>
      <c r="H58" s="29">
        <f>IF(G58="NULO",0,1)</f>
        <v>0</v>
      </c>
    </row>
    <row r="59" spans="1:9" ht="39.75" hidden="1" customHeight="1" x14ac:dyDescent="0.3">
      <c r="A59" s="83" t="s">
        <v>53</v>
      </c>
      <c r="B59" s="37" t="str">
        <f>VLOOKUP(A59,'11 - FINANCEIRO'!A:M,1,0)</f>
        <v>2.4.2</v>
      </c>
      <c r="C59" s="38" t="str">
        <f>VLOOKUP(A59,'11 - FINANCEIRO'!A:M,3,FALSE)</f>
        <v>Assentamento De Tubo De Ferro Fundido Para Rede De Água, Dn 300 Mm, Junta Elástica, Instalado Em Local Com Nível Baixo De Interferências (Não Inclui Fornecimento). Af_11/2017</v>
      </c>
      <c r="D59" s="39">
        <f>VLOOKUP(A59,'11 - FINANCEIRO'!A:M,10,0)</f>
        <v>0</v>
      </c>
      <c r="E59" s="40" t="str">
        <f>VLOOKUP(A59,'11 - FINANCEIRO'!A:M,4,0)</f>
        <v>m</v>
      </c>
      <c r="F59" s="41" t="str">
        <f t="shared" si="0"/>
        <v>2.4.2</v>
      </c>
      <c r="G59" s="29" t="str">
        <f t="shared" si="6"/>
        <v>NULO</v>
      </c>
      <c r="H59" s="29">
        <f t="shared" si="4"/>
        <v>0</v>
      </c>
    </row>
    <row r="60" spans="1:9" ht="39.75" hidden="1" customHeight="1" x14ac:dyDescent="0.3">
      <c r="A60" s="83" t="s">
        <v>54</v>
      </c>
      <c r="B60" s="37" t="str">
        <f>VLOOKUP(A60,'11 - FINANCEIRO'!A:M,1,0)</f>
        <v>2.4.3</v>
      </c>
      <c r="C60" s="38" t="str">
        <f>VLOOKUP(A60,'11 - FINANCEIRO'!A:M,3,FALSE)</f>
        <v>Assentamento De Tubo De Ferro Fundido Para Rede De Água, Dn 400 Mm, Junta Elástica, Instalado Em Local Com Nível Baixo De Interferências (Não Inclui Fornecimento). Af_11/2017</v>
      </c>
      <c r="D60" s="39">
        <f>VLOOKUP(A60,'11 - FINANCEIRO'!A:M,10,0)</f>
        <v>0</v>
      </c>
      <c r="E60" s="40" t="str">
        <f>VLOOKUP(A60,'11 - FINANCEIRO'!A:M,4,0)</f>
        <v>m</v>
      </c>
      <c r="F60" s="41" t="str">
        <f t="shared" si="0"/>
        <v>2.4.3</v>
      </c>
      <c r="G60" s="29" t="str">
        <f t="shared" si="6"/>
        <v>NULO</v>
      </c>
      <c r="H60" s="29">
        <f t="shared" si="4"/>
        <v>0</v>
      </c>
    </row>
    <row r="61" spans="1:9" ht="25.5" hidden="1" x14ac:dyDescent="0.3">
      <c r="A61" s="83" t="s">
        <v>55</v>
      </c>
      <c r="B61" s="37" t="str">
        <f>VLOOKUP(A61,'11 - FINANCEIRO'!A:M,1,0)</f>
        <v>2.4.4</v>
      </c>
      <c r="C61" s="38" t="str">
        <f>VLOOKUP(A61,'11 - FINANCEIRO'!A:M,3,FALSE)</f>
        <v>Assentamento De Tubo De Ferro Fundido Para Rede De Água, Dn 450 Mm, Junta Elástica, Instalado Em Local Com Nível Alto De Interferências (Não Inclui Fornecimento). Af_11/2017</v>
      </c>
      <c r="D61" s="39">
        <f>VLOOKUP(A61,'11 - FINANCEIRO'!A:M,10,0)</f>
        <v>0</v>
      </c>
      <c r="E61" s="40" t="str">
        <f>VLOOKUP(A61,'11 - FINANCEIRO'!A:M,4,0)</f>
        <v>m</v>
      </c>
      <c r="F61" s="41" t="str">
        <f t="shared" si="0"/>
        <v>2.4.4</v>
      </c>
      <c r="G61" s="29" t="str">
        <f>IF(D61&gt;0,"POSITIVO",IF(D61=0,"NULO",IF(D61&lt;0,"NEGATIVO")))</f>
        <v>NULO</v>
      </c>
      <c r="H61" s="29">
        <f>IF(G61="NULO",0,1)</f>
        <v>0</v>
      </c>
    </row>
    <row r="62" spans="1:9" hidden="1" x14ac:dyDescent="0.3">
      <c r="A62" s="83" t="s">
        <v>56</v>
      </c>
      <c r="B62" s="37" t="str">
        <f>VLOOKUP(A62,'11 - FINANCEIRO'!A:M,1,0)</f>
        <v>2.4.5</v>
      </c>
      <c r="C62" s="38" t="str">
        <f>VLOOKUP(A62,'11 - FINANCEIRO'!A:M,3,FALSE)</f>
        <v>Pecas Em Chapas/Perfil/Barra Em Aco Para Interferencias - 25,54 Kg</v>
      </c>
      <c r="D62" s="39">
        <f>VLOOKUP(A62,'11 - FINANCEIRO'!A:M,10,0)</f>
        <v>0</v>
      </c>
      <c r="E62" s="40" t="str">
        <f>VLOOKUP(A62,'11 - FINANCEIRO'!A:M,4,0)</f>
        <v>un</v>
      </c>
      <c r="F62" s="41" t="str">
        <f t="shared" si="0"/>
        <v>2.4.5</v>
      </c>
      <c r="G62" s="29" t="str">
        <f t="shared" ref="G62:G125" si="7">IF(D62&gt;0,"POSITIVO",IF(D62=0,"NULO",IF(D62&lt;0,"NEGATIVO")))</f>
        <v>NULO</v>
      </c>
      <c r="H62" s="29">
        <f t="shared" ref="H62:H125" si="8">IF(G62="NULO",0,1)</f>
        <v>0</v>
      </c>
    </row>
    <row r="63" spans="1:9" ht="38.25" hidden="1" x14ac:dyDescent="0.3">
      <c r="A63" s="83" t="s">
        <v>57</v>
      </c>
      <c r="B63" s="37" t="str">
        <f>VLOOKUP(A63,'11 - FINANCEIRO'!A:M,1,0)</f>
        <v>2.4.6</v>
      </c>
      <c r="C63" s="38" t="str">
        <f>VLOOKUP(A63,'11 - FINANCEIRO'!A:M,3,FALSE)</f>
        <v>Tubo De Pead Corrugado De Dupla Parede Para Rede Coletora De Esgoto, Dn 250 Mm, Junta Elástica Integrada, Instalado Em Local Com Nível Alto De Interferências - Fornecimento E Assentamento.</v>
      </c>
      <c r="D63" s="39">
        <f>VLOOKUP(A63,'11 - FINANCEIRO'!A:M,10,0)</f>
        <v>0</v>
      </c>
      <c r="E63" s="40" t="str">
        <f>VLOOKUP(A63,'11 - FINANCEIRO'!A:M,4,0)</f>
        <v>m</v>
      </c>
      <c r="F63" s="41" t="str">
        <f t="shared" si="0"/>
        <v>2.4.6</v>
      </c>
      <c r="G63" s="29" t="str">
        <f t="shared" si="7"/>
        <v>NULO</v>
      </c>
      <c r="H63" s="29">
        <f t="shared" si="8"/>
        <v>0</v>
      </c>
    </row>
    <row r="64" spans="1:9" hidden="1" x14ac:dyDescent="0.3">
      <c r="A64" s="83" t="s">
        <v>58</v>
      </c>
      <c r="B64" s="37" t="str">
        <f>VLOOKUP(A64,'11 - FINANCEIRO'!A:M,1,0)</f>
        <v>2.4.7</v>
      </c>
      <c r="C64" s="38" t="str">
        <f>VLOOKUP(A64,'11 - FINANCEIRO'!A:M,3,FALSE)</f>
        <v>Tubo Pead Pe 100 Pn 8 Com Flanges - D = 450 Mm</v>
      </c>
      <c r="D64" s="39">
        <f>VLOOKUP(A64,'11 - FINANCEIRO'!A:M,10,0)</f>
        <v>0</v>
      </c>
      <c r="E64" s="40" t="str">
        <f>VLOOKUP(A64,'11 - FINANCEIRO'!A:M,4,0)</f>
        <v>m</v>
      </c>
      <c r="F64" s="41" t="str">
        <f t="shared" si="0"/>
        <v>2.4.7</v>
      </c>
      <c r="G64" s="29" t="str">
        <f t="shared" si="7"/>
        <v>NULO</v>
      </c>
      <c r="H64" s="29">
        <f t="shared" si="8"/>
        <v>0</v>
      </c>
    </row>
    <row r="65" spans="1:9" ht="25.5" hidden="1" x14ac:dyDescent="0.3">
      <c r="A65" s="83" t="s">
        <v>59</v>
      </c>
      <c r="B65" s="37" t="str">
        <f>VLOOKUP(A65,'11 - FINANCEIRO'!A:M,1,0)</f>
        <v>2.4.8</v>
      </c>
      <c r="C65" s="38" t="str">
        <f>VLOOKUP(A65,'11 - FINANCEIRO'!A:M,3,FALSE)</f>
        <v>Assentamento De Tubo De Pead Corrugado De Dupla Parede Para Rede Coletora De Esgoto, Dn 450 Mm, Junta Elástica Integrada (Não Inclui Fornecimento). Af_01/2021</v>
      </c>
      <c r="D65" s="39">
        <f>VLOOKUP(A65,'11 - FINANCEIRO'!A:M,10,0)</f>
        <v>0</v>
      </c>
      <c r="E65" s="40" t="str">
        <f>VLOOKUP(A65,'11 - FINANCEIRO'!A:M,4,0)</f>
        <v>m</v>
      </c>
      <c r="F65" s="41" t="str">
        <f t="shared" si="0"/>
        <v>2.4.8</v>
      </c>
      <c r="G65" s="29" t="str">
        <f t="shared" si="7"/>
        <v>NULO</v>
      </c>
      <c r="H65" s="29">
        <f t="shared" si="8"/>
        <v>0</v>
      </c>
    </row>
    <row r="66" spans="1:9" x14ac:dyDescent="0.3">
      <c r="A66" s="83" t="s">
        <v>60</v>
      </c>
      <c r="B66" s="37" t="str">
        <f>VLOOKUP(A66,'11 - FINANCEIRO'!A:M,1,0)</f>
        <v>2.4.9</v>
      </c>
      <c r="C66" s="38" t="str">
        <f>VLOOKUP(A66,'11 - FINANCEIRO'!A:M,3,FALSE)</f>
        <v>Destocamento De Árvores Com Diâmetro  &gt; 30 Cm, Com Trator De Esteira</v>
      </c>
      <c r="D66" s="39">
        <f>VLOOKUP(A66,'11 - FINANCEIRO'!A:M,10,0)</f>
        <v>80</v>
      </c>
      <c r="E66" s="40" t="str">
        <f>VLOOKUP(A66,'11 - FINANCEIRO'!A:M,4,0)</f>
        <v>ud</v>
      </c>
      <c r="F66" s="41" t="str">
        <f t="shared" si="0"/>
        <v>2.4.9</v>
      </c>
      <c r="G66" s="29" t="str">
        <f>IF(D66&gt;0,"POSITIVO",IF(D66=0,"NULO",IF(D66&lt;0,"NEGATIVO")))</f>
        <v>POSITIVO</v>
      </c>
      <c r="H66" s="29">
        <f t="shared" si="8"/>
        <v>1</v>
      </c>
    </row>
    <row r="67" spans="1:9" ht="33" x14ac:dyDescent="0.3">
      <c r="A67" s="83" t="s">
        <v>61</v>
      </c>
      <c r="B67" s="37" t="str">
        <f>VLOOKUP(A67,'11 - FINANCEIRO'!A:M,1,0)</f>
        <v>2.4.10</v>
      </c>
      <c r="C67" s="38" t="str">
        <f>VLOOKUP(A67,'11 - FINANCEIRO'!A:M,3,FALSE)</f>
        <v>Demolição De Concreto Armado</v>
      </c>
      <c r="D67" s="39">
        <f>VLOOKUP(A67,'11 - FINANCEIRO'!A:M,10,0)</f>
        <v>1.93</v>
      </c>
      <c r="E67" s="40" t="str">
        <f>VLOOKUP(A67,'11 - FINANCEIRO'!A:M,4,0)</f>
        <v>m³</v>
      </c>
      <c r="F67" s="41" t="str">
        <f t="shared" si="0"/>
        <v>2.4.10</v>
      </c>
      <c r="G67" s="29" t="str">
        <f t="shared" si="7"/>
        <v>POSITIVO</v>
      </c>
      <c r="H67" s="29">
        <f t="shared" si="8"/>
        <v>1</v>
      </c>
    </row>
    <row r="68" spans="1:9" ht="33" hidden="1" x14ac:dyDescent="0.3">
      <c r="A68" s="83" t="s">
        <v>62</v>
      </c>
      <c r="B68" s="37" t="str">
        <f>VLOOKUP(A68,'11 - FINANCEIRO'!A:M,1,0)</f>
        <v>2.4.11</v>
      </c>
      <c r="C68" s="38" t="str">
        <f>VLOOKUP(A68,'11 - FINANCEIRO'!A:M,3,FALSE)</f>
        <v>Corpo BSTC Diâmetro 0,20 M C.S. Pb Inclusive Escavação, Reaterro E Transporte Do Tubo</v>
      </c>
      <c r="D68" s="39">
        <f>VLOOKUP(A68,'11 - FINANCEIRO'!A:M,10,0)</f>
        <v>0</v>
      </c>
      <c r="E68" s="40" t="str">
        <f>VLOOKUP(A68,'11 - FINANCEIRO'!A:M,4,0)</f>
        <v>m</v>
      </c>
      <c r="F68" s="41" t="str">
        <f t="shared" si="0"/>
        <v>2.4.11</v>
      </c>
      <c r="G68" s="29" t="str">
        <f t="shared" si="7"/>
        <v>NULO</v>
      </c>
      <c r="H68" s="29">
        <f t="shared" si="8"/>
        <v>0</v>
      </c>
    </row>
    <row r="69" spans="1:9" ht="33" hidden="1" x14ac:dyDescent="0.3">
      <c r="A69" s="83" t="s">
        <v>63</v>
      </c>
      <c r="B69" s="37" t="str">
        <f>VLOOKUP(A69,'11 - FINANCEIRO'!A:M,1,0)</f>
        <v>2.4.12</v>
      </c>
      <c r="C69" s="38" t="str">
        <f>VLOOKUP(A69,'11 - FINANCEIRO'!A:M,3,FALSE)</f>
        <v>Corpo BSTC Diâmetro 0,30 M C.S. Pb Inclusive Escavação, Reaterro E Transporte Do Tubo</v>
      </c>
      <c r="D69" s="39">
        <f>VLOOKUP(A69,'11 - FINANCEIRO'!A:M,10,0)</f>
        <v>0</v>
      </c>
      <c r="E69" s="40" t="str">
        <f>VLOOKUP(A69,'11 - FINANCEIRO'!A:M,4,0)</f>
        <v>m</v>
      </c>
      <c r="F69" s="41" t="str">
        <f t="shared" si="0"/>
        <v>2.4.12</v>
      </c>
      <c r="G69" s="29" t="str">
        <f t="shared" si="7"/>
        <v>NULO</v>
      </c>
      <c r="H69" s="29">
        <f t="shared" si="8"/>
        <v>0</v>
      </c>
    </row>
    <row r="70" spans="1:9" ht="33" hidden="1" x14ac:dyDescent="0.3">
      <c r="A70" s="83" t="s">
        <v>64</v>
      </c>
      <c r="B70" s="37" t="str">
        <f>VLOOKUP(A70,'11 - FINANCEIRO'!A:M,1,0)</f>
        <v>2.4.13</v>
      </c>
      <c r="C70" s="38" t="str">
        <f>VLOOKUP(A70,'11 - FINANCEIRO'!A:M,3,FALSE)</f>
        <v>Corpo BSTC Diâmetro 0,40 M C.S. Pb Inclusive Escavação, Reaterro E Transporte Do Tubo</v>
      </c>
      <c r="D70" s="39">
        <f>VLOOKUP(A70,'11 - FINANCEIRO'!A:M,10,0)</f>
        <v>0</v>
      </c>
      <c r="E70" s="40" t="str">
        <f>VLOOKUP(A70,'11 - FINANCEIRO'!A:M,4,0)</f>
        <v>m</v>
      </c>
      <c r="F70" s="41" t="str">
        <f t="shared" si="0"/>
        <v>2.4.13</v>
      </c>
      <c r="G70" s="29" t="str">
        <f t="shared" si="7"/>
        <v>NULO</v>
      </c>
      <c r="H70" s="29">
        <f t="shared" si="8"/>
        <v>0</v>
      </c>
    </row>
    <row r="71" spans="1:9" ht="33" hidden="1" x14ac:dyDescent="0.3">
      <c r="A71" s="83" t="s">
        <v>65</v>
      </c>
      <c r="B71" s="37" t="str">
        <f>VLOOKUP(A71,'11 - FINANCEIRO'!A:M,1,0)</f>
        <v>2.4.14</v>
      </c>
      <c r="C71" s="38" t="str">
        <f>VLOOKUP(A71,'11 - FINANCEIRO'!A:M,3,FALSE)</f>
        <v>Corpo BSTC Diâmetro 0,60 M C.S. Pb Inclusive Escavação, Reaterro E Transporte Do Tubo</v>
      </c>
      <c r="D71" s="39">
        <f>VLOOKUP(A71,'11 - FINANCEIRO'!A:M,10,0)</f>
        <v>0</v>
      </c>
      <c r="E71" s="40" t="str">
        <f>VLOOKUP(A71,'11 - FINANCEIRO'!A:M,4,0)</f>
        <v>m</v>
      </c>
      <c r="F71" s="41" t="str">
        <f t="shared" si="0"/>
        <v>2.4.14</v>
      </c>
      <c r="G71" s="29" t="str">
        <f t="shared" si="7"/>
        <v>NULO</v>
      </c>
      <c r="H71" s="29">
        <f t="shared" si="8"/>
        <v>0</v>
      </c>
    </row>
    <row r="72" spans="1:9" ht="38.25" hidden="1" x14ac:dyDescent="0.3">
      <c r="A72" s="83" t="s">
        <v>66</v>
      </c>
      <c r="B72" s="37" t="str">
        <f>VLOOKUP(A72,'11 - FINANCEIRO'!A:M,1,0)</f>
        <v>2.4.15</v>
      </c>
      <c r="C72" s="38" t="str">
        <f>VLOOKUP(A72,'11 - FINANCEIRO'!A:M,3,FALSE)</f>
        <v>Corpo BSTC (Greide) Diâmetro 0,80 M Ca-1 Pb Inclusive Escavação, Reaterro E Transporte Do
Tubo</v>
      </c>
      <c r="D72" s="39">
        <f>VLOOKUP(A72,'11 - FINANCEIRO'!A:M,10,0)</f>
        <v>0</v>
      </c>
      <c r="E72" s="40" t="str">
        <f>VLOOKUP(A72,'11 - FINANCEIRO'!A:M,4,0)</f>
        <v>m</v>
      </c>
      <c r="F72" s="41" t="str">
        <f t="shared" si="0"/>
        <v>2.4.15</v>
      </c>
      <c r="G72" s="29" t="str">
        <f t="shared" si="7"/>
        <v>NULO</v>
      </c>
      <c r="H72" s="29">
        <f t="shared" si="8"/>
        <v>0</v>
      </c>
    </row>
    <row r="73" spans="1:9" ht="33" hidden="1" x14ac:dyDescent="0.3">
      <c r="A73" s="83" t="s">
        <v>67</v>
      </c>
      <c r="B73" s="37" t="str">
        <f>VLOOKUP(A73,'11 - FINANCEIRO'!A:M,1,0)</f>
        <v>2.4.16</v>
      </c>
      <c r="C73" s="38" t="str">
        <f>VLOOKUP(A73,'11 - FINANCEIRO'!A:M,3,FALSE)</f>
        <v>Corpo BSTC (Greide) Diâmetro 1,00 M Ca-1 Pb Inclusive Escavação, Reaterro E Transporte Do Tubo</v>
      </c>
      <c r="D73" s="39">
        <f>VLOOKUP(A73,'11 - FINANCEIRO'!A:M,10,0)</f>
        <v>0</v>
      </c>
      <c r="E73" s="40" t="str">
        <f>VLOOKUP(A73,'11 - FINANCEIRO'!A:M,4,0)</f>
        <v>m</v>
      </c>
      <c r="F73" s="41" t="str">
        <f t="shared" si="0"/>
        <v>2.4.16</v>
      </c>
      <c r="G73" s="29" t="str">
        <f t="shared" si="7"/>
        <v>NULO</v>
      </c>
      <c r="H73" s="29">
        <f t="shared" si="8"/>
        <v>0</v>
      </c>
    </row>
    <row r="74" spans="1:9" ht="33" hidden="1" x14ac:dyDescent="0.3">
      <c r="A74" s="83" t="s">
        <v>68</v>
      </c>
      <c r="B74" s="37" t="str">
        <f>VLOOKUP(A74,'11 - FINANCEIRO'!A:M,1,0)</f>
        <v>2.4.17</v>
      </c>
      <c r="C74" s="38" t="str">
        <f>VLOOKUP(A74,'11 - FINANCEIRO'!A:M,3,FALSE)</f>
        <v>Rede Agua Fofo K-7 Dn 400 S/Pav</v>
      </c>
      <c r="D74" s="39">
        <f>VLOOKUP(A74,'11 - FINANCEIRO'!A:M,10,0)</f>
        <v>0</v>
      </c>
      <c r="E74" s="40" t="str">
        <f>VLOOKUP(A74,'11 - FINANCEIRO'!A:M,4,0)</f>
        <v>m</v>
      </c>
      <c r="F74" s="41" t="str">
        <f t="shared" si="0"/>
        <v>2.4.17</v>
      </c>
      <c r="G74" s="29" t="str">
        <f t="shared" si="7"/>
        <v>NULO</v>
      </c>
      <c r="H74" s="29">
        <f t="shared" si="8"/>
        <v>0</v>
      </c>
    </row>
    <row r="75" spans="1:9" ht="18" hidden="1" customHeight="1" x14ac:dyDescent="0.3">
      <c r="A75" s="83" t="s">
        <v>69</v>
      </c>
      <c r="B75" s="37" t="str">
        <f>VLOOKUP(A75,'11 - FINANCEIRO'!A:M,1,0)</f>
        <v>2.4.18</v>
      </c>
      <c r="C75" s="38" t="str">
        <f>VLOOKUP(A75,'11 - FINANCEIRO'!A:M,3,FALSE)</f>
        <v>Demolição Manual De Construções Provisórias De Madeira - Sem Reaproveitamento</v>
      </c>
      <c r="D75" s="39">
        <f>VLOOKUP(A75,'11 - FINANCEIRO'!A:M,10,0)</f>
        <v>0</v>
      </c>
      <c r="E75" s="40" t="str">
        <f>VLOOKUP(A75,'11 - FINANCEIRO'!A:M,4,0)</f>
        <v>m²</v>
      </c>
      <c r="F75" s="41" t="str">
        <f t="shared" si="0"/>
        <v>2.4.18</v>
      </c>
      <c r="G75" s="29" t="str">
        <f t="shared" si="7"/>
        <v>NULO</v>
      </c>
      <c r="H75" s="29">
        <f t="shared" si="8"/>
        <v>0</v>
      </c>
    </row>
    <row r="76" spans="1:9" x14ac:dyDescent="0.3">
      <c r="A76" s="31" t="s">
        <v>70</v>
      </c>
      <c r="B76" s="32" t="str">
        <f>VLOOKUP(A76,'11 - FINANCEIRO'!A:M,1,0)</f>
        <v>2.5</v>
      </c>
      <c r="C76" s="33" t="str">
        <f>VLOOKUP(A76,'11 - FINANCEIRO'!A:M,2,FALSE)</f>
        <v>Esgoto</v>
      </c>
      <c r="D76" s="34"/>
      <c r="E76" s="35"/>
      <c r="F76" s="28" t="str">
        <f t="shared" si="0"/>
        <v>2.5</v>
      </c>
      <c r="H76" s="29">
        <f>SUM(H77:H102)</f>
        <v>8</v>
      </c>
      <c r="I76" s="30" t="s">
        <v>9</v>
      </c>
    </row>
    <row r="77" spans="1:9" ht="38.25" hidden="1" x14ac:dyDescent="0.3">
      <c r="A77" s="83" t="s">
        <v>71</v>
      </c>
      <c r="B77" s="37" t="str">
        <f>VLOOKUP(A77,'11 - FINANCEIRO'!A:M,1,0)</f>
        <v>2.5.1</v>
      </c>
      <c r="C77" s="38" t="str">
        <f>VLOOKUP(A77,'11 - FINANCEIRO'!A:M,3,FALSE)</f>
        <v>(Composição Representativa) Poço De Visita Circular Para Esgoto, Em Concreto Pré-Moldado, Diâmetro Interno = 1,0 M, Profundidade De 1,50 A 2,00 M, Incluindo Tampão De Ferro Fundido, Diâmetro De 60 Cm. Af_04/2018</v>
      </c>
      <c r="D77" s="39">
        <f>VLOOKUP(A77,'11 - FINANCEIRO'!A:M,10,0)</f>
        <v>0</v>
      </c>
      <c r="E77" s="40" t="str">
        <f>VLOOKUP(A77,'11 - FINANCEIRO'!A:M,4,0)</f>
        <v>un</v>
      </c>
      <c r="F77" s="41" t="str">
        <f t="shared" si="0"/>
        <v>2.5.1</v>
      </c>
      <c r="G77" s="29" t="str">
        <f t="shared" si="7"/>
        <v>NULO</v>
      </c>
      <c r="H77" s="29">
        <f t="shared" si="8"/>
        <v>0</v>
      </c>
    </row>
    <row r="78" spans="1:9" ht="18" hidden="1" customHeight="1" x14ac:dyDescent="0.3">
      <c r="A78" s="83" t="s">
        <v>72</v>
      </c>
      <c r="B78" s="37" t="s">
        <v>72</v>
      </c>
      <c r="C78" s="38" t="str">
        <f>VLOOKUP(A78,'11 - FINANCEIRO'!A:M,3,FALSE)</f>
        <v>Poço De Visita Para BSTC Diâm. 0,60M Em Blocos De Concreto</v>
      </c>
      <c r="D78" s="39">
        <f>VLOOKUP(A78,'11 - FINANCEIRO'!A:M,10,0)</f>
        <v>0</v>
      </c>
      <c r="E78" s="40" t="str">
        <f>VLOOKUP(A78,'11 - FINANCEIRO'!A:M,4,0)</f>
        <v>un</v>
      </c>
      <c r="F78" s="41" t="str">
        <f t="shared" si="0"/>
        <v>2.5.2</v>
      </c>
      <c r="G78" s="29" t="str">
        <f>IF(D78&gt;0,"POSITIVO",IF(D78=0,"NULO",IF(D78&lt;0,"NEGATIVO")))</f>
        <v>NULO</v>
      </c>
      <c r="H78" s="29">
        <f t="shared" si="8"/>
        <v>0</v>
      </c>
    </row>
    <row r="79" spans="1:9" x14ac:dyDescent="0.3">
      <c r="A79" s="31" t="s">
        <v>73</v>
      </c>
      <c r="B79" s="32" t="str">
        <f>VLOOKUP(A79,'11 - FINANCEIRO'!A:M,1,0)</f>
        <v>2.5.3</v>
      </c>
      <c r="C79" s="33" t="str">
        <f>VLOOKUP(A79,'11 - FINANCEIRO'!A:M,2,FALSE)</f>
        <v>Rede Coletora</v>
      </c>
      <c r="D79" s="34"/>
      <c r="E79" s="35"/>
      <c r="F79" s="28" t="str">
        <f t="shared" si="0"/>
        <v>2.5.3</v>
      </c>
      <c r="H79" s="29">
        <f>SUM(H80:H102)</f>
        <v>4</v>
      </c>
      <c r="I79" s="30" t="s">
        <v>9</v>
      </c>
    </row>
    <row r="80" spans="1:9" hidden="1" x14ac:dyDescent="0.3">
      <c r="A80" s="31" t="s">
        <v>74</v>
      </c>
      <c r="B80" s="32" t="str">
        <f>VLOOKUP(A80,'11 - FINANCEIRO'!A:M,1,0)</f>
        <v>2.5.3.1</v>
      </c>
      <c r="C80" s="33" t="str">
        <f>VLOOKUP(A80,'11 - FINANCEIRO'!A:M,2,FALSE)</f>
        <v>Serviços Técnicos</v>
      </c>
      <c r="D80" s="34"/>
      <c r="E80" s="35"/>
      <c r="F80" s="28" t="str">
        <f t="shared" ref="F80:F143" si="9">A80</f>
        <v>2.5.3.1</v>
      </c>
      <c r="H80" s="29">
        <f>SUM(H81:H82)</f>
        <v>0</v>
      </c>
      <c r="I80" s="30" t="s">
        <v>9</v>
      </c>
    </row>
    <row r="81" spans="1:9" ht="18" hidden="1" customHeight="1" x14ac:dyDescent="0.3">
      <c r="A81" s="83" t="s">
        <v>75</v>
      </c>
      <c r="B81" s="37" t="str">
        <f>VLOOKUP(A81,'11 - FINANCEIRO'!A:M,1,0)</f>
        <v>2.5.3.1.1</v>
      </c>
      <c r="C81" s="38" t="str">
        <f>VLOOKUP(A81,'11 - FINANCEIRO'!A:M,3,FALSE)</f>
        <v>Teste De Estanqueidade Em Redes De Esgoto</v>
      </c>
      <c r="D81" s="39">
        <f>VLOOKUP(A81,'11 - FINANCEIRO'!A:M,10,0)</f>
        <v>0</v>
      </c>
      <c r="E81" s="40" t="str">
        <f>VLOOKUP(A81,'11 - FINANCEIRO'!A:M,4,0)</f>
        <v>m</v>
      </c>
      <c r="F81" s="41" t="str">
        <f t="shared" si="9"/>
        <v>2.5.3.1.1</v>
      </c>
      <c r="G81" s="29" t="str">
        <f t="shared" si="7"/>
        <v>NULO</v>
      </c>
      <c r="H81" s="29">
        <f t="shared" si="8"/>
        <v>0</v>
      </c>
    </row>
    <row r="82" spans="1:9" ht="18" hidden="1" customHeight="1" x14ac:dyDescent="0.3">
      <c r="A82" s="83" t="s">
        <v>76</v>
      </c>
      <c r="B82" s="37" t="str">
        <f>VLOOKUP(A82,'11 - FINANCEIRO'!A:M,1,0)</f>
        <v>2.5.3.1.2</v>
      </c>
      <c r="C82" s="38" t="str">
        <f>VLOOKUP(A82,'11 - FINANCEIRO'!A:M,3,FALSE)</f>
        <v>Cadastro De Rede Agua Ou Esgoto</v>
      </c>
      <c r="D82" s="39">
        <f>VLOOKUP(A82,'11 - FINANCEIRO'!A:M,10,0)</f>
        <v>0</v>
      </c>
      <c r="E82" s="40" t="str">
        <f>VLOOKUP(A82,'11 - FINANCEIRO'!A:M,4,0)</f>
        <v>m</v>
      </c>
      <c r="F82" s="41" t="str">
        <f t="shared" si="9"/>
        <v>2.5.3.1.2</v>
      </c>
      <c r="G82" s="29" t="str">
        <f t="shared" si="7"/>
        <v>NULO</v>
      </c>
      <c r="H82" s="29">
        <f t="shared" si="8"/>
        <v>0</v>
      </c>
    </row>
    <row r="83" spans="1:9" hidden="1" x14ac:dyDescent="0.3">
      <c r="A83" s="31" t="s">
        <v>77</v>
      </c>
      <c r="B83" s="32" t="s">
        <v>77</v>
      </c>
      <c r="C83" s="33" t="str">
        <f>VLOOKUP(A83,'11 - FINANCEIRO'!A:M,2,FALSE)</f>
        <v>Movimento de Terra</v>
      </c>
      <c r="D83" s="34"/>
      <c r="E83" s="35"/>
      <c r="F83" s="28" t="str">
        <f t="shared" si="9"/>
        <v>2.5.3.2</v>
      </c>
      <c r="H83" s="29">
        <f>SUM(H84:H96)</f>
        <v>0</v>
      </c>
      <c r="I83" s="30" t="s">
        <v>9</v>
      </c>
    </row>
    <row r="84" spans="1:9" ht="33" hidden="1" x14ac:dyDescent="0.3">
      <c r="A84" s="83" t="s">
        <v>78</v>
      </c>
      <c r="B84" s="84" t="str">
        <f>VLOOKUP(A84,'11 - FINANCEIRO'!A:M,1,0)</f>
        <v>2.5.3.2.1</v>
      </c>
      <c r="C84" s="67" t="str">
        <f>VLOOKUP(A84,'11 - FINANCEIRO'!A:M,3,FALSE)</f>
        <v>Escavação Mecânica De Vala Em Material De 1ª Categoria</v>
      </c>
      <c r="D84" s="68">
        <f>VLOOKUP(A84,'11 - FINANCEIRO'!A:M,10,0)</f>
        <v>0</v>
      </c>
      <c r="E84" s="85" t="str">
        <f>VLOOKUP(A84,'11 - FINANCEIRO'!A:M,4,0)</f>
        <v>m³</v>
      </c>
      <c r="F84" s="41" t="str">
        <f t="shared" si="9"/>
        <v>2.5.3.2.1</v>
      </c>
      <c r="G84" s="29" t="str">
        <f t="shared" si="7"/>
        <v>NULO</v>
      </c>
      <c r="H84" s="29">
        <f t="shared" si="8"/>
        <v>0</v>
      </c>
    </row>
    <row r="85" spans="1:9" ht="33" hidden="1" x14ac:dyDescent="0.3">
      <c r="A85" s="83" t="s">
        <v>79</v>
      </c>
      <c r="B85" s="84" t="str">
        <f>VLOOKUP(A85,'11 - FINANCEIRO'!A:M,1,0)</f>
        <v>2.5.3.2.2</v>
      </c>
      <c r="C85" s="67" t="str">
        <f>VLOOKUP(A85,'11 - FINANCEIRO'!A:M,3,FALSE)</f>
        <v>Escavação Manual De Vala Em Material De 1ª Categoria</v>
      </c>
      <c r="D85" s="68">
        <f>VLOOKUP(A85,'11 - FINANCEIRO'!A:M,10,0)</f>
        <v>0</v>
      </c>
      <c r="E85" s="85" t="str">
        <f>VLOOKUP(A85,'11 - FINANCEIRO'!A:M,4,0)</f>
        <v>m³</v>
      </c>
      <c r="F85" s="41" t="str">
        <f t="shared" si="9"/>
        <v>2.5.3.2.2</v>
      </c>
      <c r="G85" s="29" t="str">
        <f t="shared" si="7"/>
        <v>NULO</v>
      </c>
      <c r="H85" s="29">
        <f t="shared" si="8"/>
        <v>0</v>
      </c>
    </row>
    <row r="86" spans="1:9" ht="23.25" hidden="1" customHeight="1" x14ac:dyDescent="0.3">
      <c r="A86" s="83" t="s">
        <v>80</v>
      </c>
      <c r="B86" s="84" t="str">
        <f>VLOOKUP(A86,'11 - FINANCEIRO'!A:M,1,0)</f>
        <v>2.5.3.2.3</v>
      </c>
      <c r="C86" s="67" t="str">
        <f>VLOOKUP(A86,'11 - FINANCEIRO'!A:M,3,FALSE)</f>
        <v>Aterro Manual Para Regularização Do Terreno Em Areia, Inclusive Adensamento Hidráulico E Fornecimento Do Material (Máximo De 100M3)</v>
      </c>
      <c r="D86" s="86">
        <f>VLOOKUP(A86,'11 - FINANCEIRO'!A:M,10,0)</f>
        <v>0</v>
      </c>
      <c r="E86" s="85" t="str">
        <f>VLOOKUP(A86,'11 - FINANCEIRO'!A:M,4,0)</f>
        <v>m³</v>
      </c>
      <c r="F86" s="41" t="str">
        <f t="shared" si="9"/>
        <v>2.5.3.2.3</v>
      </c>
      <c r="G86" s="29" t="str">
        <f t="shared" si="7"/>
        <v>NULO</v>
      </c>
      <c r="H86" s="29">
        <f t="shared" si="8"/>
        <v>0</v>
      </c>
    </row>
    <row r="87" spans="1:9" ht="33" hidden="1" x14ac:dyDescent="0.3">
      <c r="A87" s="83" t="s">
        <v>81</v>
      </c>
      <c r="B87" s="84" t="str">
        <f>VLOOKUP(A87,'11 - FINANCEIRO'!A:M,1,0)</f>
        <v>2.5.3.2.4</v>
      </c>
      <c r="C87" s="67" t="str">
        <f>VLOOKUP(A87,'11 - FINANCEIRO'!A:M,3,FALSE)</f>
        <v>Reaterro Manual Apiloado Com Soquete. Af_10/2017</v>
      </c>
      <c r="D87" s="68">
        <f>VLOOKUP(A87,'11 - FINANCEIRO'!A:M,10,0)</f>
        <v>0</v>
      </c>
      <c r="E87" s="85" t="str">
        <f>VLOOKUP(A87,'11 - FINANCEIRO'!A:M,4,0)</f>
        <v>m³</v>
      </c>
      <c r="F87" s="41" t="str">
        <f t="shared" si="9"/>
        <v>2.5.3.2.4</v>
      </c>
      <c r="G87" s="29" t="str">
        <f t="shared" si="7"/>
        <v>NULO</v>
      </c>
      <c r="H87" s="29">
        <f t="shared" si="8"/>
        <v>0</v>
      </c>
    </row>
    <row r="88" spans="1:9" ht="33" hidden="1" x14ac:dyDescent="0.3">
      <c r="A88" s="83" t="s">
        <v>82</v>
      </c>
      <c r="B88" s="84" t="str">
        <f>VLOOKUP(A88,'11 - FINANCEIRO'!A:M,1,0)</f>
        <v>2.5.3.2.5</v>
      </c>
      <c r="C88" s="67" t="str">
        <f>VLOOKUP(A88,'11 - FINANCEIRO'!A:M,3,FALSE)</f>
        <v>Reaterro Manual De Valas Com Compactação Mecanizada. Af_04/2016</v>
      </c>
      <c r="D88" s="68">
        <f>VLOOKUP(A88,'11 - FINANCEIRO'!A:M,10,0)</f>
        <v>0</v>
      </c>
      <c r="E88" s="85" t="str">
        <f>VLOOKUP(A88,'11 - FINANCEIRO'!A:M,4,0)</f>
        <v>m³</v>
      </c>
      <c r="F88" s="41" t="str">
        <f t="shared" si="9"/>
        <v>2.5.3.2.5</v>
      </c>
      <c r="G88" s="29" t="str">
        <f t="shared" si="7"/>
        <v>NULO</v>
      </c>
      <c r="H88" s="29">
        <f t="shared" si="8"/>
        <v>0</v>
      </c>
    </row>
    <row r="89" spans="1:9" ht="33" hidden="1" x14ac:dyDescent="0.3">
      <c r="A89" s="83" t="s">
        <v>83</v>
      </c>
      <c r="B89" s="84" t="str">
        <f>VLOOKUP(A89,'11 - FINANCEIRO'!A:M,1,0)</f>
        <v>2.5.3.2.6</v>
      </c>
      <c r="C89" s="67" t="str">
        <f>VLOOKUP(A89,'11 - FINANCEIRO'!A:M,3,FALSE)</f>
        <v>Transporte Com Caminhão Basculante De 6 M³ - Rodovia Em Revestimento Primário</v>
      </c>
      <c r="D89" s="68">
        <f>VLOOKUP(A89,'11 - FINANCEIRO'!A:M,10,0)</f>
        <v>0</v>
      </c>
      <c r="E89" s="85" t="str">
        <f>VLOOKUP(A89,'11 - FINANCEIRO'!A:M,4,0)</f>
        <v>tkm</v>
      </c>
      <c r="F89" s="41" t="str">
        <f t="shared" si="9"/>
        <v>2.5.3.2.6</v>
      </c>
      <c r="G89" s="29" t="str">
        <f t="shared" si="7"/>
        <v>NULO</v>
      </c>
      <c r="H89" s="29">
        <f t="shared" si="8"/>
        <v>0</v>
      </c>
    </row>
    <row r="90" spans="1:9" ht="25.5" hidden="1" customHeight="1" x14ac:dyDescent="0.3">
      <c r="A90" s="83" t="s">
        <v>84</v>
      </c>
      <c r="B90" s="84" t="str">
        <f>VLOOKUP(A90,'11 - FINANCEIRO'!A:M,1,0)</f>
        <v>2.5.3.2.7</v>
      </c>
      <c r="C90" s="67" t="str">
        <f>VLOOKUP(A90,'11 - FINANCEIRO'!A:M,3,FALSE)</f>
        <v>Demolição Parcial De Pavimento Asfáltico, De Forma Mecanizada, Sem Reaproveitamento. Af_12/2017</v>
      </c>
      <c r="D90" s="68">
        <f>VLOOKUP(A90,'11 - FINANCEIRO'!A:M,10,0)</f>
        <v>0</v>
      </c>
      <c r="E90" s="85" t="str">
        <f>VLOOKUP(A90,'11 - FINANCEIRO'!A:M,4,0)</f>
        <v>m²</v>
      </c>
      <c r="F90" s="41" t="str">
        <f t="shared" si="9"/>
        <v>2.5.3.2.7</v>
      </c>
      <c r="G90" s="29" t="str">
        <f t="shared" si="7"/>
        <v>NULO</v>
      </c>
      <c r="H90" s="29">
        <f t="shared" si="8"/>
        <v>0</v>
      </c>
    </row>
    <row r="91" spans="1:9" ht="33" hidden="1" x14ac:dyDescent="0.3">
      <c r="A91" s="83" t="s">
        <v>85</v>
      </c>
      <c r="B91" s="84" t="str">
        <f>VLOOKUP(A91,'11 - FINANCEIRO'!A:M,1,0)</f>
        <v>2.5.3.2.8</v>
      </c>
      <c r="C91" s="67" t="str">
        <f>VLOOKUP(A91,'11 - FINANCEIRO'!A:M,3,FALSE)</f>
        <v>Sub-Base De Brita Graduada, Inclusive Fornecimento E Transporte Da Brita Em Vias Urbanas</v>
      </c>
      <c r="D91" s="68">
        <f>VLOOKUP(A91,'11 - FINANCEIRO'!A:M,10,0)</f>
        <v>0</v>
      </c>
      <c r="E91" s="85" t="str">
        <f>VLOOKUP(A91,'11 - FINANCEIRO'!A:M,4,0)</f>
        <v>m³</v>
      </c>
      <c r="F91" s="41" t="str">
        <f t="shared" si="9"/>
        <v>2.5.3.2.8</v>
      </c>
      <c r="G91" s="29" t="str">
        <f t="shared" si="7"/>
        <v>NULO</v>
      </c>
      <c r="H91" s="29">
        <f t="shared" si="8"/>
        <v>0</v>
      </c>
    </row>
    <row r="92" spans="1:9" ht="25.5" hidden="1" customHeight="1" x14ac:dyDescent="0.3">
      <c r="A92" s="83" t="s">
        <v>86</v>
      </c>
      <c r="B92" s="84" t="str">
        <f>VLOOKUP(A92,'11 - FINANCEIRO'!A:M,1,0)</f>
        <v>2.5.3.2.9</v>
      </c>
      <c r="C92" s="67" t="str">
        <f>VLOOKUP(A92,'11 - FINANCEIRO'!A:M,3,FALSE)</f>
        <v>Carga, Manobra E Descarga De Material Demolido Em Caminhão Basculante De 6 M³ - Carga Manual E Descarga Livre</v>
      </c>
      <c r="D92" s="68">
        <f>VLOOKUP(A92,'11 - FINANCEIRO'!A:M,10,0)</f>
        <v>0</v>
      </c>
      <c r="E92" s="85" t="str">
        <f>VLOOKUP(A92,'11 - FINANCEIRO'!A:M,4,0)</f>
        <v>t</v>
      </c>
      <c r="F92" s="41" t="str">
        <f t="shared" si="9"/>
        <v>2.5.3.2.9</v>
      </c>
      <c r="G92" s="29" t="str">
        <f t="shared" si="7"/>
        <v>NULO</v>
      </c>
      <c r="H92" s="29">
        <f t="shared" si="8"/>
        <v>0</v>
      </c>
    </row>
    <row r="93" spans="1:9" ht="24.75" hidden="1" customHeight="1" x14ac:dyDescent="0.3">
      <c r="A93" s="83" t="s">
        <v>87</v>
      </c>
      <c r="B93" s="84" t="str">
        <f>VLOOKUP(A93,'11 - FINANCEIRO'!A:M,1,0)</f>
        <v>2.5.3.2.10</v>
      </c>
      <c r="C93" s="67" t="str">
        <f>VLOOKUP(A93,'11 - FINANCEIRO'!A:M,3,FALSE)</f>
        <v>Transporte De Mistura Betuminosa A Quente Com Caminhão Com Caçamba Térmica De 6 M³ - Rodovia Pavimentada</v>
      </c>
      <c r="D93" s="68">
        <f>VLOOKUP(A93,'11 - FINANCEIRO'!A:M,10,0)</f>
        <v>0</v>
      </c>
      <c r="E93" s="85" t="str">
        <f>VLOOKUP(A93,'11 - FINANCEIRO'!A:M,4,0)</f>
        <v>tkm</v>
      </c>
      <c r="F93" s="41" t="str">
        <f t="shared" si="9"/>
        <v>2.5.3.2.10</v>
      </c>
      <c r="G93" s="29" t="str">
        <f t="shared" si="7"/>
        <v>NULO</v>
      </c>
      <c r="H93" s="29">
        <f t="shared" si="8"/>
        <v>0</v>
      </c>
    </row>
    <row r="94" spans="1:9" ht="33" hidden="1" x14ac:dyDescent="0.3">
      <c r="A94" s="83" t="s">
        <v>88</v>
      </c>
      <c r="B94" s="84" t="str">
        <f>VLOOKUP(A94,'11 - FINANCEIRO'!A:M,1,0)</f>
        <v>2.5.3.2.11</v>
      </c>
      <c r="C94" s="67" t="str">
        <f>VLOOKUP(A94,'11 - FINANCEIRO'!A:M,3,FALSE)</f>
        <v>Imprimação Com Emulsão Asfáltica</v>
      </c>
      <c r="D94" s="68">
        <f>VLOOKUP(A94,'11 - FINANCEIRO'!A:M,10,0)</f>
        <v>0</v>
      </c>
      <c r="E94" s="85" t="str">
        <f>VLOOKUP(A94,'11 - FINANCEIRO'!A:M,4,0)</f>
        <v>m²</v>
      </c>
      <c r="F94" s="41" t="str">
        <f t="shared" si="9"/>
        <v>2.5.3.2.11</v>
      </c>
      <c r="G94" s="29" t="str">
        <f t="shared" si="7"/>
        <v>NULO</v>
      </c>
      <c r="H94" s="29">
        <f t="shared" si="8"/>
        <v>0</v>
      </c>
    </row>
    <row r="95" spans="1:9" ht="33" hidden="1" x14ac:dyDescent="0.3">
      <c r="A95" s="83" t="s">
        <v>89</v>
      </c>
      <c r="B95" s="84" t="str">
        <f>VLOOKUP(A95,'11 - FINANCEIRO'!A:M,1,0)</f>
        <v>2.5.3.2.12</v>
      </c>
      <c r="C95" s="67" t="str">
        <f>VLOOKUP(A95,'11 - FINANCEIRO'!A:M,3,FALSE)</f>
        <v>Emulsão Asfáltica Para Imprimação (Eai), Fornecimento</v>
      </c>
      <c r="D95" s="68">
        <f>VLOOKUP(A95,'11 - FINANCEIRO'!A:M,10,0)</f>
        <v>0</v>
      </c>
      <c r="E95" s="85" t="str">
        <f>VLOOKUP(A95,'11 - FINANCEIRO'!A:M,4,0)</f>
        <v>t</v>
      </c>
      <c r="F95" s="41" t="str">
        <f t="shared" si="9"/>
        <v>2.5.3.2.12</v>
      </c>
      <c r="G95" s="29" t="str">
        <f t="shared" si="7"/>
        <v>NULO</v>
      </c>
      <c r="H95" s="29">
        <f t="shared" si="8"/>
        <v>0</v>
      </c>
    </row>
    <row r="96" spans="1:9" ht="33" hidden="1" x14ac:dyDescent="0.3">
      <c r="A96" s="83" t="s">
        <v>90</v>
      </c>
      <c r="B96" s="84" t="str">
        <f>VLOOKUP(A96,'11 - FINANCEIRO'!A:M,1,0)</f>
        <v>2.5.3.2.13</v>
      </c>
      <c r="C96" s="67" t="str">
        <f>VLOOKUP(A96,'11 - FINANCEIRO'!A:M,3,FALSE)</f>
        <v>Transporte De Material Asfáltico (Dnit), Inclusive Bdi Diferenciado</v>
      </c>
      <c r="D96" s="68">
        <f>VLOOKUP(A96,'11 - FINANCEIRO'!A:M,10,0)</f>
        <v>0</v>
      </c>
      <c r="E96" s="85" t="str">
        <f>VLOOKUP(A96,'11 - FINANCEIRO'!A:M,4,0)</f>
        <v>t</v>
      </c>
      <c r="F96" s="41" t="str">
        <f t="shared" si="9"/>
        <v>2.5.3.2.13</v>
      </c>
      <c r="G96" s="29" t="str">
        <f t="shared" si="7"/>
        <v>NULO</v>
      </c>
      <c r="H96" s="29">
        <f t="shared" si="8"/>
        <v>0</v>
      </c>
    </row>
    <row r="97" spans="1:9" hidden="1" x14ac:dyDescent="0.3">
      <c r="A97" s="31" t="s">
        <v>91</v>
      </c>
      <c r="B97" s="32" t="str">
        <f>VLOOKUP(A97,'11 - FINANCEIRO'!A:M,1,0)</f>
        <v>2.5.3.3</v>
      </c>
      <c r="C97" s="33" t="str">
        <f>VLOOKUP(A97,'11 - FINANCEIRO'!A:M,2,FALSE)</f>
        <v>Escoramento</v>
      </c>
      <c r="D97" s="34"/>
      <c r="E97" s="35"/>
      <c r="F97" s="28" t="str">
        <f t="shared" si="9"/>
        <v>2.5.3.3</v>
      </c>
      <c r="H97" s="29">
        <f>SUM(H98)</f>
        <v>0</v>
      </c>
      <c r="I97" s="30" t="s">
        <v>9</v>
      </c>
    </row>
    <row r="98" spans="1:9" ht="30" hidden="1" customHeight="1" x14ac:dyDescent="0.3">
      <c r="A98" s="83" t="s">
        <v>92</v>
      </c>
      <c r="B98" s="79" t="str">
        <f>VLOOKUP(A98,'11 - FINANCEIRO'!A:M,1,0)</f>
        <v>2.5.3.3.1</v>
      </c>
      <c r="C98" s="80" t="str">
        <f>VLOOKUP(A98,'11 - FINANCEIRO'!A:M,3,FALSE)</f>
        <v>Escoramento De Vala, Tipo Pontaleteamento, Com Profundidade De 0 A 1,5 M, Largura Menor Que 1,5 M, Em Local Com Nível Alto De Interferência.</v>
      </c>
      <c r="D98" s="81">
        <f>VLOOKUP(A98,'11 - FINANCEIRO'!A:M,10,0)</f>
        <v>0</v>
      </c>
      <c r="E98" s="82" t="str">
        <f>VLOOKUP(A98,'11 - FINANCEIRO'!A:M,4,0)</f>
        <v>m²</v>
      </c>
      <c r="F98" s="41" t="str">
        <f t="shared" si="9"/>
        <v>2.5.3.3.1</v>
      </c>
      <c r="G98" s="29" t="str">
        <f t="shared" si="7"/>
        <v>NULO</v>
      </c>
      <c r="H98" s="29">
        <f t="shared" si="8"/>
        <v>0</v>
      </c>
    </row>
    <row r="99" spans="1:9" x14ac:dyDescent="0.3">
      <c r="A99" s="31" t="s">
        <v>93</v>
      </c>
      <c r="B99" s="32" t="str">
        <f>VLOOKUP(A99,'11 - FINANCEIRO'!A:M,1,0)</f>
        <v>2.5.3.4</v>
      </c>
      <c r="C99" s="33" t="str">
        <f>VLOOKUP(A99,'11 - FINANCEIRO'!A:M,2,FALSE)</f>
        <v>Assentamento</v>
      </c>
      <c r="D99" s="34"/>
      <c r="E99" s="35"/>
      <c r="F99" s="28" t="str">
        <f t="shared" si="9"/>
        <v>2.5.3.4</v>
      </c>
      <c r="H99" s="29">
        <f>SUM(H100:H102)</f>
        <v>2</v>
      </c>
      <c r="I99" s="30" t="s">
        <v>9</v>
      </c>
    </row>
    <row r="100" spans="1:9" ht="24.75" customHeight="1" x14ac:dyDescent="0.3">
      <c r="A100" s="83" t="s">
        <v>94</v>
      </c>
      <c r="B100" s="87" t="str">
        <f>VLOOKUP(A100,'11 - FINANCEIRO'!A:M,1,0)</f>
        <v>2.5.3.4.1</v>
      </c>
      <c r="C100" s="64" t="str">
        <f>VLOOKUP(A100,'11 - FINANCEIRO'!A:M,3,FALSE)</f>
        <v>Assentamento De Tubo De Pvc Para Rede Coletora De Esgoto De Parede Maciça, Dn 150 Mm, Junta Elástica, Instalado Em Local Com Nível Alto De Interferências (Não Inclui Fornecimento).</v>
      </c>
      <c r="D100" s="65">
        <f>VLOOKUP(A100,'11 - FINANCEIRO'!A:M,10,0)</f>
        <v>165</v>
      </c>
      <c r="E100" s="88" t="str">
        <f>VLOOKUP(A100,'11 - FINANCEIRO'!A:M,4,0)</f>
        <v>m</v>
      </c>
      <c r="F100" s="41" t="str">
        <f t="shared" si="9"/>
        <v>2.5.3.4.1</v>
      </c>
      <c r="G100" s="29" t="str">
        <f t="shared" si="7"/>
        <v>POSITIVO</v>
      </c>
      <c r="H100" s="29">
        <f t="shared" si="8"/>
        <v>1</v>
      </c>
    </row>
    <row r="101" spans="1:9" ht="33" x14ac:dyDescent="0.3">
      <c r="A101" s="83" t="s">
        <v>95</v>
      </c>
      <c r="B101" s="84" t="str">
        <f>VLOOKUP(A101,'11 - FINANCEIRO'!A:M,1,0)</f>
        <v>2.5.3.4.2</v>
      </c>
      <c r="C101" s="67" t="str">
        <f>VLOOKUP(A101,'11 - FINANCEIRO'!A:M,3,FALSE)</f>
        <v>Tubo Coletor De Esgoto, Pvc, Jei, Dn 150 Mm  (Nbr 7362)</v>
      </c>
      <c r="D101" s="68">
        <f>VLOOKUP(A101,'11 - FINANCEIRO'!A:M,10,0)</f>
        <v>33</v>
      </c>
      <c r="E101" s="85" t="str">
        <f>VLOOKUP(A101,'11 - FINANCEIRO'!A:M,4,0)</f>
        <v xml:space="preserve"> m</v>
      </c>
      <c r="F101" s="41" t="str">
        <f t="shared" si="9"/>
        <v>2.5.3.4.2</v>
      </c>
      <c r="G101" s="29" t="str">
        <f t="shared" si="7"/>
        <v>POSITIVO</v>
      </c>
      <c r="H101" s="29">
        <f t="shared" si="8"/>
        <v>1</v>
      </c>
    </row>
    <row r="102" spans="1:9" ht="33" hidden="1" x14ac:dyDescent="0.3">
      <c r="A102" s="83" t="s">
        <v>96</v>
      </c>
      <c r="B102" s="79" t="str">
        <f>VLOOKUP(A102,'11 - FINANCEIRO'!A:M,1,0)</f>
        <v>2.5.3.4.3</v>
      </c>
      <c r="C102" s="80" t="str">
        <f>VLOOKUP(A102,'11 - FINANCEIRO'!A:M,3,FALSE)</f>
        <v>Execução De Pavimento Com Aplicação De Concreto Asfáltico, Camada De Rolamento - Exclusive Carga E Transporte. Af_11/2019</v>
      </c>
      <c r="D102" s="81">
        <f>VLOOKUP(A102,'11 - FINANCEIRO'!A:M,10,0)</f>
        <v>0</v>
      </c>
      <c r="E102" s="82" t="str">
        <f>VLOOKUP(A102,'11 - FINANCEIRO'!A:M,4,0)</f>
        <v>m³</v>
      </c>
      <c r="F102" s="41" t="str">
        <f t="shared" si="9"/>
        <v>2.5.3.4.3</v>
      </c>
      <c r="G102" s="29" t="str">
        <f t="shared" si="7"/>
        <v>NULO</v>
      </c>
      <c r="H102" s="29">
        <f t="shared" si="8"/>
        <v>0</v>
      </c>
    </row>
    <row r="103" spans="1:9" x14ac:dyDescent="0.3">
      <c r="A103" s="31" t="s">
        <v>97</v>
      </c>
      <c r="B103" s="89" t="str">
        <f>VLOOKUP(A103,'11 - FINANCEIRO'!A:M,1,0)</f>
        <v>2.6</v>
      </c>
      <c r="C103" s="33" t="str">
        <f>VLOOKUP(A103,'11 - FINANCEIRO'!A:M,2,FALSE)</f>
        <v>Sinalização de Obra</v>
      </c>
      <c r="D103" s="34"/>
      <c r="E103" s="90"/>
      <c r="F103" s="28" t="str">
        <f t="shared" si="9"/>
        <v>2.6</v>
      </c>
      <c r="H103" s="29">
        <f>SUM(H104:H106)</f>
        <v>3</v>
      </c>
      <c r="I103" s="30" t="s">
        <v>9</v>
      </c>
    </row>
    <row r="104" spans="1:9" ht="18" customHeight="1" x14ac:dyDescent="0.3">
      <c r="A104" s="83" t="s">
        <v>98</v>
      </c>
      <c r="B104" s="47" t="str">
        <f>VLOOKUP(A104,'11 - FINANCEIRO'!A:M,1,0)</f>
        <v>2.6.1</v>
      </c>
      <c r="C104" s="44" t="str">
        <f>VLOOKUP(A104,'11 - FINANCEIRO'!A:M,3,FALSE)</f>
        <v>Elementos De Madeira Para Sinalização - Cavaletes</v>
      </c>
      <c r="D104" s="48">
        <f>VLOOKUP(A104,'11 - FINANCEIRO'!A:M,10,0)</f>
        <v>40</v>
      </c>
      <c r="E104" s="49" t="str">
        <f>VLOOKUP(A104,'11 - FINANCEIRO'!A:M,4,0)</f>
        <v>ud</v>
      </c>
      <c r="F104" s="41" t="str">
        <f t="shared" si="9"/>
        <v>2.6.1</v>
      </c>
      <c r="G104" s="29" t="str">
        <f t="shared" si="7"/>
        <v>POSITIVO</v>
      </c>
      <c r="H104" s="29">
        <f t="shared" si="8"/>
        <v>1</v>
      </c>
    </row>
    <row r="105" spans="1:9" ht="18" customHeight="1" x14ac:dyDescent="0.3">
      <c r="A105" s="83" t="s">
        <v>99</v>
      </c>
      <c r="B105" s="51" t="str">
        <f>VLOOKUP(A105,'11 - FINANCEIRO'!A:M,1,0)</f>
        <v>2.6.2</v>
      </c>
      <c r="C105" s="52" t="str">
        <f>VLOOKUP(A105,'11 - FINANCEIRO'!A:M,3,FALSE)</f>
        <v>Sinalização Vertical Com Chapa Em Esmalte Sintético</v>
      </c>
      <c r="D105" s="53">
        <f>VLOOKUP(A105,'11 - FINANCEIRO'!A:M,10,0)</f>
        <v>33.599999999999994</v>
      </c>
      <c r="E105" s="54" t="str">
        <f>VLOOKUP(A105,'11 - FINANCEIRO'!A:M,4,0)</f>
        <v>m²</v>
      </c>
      <c r="F105" s="41" t="str">
        <f t="shared" si="9"/>
        <v>2.6.2</v>
      </c>
      <c r="G105" s="29" t="str">
        <f t="shared" si="7"/>
        <v>POSITIVO</v>
      </c>
      <c r="H105" s="29">
        <f t="shared" si="8"/>
        <v>1</v>
      </c>
    </row>
    <row r="106" spans="1:9" ht="25.5" x14ac:dyDescent="0.3">
      <c r="A106" s="83" t="s">
        <v>100</v>
      </c>
      <c r="B106" s="91" t="str">
        <f>VLOOKUP(A106,'11 - FINANCEIRO'!A:M,1,0)</f>
        <v>2.6.3</v>
      </c>
      <c r="C106" s="38" t="str">
        <f>VLOOKUP(A106,'11 - FINANCEIRO'!A:M,3,FALSE)</f>
        <v>Tela De Proteção De Segurança De PVC Cor Laranja Com Suporte  Para Sinalização De Obras</v>
      </c>
      <c r="D106" s="39">
        <f>VLOOKUP(A106,'11 - FINANCEIRO'!A:M,10,0)</f>
        <v>61</v>
      </c>
      <c r="E106" s="92" t="str">
        <f>VLOOKUP(A106,'11 - FINANCEIRO'!A:M,4,0)</f>
        <v>m</v>
      </c>
      <c r="F106" s="41" t="str">
        <f t="shared" si="9"/>
        <v>2.6.3</v>
      </c>
      <c r="G106" s="29" t="str">
        <f t="shared" si="7"/>
        <v>POSITIVO</v>
      </c>
      <c r="H106" s="29">
        <f t="shared" si="8"/>
        <v>1</v>
      </c>
    </row>
    <row r="107" spans="1:9" x14ac:dyDescent="0.3">
      <c r="A107" s="31" t="s">
        <v>101</v>
      </c>
      <c r="B107" s="24" t="str">
        <f>VLOOKUP(A107,'11 - FINANCEIRO'!A:M,1,0)</f>
        <v>3.0</v>
      </c>
      <c r="C107" s="25" t="str">
        <f>VLOOKUP(A107,'11 - FINANCEIRO'!A:M,2,FALSE)</f>
        <v>Canal Guaranhuns 02 - Revestimento em Terra</v>
      </c>
      <c r="D107" s="26"/>
      <c r="E107" s="27"/>
      <c r="F107" s="28" t="str">
        <f t="shared" si="9"/>
        <v>3.0</v>
      </c>
      <c r="H107" s="29">
        <f>SUM(H108:H114)</f>
        <v>4</v>
      </c>
      <c r="I107" s="30" t="s">
        <v>9</v>
      </c>
    </row>
    <row r="108" spans="1:9" x14ac:dyDescent="0.3">
      <c r="A108" s="31" t="s">
        <v>102</v>
      </c>
      <c r="B108" s="32" t="str">
        <f>VLOOKUP(A108,'11 - FINANCEIRO'!A:M,1,0)</f>
        <v>3.1</v>
      </c>
      <c r="C108" s="33" t="str">
        <f>VLOOKUP(A108,'11 - FINANCEIRO'!A:M,2,FALSE)</f>
        <v>Terraplanagem e Pavimentação</v>
      </c>
      <c r="D108" s="34"/>
      <c r="E108" s="35"/>
      <c r="F108" s="28" t="str">
        <f t="shared" si="9"/>
        <v>3.1</v>
      </c>
      <c r="H108" s="29">
        <f>SUM(H109:H114)</f>
        <v>2</v>
      </c>
      <c r="I108" s="30" t="s">
        <v>9</v>
      </c>
    </row>
    <row r="109" spans="1:9" hidden="1" x14ac:dyDescent="0.3">
      <c r="A109" s="83" t="s">
        <v>103</v>
      </c>
      <c r="B109" s="84" t="str">
        <f>VLOOKUP(A109,'11 - FINANCEIRO'!A:M,1,0)</f>
        <v>3.1.1</v>
      </c>
      <c r="C109" s="67" t="str">
        <f>VLOOKUP(A109,'11 - FINANCEIRO'!A:M,3,FALSE)</f>
        <v>Escavação, Carga E Transporte De Material De 1º Categoria</v>
      </c>
      <c r="D109" s="68">
        <f>VLOOKUP(A109,'11 - FINANCEIRO'!A:M,10,0)</f>
        <v>0</v>
      </c>
      <c r="E109" s="85" t="str">
        <f>VLOOKUP(A109,'11 - FINANCEIRO'!A:M,4,0)</f>
        <v>m³</v>
      </c>
      <c r="F109" s="41" t="str">
        <f t="shared" si="9"/>
        <v>3.1.1</v>
      </c>
      <c r="G109" s="29" t="str">
        <f t="shared" si="7"/>
        <v>NULO</v>
      </c>
      <c r="H109" s="29">
        <f t="shared" si="8"/>
        <v>0</v>
      </c>
    </row>
    <row r="110" spans="1:9" ht="24.75" hidden="1" customHeight="1" x14ac:dyDescent="0.3">
      <c r="A110" s="83" t="s">
        <v>104</v>
      </c>
      <c r="B110" s="84" t="str">
        <f>VLOOKUP(A110,'11 - FINANCEIRO'!A:M,1,0)</f>
        <v>3.1.2</v>
      </c>
      <c r="C110" s="67" t="str">
        <f>VLOOKUP(A110,'11 - FINANCEIRO'!A:M,3,FALSE)</f>
        <v>Remocao Residuos Classe A Conama (Cacamba) Classe Ii B (Nbr10004) Inclusive Destinacao Final</v>
      </c>
      <c r="D110" s="68">
        <f>VLOOKUP(A110,'11 - FINANCEIRO'!A:M,10,0)</f>
        <v>0</v>
      </c>
      <c r="E110" s="85" t="str">
        <f>VLOOKUP(A110,'11 - FINANCEIRO'!A:M,4,0)</f>
        <v>m³</v>
      </c>
      <c r="F110" s="41" t="str">
        <f t="shared" si="9"/>
        <v>3.1.2</v>
      </c>
      <c r="G110" s="29" t="str">
        <f t="shared" si="7"/>
        <v>NULO</v>
      </c>
      <c r="H110" s="29">
        <f t="shared" si="8"/>
        <v>0</v>
      </c>
    </row>
    <row r="111" spans="1:9" ht="33" x14ac:dyDescent="0.3">
      <c r="A111" s="83" t="s">
        <v>105</v>
      </c>
      <c r="B111" s="84" t="str">
        <f>VLOOKUP(A111,'11 - FINANCEIRO'!A:M,1,0)</f>
        <v>3.1.3</v>
      </c>
      <c r="C111" s="67" t="str">
        <f>VLOOKUP(A111,'11 - FINANCEIRO'!A:M,3,FALSE)</f>
        <v>Destinação Final De Resíduos Classe Ii A Em Aterro Sanitário Controlado</v>
      </c>
      <c r="D111" s="68">
        <f>VLOOKUP(A111,'11 - FINANCEIRO'!A:M,10,0)</f>
        <v>-3158.87</v>
      </c>
      <c r="E111" s="85" t="str">
        <f>VLOOKUP(A111,'11 - FINANCEIRO'!A:M,4,0)</f>
        <v>t</v>
      </c>
      <c r="F111" s="41" t="str">
        <f t="shared" si="9"/>
        <v>3.1.3</v>
      </c>
      <c r="G111" s="29" t="str">
        <f t="shared" si="7"/>
        <v>NEGATIVO</v>
      </c>
      <c r="H111" s="29">
        <f t="shared" si="8"/>
        <v>1</v>
      </c>
    </row>
    <row r="112" spans="1:9" hidden="1" x14ac:dyDescent="0.3">
      <c r="A112" s="83" t="s">
        <v>106</v>
      </c>
      <c r="B112" s="84" t="str">
        <f>VLOOKUP(A112,'11 - FINANCEIRO'!A:M,1,0)</f>
        <v>3.1.4</v>
      </c>
      <c r="C112" s="67" t="str">
        <f>VLOOKUP(A112,'11 - FINANCEIRO'!A:M,3,FALSE)</f>
        <v>Compactação De Aterros A 100% Do Proctor Intermediário</v>
      </c>
      <c r="D112" s="68">
        <f>VLOOKUP(A112,'11 - FINANCEIRO'!A:M,10,0)</f>
        <v>0</v>
      </c>
      <c r="E112" s="85" t="str">
        <f>VLOOKUP(A112,'11 - FINANCEIRO'!A:M,4,0)</f>
        <v>m³</v>
      </c>
      <c r="F112" s="41" t="str">
        <f t="shared" si="9"/>
        <v>3.1.4</v>
      </c>
      <c r="G112" s="29" t="str">
        <f t="shared" si="7"/>
        <v>NULO</v>
      </c>
      <c r="H112" s="29">
        <f t="shared" si="8"/>
        <v>0</v>
      </c>
    </row>
    <row r="113" spans="1:9" hidden="1" x14ac:dyDescent="0.3">
      <c r="A113" s="83" t="s">
        <v>107</v>
      </c>
      <c r="B113" s="84" t="str">
        <f>VLOOKUP(A113,'11 - FINANCEIRO'!A:M,1,0)</f>
        <v>3.1.5</v>
      </c>
      <c r="C113" s="67" t="str">
        <f>VLOOKUP(A113,'11 - FINANCEIRO'!A:M,3,FALSE)</f>
        <v>Aquisição De Solo De Jazida Comercial (Saibreira)</v>
      </c>
      <c r="D113" s="68">
        <f>VLOOKUP(A113,'11 - FINANCEIRO'!A:M,10,0)</f>
        <v>0</v>
      </c>
      <c r="E113" s="85" t="str">
        <f>VLOOKUP(A113,'11 - FINANCEIRO'!A:M,4,0)</f>
        <v>m³</v>
      </c>
      <c r="F113" s="41" t="str">
        <f t="shared" si="9"/>
        <v>3.1.5</v>
      </c>
      <c r="G113" s="29" t="str">
        <f t="shared" si="7"/>
        <v>NULO</v>
      </c>
      <c r="H113" s="29">
        <f t="shared" si="8"/>
        <v>0</v>
      </c>
    </row>
    <row r="114" spans="1:9" ht="33" x14ac:dyDescent="0.3">
      <c r="A114" s="83" t="s">
        <v>108</v>
      </c>
      <c r="B114" s="84" t="str">
        <f>VLOOKUP(A114,'11 - FINANCEIRO'!A:M,1,0)</f>
        <v>3.1.6</v>
      </c>
      <c r="C114" s="67" t="str">
        <f>VLOOKUP(A114,'11 - FINANCEIRO'!A:M,3,FALSE)</f>
        <v>Transporte De Material De 3ª Categoria Com Caminhão Basculante De 12 M³ Para Rocha - Rodovia Pavimentada</v>
      </c>
      <c r="D114" s="68">
        <f>VLOOKUP(A114,'11 - FINANCEIRO'!A:M,10,0)</f>
        <v>-240924.266</v>
      </c>
      <c r="E114" s="85" t="str">
        <f>VLOOKUP(A114,'11 - FINANCEIRO'!A:M,4,0)</f>
        <v>tkm</v>
      </c>
      <c r="F114" s="41" t="str">
        <f t="shared" si="9"/>
        <v>3.1.6</v>
      </c>
      <c r="G114" s="29" t="str">
        <f t="shared" si="7"/>
        <v>NEGATIVO</v>
      </c>
      <c r="H114" s="29">
        <f t="shared" si="8"/>
        <v>1</v>
      </c>
    </row>
    <row r="115" spans="1:9" hidden="1" x14ac:dyDescent="0.3">
      <c r="A115" s="31" t="s">
        <v>109</v>
      </c>
      <c r="B115" s="32" t="str">
        <f>VLOOKUP(A115,'11 - FINANCEIRO'!A:M,1,0)</f>
        <v>3.2</v>
      </c>
      <c r="C115" s="33" t="str">
        <f>VLOOKUP(A115,'11 - FINANCEIRO'!A:M,2,FALSE)</f>
        <v>Obras Complementares</v>
      </c>
      <c r="D115" s="34"/>
      <c r="E115" s="35"/>
      <c r="F115" s="28" t="str">
        <f t="shared" si="9"/>
        <v>3.2</v>
      </c>
      <c r="H115" s="29">
        <f>SUM(H116:H126)</f>
        <v>0</v>
      </c>
      <c r="I115" s="30" t="s">
        <v>9</v>
      </c>
    </row>
    <row r="116" spans="1:9" hidden="1" x14ac:dyDescent="0.3">
      <c r="A116" s="83" t="s">
        <v>110</v>
      </c>
      <c r="B116" s="37" t="str">
        <f>VLOOKUP(A116,'11 - FINANCEIRO'!A:M,1,0)</f>
        <v>3.2.1</v>
      </c>
      <c r="C116" s="38" t="str">
        <f>VLOOKUP(A116,'11 - FINANCEIRO'!A:M,3,FALSE)</f>
        <v>Demolição Manual De Construções Provisórias De Madeira - Sem Reaproveitamento</v>
      </c>
      <c r="D116" s="39">
        <f>VLOOKUP(A116,'11 - FINANCEIRO'!A:M,10,0)</f>
        <v>0</v>
      </c>
      <c r="E116" s="40" t="str">
        <f>VLOOKUP(A116,'11 - FINANCEIRO'!A:M,4,0)</f>
        <v>m²</v>
      </c>
      <c r="F116" s="41" t="str">
        <f t="shared" si="9"/>
        <v>3.2.1</v>
      </c>
      <c r="G116" s="29" t="str">
        <f t="shared" si="7"/>
        <v>NULO</v>
      </c>
      <c r="H116" s="29">
        <f t="shared" si="8"/>
        <v>0</v>
      </c>
    </row>
    <row r="117" spans="1:9" ht="38.25" hidden="1" x14ac:dyDescent="0.3">
      <c r="A117" s="83" t="s">
        <v>111</v>
      </c>
      <c r="B117" s="37" t="str">
        <f>VLOOKUP(A117,'11 - FINANCEIRO'!A:M,1,0)</f>
        <v>3.2.2</v>
      </c>
      <c r="C117" s="38" t="str">
        <f>VLOOKUP(A117,'11 - FINANCEIRO'!A:M,3,FALSE)</f>
        <v>Índice De Preço Para Remoção De Entulho Decorrente Da Execução De Obras (Classe A Conama - Nbr 10.004 - Classe Ii-B), Incluindo Aluguel Da Caçamba, Carga, Transporte E Descarga Em Área Licenciada</v>
      </c>
      <c r="D117" s="39">
        <f>VLOOKUP(A117,'11 - FINANCEIRO'!A:M,10,0)</f>
        <v>0</v>
      </c>
      <c r="E117" s="40" t="str">
        <f>VLOOKUP(A117,'11 - FINANCEIRO'!A:M,4,0)</f>
        <v>m³</v>
      </c>
      <c r="F117" s="41" t="str">
        <f t="shared" si="9"/>
        <v>3.2.2</v>
      </c>
      <c r="G117" s="29" t="str">
        <f t="shared" si="7"/>
        <v>NULO</v>
      </c>
      <c r="H117" s="29">
        <f t="shared" si="8"/>
        <v>0</v>
      </c>
    </row>
    <row r="118" spans="1:9" ht="38.25" hidden="1" x14ac:dyDescent="0.3">
      <c r="A118" s="83" t="s">
        <v>112</v>
      </c>
      <c r="B118" s="37" t="str">
        <f>VLOOKUP(A118,'11 - FINANCEIRO'!A:M,1,0)</f>
        <v>3.2.3</v>
      </c>
      <c r="C118" s="38" t="str">
        <f>VLOOKUP(A118,'11 - FINANCEIRO'!A:M,3,FALSE)</f>
        <v>Assentamento De Tubo De Pvc Para Rede Coletora De Esgoto De Parede Maciça, Dn 150 Mm, Junta Elástica, Instalado Em Local Com Nível Alto De Interferências (Não Inclui Fornecimento).</v>
      </c>
      <c r="D118" s="39">
        <f>VLOOKUP(A118,'11 - FINANCEIRO'!A:M,10,0)</f>
        <v>0</v>
      </c>
      <c r="E118" s="40" t="str">
        <f>VLOOKUP(A118,'11 - FINANCEIRO'!A:M,4,0)</f>
        <v>m</v>
      </c>
      <c r="F118" s="41" t="str">
        <f t="shared" si="9"/>
        <v>3.2.3</v>
      </c>
      <c r="G118" s="29" t="str">
        <f t="shared" si="7"/>
        <v>NULO</v>
      </c>
      <c r="H118" s="29">
        <f t="shared" si="8"/>
        <v>0</v>
      </c>
    </row>
    <row r="119" spans="1:9" hidden="1" x14ac:dyDescent="0.3">
      <c r="A119" s="83" t="s">
        <v>113</v>
      </c>
      <c r="B119" s="37" t="s">
        <v>113</v>
      </c>
      <c r="C119" s="38" t="str">
        <f>VLOOKUP(A119,'11 - FINANCEIRO'!A:M,3,FALSE)</f>
        <v>Tubo Coletor De Esgoto, Pvc, Jei, Dn 150 Mm  (Nbr 7362)</v>
      </c>
      <c r="D119" s="39">
        <f>VLOOKUP(A119,'11 - FINANCEIRO'!A:M,10,0)</f>
        <v>0</v>
      </c>
      <c r="E119" s="40" t="str">
        <f>VLOOKUP(A119,'11 - FINANCEIRO'!A:M,4,0)</f>
        <v>m</v>
      </c>
      <c r="F119" s="41" t="str">
        <f t="shared" si="9"/>
        <v>3.2.4</v>
      </c>
      <c r="G119" s="29" t="str">
        <f t="shared" si="7"/>
        <v>NULO</v>
      </c>
      <c r="H119" s="29">
        <f t="shared" si="8"/>
        <v>0</v>
      </c>
    </row>
    <row r="120" spans="1:9" hidden="1" x14ac:dyDescent="0.3">
      <c r="A120" s="83" t="s">
        <v>114</v>
      </c>
      <c r="B120" s="37" t="str">
        <f>VLOOKUP(A120,'11 - FINANCEIRO'!A:M,1,0)</f>
        <v>3.2.5</v>
      </c>
      <c r="C120" s="38" t="str">
        <f>VLOOKUP(A120,'11 - FINANCEIRO'!A:M,3,FALSE)</f>
        <v>Plantio De Grama Em Placas. Af_05/2018</v>
      </c>
      <c r="D120" s="39">
        <f>VLOOKUP(A120,'11 - FINANCEIRO'!A:M,10,0)</f>
        <v>0</v>
      </c>
      <c r="E120" s="40" t="str">
        <f>VLOOKUP(A120,'11 - FINANCEIRO'!A:M,4,0)</f>
        <v>m²</v>
      </c>
      <c r="F120" s="41" t="str">
        <f t="shared" si="9"/>
        <v>3.2.5</v>
      </c>
      <c r="G120" s="29" t="str">
        <f t="shared" si="7"/>
        <v>NULO</v>
      </c>
      <c r="H120" s="29">
        <f t="shared" si="8"/>
        <v>0</v>
      </c>
    </row>
    <row r="121" spans="1:9" hidden="1" x14ac:dyDescent="0.3">
      <c r="A121" s="83" t="s">
        <v>115</v>
      </c>
      <c r="B121" s="37" t="str">
        <f>VLOOKUP(A121,'11 - FINANCEIRO'!A:M,1,0)</f>
        <v>3.2.6</v>
      </c>
      <c r="C121" s="38" t="str">
        <f>VLOOKUP(A121,'11 - FINANCEIRO'!A:M,3,FALSE)</f>
        <v>Destocamento De Árvores Com Diâmetro  &gt; 30 Cm, Com Trator De Esteira</v>
      </c>
      <c r="D121" s="39">
        <f>VLOOKUP(A121,'11 - FINANCEIRO'!A:M,10,0)</f>
        <v>0</v>
      </c>
      <c r="E121" s="40" t="str">
        <f>VLOOKUP(A121,'11 - FINANCEIRO'!A:M,4,0)</f>
        <v>ud</v>
      </c>
      <c r="F121" s="41" t="str">
        <f t="shared" si="9"/>
        <v>3.2.6</v>
      </c>
      <c r="G121" s="29" t="str">
        <f t="shared" si="7"/>
        <v>NULO</v>
      </c>
      <c r="H121" s="29">
        <f t="shared" si="8"/>
        <v>0</v>
      </c>
    </row>
    <row r="122" spans="1:9" hidden="1" x14ac:dyDescent="0.3">
      <c r="A122" s="83" t="s">
        <v>116</v>
      </c>
      <c r="B122" s="37" t="str">
        <f>VLOOKUP(A122,'11 - FINANCEIRO'!A:M,1,0)</f>
        <v>3.2.7</v>
      </c>
      <c r="C122" s="38" t="str">
        <f>VLOOKUP(A122,'11 - FINANCEIRO'!A:M,3,FALSE)</f>
        <v>Demolição De Concreto Armado</v>
      </c>
      <c r="D122" s="39">
        <f>VLOOKUP(A122,'11 - FINANCEIRO'!A:M,10,0)</f>
        <v>0</v>
      </c>
      <c r="E122" s="40" t="str">
        <f>VLOOKUP(A122,'11 - FINANCEIRO'!A:M,4,0)</f>
        <v>m³</v>
      </c>
      <c r="F122" s="41" t="str">
        <f t="shared" si="9"/>
        <v>3.2.7</v>
      </c>
      <c r="G122" s="29" t="str">
        <f t="shared" si="7"/>
        <v>NULO</v>
      </c>
      <c r="H122" s="29">
        <f t="shared" si="8"/>
        <v>0</v>
      </c>
    </row>
    <row r="123" spans="1:9" hidden="1" x14ac:dyDescent="0.3">
      <c r="A123" s="83" t="s">
        <v>117</v>
      </c>
      <c r="B123" s="37" t="str">
        <f>VLOOKUP(A123,'11 - FINANCEIRO'!A:M,1,0)</f>
        <v>3.2.8</v>
      </c>
      <c r="C123" s="38" t="str">
        <f>VLOOKUP(A123,'11 - FINANCEIRO'!A:M,3,FALSE)</f>
        <v>Corpo BSTC Diâmetro 0,30 M C.S. Pb Inclusive Escavação, Reaterro E Transporte Do Tubo</v>
      </c>
      <c r="D123" s="39">
        <f>VLOOKUP(A123,'11 - FINANCEIRO'!A:M,10,0)</f>
        <v>0</v>
      </c>
      <c r="E123" s="40" t="str">
        <f>VLOOKUP(A123,'11 - FINANCEIRO'!A:M,4,0)</f>
        <v>m</v>
      </c>
      <c r="F123" s="41" t="str">
        <f t="shared" si="9"/>
        <v>3.2.8</v>
      </c>
      <c r="G123" s="29" t="str">
        <f t="shared" si="7"/>
        <v>NULO</v>
      </c>
      <c r="H123" s="29">
        <f t="shared" si="8"/>
        <v>0</v>
      </c>
    </row>
    <row r="124" spans="1:9" hidden="1" x14ac:dyDescent="0.3">
      <c r="A124" s="83" t="s">
        <v>118</v>
      </c>
      <c r="B124" s="37" t="str">
        <f>VLOOKUP(A124,'11 - FINANCEIRO'!A:M,1,0)</f>
        <v>3.2.9</v>
      </c>
      <c r="C124" s="38" t="str">
        <f>VLOOKUP(A124,'11 - FINANCEIRO'!A:M,3,FALSE)</f>
        <v>Corpo BSTC Diâmetro 0,40 M C.S. Pb Inclusive Escavação, Reaterro E Transporte Do Tubo</v>
      </c>
      <c r="D124" s="39">
        <f>VLOOKUP(A124,'11 - FINANCEIRO'!A:M,10,0)</f>
        <v>0</v>
      </c>
      <c r="E124" s="40" t="str">
        <f>VLOOKUP(A124,'11 - FINANCEIRO'!A:M,4,0)</f>
        <v>m</v>
      </c>
      <c r="F124" s="41" t="str">
        <f t="shared" si="9"/>
        <v>3.2.9</v>
      </c>
      <c r="G124" s="29" t="str">
        <f t="shared" si="7"/>
        <v>NULO</v>
      </c>
      <c r="H124" s="29">
        <f t="shared" si="8"/>
        <v>0</v>
      </c>
    </row>
    <row r="125" spans="1:9" ht="33" hidden="1" x14ac:dyDescent="0.3">
      <c r="A125" s="83" t="s">
        <v>119</v>
      </c>
      <c r="B125" s="37" t="str">
        <f>VLOOKUP(A125,'11 - FINANCEIRO'!A:M,1,0)</f>
        <v>3.2.10</v>
      </c>
      <c r="C125" s="38" t="str">
        <f>VLOOKUP(A125,'11 - FINANCEIRO'!A:M,3,FALSE)</f>
        <v>Corpo BSTC Diâmetro 0,60 M C.S. Pb Inclusive Escavação, Reaterro E Transporte Do Tubo</v>
      </c>
      <c r="D125" s="39">
        <f>VLOOKUP(A125,'11 - FINANCEIRO'!A:M,10,0)</f>
        <v>0</v>
      </c>
      <c r="E125" s="40" t="str">
        <f>VLOOKUP(A125,'11 - FINANCEIRO'!A:M,4,0)</f>
        <v>m</v>
      </c>
      <c r="F125" s="41" t="str">
        <f t="shared" si="9"/>
        <v>3.2.10</v>
      </c>
      <c r="G125" s="29" t="str">
        <f t="shared" si="7"/>
        <v>NULO</v>
      </c>
      <c r="H125" s="29">
        <f t="shared" si="8"/>
        <v>0</v>
      </c>
    </row>
    <row r="126" spans="1:9" ht="33" hidden="1" x14ac:dyDescent="0.3">
      <c r="A126" s="83" t="s">
        <v>120</v>
      </c>
      <c r="B126" s="37" t="str">
        <f>VLOOKUP(A126,'11 - FINANCEIRO'!A:M,1,0)</f>
        <v>3.2.11</v>
      </c>
      <c r="C126" s="38" t="str">
        <f>VLOOKUP(A126,'11 - FINANCEIRO'!A:M,3,FALSE)</f>
        <v>Demolição De Concreto Simples</v>
      </c>
      <c r="D126" s="39">
        <f>VLOOKUP(A126,'11 - FINANCEIRO'!A:M,10,0)</f>
        <v>0</v>
      </c>
      <c r="E126" s="40" t="str">
        <f>VLOOKUP(A126,'11 - FINANCEIRO'!A:M,4,0)</f>
        <v>m³</v>
      </c>
      <c r="F126" s="41" t="str">
        <f t="shared" si="9"/>
        <v>3.2.11</v>
      </c>
      <c r="G126" s="29" t="str">
        <f>IF(D126&gt;0,"POSITIVO",IF(D126=0,"NULO",IF(D126&lt;0,"NEGATIVO")))</f>
        <v>NULO</v>
      </c>
      <c r="H126" s="29">
        <f t="shared" ref="H126:H196" si="10">IF(G126="NULO",0,1)</f>
        <v>0</v>
      </c>
    </row>
    <row r="127" spans="1:9" hidden="1" x14ac:dyDescent="0.3">
      <c r="A127" s="31" t="s">
        <v>121</v>
      </c>
      <c r="B127" s="32" t="str">
        <f>VLOOKUP(A127,'11 - FINANCEIRO'!A:M,1,0)</f>
        <v>3.3</v>
      </c>
      <c r="C127" s="33" t="str">
        <f>VLOOKUP(A127,'11 - FINANCEIRO'!A:M,2,FALSE)</f>
        <v>Esgoto</v>
      </c>
      <c r="D127" s="34"/>
      <c r="E127" s="35"/>
      <c r="F127" s="28" t="str">
        <f t="shared" si="9"/>
        <v>3.3</v>
      </c>
      <c r="H127" s="29">
        <f>SUM(H128:H128)</f>
        <v>0</v>
      </c>
      <c r="I127" s="30" t="s">
        <v>9</v>
      </c>
    </row>
    <row r="128" spans="1:9" ht="38.25" hidden="1" x14ac:dyDescent="0.3">
      <c r="A128" s="83" t="s">
        <v>122</v>
      </c>
      <c r="B128" s="37" t="str">
        <f>VLOOKUP(A128,'11 - FINANCEIRO'!A:M,1,0)</f>
        <v>3.3.1</v>
      </c>
      <c r="C128" s="38" t="str">
        <f>VLOOKUP(A128,'11 - FINANCEIRO'!A:M,3,FALSE)</f>
        <v>(Composição Representativa) Poço De Visita Circular Para Esgoto, Em Concreto Pré-Moldado, Diâmetro Interno = 1,0 M, Profundidade De 1,50 A 2,00 M, Incluindo Tampão De Ferro Fundido, Diâmetro De 60 Cm. Af_04/2018</v>
      </c>
      <c r="D128" s="39">
        <f>VLOOKUP(A128,'11 - FINANCEIRO'!A:M,10,0)</f>
        <v>0</v>
      </c>
      <c r="E128" s="40" t="str">
        <f>VLOOKUP(A128,'11 - FINANCEIRO'!A:M,4,0)</f>
        <v>un</v>
      </c>
      <c r="F128" s="41" t="str">
        <f t="shared" si="9"/>
        <v>3.3.1</v>
      </c>
      <c r="G128" s="29" t="str">
        <f>IF(D128&gt;0,"POSITIVO",IF(D128=0,"NULO",IF(D128&lt;0,"NEGATIVO")))</f>
        <v>NULO</v>
      </c>
      <c r="H128" s="29">
        <f t="shared" si="10"/>
        <v>0</v>
      </c>
    </row>
    <row r="129" spans="1:9" x14ac:dyDescent="0.3">
      <c r="A129" s="31" t="s">
        <v>123</v>
      </c>
      <c r="B129" s="32" t="str">
        <f>VLOOKUP(A129,'11 - FINANCEIRO'!A:M,1,0)</f>
        <v>3.3.2</v>
      </c>
      <c r="C129" s="33" t="str">
        <f>VLOOKUP(A129,'11 - FINANCEIRO'!A:M,2,FALSE)</f>
        <v>Rede Coletora</v>
      </c>
      <c r="D129" s="34"/>
      <c r="E129" s="35"/>
      <c r="F129" s="28" t="str">
        <f t="shared" si="9"/>
        <v>3.3.2</v>
      </c>
      <c r="G129" s="29" t="str">
        <f>IF(D129&gt;0,"POSITIVO",IF(D129=0,"NULO",IF(D129&lt;0,"NEGATIVO")))</f>
        <v>NULO</v>
      </c>
      <c r="H129" s="29">
        <f>SUM(H130:H152)</f>
        <v>2</v>
      </c>
      <c r="I129" s="30" t="s">
        <v>9</v>
      </c>
    </row>
    <row r="130" spans="1:9" hidden="1" x14ac:dyDescent="0.3">
      <c r="A130" s="31" t="s">
        <v>124</v>
      </c>
      <c r="B130" s="32" t="str">
        <f>VLOOKUP(A130,'11 - FINANCEIRO'!A:M,1,0)</f>
        <v>3.3.2.1</v>
      </c>
      <c r="C130" s="33" t="str">
        <f>VLOOKUP(A130,'11 - FINANCEIRO'!A:M,2,FALSE)</f>
        <v>Serviços Técnicos</v>
      </c>
      <c r="D130" s="34"/>
      <c r="E130" s="35"/>
      <c r="F130" s="28" t="str">
        <f t="shared" si="9"/>
        <v>3.3.2.1</v>
      </c>
      <c r="G130" s="29" t="str">
        <f>IF(D130&gt;0,"POSITIVO",IF(D130=0,"NULO",IF(D130&lt;0,"NEGATIVO")))</f>
        <v>NULO</v>
      </c>
      <c r="H130" s="29">
        <f>SUM(H131:H132)</f>
        <v>0</v>
      </c>
      <c r="I130" s="30" t="s">
        <v>9</v>
      </c>
    </row>
    <row r="131" spans="1:9" ht="33" hidden="1" x14ac:dyDescent="0.3">
      <c r="A131" s="83" t="s">
        <v>125</v>
      </c>
      <c r="B131" s="37" t="str">
        <f>VLOOKUP(A131,'11 - FINANCEIRO'!A:M,1,0)</f>
        <v>3.3.2.1.1</v>
      </c>
      <c r="C131" s="38" t="str">
        <f>VLOOKUP(A131,'11 - FINANCEIRO'!A:M,3,FALSE)</f>
        <v>Teste De Estanqueidade Em Redes De Esgoto</v>
      </c>
      <c r="D131" s="39">
        <f>VLOOKUP(A131,'11 - FINANCEIRO'!A:M,10,0)</f>
        <v>0</v>
      </c>
      <c r="E131" s="40" t="str">
        <f>VLOOKUP(A131,'11 - FINANCEIRO'!A:M,4,0)</f>
        <v>m</v>
      </c>
      <c r="F131" s="41" t="str">
        <f t="shared" si="9"/>
        <v>3.3.2.1.1</v>
      </c>
      <c r="G131" s="29" t="str">
        <f>IF(D131&gt;0,"POSITIVO",IF(D131=0,"NULO",IF(D131&lt;0,"NEGATIVO")))</f>
        <v>NULO</v>
      </c>
      <c r="H131" s="29">
        <f t="shared" si="10"/>
        <v>0</v>
      </c>
    </row>
    <row r="132" spans="1:9" ht="33" hidden="1" x14ac:dyDescent="0.3">
      <c r="A132" s="83" t="s">
        <v>126</v>
      </c>
      <c r="B132" s="37" t="str">
        <f>VLOOKUP(A132,'11 - FINANCEIRO'!A:M,1,0)</f>
        <v>3.3.2.1.2</v>
      </c>
      <c r="C132" s="38" t="str">
        <f>VLOOKUP(A132,'11 - FINANCEIRO'!A:M,3,FALSE)</f>
        <v>Cadastro De Rede Agua Ou Esgoto</v>
      </c>
      <c r="D132" s="39">
        <f>VLOOKUP(A132,'11 - FINANCEIRO'!A:M,10,0)</f>
        <v>0</v>
      </c>
      <c r="E132" s="40" t="str">
        <f>VLOOKUP(A132,'11 - FINANCEIRO'!A:M,4,0)</f>
        <v>m</v>
      </c>
      <c r="F132" s="41" t="str">
        <f t="shared" si="9"/>
        <v>3.3.2.1.2</v>
      </c>
      <c r="G132" s="29" t="str">
        <f>IF(D132&gt;0,"POSITIVO",IF(D132=0,"NULO",IF(D132&lt;0,"NEGATIVO")))</f>
        <v>NULO</v>
      </c>
      <c r="H132" s="29">
        <f t="shared" si="10"/>
        <v>0</v>
      </c>
    </row>
    <row r="133" spans="1:9" x14ac:dyDescent="0.3">
      <c r="A133" s="31" t="s">
        <v>127</v>
      </c>
      <c r="B133" s="32" t="str">
        <f>VLOOKUP(A133,'11 - FINANCEIRO'!A:M,1,0)</f>
        <v>3.3.2.2</v>
      </c>
      <c r="C133" s="33" t="str">
        <f>VLOOKUP(A133,'11 - FINANCEIRO'!A:M,2,FALSE)</f>
        <v>Movimento de Terra</v>
      </c>
      <c r="D133" s="34"/>
      <c r="E133" s="35"/>
      <c r="F133" s="28" t="str">
        <f t="shared" si="9"/>
        <v>3.3.2.2</v>
      </c>
      <c r="H133" s="29">
        <f>SUM(H134:H146)</f>
        <v>1</v>
      </c>
      <c r="I133" s="30" t="s">
        <v>9</v>
      </c>
    </row>
    <row r="134" spans="1:9" ht="33" hidden="1" x14ac:dyDescent="0.3">
      <c r="A134" s="83" t="s">
        <v>128</v>
      </c>
      <c r="B134" s="37" t="s">
        <v>128</v>
      </c>
      <c r="C134" s="38" t="str">
        <f>VLOOKUP(A134,'11 - FINANCEIRO'!A:M,3,FALSE)</f>
        <v>Escavação Mecânica De Vala Em Material De 1ª Categoria</v>
      </c>
      <c r="D134" s="39">
        <f>VLOOKUP(A134,'11 - FINANCEIRO'!A:M,10,0)</f>
        <v>0</v>
      </c>
      <c r="E134" s="40" t="str">
        <f>VLOOKUP(A134,'11 - FINANCEIRO'!A:M,4,0)</f>
        <v>m³</v>
      </c>
      <c r="F134" s="41" t="str">
        <f t="shared" si="9"/>
        <v>3.3.2.2.1</v>
      </c>
      <c r="G134" s="29" t="str">
        <f t="shared" ref="G134:G146" si="11">IF(D134&gt;0,"POSITIVO",IF(D134=0,"NULO",IF(D134&lt;0,"NEGATIVO")))</f>
        <v>NULO</v>
      </c>
      <c r="H134" s="29">
        <f t="shared" si="10"/>
        <v>0</v>
      </c>
    </row>
    <row r="135" spans="1:9" ht="33" hidden="1" x14ac:dyDescent="0.3">
      <c r="A135" s="83" t="s">
        <v>129</v>
      </c>
      <c r="B135" s="37" t="s">
        <v>129</v>
      </c>
      <c r="C135" s="38" t="str">
        <f>VLOOKUP(A135,'11 - FINANCEIRO'!A:M,3,FALSE)</f>
        <v>Escavação Manual De Vala Em Material De 1ª Categoria</v>
      </c>
      <c r="D135" s="39">
        <f>VLOOKUP(A135,'11 - FINANCEIRO'!A:M,10,0)</f>
        <v>0</v>
      </c>
      <c r="E135" s="40" t="str">
        <f>VLOOKUP(A135,'11 - FINANCEIRO'!A:M,4,0)</f>
        <v>m³</v>
      </c>
      <c r="F135" s="41" t="str">
        <f t="shared" si="9"/>
        <v>3.3.2.2.2</v>
      </c>
      <c r="G135" s="29" t="str">
        <f t="shared" si="11"/>
        <v>NULO</v>
      </c>
      <c r="H135" s="29">
        <f t="shared" si="10"/>
        <v>0</v>
      </c>
    </row>
    <row r="136" spans="1:9" ht="33" hidden="1" x14ac:dyDescent="0.3">
      <c r="A136" s="83" t="s">
        <v>130</v>
      </c>
      <c r="B136" s="37" t="s">
        <v>130</v>
      </c>
      <c r="C136" s="38" t="str">
        <f>VLOOKUP(A136,'11 - FINANCEIRO'!A:M,3,FALSE)</f>
        <v>Aterro Manual Para Regularização Do Terreno Em Areia, Inclusive Adensamento Hidráulico E Fornecimento Do Material (Máximo De 100M3)</v>
      </c>
      <c r="D136" s="39">
        <f>VLOOKUP(A136,'11 - FINANCEIRO'!A:M,10,0)</f>
        <v>0</v>
      </c>
      <c r="E136" s="40" t="str">
        <f>VLOOKUP(A136,'11 - FINANCEIRO'!A:M,4,0)</f>
        <v>m³</v>
      </c>
      <c r="F136" s="41" t="str">
        <f t="shared" si="9"/>
        <v>3.3.2.2.3</v>
      </c>
      <c r="G136" s="29" t="str">
        <f t="shared" si="11"/>
        <v>NULO</v>
      </c>
      <c r="H136" s="29">
        <f t="shared" si="10"/>
        <v>0</v>
      </c>
    </row>
    <row r="137" spans="1:9" ht="33" hidden="1" x14ac:dyDescent="0.3">
      <c r="A137" s="83" t="s">
        <v>131</v>
      </c>
      <c r="B137" s="37" t="str">
        <f>VLOOKUP(A137,'11 - FINANCEIRO'!A:M,1,0)</f>
        <v>3.3.2.2.4</v>
      </c>
      <c r="C137" s="38" t="str">
        <f>VLOOKUP(A137,'11 - FINANCEIRO'!A:M,3,FALSE)</f>
        <v>Reaterro Manual Apiloado Com Soquete. Af_10/2017</v>
      </c>
      <c r="D137" s="39">
        <f>VLOOKUP(A137,'11 - FINANCEIRO'!A:M,10,0)</f>
        <v>0</v>
      </c>
      <c r="E137" s="40" t="str">
        <f>VLOOKUP(A137,'11 - FINANCEIRO'!A:M,4,0)</f>
        <v>m³</v>
      </c>
      <c r="F137" s="41" t="str">
        <f t="shared" si="9"/>
        <v>3.3.2.2.4</v>
      </c>
      <c r="G137" s="29" t="str">
        <f t="shared" si="11"/>
        <v>NULO</v>
      </c>
      <c r="H137" s="29">
        <f t="shared" si="10"/>
        <v>0</v>
      </c>
    </row>
    <row r="138" spans="1:9" ht="33" hidden="1" x14ac:dyDescent="0.3">
      <c r="A138" s="83" t="s">
        <v>132</v>
      </c>
      <c r="B138" s="37" t="str">
        <f>VLOOKUP(A138,'11 - FINANCEIRO'!A:M,1,0)</f>
        <v>3.3.2.2.5</v>
      </c>
      <c r="C138" s="38" t="str">
        <f>VLOOKUP(A138,'11 - FINANCEIRO'!A:M,3,FALSE)</f>
        <v>Reaterro Manual De Valas Com Compactação Mecanizada. Af_04/2016</v>
      </c>
      <c r="D138" s="39">
        <f>VLOOKUP(A138,'11 - FINANCEIRO'!A:M,10,0)</f>
        <v>0</v>
      </c>
      <c r="E138" s="40" t="str">
        <f>VLOOKUP(A138,'11 - FINANCEIRO'!A:M,4,0)</f>
        <v>m³</v>
      </c>
      <c r="F138" s="41" t="str">
        <f t="shared" si="9"/>
        <v>3.3.2.2.5</v>
      </c>
      <c r="G138" s="29" t="str">
        <f t="shared" si="11"/>
        <v>NULO</v>
      </c>
      <c r="H138" s="29">
        <f t="shared" si="10"/>
        <v>0</v>
      </c>
    </row>
    <row r="139" spans="1:9" ht="33" hidden="1" x14ac:dyDescent="0.3">
      <c r="A139" s="83" t="s">
        <v>133</v>
      </c>
      <c r="B139" s="37" t="str">
        <f>VLOOKUP(A139,'11 - FINANCEIRO'!A:M,1,0)</f>
        <v>3.3.2.2.6</v>
      </c>
      <c r="C139" s="38" t="str">
        <f>VLOOKUP(A139,'11 - FINANCEIRO'!A:M,3,FALSE)</f>
        <v>Transporte Com Caminhão Basculante De 6 M³ - Rodovia Em Revestimento Primário</v>
      </c>
      <c r="D139" s="39">
        <f>VLOOKUP(A139,'11 - FINANCEIRO'!A:M,10,0)</f>
        <v>0</v>
      </c>
      <c r="E139" s="40" t="str">
        <f>VLOOKUP(A139,'11 - FINANCEIRO'!A:M,4,0)</f>
        <v>tkm</v>
      </c>
      <c r="F139" s="41" t="str">
        <f t="shared" si="9"/>
        <v>3.3.2.2.6</v>
      </c>
      <c r="G139" s="29" t="str">
        <f t="shared" si="11"/>
        <v>NULO</v>
      </c>
      <c r="H139" s="29">
        <f t="shared" si="10"/>
        <v>0</v>
      </c>
    </row>
    <row r="140" spans="1:9" ht="33" x14ac:dyDescent="0.3">
      <c r="A140" s="83" t="s">
        <v>134</v>
      </c>
      <c r="B140" s="37" t="str">
        <f>VLOOKUP(A140,'11 - FINANCEIRO'!A:M,1,0)</f>
        <v>3.3.2.2.7</v>
      </c>
      <c r="C140" s="38" t="str">
        <f>VLOOKUP(A140,'11 - FINANCEIRO'!A:M,3,FALSE)</f>
        <v>Demolição Parcial De Pavimento Asfáltico, De Forma Mecanizada, Sem Reaproveitamento. Af_12/2017</v>
      </c>
      <c r="D140" s="39">
        <f>VLOOKUP(A140,'11 - FINANCEIRO'!A:M,10,0)</f>
        <v>80</v>
      </c>
      <c r="E140" s="40" t="str">
        <f>VLOOKUP(A140,'11 - FINANCEIRO'!A:M,4,0)</f>
        <v>m²</v>
      </c>
      <c r="F140" s="41" t="str">
        <f t="shared" si="9"/>
        <v>3.3.2.2.7</v>
      </c>
      <c r="G140" s="29" t="str">
        <f t="shared" si="11"/>
        <v>POSITIVO</v>
      </c>
      <c r="H140" s="29">
        <f t="shared" si="10"/>
        <v>1</v>
      </c>
    </row>
    <row r="141" spans="1:9" ht="33" hidden="1" x14ac:dyDescent="0.3">
      <c r="A141" s="83" t="s">
        <v>135</v>
      </c>
      <c r="B141" s="37" t="str">
        <f>VLOOKUP(A141,'11 - FINANCEIRO'!A:M,1,0)</f>
        <v>3.3.2.2.8</v>
      </c>
      <c r="C141" s="38" t="str">
        <f>VLOOKUP(A141,'11 - FINANCEIRO'!A:M,3,FALSE)</f>
        <v>Sub-Base De Brita Graduada, Inclusive Fornecimento E Transporte Da Brita Em Vias Urbanas</v>
      </c>
      <c r="D141" s="39">
        <f>VLOOKUP(A141,'11 - FINANCEIRO'!A:M,10,0)</f>
        <v>0</v>
      </c>
      <c r="E141" s="40" t="str">
        <f>VLOOKUP(A141,'11 - FINANCEIRO'!A:M,4,0)</f>
        <v>m³</v>
      </c>
      <c r="F141" s="41" t="str">
        <f t="shared" si="9"/>
        <v>3.3.2.2.8</v>
      </c>
      <c r="G141" s="29" t="str">
        <f t="shared" si="11"/>
        <v>NULO</v>
      </c>
      <c r="H141" s="29">
        <f t="shared" si="10"/>
        <v>0</v>
      </c>
    </row>
    <row r="142" spans="1:9" ht="33" hidden="1" x14ac:dyDescent="0.3">
      <c r="A142" s="83" t="s">
        <v>136</v>
      </c>
      <c r="B142" s="37" t="str">
        <f>VLOOKUP(A142,'11 - FINANCEIRO'!A:M,1,0)</f>
        <v>3.3.2.2.9</v>
      </c>
      <c r="C142" s="38" t="str">
        <f>VLOOKUP(A142,'11 - FINANCEIRO'!A:M,3,FALSE)</f>
        <v>Carga, Manobra E Descarga De Material Demolido Em Caminhão Basculante De 6 M³ - Carga Manual E Descarga Livre</v>
      </c>
      <c r="D142" s="39">
        <f>VLOOKUP(A142,'11 - FINANCEIRO'!A:M,10,0)</f>
        <v>0</v>
      </c>
      <c r="E142" s="40" t="str">
        <f>VLOOKUP(A142,'11 - FINANCEIRO'!A:M,4,0)</f>
        <v>t</v>
      </c>
      <c r="F142" s="41" t="str">
        <f t="shared" si="9"/>
        <v>3.3.2.2.9</v>
      </c>
      <c r="G142" s="29" t="str">
        <f t="shared" si="11"/>
        <v>NULO</v>
      </c>
      <c r="H142" s="29">
        <f t="shared" si="10"/>
        <v>0</v>
      </c>
    </row>
    <row r="143" spans="1:9" ht="33" hidden="1" x14ac:dyDescent="0.3">
      <c r="A143" s="83" t="s">
        <v>137</v>
      </c>
      <c r="B143" s="37" t="str">
        <f>VLOOKUP(A143,'11 - FINANCEIRO'!A:M,1,0)</f>
        <v>3.3.2.2.10</v>
      </c>
      <c r="C143" s="38" t="str">
        <f>VLOOKUP(A143,'11 - FINANCEIRO'!A:M,3,FALSE)</f>
        <v>Transporte De Mistura Betuminosa A Quente Com Caminhão Com Caçamba Térmica De 6 M³ - Rodovia Pavimentada</v>
      </c>
      <c r="D143" s="39">
        <f>VLOOKUP(A143,'11 - FINANCEIRO'!A:M,10,0)</f>
        <v>0</v>
      </c>
      <c r="E143" s="40" t="str">
        <f>VLOOKUP(A143,'11 - FINANCEIRO'!A:M,4,0)</f>
        <v>tkm</v>
      </c>
      <c r="F143" s="41" t="str">
        <f t="shared" si="9"/>
        <v>3.3.2.2.10</v>
      </c>
      <c r="G143" s="29" t="str">
        <f t="shared" si="11"/>
        <v>NULO</v>
      </c>
      <c r="H143" s="29">
        <f t="shared" si="10"/>
        <v>0</v>
      </c>
    </row>
    <row r="144" spans="1:9" ht="33" hidden="1" x14ac:dyDescent="0.3">
      <c r="A144" s="83" t="s">
        <v>138</v>
      </c>
      <c r="B144" s="37" t="str">
        <f>VLOOKUP(A144,'11 - FINANCEIRO'!A:M,1,0)</f>
        <v>3.3.2.2.11</v>
      </c>
      <c r="C144" s="38" t="str">
        <f>VLOOKUP(A144,'11 - FINANCEIRO'!A:M,3,FALSE)</f>
        <v>Imprimação Com Emulsão Asfáltica</v>
      </c>
      <c r="D144" s="39">
        <f>VLOOKUP(A144,'11 - FINANCEIRO'!A:M,10,0)</f>
        <v>0</v>
      </c>
      <c r="E144" s="40" t="str">
        <f>VLOOKUP(A144,'11 - FINANCEIRO'!A:M,4,0)</f>
        <v>m²</v>
      </c>
      <c r="F144" s="41" t="str">
        <f t="shared" ref="F144:F197" si="12">A144</f>
        <v>3.3.2.2.11</v>
      </c>
      <c r="G144" s="29" t="str">
        <f t="shared" si="11"/>
        <v>NULO</v>
      </c>
      <c r="H144" s="29">
        <f t="shared" si="10"/>
        <v>0</v>
      </c>
    </row>
    <row r="145" spans="1:9" ht="33" hidden="1" x14ac:dyDescent="0.3">
      <c r="A145" s="83" t="s">
        <v>139</v>
      </c>
      <c r="B145" s="37" t="str">
        <f>VLOOKUP(A145,'11 - FINANCEIRO'!A:M,1,0)</f>
        <v>3.3.2.2.12</v>
      </c>
      <c r="C145" s="38" t="str">
        <f>VLOOKUP(A145,'11 - FINANCEIRO'!A:M,3,FALSE)</f>
        <v>Emulsão Asfáltica Para Imprimação (Eai), Fornecimento</v>
      </c>
      <c r="D145" s="39">
        <f>VLOOKUP(A145,'11 - FINANCEIRO'!A:M,10,0)</f>
        <v>0</v>
      </c>
      <c r="E145" s="40" t="str">
        <f>VLOOKUP(A145,'11 - FINANCEIRO'!A:M,4,0)</f>
        <v>t</v>
      </c>
      <c r="F145" s="41" t="str">
        <f t="shared" si="12"/>
        <v>3.3.2.2.12</v>
      </c>
      <c r="G145" s="29" t="str">
        <f t="shared" si="11"/>
        <v>NULO</v>
      </c>
      <c r="H145" s="29">
        <f t="shared" si="10"/>
        <v>0</v>
      </c>
    </row>
    <row r="146" spans="1:9" ht="33" hidden="1" x14ac:dyDescent="0.3">
      <c r="A146" s="83" t="s">
        <v>140</v>
      </c>
      <c r="B146" s="37" t="str">
        <f>VLOOKUP(A146,'11 - FINANCEIRO'!A:M,1,0)</f>
        <v>3.3.2.2.13</v>
      </c>
      <c r="C146" s="38" t="str">
        <f>VLOOKUP(A146,'11 - FINANCEIRO'!A:M,3,FALSE)</f>
        <v>Transporte De Material Asfáltico (Dnit), Inclusive Bdi Diferenciado</v>
      </c>
      <c r="D146" s="39">
        <f>VLOOKUP(A146,'11 - FINANCEIRO'!A:M,10,0)</f>
        <v>0</v>
      </c>
      <c r="E146" s="40" t="str">
        <f>VLOOKUP(A146,'11 - FINANCEIRO'!A:M,4,0)</f>
        <v>t</v>
      </c>
      <c r="F146" s="41" t="str">
        <f t="shared" si="12"/>
        <v>3.3.2.2.13</v>
      </c>
      <c r="G146" s="29" t="str">
        <f t="shared" si="11"/>
        <v>NULO</v>
      </c>
      <c r="H146" s="29">
        <f t="shared" si="10"/>
        <v>0</v>
      </c>
    </row>
    <row r="147" spans="1:9" hidden="1" x14ac:dyDescent="0.3">
      <c r="A147" s="31" t="s">
        <v>141</v>
      </c>
      <c r="B147" s="32" t="str">
        <f>VLOOKUP(A147,'11 - FINANCEIRO'!A:M,1,0)</f>
        <v>3.3.2.3</v>
      </c>
      <c r="C147" s="33" t="str">
        <f>VLOOKUP(A147,'11 - FINANCEIRO'!A:M,2,FALSE)</f>
        <v>Escoramento</v>
      </c>
      <c r="D147" s="34"/>
      <c r="E147" s="35"/>
      <c r="F147" s="28" t="str">
        <f t="shared" si="12"/>
        <v>3.3.2.3</v>
      </c>
      <c r="H147" s="29">
        <f>SUM(H148:H148)</f>
        <v>0</v>
      </c>
      <c r="I147" s="30" t="s">
        <v>9</v>
      </c>
    </row>
    <row r="148" spans="1:9" ht="33" hidden="1" x14ac:dyDescent="0.3">
      <c r="A148" s="83" t="s">
        <v>142</v>
      </c>
      <c r="B148" s="37" t="str">
        <f>VLOOKUP(A148,'11 - FINANCEIRO'!A:M,1,0)</f>
        <v>3.3.2.3.1</v>
      </c>
      <c r="C148" s="38" t="str">
        <f>VLOOKUP(A148,'11 - FINANCEIRO'!A:M,3,FALSE)</f>
        <v>Escoramento De Vala, Tipo Pontaleteamento, Com Profundidade De 0 A 1,5 M, Largura Menor Que 1,5 M, Em Local Com Nível Alto De Interferência.</v>
      </c>
      <c r="D148" s="39">
        <f>VLOOKUP(A148,'11 - FINANCEIRO'!A:M,10,0)</f>
        <v>0</v>
      </c>
      <c r="E148" s="40" t="str">
        <f>VLOOKUP(A148,'11 - FINANCEIRO'!A:M,4,0)</f>
        <v>m²</v>
      </c>
      <c r="F148" s="41" t="str">
        <f t="shared" si="12"/>
        <v>3.3.2.3.1</v>
      </c>
      <c r="G148" s="29" t="str">
        <f>IF(D148&gt;0,"POSITIVO",IF(D148=0,"NULO",IF(D148&lt;0,"NEGATIVO")))</f>
        <v>NULO</v>
      </c>
      <c r="H148" s="29">
        <f t="shared" si="10"/>
        <v>0</v>
      </c>
    </row>
    <row r="149" spans="1:9" hidden="1" x14ac:dyDescent="0.3">
      <c r="A149" s="31" t="s">
        <v>143</v>
      </c>
      <c r="B149" s="32" t="str">
        <f>VLOOKUP(A149,'11 - FINANCEIRO'!A:M,1,0)</f>
        <v>3.3.2.4</v>
      </c>
      <c r="C149" s="33" t="str">
        <f>VLOOKUP(A149,'11 - FINANCEIRO'!A:M,2,FALSE)</f>
        <v>Assentamento</v>
      </c>
      <c r="D149" s="34"/>
      <c r="E149" s="35"/>
      <c r="F149" s="28" t="str">
        <f t="shared" si="12"/>
        <v>3.3.2.4</v>
      </c>
      <c r="H149" s="29">
        <f>SUM(H150:H152)</f>
        <v>0</v>
      </c>
      <c r="I149" s="30" t="s">
        <v>9</v>
      </c>
    </row>
    <row r="150" spans="1:9" ht="38.25" hidden="1" x14ac:dyDescent="0.3">
      <c r="A150" s="83" t="s">
        <v>144</v>
      </c>
      <c r="B150" s="37" t="str">
        <f>VLOOKUP(A150,'11 - FINANCEIRO'!A:M,1,0)</f>
        <v>3.3.2.4.1</v>
      </c>
      <c r="C150" s="38" t="str">
        <f>VLOOKUP(A150,'11 - FINANCEIRO'!A:M,3,FALSE)</f>
        <v>Assentamento De Tubo De PVC Para Rede Coletora De Esgoto De Parede Maciça, Dn 150 Mm, Junta Elástica, Instalado Em Local Com Nível Alto De Interferências (Não Inclui Fornecimento).</v>
      </c>
      <c r="D150" s="39">
        <f>VLOOKUP(A150,'11 - FINANCEIRO'!A:M,10,0)</f>
        <v>0</v>
      </c>
      <c r="E150" s="40" t="str">
        <f>VLOOKUP(A150,'11 - FINANCEIRO'!A:M,4,0)</f>
        <v>m</v>
      </c>
      <c r="F150" s="41" t="str">
        <f t="shared" si="12"/>
        <v>3.3.2.4.1</v>
      </c>
      <c r="G150" s="29" t="str">
        <f>IF(D150&gt;0,"POSITIVO",IF(D150=0,"NULO",IF(D150&lt;0,"NEGATIVO")))</f>
        <v>NULO</v>
      </c>
      <c r="H150" s="29">
        <f t="shared" si="10"/>
        <v>0</v>
      </c>
    </row>
    <row r="151" spans="1:9" ht="33" hidden="1" x14ac:dyDescent="0.3">
      <c r="A151" s="83" t="s">
        <v>145</v>
      </c>
      <c r="B151" s="37" t="str">
        <f>VLOOKUP(A151,'11 - FINANCEIRO'!A:M,1,0)</f>
        <v>3.3.2.4.2</v>
      </c>
      <c r="C151" s="38" t="str">
        <f>VLOOKUP(A151,'11 - FINANCEIRO'!A:M,3,FALSE)</f>
        <v>Tubo Coletor De Esgoto, PVC, Jei, Dn 150 Mm  (Nbr 7362)</v>
      </c>
      <c r="D151" s="39">
        <f>VLOOKUP(A151,'11 - FINANCEIRO'!A:M,10,0)</f>
        <v>0</v>
      </c>
      <c r="E151" s="40" t="str">
        <f>VLOOKUP(A151,'11 - FINANCEIRO'!A:M,4,0)</f>
        <v>m</v>
      </c>
      <c r="F151" s="41" t="str">
        <f t="shared" si="12"/>
        <v>3.3.2.4.2</v>
      </c>
      <c r="G151" s="29" t="str">
        <f>IF(D151&gt;0,"POSITIVO",IF(D151=0,"NULO",IF(D151&lt;0,"NEGATIVO")))</f>
        <v>NULO</v>
      </c>
      <c r="H151" s="29">
        <f t="shared" si="10"/>
        <v>0</v>
      </c>
    </row>
    <row r="152" spans="1:9" ht="33" hidden="1" x14ac:dyDescent="0.3">
      <c r="A152" s="83" t="s">
        <v>146</v>
      </c>
      <c r="B152" s="37" t="str">
        <f>VLOOKUP(A152,'11 - FINANCEIRO'!A:M,1,0)</f>
        <v>3.3.2.4.3</v>
      </c>
      <c r="C152" s="38" t="str">
        <f>VLOOKUP(A152,'11 - FINANCEIRO'!A:M,3,FALSE)</f>
        <v>Execução De Pavimento Com Aplicação De Concreto Asfáltico, Camada De Rolamento - Exclusive Carga E Transporte. Af_11/2019</v>
      </c>
      <c r="D152" s="39">
        <f>VLOOKUP(A152,'11 - FINANCEIRO'!A:M,10,0)</f>
        <v>0</v>
      </c>
      <c r="E152" s="40" t="str">
        <f>VLOOKUP(A152,'11 - FINANCEIRO'!A:M,4,0)</f>
        <v>m³</v>
      </c>
      <c r="F152" s="41" t="str">
        <f t="shared" si="12"/>
        <v>3.3.2.4.3</v>
      </c>
      <c r="G152" s="29" t="str">
        <f>IF(D152&gt;0,"POSITIVO",IF(D152=0,"NULO",IF(D152&lt;0,"NEGATIVO")))</f>
        <v>NULO</v>
      </c>
      <c r="H152" s="29">
        <f t="shared" si="10"/>
        <v>0</v>
      </c>
    </row>
    <row r="153" spans="1:9" hidden="1" x14ac:dyDescent="0.3">
      <c r="A153" s="31" t="s">
        <v>147</v>
      </c>
      <c r="B153" s="32" t="str">
        <f>VLOOKUP(A153,'11 - FINANCEIRO'!A:M,1,0)</f>
        <v>3.4</v>
      </c>
      <c r="C153" s="33" t="str">
        <f>VLOOKUP(A153,'11 - FINANCEIRO'!A:M,2,FALSE)</f>
        <v>Sinalizações de Obras</v>
      </c>
      <c r="D153" s="34"/>
      <c r="E153" s="35"/>
      <c r="F153" s="28" t="str">
        <f t="shared" si="12"/>
        <v>3.4</v>
      </c>
      <c r="H153" s="29">
        <f>SUM(H154:H156)</f>
        <v>0</v>
      </c>
      <c r="I153" s="30" t="s">
        <v>9</v>
      </c>
    </row>
    <row r="154" spans="1:9" hidden="1" x14ac:dyDescent="0.3">
      <c r="A154" s="83" t="s">
        <v>148</v>
      </c>
      <c r="B154" s="37" t="str">
        <f>VLOOKUP(A154,'11 - FINANCEIRO'!A:M,1,0)</f>
        <v>3.4.1</v>
      </c>
      <c r="C154" s="38" t="str">
        <f>VLOOKUP(A154,'11 - FINANCEIRO'!A:M,3,FALSE)</f>
        <v>Elementos De Madeira Para Sinalização - Cavaletes</v>
      </c>
      <c r="D154" s="39">
        <f>VLOOKUP(A154,'11 - FINANCEIRO'!A:M,10,0)</f>
        <v>0</v>
      </c>
      <c r="E154" s="40" t="str">
        <f>VLOOKUP(A154,'11 - FINANCEIRO'!A:M,4,0)</f>
        <v>ud</v>
      </c>
      <c r="F154" s="41" t="str">
        <f t="shared" si="12"/>
        <v>3.4.1</v>
      </c>
      <c r="G154" s="29" t="str">
        <f>IF(D154&gt;0,"POSITIVO",IF(D154=0,"NULO",IF(D154&lt;0,"NEGATIVO")))</f>
        <v>NULO</v>
      </c>
      <c r="H154" s="29">
        <f t="shared" si="10"/>
        <v>0</v>
      </c>
    </row>
    <row r="155" spans="1:9" hidden="1" x14ac:dyDescent="0.3">
      <c r="A155" s="83" t="s">
        <v>149</v>
      </c>
      <c r="B155" s="37" t="str">
        <f>VLOOKUP(A155,'11 - FINANCEIRO'!A:M,1,0)</f>
        <v>3.4.2</v>
      </c>
      <c r="C155" s="38" t="str">
        <f>VLOOKUP(A155,'11 - FINANCEIRO'!A:M,3,FALSE)</f>
        <v>Sinalização Vertical Com Chapa Em Esmalte Sintético</v>
      </c>
      <c r="D155" s="39">
        <f>VLOOKUP(A155,'11 - FINANCEIRO'!A:M,10,0)</f>
        <v>0</v>
      </c>
      <c r="E155" s="40" t="str">
        <f>VLOOKUP(A155,'11 - FINANCEIRO'!A:M,4,0)</f>
        <v>m²</v>
      </c>
      <c r="F155" s="41" t="str">
        <f t="shared" si="12"/>
        <v>3.4.2</v>
      </c>
      <c r="G155" s="29" t="str">
        <f>IF(D155&gt;0,"POSITIVO",IF(D155=0,"NULO",IF(D155&lt;0,"NEGATIVO")))</f>
        <v>NULO</v>
      </c>
      <c r="H155" s="29">
        <f t="shared" si="10"/>
        <v>0</v>
      </c>
    </row>
    <row r="156" spans="1:9" ht="25.5" hidden="1" x14ac:dyDescent="0.3">
      <c r="A156" s="83" t="s">
        <v>150</v>
      </c>
      <c r="B156" s="37" t="str">
        <f>VLOOKUP(A156,'11 - FINANCEIRO'!A:M,1,0)</f>
        <v>3.4.3</v>
      </c>
      <c r="C156" s="38" t="str">
        <f>VLOOKUP(A156,'11 - FINANCEIRO'!A:M,3,FALSE)</f>
        <v>Tela De Proteção De Segurança De Pvc Cor Laranja Com Suporte  Para Sinalização De Obras</v>
      </c>
      <c r="D156" s="39">
        <f>VLOOKUP(A156,'11 - FINANCEIRO'!A:M,10,0)</f>
        <v>0</v>
      </c>
      <c r="E156" s="40" t="str">
        <f>VLOOKUP(A156,'11 - FINANCEIRO'!A:M,4,0)</f>
        <v>m</v>
      </c>
      <c r="F156" s="41" t="str">
        <f t="shared" si="12"/>
        <v>3.4.3</v>
      </c>
      <c r="G156" s="29" t="str">
        <f>IF(D156&gt;0,"POSITIVO",IF(D156=0,"NULO",IF(D156&lt;0,"NEGATIVO")))</f>
        <v>NULO</v>
      </c>
      <c r="H156" s="29">
        <f t="shared" si="10"/>
        <v>0</v>
      </c>
    </row>
    <row r="157" spans="1:9" x14ac:dyDescent="0.3">
      <c r="A157" s="31" t="s">
        <v>151</v>
      </c>
      <c r="B157" s="32" t="str">
        <f>VLOOKUP(A157,'11 - FINANCEIRO'!A:M,1,0)</f>
        <v>4.0</v>
      </c>
      <c r="C157" s="33" t="str">
        <f>VLOOKUP(A157,'11 - FINANCEIRO'!A:M,2,FALSE)</f>
        <v>Passarelas</v>
      </c>
      <c r="D157" s="34"/>
      <c r="E157" s="35"/>
      <c r="F157" s="28" t="str">
        <f t="shared" si="12"/>
        <v>4.0</v>
      </c>
      <c r="H157" s="29">
        <f>SUM(H158:H253)</f>
        <v>12</v>
      </c>
      <c r="I157" s="30" t="s">
        <v>9</v>
      </c>
    </row>
    <row r="158" spans="1:9" x14ac:dyDescent="0.3">
      <c r="A158" s="31" t="s">
        <v>152</v>
      </c>
      <c r="B158" s="32" t="str">
        <f>VLOOKUP(A158,'11 - FINANCEIRO'!A:M,1,0)</f>
        <v>4.1</v>
      </c>
      <c r="C158" s="33" t="str">
        <f>VLOOKUP(A158,'11 - FINANCEIRO'!A:M,2,FALSE)</f>
        <v>Passarela Bradesco</v>
      </c>
      <c r="D158" s="34"/>
      <c r="E158" s="35"/>
      <c r="F158" s="28" t="str">
        <f t="shared" si="12"/>
        <v>4.1</v>
      </c>
      <c r="H158" s="29">
        <f>SUM(H159:H171)</f>
        <v>1</v>
      </c>
      <c r="I158" s="30" t="s">
        <v>9</v>
      </c>
    </row>
    <row r="159" spans="1:9" hidden="1" x14ac:dyDescent="0.3">
      <c r="A159" s="83" t="s">
        <v>153</v>
      </c>
      <c r="B159" s="84" t="str">
        <f>VLOOKUP(A159,'11 - FINANCEIRO'!A:M,1,0)</f>
        <v>4.1.1</v>
      </c>
      <c r="C159" s="67" t="str">
        <f>VLOOKUP(A159,'11 - FINANCEIRO'!A:M,3,FALSE)</f>
        <v>Preparo E Regularização De Terreno Em Desnível</v>
      </c>
      <c r="D159" s="68">
        <f>VLOOKUP(A159,'11 - FINANCEIRO'!A:M,10,0)</f>
        <v>0</v>
      </c>
      <c r="E159" s="85" t="str">
        <f>VLOOKUP(A159,'11 - FINANCEIRO'!A:M,4,0)</f>
        <v>m²</v>
      </c>
      <c r="F159" s="41" t="str">
        <f t="shared" si="12"/>
        <v>4.1.1</v>
      </c>
      <c r="G159" s="29" t="str">
        <f>IF(D159&gt;0,"POSITIVO",IF(D159=0,"NULO",IF(D159&lt;0,"NEGATIVO")))</f>
        <v>NULO</v>
      </c>
      <c r="H159" s="29">
        <f t="shared" si="10"/>
        <v>0</v>
      </c>
    </row>
    <row r="160" spans="1:9" ht="36" hidden="1" customHeight="1" x14ac:dyDescent="0.3">
      <c r="A160" s="83" t="s">
        <v>154</v>
      </c>
      <c r="B160" s="84" t="str">
        <f>VLOOKUP(A160,'11 - FINANCEIRO'!A:M,1,0)</f>
        <v>4.1.2</v>
      </c>
      <c r="C160" s="67" t="str">
        <f>VLOOKUP(A160,'11 - FINANCEIRO'!A:M,3,FALSE)</f>
        <v>Perfuratriz Com Torre Metálica Para Execução De Estaca Hélice Contínua, Profundidade Máxima De 32 M, Diâmetro Máximo De 1000 Mm, Potência Instalada De 350 Hp, Mesa Rotativa Com Torque Máximo De 263 Knm - Chi Diurno. Af_01/2016</v>
      </c>
      <c r="D160" s="68">
        <f>VLOOKUP(A160,'11 - FINANCEIRO'!A:M,10,0)</f>
        <v>0</v>
      </c>
      <c r="E160" s="85" t="str">
        <f>VLOOKUP(A160,'11 - FINANCEIRO'!A:M,4,0)</f>
        <v>chi</v>
      </c>
      <c r="F160" s="41" t="str">
        <f t="shared" si="12"/>
        <v>4.1.2</v>
      </c>
      <c r="G160" s="29" t="str">
        <f>IF(D160&gt;0,"POSITIVO",IF(D160=0,"NULO",IF(D160&lt;0,"NEGATIVO")))</f>
        <v>NULO</v>
      </c>
      <c r="H160" s="29">
        <f t="shared" si="10"/>
        <v>0</v>
      </c>
    </row>
    <row r="161" spans="1:9" ht="29.25" hidden="1" customHeight="1" x14ac:dyDescent="0.3">
      <c r="A161" s="83" t="s">
        <v>155</v>
      </c>
      <c r="B161" s="84" t="str">
        <f>VLOOKUP(A161,'11 - FINANCEIRO'!A:M,1,0)</f>
        <v>4.1.3</v>
      </c>
      <c r="C161" s="67" t="str">
        <f>VLOOKUP(A161,'11 - FINANCEIRO'!A:M,3,FALSE)</f>
        <v>Estaca Hélice Contínua, Diâmetro De 30 Cm, Incluso Concreto Fck=30Mpa E Armadura Mínima (Exclusive Mobilização, Desmobilização E Bombeamento). Af_12/2019</v>
      </c>
      <c r="D161" s="68">
        <f>VLOOKUP(A161,'11 - FINANCEIRO'!A:M,10,0)</f>
        <v>0</v>
      </c>
      <c r="E161" s="85" t="str">
        <f>VLOOKUP(A161,'11 - FINANCEIRO'!A:M,4,0)</f>
        <v>m</v>
      </c>
      <c r="F161" s="41" t="str">
        <f t="shared" si="12"/>
        <v>4.1.3</v>
      </c>
      <c r="G161" s="29" t="str">
        <f>IF(D161&gt;0,"POSITIVO",IF(D161=0,"NULO",IF(D161&lt;0,"NEGATIVO")))</f>
        <v>NULO</v>
      </c>
      <c r="H161" s="29">
        <f t="shared" si="10"/>
        <v>0</v>
      </c>
    </row>
    <row r="162" spans="1:9" ht="25.5" hidden="1" x14ac:dyDescent="0.3">
      <c r="A162" s="83" t="s">
        <v>156</v>
      </c>
      <c r="B162" s="84" t="str">
        <f>VLOOKUP(A162,'11 - FINANCEIRO'!A:M,1,0)</f>
        <v>4.1.4</v>
      </c>
      <c r="C162" s="67" t="str">
        <f>VLOOKUP(A162,'11 - FINANCEIRO'!A:M,3,FALSE)</f>
        <v>Arrasamento Mecanico De Estaca De Concreto Armado, Diametros De Até 40 Cm. Af_05/2021</v>
      </c>
      <c r="D162" s="68">
        <f>VLOOKUP(A162,'11 - FINANCEIRO'!A:M,10,0)</f>
        <v>0</v>
      </c>
      <c r="E162" s="85" t="str">
        <f>VLOOKUP(A162,'11 - FINANCEIRO'!A:M,4,0)</f>
        <v>un</v>
      </c>
      <c r="F162" s="41" t="str">
        <f t="shared" si="12"/>
        <v>4.1.4</v>
      </c>
      <c r="G162" s="29" t="str">
        <f>IF(D162&gt;0,"POSITIVO",IF(D162=0,"NULO",IF(D162&lt;0,"NEGATIVO")))</f>
        <v>NULO</v>
      </c>
      <c r="H162" s="29">
        <f t="shared" si="10"/>
        <v>0</v>
      </c>
    </row>
    <row r="163" spans="1:9" ht="27" hidden="1" customHeight="1" x14ac:dyDescent="0.3">
      <c r="A163" s="83" t="s">
        <v>157</v>
      </c>
      <c r="B163" s="84" t="str">
        <f>VLOOKUP(A163,'11 - FINANCEIRO'!A:M,1,0)</f>
        <v>4.1.5</v>
      </c>
      <c r="C163" s="67" t="str">
        <f>VLOOKUP(A163,'11 - FINANCEIRO'!A:M,3,FALSE)</f>
        <v>Lastro De Concreto Magro, Aplicado Em Blocos De Coroamento Ou Sapatas, Espessura De 5 Cm. Af_08/2017</v>
      </c>
      <c r="D163" s="68">
        <f>VLOOKUP(A163,'11 - FINANCEIRO'!A:M,10,0)</f>
        <v>0</v>
      </c>
      <c r="E163" s="85" t="str">
        <f>VLOOKUP(A163,'11 - FINANCEIRO'!A:M,4,0)</f>
        <v>m²</v>
      </c>
      <c r="F163" s="41" t="str">
        <f t="shared" si="12"/>
        <v>4.1.5</v>
      </c>
      <c r="G163" s="29" t="str">
        <f t="shared" ref="G163:G192" si="13">IF(D163&gt;0,"POSITIVO",IF(D163=0,"NULO",IF(D163&lt;0,"NEGATIVO")))</f>
        <v>NULO</v>
      </c>
      <c r="H163" s="29">
        <f t="shared" si="10"/>
        <v>0</v>
      </c>
    </row>
    <row r="164" spans="1:9" ht="26.25" hidden="1" customHeight="1" x14ac:dyDescent="0.3">
      <c r="A164" s="83" t="s">
        <v>158</v>
      </c>
      <c r="B164" s="84" t="str">
        <f>VLOOKUP(A164,'11 - FINANCEIRO'!A:M,1,0)</f>
        <v>4.1.6</v>
      </c>
      <c r="C164" s="67" t="str">
        <f>VLOOKUP(A164,'11 - FINANCEIRO'!A:M,3,FALSE)</f>
        <v>Fabricação, Montagem E Desmontagem De Fôrma Para Bloco De Coroamento, Em Chapa De Madeira Compensada Resinada, E=17 Mm, 2 Utilizações. Af_06/2017</v>
      </c>
      <c r="D164" s="68">
        <f>VLOOKUP(A164,'11 - FINANCEIRO'!A:M,10,0)</f>
        <v>0</v>
      </c>
      <c r="E164" s="85" t="str">
        <f>VLOOKUP(A164,'11 - FINANCEIRO'!A:M,4,0)</f>
        <v>m²</v>
      </c>
      <c r="F164" s="41" t="str">
        <f t="shared" si="12"/>
        <v>4.1.6</v>
      </c>
      <c r="G164" s="29" t="str">
        <f t="shared" si="13"/>
        <v>NULO</v>
      </c>
      <c r="H164" s="29">
        <f t="shared" si="10"/>
        <v>0</v>
      </c>
    </row>
    <row r="165" spans="1:9" hidden="1" x14ac:dyDescent="0.3">
      <c r="A165" s="83" t="s">
        <v>159</v>
      </c>
      <c r="B165" s="84" t="str">
        <f>VLOOKUP(A165,'11 - FINANCEIRO'!A:M,1,0)</f>
        <v>4.1.7</v>
      </c>
      <c r="C165" s="67" t="str">
        <f>VLOOKUP(A165,'11 - FINANCEIRO'!A:M,3,FALSE)</f>
        <v>Armação Em Aço Ca-50 - Fornecimento, Preparo E Colocação</v>
      </c>
      <c r="D165" s="68">
        <f>VLOOKUP(A165,'11 - FINANCEIRO'!A:M,10,0)</f>
        <v>0</v>
      </c>
      <c r="E165" s="85" t="str">
        <f>VLOOKUP(A165,'11 - FINANCEIRO'!A:M,4,0)</f>
        <v>kg</v>
      </c>
      <c r="F165" s="41" t="str">
        <f t="shared" si="12"/>
        <v>4.1.7</v>
      </c>
      <c r="G165" s="29" t="str">
        <f t="shared" si="13"/>
        <v>NULO</v>
      </c>
      <c r="H165" s="29">
        <f t="shared" si="10"/>
        <v>0</v>
      </c>
    </row>
    <row r="166" spans="1:9" ht="27.75" hidden="1" customHeight="1" x14ac:dyDescent="0.3">
      <c r="A166" s="83" t="s">
        <v>160</v>
      </c>
      <c r="B166" s="84" t="str">
        <f>VLOOKUP(A166,'11 - FINANCEIRO'!A:M,1,0)</f>
        <v>4.1.8</v>
      </c>
      <c r="C166" s="67" t="str">
        <f>VLOOKUP(A166,'11 - FINANCEIRO'!A:M,3,FALSE)</f>
        <v>Chumbador Tipo Espera Em Aço Ca-25 Para Fixação De Estrutura Metálica Em Concreto - Fornecimento E Instalação</v>
      </c>
      <c r="D166" s="68">
        <f>VLOOKUP(A166,'11 - FINANCEIRO'!A:M,10,0)</f>
        <v>0</v>
      </c>
      <c r="E166" s="85" t="str">
        <f>VLOOKUP(A166,'11 - FINANCEIRO'!A:M,4,0)</f>
        <v>kg</v>
      </c>
      <c r="F166" s="41" t="str">
        <f t="shared" si="12"/>
        <v>4.1.8</v>
      </c>
      <c r="G166" s="29" t="str">
        <f t="shared" si="13"/>
        <v>NULO</v>
      </c>
      <c r="H166" s="29">
        <f t="shared" si="10"/>
        <v>0</v>
      </c>
    </row>
    <row r="167" spans="1:9" ht="39.75" hidden="1" customHeight="1" x14ac:dyDescent="0.3">
      <c r="A167" s="83" t="s">
        <v>161</v>
      </c>
      <c r="B167" s="84" t="str">
        <f>VLOOKUP(A167,'11 - FINANCEIRO'!A:M,1,0)</f>
        <v>4.1.9</v>
      </c>
      <c r="C167" s="67" t="str">
        <f>VLOOKUP(A167,'11 - FINANCEIRO'!A:M,3,FALSE)</f>
        <v>Viga Metálica Em Perfil Laminado Ou Soldado Em Aço Estrutural, Com Conexões Soldadas, Inclusos Mão De Obra, Transporte E Içamento Utilizando Guindaste - Fornecimento E Instalação. Af_01/2020_P</v>
      </c>
      <c r="D167" s="68">
        <f>VLOOKUP(A167,'11 - FINANCEIRO'!A:M,10,0)</f>
        <v>0</v>
      </c>
      <c r="E167" s="85" t="str">
        <f>VLOOKUP(A167,'11 - FINANCEIRO'!A:M,4,0)</f>
        <v>kg</v>
      </c>
      <c r="F167" s="41" t="str">
        <f t="shared" si="12"/>
        <v>4.1.9</v>
      </c>
      <c r="G167" s="29" t="str">
        <f t="shared" si="13"/>
        <v>NULO</v>
      </c>
      <c r="H167" s="29">
        <f t="shared" si="10"/>
        <v>0</v>
      </c>
    </row>
    <row r="168" spans="1:9" ht="27" customHeight="1" x14ac:dyDescent="0.3">
      <c r="A168" s="83" t="s">
        <v>162</v>
      </c>
      <c r="B168" s="84" t="str">
        <f>VLOOKUP(A168,'11 - FINANCEIRO'!A:M,1,0)</f>
        <v>4.1.10</v>
      </c>
      <c r="C168" s="67" t="str">
        <f>VLOOKUP(A168,'11 - FINANCEIRO'!A:M,3,FALSE)</f>
        <v>Guarda Corpo Em Aço Galvanizado De Altura H=1,10M Pintura Com Tinta Esmalte Suvinil, Linha "Contra Ferrugem" Cor Maracujá, Ref.:C026</v>
      </c>
      <c r="D168" s="68">
        <f>VLOOKUP(A168,'11 - FINANCEIRO'!A:M,10,0)</f>
        <v>-77.760000000000005</v>
      </c>
      <c r="E168" s="85" t="str">
        <f>VLOOKUP(A168,'11 - FINANCEIRO'!A:M,4,0)</f>
        <v>m</v>
      </c>
      <c r="F168" s="41" t="str">
        <f t="shared" si="12"/>
        <v>4.1.10</v>
      </c>
      <c r="G168" s="29" t="str">
        <f t="shared" si="13"/>
        <v>NEGATIVO</v>
      </c>
      <c r="H168" s="29">
        <f t="shared" si="10"/>
        <v>1</v>
      </c>
    </row>
    <row r="169" spans="1:9" ht="24.75" hidden="1" customHeight="1" x14ac:dyDescent="0.3">
      <c r="A169" s="83" t="s">
        <v>163</v>
      </c>
      <c r="B169" s="84" t="str">
        <f>VLOOKUP(A169,'11 - FINANCEIRO'!A:M,1,0)</f>
        <v>4.1.11</v>
      </c>
      <c r="C169" s="67" t="str">
        <f>VLOOKUP(A169,'11 - FINANCEIRO'!A:M,3,FALSE)</f>
        <v>Demolição Manual De Construções Provisórias - Sem Reaproveitamento, Incluído Transporte E Destinação</v>
      </c>
      <c r="D169" s="68">
        <f>VLOOKUP(A169,'11 - FINANCEIRO'!A:M,10,0)</f>
        <v>0</v>
      </c>
      <c r="E169" s="85" t="str">
        <f>VLOOKUP(A169,'11 - FINANCEIRO'!A:M,4,0)</f>
        <v>m²</v>
      </c>
      <c r="F169" s="41" t="str">
        <f t="shared" si="12"/>
        <v>4.1.11</v>
      </c>
      <c r="G169" s="29" t="str">
        <f t="shared" si="13"/>
        <v>NULO</v>
      </c>
      <c r="H169" s="29">
        <f t="shared" si="10"/>
        <v>0</v>
      </c>
    </row>
    <row r="170" spans="1:9" ht="22.5" hidden="1" customHeight="1" x14ac:dyDescent="0.3">
      <c r="A170" s="83" t="s">
        <v>164</v>
      </c>
      <c r="B170" s="84" t="str">
        <f>VLOOKUP(A170,'11 - FINANCEIRO'!A:M,1,0)</f>
        <v>4.1.12</v>
      </c>
      <c r="C170" s="67" t="str">
        <f>VLOOKUP(A170,'11 - FINANCEIRO'!A:M,3,FALSE)</f>
        <v>Concreto Para Bombeamento Fck = 30 Mpa - Confecção Em Central Dosadora De 30 M³/H - Areia E Brita Comerciais</v>
      </c>
      <c r="D170" s="68">
        <f>VLOOKUP(A170,'11 - FINANCEIRO'!A:M,10,0)</f>
        <v>0</v>
      </c>
      <c r="E170" s="85" t="str">
        <f>VLOOKUP(A170,'11 - FINANCEIRO'!A:M,4,0)</f>
        <v>m³</v>
      </c>
      <c r="F170" s="41" t="str">
        <f t="shared" si="12"/>
        <v>4.1.12</v>
      </c>
      <c r="G170" s="29" t="str">
        <f t="shared" si="13"/>
        <v>NULO</v>
      </c>
      <c r="H170" s="29">
        <f t="shared" si="10"/>
        <v>0</v>
      </c>
    </row>
    <row r="171" spans="1:9" ht="33" hidden="1" x14ac:dyDescent="0.3">
      <c r="A171" s="83" t="s">
        <v>165</v>
      </c>
      <c r="B171" s="84" t="str">
        <f>VLOOKUP(A171,'11 - FINANCEIRO'!A:M,1,0)</f>
        <v>4.1.13</v>
      </c>
      <c r="C171" s="67" t="str">
        <f>VLOOKUP(A171,'11 - FINANCEIRO'!A:M,3,FALSE)</f>
        <v>Serviço De Bombeamento De Concreto Com Consumo Minimo De 40 M3</v>
      </c>
      <c r="D171" s="68">
        <f>VLOOKUP(A171,'11 - FINANCEIRO'!A:M,10,0)</f>
        <v>0</v>
      </c>
      <c r="E171" s="85" t="str">
        <f>VLOOKUP(A171,'11 - FINANCEIRO'!A:M,4,0)</f>
        <v>m³</v>
      </c>
      <c r="F171" s="41" t="str">
        <f t="shared" si="12"/>
        <v>4.1.13</v>
      </c>
      <c r="G171" s="29" t="str">
        <f t="shared" si="13"/>
        <v>NULO</v>
      </c>
      <c r="H171" s="29">
        <f t="shared" si="10"/>
        <v>0</v>
      </c>
    </row>
    <row r="172" spans="1:9" x14ac:dyDescent="0.3">
      <c r="A172" s="31" t="s">
        <v>166</v>
      </c>
      <c r="B172" s="32" t="str">
        <f>VLOOKUP(A172,'11 - FINANCEIRO'!A:M,1,0)</f>
        <v>4.2</v>
      </c>
      <c r="C172" s="33" t="str">
        <f>VLOOKUP(A172,'11 - FINANCEIRO'!A:M,2,FALSE)</f>
        <v>Passarela Carlos Larica</v>
      </c>
      <c r="D172" s="34"/>
      <c r="E172" s="35"/>
      <c r="F172" s="28" t="str">
        <f t="shared" si="12"/>
        <v>4.2</v>
      </c>
      <c r="H172" s="29">
        <f>SUM(H173:H184)</f>
        <v>1</v>
      </c>
      <c r="I172" s="30" t="s">
        <v>9</v>
      </c>
    </row>
    <row r="173" spans="1:9" hidden="1" x14ac:dyDescent="0.3">
      <c r="A173" s="83" t="s">
        <v>167</v>
      </c>
      <c r="B173" s="84" t="str">
        <f>VLOOKUP(A173,'11 - FINANCEIRO'!A:M,1,0)</f>
        <v>4.2.1</v>
      </c>
      <c r="C173" s="67" t="str">
        <f>VLOOKUP(A173,'11 - FINANCEIRO'!A:M,3,FALSE)</f>
        <v>Preparo E Regularização De Terreno Em Desnível</v>
      </c>
      <c r="D173" s="68">
        <f>VLOOKUP(A173,'11 - FINANCEIRO'!A:M,10,0)</f>
        <v>0</v>
      </c>
      <c r="E173" s="85" t="str">
        <f>VLOOKUP(A173,'11 - FINANCEIRO'!A:M,4,0)</f>
        <v>m²</v>
      </c>
      <c r="F173" s="41" t="str">
        <f t="shared" si="12"/>
        <v>4.2.1</v>
      </c>
      <c r="G173" s="29" t="str">
        <f t="shared" si="13"/>
        <v>NULO</v>
      </c>
      <c r="H173" s="29">
        <f t="shared" si="10"/>
        <v>0</v>
      </c>
    </row>
    <row r="174" spans="1:9" hidden="1" x14ac:dyDescent="0.3">
      <c r="A174" s="83" t="s">
        <v>168</v>
      </c>
      <c r="B174" s="84" t="str">
        <f>VLOOKUP(A174,'11 - FINANCEIRO'!A:M,1,0)</f>
        <v>4.2.2</v>
      </c>
      <c r="C174" s="67" t="str">
        <f>VLOOKUP(A174,'11 - FINANCEIRO'!A:M,3,FALSE)</f>
        <v>Estaca Trilho Tr 68 - Fornecimento E Cravação</v>
      </c>
      <c r="D174" s="68">
        <f>VLOOKUP(A174,'11 - FINANCEIRO'!A:M,10,0)</f>
        <v>0</v>
      </c>
      <c r="E174" s="85" t="str">
        <f>VLOOKUP(A174,'11 - FINANCEIRO'!A:M,4,0)</f>
        <v>m</v>
      </c>
      <c r="F174" s="41" t="str">
        <f t="shared" si="12"/>
        <v>4.2.2</v>
      </c>
      <c r="G174" s="29" t="str">
        <f t="shared" si="13"/>
        <v>NULO</v>
      </c>
      <c r="H174" s="29">
        <f t="shared" si="10"/>
        <v>0</v>
      </c>
    </row>
    <row r="175" spans="1:9" hidden="1" x14ac:dyDescent="0.3">
      <c r="A175" s="83" t="s">
        <v>169</v>
      </c>
      <c r="B175" s="84" t="str">
        <f>VLOOKUP(A175,'11 - FINANCEIRO'!A:M,1,0)</f>
        <v>4.2.3</v>
      </c>
      <c r="C175" s="67" t="str">
        <f>VLOOKUP(A175,'11 - FINANCEIRO'!A:M,3,FALSE)</f>
        <v>Arrasamento De Estacas Trilho Tr 68</v>
      </c>
      <c r="D175" s="68">
        <f>VLOOKUP(A175,'11 - FINANCEIRO'!A:M,10,0)</f>
        <v>0</v>
      </c>
      <c r="E175" s="85" t="str">
        <f>VLOOKUP(A175,'11 - FINANCEIRO'!A:M,4,0)</f>
        <v>un</v>
      </c>
      <c r="F175" s="41" t="str">
        <f t="shared" si="12"/>
        <v>4.2.3</v>
      </c>
      <c r="G175" s="29" t="str">
        <f t="shared" si="13"/>
        <v>NULO</v>
      </c>
      <c r="H175" s="29">
        <f t="shared" si="10"/>
        <v>0</v>
      </c>
    </row>
    <row r="176" spans="1:9" ht="26.25" hidden="1" customHeight="1" x14ac:dyDescent="0.3">
      <c r="A176" s="83" t="s">
        <v>170</v>
      </c>
      <c r="B176" s="84" t="str">
        <f>VLOOKUP(A176,'11 - FINANCEIRO'!A:M,1,0)</f>
        <v>4.2.4</v>
      </c>
      <c r="C176" s="67" t="str">
        <f>VLOOKUP(A176,'11 - FINANCEIRO'!A:M,3,FALSE)</f>
        <v>Lastro De Concreto Magro, Aplicado Em Blocos De Coroamento Ou Sapatas, Espessura De 5 Cm. Af_08/2017</v>
      </c>
      <c r="D176" s="68">
        <f>VLOOKUP(A176,'11 - FINANCEIRO'!A:M,10,0)</f>
        <v>0</v>
      </c>
      <c r="E176" s="85" t="str">
        <f>VLOOKUP(A176,'11 - FINANCEIRO'!A:M,4,0)</f>
        <v>m²</v>
      </c>
      <c r="F176" s="41" t="str">
        <f t="shared" si="12"/>
        <v>4.2.4</v>
      </c>
      <c r="G176" s="29" t="str">
        <f t="shared" si="13"/>
        <v>NULO</v>
      </c>
      <c r="H176" s="29">
        <f t="shared" si="10"/>
        <v>0</v>
      </c>
    </row>
    <row r="177" spans="1:9" ht="25.5" hidden="1" customHeight="1" x14ac:dyDescent="0.3">
      <c r="A177" s="83" t="s">
        <v>171</v>
      </c>
      <c r="B177" s="84" t="str">
        <f>VLOOKUP(A177,'11 - FINANCEIRO'!A:M,1,0)</f>
        <v>4.2.5</v>
      </c>
      <c r="C177" s="67" t="str">
        <f>VLOOKUP(A177,'11 - FINANCEIRO'!A:M,3,FALSE)</f>
        <v>Fabricação, Montagem E Desmontagem De Fôrma Para Bloco De Coroamento, Em Chapa De Madeira Compensada Resinada, E=17 Mm, 2 Utilizações. Af_06/2017</v>
      </c>
      <c r="D177" s="68">
        <f>VLOOKUP(A177,'11 - FINANCEIRO'!A:M,10,0)</f>
        <v>0</v>
      </c>
      <c r="E177" s="85" t="str">
        <f>VLOOKUP(A177,'11 - FINANCEIRO'!A:M,4,0)</f>
        <v>m²</v>
      </c>
      <c r="F177" s="41" t="str">
        <f t="shared" si="12"/>
        <v>4.2.5</v>
      </c>
      <c r="G177" s="29" t="str">
        <f t="shared" si="13"/>
        <v>NULO</v>
      </c>
      <c r="H177" s="29">
        <f t="shared" si="10"/>
        <v>0</v>
      </c>
    </row>
    <row r="178" spans="1:9" hidden="1" x14ac:dyDescent="0.3">
      <c r="A178" s="83" t="s">
        <v>172</v>
      </c>
      <c r="B178" s="84" t="str">
        <f>VLOOKUP(A178,'11 - FINANCEIRO'!A:M,1,0)</f>
        <v>4.2.6</v>
      </c>
      <c r="C178" s="67" t="str">
        <f>VLOOKUP(A178,'11 - FINANCEIRO'!A:M,3,FALSE)</f>
        <v>Armação Em Aço Ca-50 - Fornecimento, Preparo E Colocação</v>
      </c>
      <c r="D178" s="68">
        <f>VLOOKUP(A178,'11 - FINANCEIRO'!A:M,10,0)</f>
        <v>0</v>
      </c>
      <c r="E178" s="85" t="str">
        <f>VLOOKUP(A178,'11 - FINANCEIRO'!A:M,4,0)</f>
        <v>kg</v>
      </c>
      <c r="F178" s="41" t="str">
        <f t="shared" si="12"/>
        <v>4.2.6</v>
      </c>
      <c r="G178" s="29" t="str">
        <f t="shared" si="13"/>
        <v>NULO</v>
      </c>
      <c r="H178" s="29">
        <f t="shared" si="10"/>
        <v>0</v>
      </c>
    </row>
    <row r="179" spans="1:9" ht="25.5" hidden="1" x14ac:dyDescent="0.3">
      <c r="A179" s="83" t="s">
        <v>173</v>
      </c>
      <c r="B179" s="84" t="str">
        <f>VLOOKUP(A179,'11 - FINANCEIRO'!A:M,1,0)</f>
        <v>4.2.7</v>
      </c>
      <c r="C179" s="67" t="str">
        <f>VLOOKUP(A179,'11 - FINANCEIRO'!A:M,3,FALSE)</f>
        <v>Chumbador Tipo Espera Em Aço Ca-25 Para Fixação De Estrutura Metálica Em Concreto - Fornecimento E Instalação</v>
      </c>
      <c r="D179" s="68">
        <f>VLOOKUP(A179,'11 - FINANCEIRO'!A:M,10,0)</f>
        <v>0</v>
      </c>
      <c r="E179" s="85" t="str">
        <f>VLOOKUP(A179,'11 - FINANCEIRO'!A:M,4,0)</f>
        <v>kg</v>
      </c>
      <c r="F179" s="41" t="str">
        <f t="shared" si="12"/>
        <v>4.2.7</v>
      </c>
      <c r="G179" s="29" t="str">
        <f t="shared" si="13"/>
        <v>NULO</v>
      </c>
      <c r="H179" s="29">
        <f t="shared" si="10"/>
        <v>0</v>
      </c>
    </row>
    <row r="180" spans="1:9" ht="38.25" hidden="1" x14ac:dyDescent="0.3">
      <c r="A180" s="83" t="s">
        <v>174</v>
      </c>
      <c r="B180" s="84" t="str">
        <f>VLOOKUP(A180,'11 - FINANCEIRO'!A:M,1,0)</f>
        <v>4.2.8</v>
      </c>
      <c r="C180" s="67" t="str">
        <f>VLOOKUP(A180,'11 - FINANCEIRO'!A:M,3,FALSE)</f>
        <v>Viga Metálica Em Perfil Laminado Ou Soldado Em Aço Estrutural, Com Conexões Soldadas, Inclusos Mão De Obra, Transporte E Içamento Utilizando Guindaste - Fornecimento E Instalação. Af_01/2020_P</v>
      </c>
      <c r="D180" s="68">
        <f>VLOOKUP(A180,'11 - FINANCEIRO'!A:M,10,0)</f>
        <v>0</v>
      </c>
      <c r="E180" s="85" t="str">
        <f>VLOOKUP(A180,'11 - FINANCEIRO'!A:M,4,0)</f>
        <v>kg</v>
      </c>
      <c r="F180" s="41" t="str">
        <f t="shared" si="12"/>
        <v>4.2.8</v>
      </c>
      <c r="G180" s="29" t="str">
        <f t="shared" si="13"/>
        <v>NULO</v>
      </c>
      <c r="H180" s="29">
        <f t="shared" si="10"/>
        <v>0</v>
      </c>
    </row>
    <row r="181" spans="1:9" ht="25.5" x14ac:dyDescent="0.3">
      <c r="A181" s="83" t="s">
        <v>175</v>
      </c>
      <c r="B181" s="84" t="str">
        <f>VLOOKUP(A181,'11 - FINANCEIRO'!A:M,1,0)</f>
        <v>4.2.9</v>
      </c>
      <c r="C181" s="67" t="str">
        <f>VLOOKUP(A181,'11 - FINANCEIRO'!A:M,3,FALSE)</f>
        <v>Guarda Corpo Em Aço Galvanizado De Altura H=1,10M Pintura Com Tinta Esmalte Suvinil, Linha "Contra Ferrugem" Cor Maracujá, Ref.:C026</v>
      </c>
      <c r="D181" s="68">
        <f>VLOOKUP(A181,'11 - FINANCEIRO'!A:M,10,0)</f>
        <v>16.039999999999992</v>
      </c>
      <c r="E181" s="85" t="str">
        <f>VLOOKUP(A181,'11 - FINANCEIRO'!A:M,4,0)</f>
        <v>m</v>
      </c>
      <c r="F181" s="41" t="str">
        <f t="shared" si="12"/>
        <v>4.2.9</v>
      </c>
      <c r="G181" s="29" t="str">
        <f t="shared" si="13"/>
        <v>POSITIVO</v>
      </c>
      <c r="H181" s="29">
        <f t="shared" si="10"/>
        <v>1</v>
      </c>
    </row>
    <row r="182" spans="1:9" ht="33" hidden="1" x14ac:dyDescent="0.3">
      <c r="A182" s="83" t="s">
        <v>176</v>
      </c>
      <c r="B182" s="84" t="str">
        <f>VLOOKUP(A182,'11 - FINANCEIRO'!A:M,1,0)</f>
        <v>4.2.10</v>
      </c>
      <c r="C182" s="67" t="str">
        <f>VLOOKUP(A182,'11 - FINANCEIRO'!A:M,3,FALSE)</f>
        <v>Demolição Manual De Construções Provisórias - Sem Reaproveitamento, Incluído Transporte E Destinação</v>
      </c>
      <c r="D182" s="68">
        <f>VLOOKUP(A182,'11 - FINANCEIRO'!A:M,10,0)</f>
        <v>0</v>
      </c>
      <c r="E182" s="85" t="str">
        <f>VLOOKUP(A182,'11 - FINANCEIRO'!A:M,4,0)</f>
        <v>m²</v>
      </c>
      <c r="F182" s="41" t="str">
        <f t="shared" si="12"/>
        <v>4.2.10</v>
      </c>
      <c r="G182" s="29" t="str">
        <f t="shared" si="13"/>
        <v>NULO</v>
      </c>
      <c r="H182" s="29">
        <f t="shared" si="10"/>
        <v>0</v>
      </c>
    </row>
    <row r="183" spans="1:9" ht="33" hidden="1" x14ac:dyDescent="0.3">
      <c r="A183" s="83" t="s">
        <v>177</v>
      </c>
      <c r="B183" s="84" t="str">
        <f>VLOOKUP(A183,'11 - FINANCEIRO'!A:M,1,0)</f>
        <v>4.2.11</v>
      </c>
      <c r="C183" s="67" t="str">
        <f>VLOOKUP(A183,'11 - FINANCEIRO'!A:M,3,FALSE)</f>
        <v>Concreto Para Bombeamento Fck = 30 Mpa - Confecção Em Central Dosadora De 30 M³/H - Areia E Brita Comerciais</v>
      </c>
      <c r="D183" s="68">
        <f>VLOOKUP(A183,'11 - FINANCEIRO'!A:M,10,0)</f>
        <v>0</v>
      </c>
      <c r="E183" s="85" t="str">
        <f>VLOOKUP(A183,'11 - FINANCEIRO'!A:M,4,0)</f>
        <v>m³</v>
      </c>
      <c r="F183" s="41" t="str">
        <f t="shared" si="12"/>
        <v>4.2.11</v>
      </c>
      <c r="G183" s="29" t="str">
        <f t="shared" si="13"/>
        <v>NULO</v>
      </c>
      <c r="H183" s="29">
        <f t="shared" si="10"/>
        <v>0</v>
      </c>
    </row>
    <row r="184" spans="1:9" ht="33" hidden="1" x14ac:dyDescent="0.3">
      <c r="A184" s="83" t="s">
        <v>178</v>
      </c>
      <c r="B184" s="84" t="str">
        <f>VLOOKUP(A184,'11 - FINANCEIRO'!A:M,1,0)</f>
        <v>4.2.12</v>
      </c>
      <c r="C184" s="67" t="str">
        <f>VLOOKUP(A184,'11 - FINANCEIRO'!A:M,3,FALSE)</f>
        <v>Servico De Bombeamento De Concreto Com Consumo Minimo De 40 M3</v>
      </c>
      <c r="D184" s="68">
        <f>VLOOKUP(A184,'11 - FINANCEIRO'!A:M,10,0)</f>
        <v>0</v>
      </c>
      <c r="E184" s="85" t="str">
        <f>VLOOKUP(A184,'11 - FINANCEIRO'!A:M,4,0)</f>
        <v>m³</v>
      </c>
      <c r="F184" s="41" t="str">
        <f t="shared" si="12"/>
        <v>4.2.12</v>
      </c>
      <c r="G184" s="29" t="str">
        <f t="shared" si="13"/>
        <v>NULO</v>
      </c>
      <c r="H184" s="29">
        <f t="shared" si="10"/>
        <v>0</v>
      </c>
    </row>
    <row r="185" spans="1:9" x14ac:dyDescent="0.3">
      <c r="A185" s="31" t="s">
        <v>179</v>
      </c>
      <c r="B185" s="32" t="str">
        <f>VLOOKUP(A185,'11 - FINANCEIRO'!A:M,1,0)</f>
        <v>4.3</v>
      </c>
      <c r="C185" s="33" t="str">
        <f>VLOOKUP(A185,'11 - FINANCEIRO'!A:M,2,FALSE)</f>
        <v>Passarela João Cipreste Filho</v>
      </c>
      <c r="D185" s="34"/>
      <c r="E185" s="35"/>
      <c r="F185" s="28" t="str">
        <f t="shared" si="12"/>
        <v>4.3</v>
      </c>
      <c r="H185" s="29">
        <f>SUM(H186:H197)</f>
        <v>1</v>
      </c>
      <c r="I185" s="30" t="s">
        <v>9</v>
      </c>
    </row>
    <row r="186" spans="1:9" hidden="1" x14ac:dyDescent="0.3">
      <c r="A186" s="83" t="s">
        <v>180</v>
      </c>
      <c r="B186" s="84" t="s">
        <v>180</v>
      </c>
      <c r="C186" s="67" t="str">
        <f>VLOOKUP(A186,'11 - FINANCEIRO'!A:M,3,FALSE)</f>
        <v>Preparo E Regularização De Terreno Em Desnível</v>
      </c>
      <c r="D186" s="68">
        <f>VLOOKUP(A186,'11 - FINANCEIRO'!A:M,10,0)</f>
        <v>0</v>
      </c>
      <c r="E186" s="85" t="str">
        <f>VLOOKUP(A186,'11 - FINANCEIRO'!A:M,4,0)</f>
        <v>m²</v>
      </c>
      <c r="F186" s="41" t="str">
        <f t="shared" si="12"/>
        <v>4.3.1</v>
      </c>
      <c r="G186" s="29" t="str">
        <f t="shared" si="13"/>
        <v>NULO</v>
      </c>
      <c r="H186" s="29">
        <f t="shared" si="10"/>
        <v>0</v>
      </c>
    </row>
    <row r="187" spans="1:9" hidden="1" x14ac:dyDescent="0.3">
      <c r="A187" s="83" t="s">
        <v>181</v>
      </c>
      <c r="B187" s="84" t="str">
        <f>VLOOKUP(A187,'11 - FINANCEIRO'!A:M,1,0)</f>
        <v>4.3.2</v>
      </c>
      <c r="C187" s="67" t="str">
        <f>VLOOKUP(A187,'11 - FINANCEIRO'!A:M,3,FALSE)</f>
        <v>Estaca Trilho Tr 68 - Fornecimento E Cravação</v>
      </c>
      <c r="D187" s="68">
        <f>VLOOKUP(A187,'11 - FINANCEIRO'!A:M,10,0)</f>
        <v>0</v>
      </c>
      <c r="E187" s="85" t="str">
        <f>VLOOKUP(A187,'11 - FINANCEIRO'!A:M,4,0)</f>
        <v>m</v>
      </c>
      <c r="F187" s="41" t="str">
        <f t="shared" si="12"/>
        <v>4.3.2</v>
      </c>
      <c r="G187" s="29" t="str">
        <f t="shared" si="13"/>
        <v>NULO</v>
      </c>
      <c r="H187" s="29">
        <f t="shared" si="10"/>
        <v>0</v>
      </c>
    </row>
    <row r="188" spans="1:9" hidden="1" x14ac:dyDescent="0.3">
      <c r="A188" s="83" t="s">
        <v>182</v>
      </c>
      <c r="B188" s="84" t="str">
        <f>VLOOKUP(A188,'11 - FINANCEIRO'!A:M,1,0)</f>
        <v>4.3.3</v>
      </c>
      <c r="C188" s="67" t="str">
        <f>VLOOKUP(A188,'11 - FINANCEIRO'!A:M,3,FALSE)</f>
        <v>Arrasamento De Estacas Trilho Tr 68</v>
      </c>
      <c r="D188" s="68">
        <f>VLOOKUP(A188,'11 - FINANCEIRO'!A:M,10,0)</f>
        <v>0</v>
      </c>
      <c r="E188" s="85" t="str">
        <f>VLOOKUP(A188,'11 - FINANCEIRO'!A:M,4,0)</f>
        <v>un</v>
      </c>
      <c r="F188" s="41" t="str">
        <f t="shared" si="12"/>
        <v>4.3.3</v>
      </c>
      <c r="G188" s="29" t="str">
        <f t="shared" si="13"/>
        <v>NULO</v>
      </c>
      <c r="H188" s="29">
        <f t="shared" si="10"/>
        <v>0</v>
      </c>
    </row>
    <row r="189" spans="1:9" ht="25.5" hidden="1" x14ac:dyDescent="0.3">
      <c r="A189" s="83" t="s">
        <v>183</v>
      </c>
      <c r="B189" s="84" t="str">
        <f>VLOOKUP(A189,'11 - FINANCEIRO'!A:M,1,0)</f>
        <v>4.3.4</v>
      </c>
      <c r="C189" s="67" t="str">
        <f>VLOOKUP(A189,'11 - FINANCEIRO'!A:M,3,FALSE)</f>
        <v>Lastro De Concreto Magro, Aplicado Em Blocos De Coroamento Ou Sapatas, Espessura De 5 Cm. Af_08/2017</v>
      </c>
      <c r="D189" s="68">
        <f>VLOOKUP(A189,'11 - FINANCEIRO'!A:M,10,0)</f>
        <v>0</v>
      </c>
      <c r="E189" s="85" t="str">
        <f>VLOOKUP(A189,'11 - FINANCEIRO'!A:M,4,0)</f>
        <v>m²</v>
      </c>
      <c r="F189" s="41" t="str">
        <f t="shared" si="12"/>
        <v>4.3.4</v>
      </c>
      <c r="G189" s="29" t="str">
        <f t="shared" si="13"/>
        <v>NULO</v>
      </c>
      <c r="H189" s="29">
        <f t="shared" si="10"/>
        <v>0</v>
      </c>
    </row>
    <row r="190" spans="1:9" ht="25.5" hidden="1" x14ac:dyDescent="0.3">
      <c r="A190" s="83" t="s">
        <v>184</v>
      </c>
      <c r="B190" s="84" t="str">
        <f>VLOOKUP(A190,'11 - FINANCEIRO'!A:M,1,0)</f>
        <v>4.3.5</v>
      </c>
      <c r="C190" s="67" t="str">
        <f>VLOOKUP(A190,'11 - FINANCEIRO'!A:M,3,FALSE)</f>
        <v>Fabricação, Montagem E Desmontagem De Fôrma Para Bloco De Coroamento, Em Chapa De Madeira Compensada Resinada, E=17 Mm, 2 Utilizações. Af_06/2017</v>
      </c>
      <c r="D190" s="68">
        <f>VLOOKUP(A190,'11 - FINANCEIRO'!A:M,10,0)</f>
        <v>0</v>
      </c>
      <c r="E190" s="85" t="str">
        <f>VLOOKUP(A190,'11 - FINANCEIRO'!A:M,4,0)</f>
        <v>m²</v>
      </c>
      <c r="F190" s="41" t="str">
        <f t="shared" si="12"/>
        <v>4.3.5</v>
      </c>
      <c r="G190" s="29" t="str">
        <f t="shared" si="13"/>
        <v>NULO</v>
      </c>
      <c r="H190" s="29">
        <f t="shared" si="10"/>
        <v>0</v>
      </c>
    </row>
    <row r="191" spans="1:9" ht="25.5" hidden="1" x14ac:dyDescent="0.3">
      <c r="A191" s="83" t="s">
        <v>185</v>
      </c>
      <c r="B191" s="84" t="str">
        <f>VLOOKUP(A191,'11 - FINANCEIRO'!A:M,1,0)</f>
        <v>4.3.6</v>
      </c>
      <c r="C191" s="67" t="str">
        <f>VLOOKUP(A191,'11 - FINANCEIRO'!A:M,3,FALSE)</f>
        <v>Chumbador Tipo Espera Em Aço Ca-25 Para Fixação De Estrutura Metálica Em Concreto - Fornecimento E Instalação</v>
      </c>
      <c r="D191" s="68">
        <f>VLOOKUP(A191,'11 - FINANCEIRO'!A:M,10,0)</f>
        <v>0</v>
      </c>
      <c r="E191" s="85" t="str">
        <f>VLOOKUP(A191,'11 - FINANCEIRO'!A:M,4,0)</f>
        <v>kg</v>
      </c>
      <c r="F191" s="41" t="str">
        <f t="shared" si="12"/>
        <v>4.3.6</v>
      </c>
      <c r="G191" s="29" t="str">
        <f t="shared" si="13"/>
        <v>NULO</v>
      </c>
      <c r="H191" s="29">
        <f t="shared" si="10"/>
        <v>0</v>
      </c>
    </row>
    <row r="192" spans="1:9" ht="38.25" hidden="1" x14ac:dyDescent="0.3">
      <c r="A192" s="83" t="s">
        <v>186</v>
      </c>
      <c r="B192" s="84" t="str">
        <f>VLOOKUP(A192,'11 - FINANCEIRO'!A:M,1,0)</f>
        <v>4.3.7</v>
      </c>
      <c r="C192" s="67" t="str">
        <f>VLOOKUP(A192,'11 - FINANCEIRO'!A:M,3,FALSE)</f>
        <v>Viga Metálica Em Perfil Laminado Ou Soldado Em Aço Estrutural, Com Conexões Soldadas, Inclusos Mão De Obra, Transporte E Içamento Utilizando Guindaste - Fornecimento E Instalação. Af_01/2020_P</v>
      </c>
      <c r="D192" s="68">
        <f>VLOOKUP(A192,'11 - FINANCEIRO'!A:M,10,0)</f>
        <v>0</v>
      </c>
      <c r="E192" s="85" t="str">
        <f>VLOOKUP(A192,'11 - FINANCEIRO'!A:M,4,0)</f>
        <v>kg</v>
      </c>
      <c r="F192" s="41" t="str">
        <f t="shared" si="12"/>
        <v>4.3.7</v>
      </c>
      <c r="G192" s="29" t="str">
        <f t="shared" si="13"/>
        <v>NULO</v>
      </c>
      <c r="H192" s="29">
        <f t="shared" si="10"/>
        <v>0</v>
      </c>
    </row>
    <row r="193" spans="1:9" ht="25.5" x14ac:dyDescent="0.3">
      <c r="A193" s="83" t="s">
        <v>187</v>
      </c>
      <c r="B193" s="84" t="str">
        <f>VLOOKUP(A193,'11 - FINANCEIRO'!A:M,1,0)</f>
        <v>4.3.8</v>
      </c>
      <c r="C193" s="67" t="str">
        <f>VLOOKUP(A193,'11 - FINANCEIRO'!A:M,3,FALSE)</f>
        <v>Guarda Corpo Em Aço Galvanizado De Altura H=1,10M Pintura Com Tinta Esmalte Suvinil, Linha "Contra Ferrugem" Cor Maracujá, Ref.:C026</v>
      </c>
      <c r="D193" s="68">
        <f>VLOOKUP(A193,'11 - FINANCEIRO'!A:M,10,0)</f>
        <v>11.989999999999995</v>
      </c>
      <c r="E193" s="85" t="str">
        <f>VLOOKUP(A193,'11 - FINANCEIRO'!A:M,4,0)</f>
        <v>m</v>
      </c>
      <c r="F193" s="41" t="str">
        <f t="shared" si="12"/>
        <v>4.3.8</v>
      </c>
      <c r="G193" s="29" t="str">
        <f>IF(D193&gt;0,"POSITIVO",IF(D193=0,"NULO",IF(D193&lt;0,"NEGATIVO")))</f>
        <v>POSITIVO</v>
      </c>
      <c r="H193" s="29">
        <f t="shared" si="10"/>
        <v>1</v>
      </c>
    </row>
    <row r="194" spans="1:9" ht="25.5" hidden="1" x14ac:dyDescent="0.3">
      <c r="A194" s="83" t="s">
        <v>188</v>
      </c>
      <c r="B194" s="84" t="str">
        <f>VLOOKUP(A194,'11 - FINANCEIRO'!A:M,1,0)</f>
        <v>4.3.9</v>
      </c>
      <c r="C194" s="67" t="str">
        <f>VLOOKUP(A194,'11 - FINANCEIRO'!A:M,3,FALSE)</f>
        <v>Demolição Manual De Construções Provisórias - Sem Reaproveitamento, Incluído Transporte E Destinação</v>
      </c>
      <c r="D194" s="68">
        <f>VLOOKUP(A194,'11 - FINANCEIRO'!A:M,10,0)</f>
        <v>0</v>
      </c>
      <c r="E194" s="85" t="str">
        <f>VLOOKUP(A194,'11 - FINANCEIRO'!A:M,4,0)</f>
        <v>m²</v>
      </c>
      <c r="F194" s="41" t="str">
        <f t="shared" si="12"/>
        <v>4.3.9</v>
      </c>
      <c r="G194" s="29" t="str">
        <f>IF(D194&gt;0,"POSITIVO",IF(D194=0,"NULO",IF(D194&lt;0,"NEGATIVO")))</f>
        <v>NULO</v>
      </c>
      <c r="H194" s="29">
        <f t="shared" si="10"/>
        <v>0</v>
      </c>
    </row>
    <row r="195" spans="1:9" ht="33" hidden="1" x14ac:dyDescent="0.3">
      <c r="A195" s="83" t="s">
        <v>189</v>
      </c>
      <c r="B195" s="84" t="str">
        <f>VLOOKUP(A195,'11 - FINANCEIRO'!A:M,1,0)</f>
        <v>4.3.10</v>
      </c>
      <c r="C195" s="67" t="str">
        <f>VLOOKUP(A195,'11 - FINANCEIRO'!A:M,3,FALSE)</f>
        <v>Armação Em Aço Ca-50 - Fornecimento, Preparo E Colocação</v>
      </c>
      <c r="D195" s="68">
        <f>VLOOKUP(A195,'11 - FINANCEIRO'!A:M,10,0)</f>
        <v>0</v>
      </c>
      <c r="E195" s="85" t="str">
        <f>VLOOKUP(A195,'11 - FINANCEIRO'!A:M,4,0)</f>
        <v>kg</v>
      </c>
      <c r="F195" s="41" t="str">
        <f t="shared" si="12"/>
        <v>4.3.10</v>
      </c>
      <c r="G195" s="29" t="str">
        <f>IF(D195&gt;0,"POSITIVO",IF(D195=0,"NULO",IF(D195&lt;0,"NEGATIVO")))</f>
        <v>NULO</v>
      </c>
      <c r="H195" s="29">
        <f t="shared" si="10"/>
        <v>0</v>
      </c>
    </row>
    <row r="196" spans="1:9" ht="33" hidden="1" x14ac:dyDescent="0.3">
      <c r="A196" s="83" t="s">
        <v>190</v>
      </c>
      <c r="B196" s="84" t="str">
        <f>VLOOKUP(A196,'11 - FINANCEIRO'!A:M,1,0)</f>
        <v>4.3.11</v>
      </c>
      <c r="C196" s="67" t="str">
        <f>VLOOKUP(A196,'11 - FINANCEIRO'!A:M,3,FALSE)</f>
        <v>Concreto Para Bombeamento Fck = 30 Mpa - Confecção Em Central Dosadora De 30 M³/H - Areia E Brita Comerciais</v>
      </c>
      <c r="D196" s="68">
        <f>VLOOKUP(A196,'11 - FINANCEIRO'!A:M,10,0)</f>
        <v>0</v>
      </c>
      <c r="E196" s="85" t="str">
        <f>VLOOKUP(A196,'11 - FINANCEIRO'!A:M,4,0)</f>
        <v>m³</v>
      </c>
      <c r="F196" s="41" t="str">
        <f t="shared" si="12"/>
        <v>4.3.11</v>
      </c>
      <c r="G196" s="29" t="str">
        <f>IF(D196&gt;0,"POSITIVO",IF(D196=0,"NULO",IF(D196&lt;0,"NEGATIVO")))</f>
        <v>NULO</v>
      </c>
      <c r="H196" s="29">
        <f t="shared" si="10"/>
        <v>0</v>
      </c>
    </row>
    <row r="197" spans="1:9" ht="33" hidden="1" x14ac:dyDescent="0.3">
      <c r="A197" s="83" t="s">
        <v>191</v>
      </c>
      <c r="B197" s="84" t="str">
        <f>VLOOKUP(A197,'11 - FINANCEIRO'!A:M,1,0)</f>
        <v>4.3.12</v>
      </c>
      <c r="C197" s="67" t="str">
        <f>VLOOKUP(A197,'11 - FINANCEIRO'!A:M,3,FALSE)</f>
        <v>Servico De Bombeamento De Concreto Com Consumo Minimo De 40 M3</v>
      </c>
      <c r="D197" s="68">
        <f>VLOOKUP(A197,'11 - FINANCEIRO'!A:M,10,0)</f>
        <v>0</v>
      </c>
      <c r="E197" s="85" t="str">
        <f>VLOOKUP(A197,'11 - FINANCEIRO'!A:M,4,0)</f>
        <v xml:space="preserve"> m³</v>
      </c>
      <c r="F197" s="41" t="str">
        <f t="shared" si="12"/>
        <v>4.3.12</v>
      </c>
      <c r="G197" s="29" t="str">
        <f>IF(D197&gt;0,"POSITIVO",IF(D197=0,"NULO",IF(D197&lt;0,"NEGATIVO")))</f>
        <v>NULO</v>
      </c>
      <c r="H197" s="29">
        <f>IF(G197="NULO",0,1)</f>
        <v>0</v>
      </c>
    </row>
    <row r="198" spans="1:9" hidden="1" x14ac:dyDescent="0.3">
      <c r="A198" s="31" t="s">
        <v>192</v>
      </c>
      <c r="B198" s="32" t="str">
        <f>VLOOKUP(A198,'11 - FINANCEIRO'!A:M,1,0)</f>
        <v>4.4</v>
      </c>
      <c r="C198" s="33" t="str">
        <f>VLOOKUP(A198,'11 - FINANCEIRO'!A:M,2,FALSE)</f>
        <v>Passarela Otorrino Avancine</v>
      </c>
      <c r="D198" s="34"/>
      <c r="E198" s="35"/>
      <c r="F198" s="28" t="str">
        <f>A198</f>
        <v>4.4</v>
      </c>
      <c r="H198" s="29">
        <f>SUM(H199:H211)</f>
        <v>0</v>
      </c>
      <c r="I198" s="30" t="s">
        <v>9</v>
      </c>
    </row>
    <row r="199" spans="1:9" hidden="1" x14ac:dyDescent="0.3">
      <c r="A199" s="78" t="s">
        <v>193</v>
      </c>
      <c r="B199" s="84" t="str">
        <f>VLOOKUP(A199,'11 - FINANCEIRO'!A:M,1,0)</f>
        <v>4.4.1</v>
      </c>
      <c r="C199" s="67" t="str">
        <f>VLOOKUP(A199,'11 - FINANCEIRO'!A:M,3,FALSE)</f>
        <v>Preparo E Regularização De Terreno Em Desnível</v>
      </c>
      <c r="D199" s="68">
        <f>VLOOKUP(A199,'11 - FINANCEIRO'!A:M,10,0)</f>
        <v>0</v>
      </c>
      <c r="E199" s="85" t="str">
        <f>VLOOKUP(A199,'11 - FINANCEIRO'!A:M,4,0)</f>
        <v>m²</v>
      </c>
      <c r="F199" s="41" t="str">
        <f t="shared" ref="F199:F253" si="14">A199</f>
        <v>4.4.1</v>
      </c>
      <c r="G199" s="29" t="str">
        <f t="shared" ref="G199:G253" si="15">IF(D199&gt;0,"POSITIVO",IF(D199=0,"NULO",IF(D199&lt;0,"NEGATIVO")))</f>
        <v>NULO</v>
      </c>
      <c r="H199" s="29">
        <f t="shared" ref="H199:H253" si="16">IF(G199="NULO",0,1)</f>
        <v>0</v>
      </c>
    </row>
    <row r="200" spans="1:9" ht="38.25" hidden="1" x14ac:dyDescent="0.3">
      <c r="A200" s="78" t="s">
        <v>194</v>
      </c>
      <c r="B200" s="84" t="str">
        <f>VLOOKUP(A200,'11 - FINANCEIRO'!A:M,1,0)</f>
        <v>4.4.2</v>
      </c>
      <c r="C200" s="67" t="str">
        <f>VLOOKUP(A200,'11 - FINANCEIRO'!A:M,3,FALSE)</f>
        <v>Perfuratriz Com Torre Metálica Para Execução De Estaca Hélice Contínua, Profundidade Máxima De 32 M, Diâmetro Máximo De 1000 Mm, Potência Instalada De 350 Hp, Mesa Rotativa Com Torque Máximo De 263 Knm - Chi Diurno. Af_01/2016</v>
      </c>
      <c r="D200" s="68">
        <f>VLOOKUP(A200,'11 - FINANCEIRO'!A:M,10,0)</f>
        <v>0</v>
      </c>
      <c r="E200" s="85" t="str">
        <f>VLOOKUP(A200,'11 - FINANCEIRO'!A:M,4,0)</f>
        <v>chi</v>
      </c>
      <c r="F200" s="41" t="str">
        <f t="shared" si="14"/>
        <v>4.4.2</v>
      </c>
      <c r="G200" s="29" t="str">
        <f t="shared" si="15"/>
        <v>NULO</v>
      </c>
      <c r="H200" s="29">
        <f t="shared" si="16"/>
        <v>0</v>
      </c>
    </row>
    <row r="201" spans="1:9" ht="25.5" hidden="1" x14ac:dyDescent="0.3">
      <c r="A201" s="78" t="s">
        <v>195</v>
      </c>
      <c r="B201" s="84" t="str">
        <f>VLOOKUP(A201,'11 - FINANCEIRO'!A:M,1,0)</f>
        <v>4.4.3</v>
      </c>
      <c r="C201" s="67" t="str">
        <f>VLOOKUP(A201,'11 - FINANCEIRO'!A:M,3,FALSE)</f>
        <v>Estaca Hélice Contínua, Diâmetro De 30 Cm, Incluso Concreto Fck=30Mpa E Armadura Mínima (Exclusive Mobilização, Desmobilização E Bombeamento). Af_12/2019</v>
      </c>
      <c r="D201" s="68">
        <f>VLOOKUP(A201,'11 - FINANCEIRO'!A:M,10,0)</f>
        <v>0</v>
      </c>
      <c r="E201" s="85" t="str">
        <f>VLOOKUP(A201,'11 - FINANCEIRO'!A:M,4,0)</f>
        <v>m</v>
      </c>
      <c r="F201" s="41" t="str">
        <f t="shared" si="14"/>
        <v>4.4.3</v>
      </c>
      <c r="G201" s="29" t="str">
        <f t="shared" si="15"/>
        <v>NULO</v>
      </c>
      <c r="H201" s="29">
        <f t="shared" si="16"/>
        <v>0</v>
      </c>
    </row>
    <row r="202" spans="1:9" ht="25.5" hidden="1" x14ac:dyDescent="0.3">
      <c r="A202" s="78" t="s">
        <v>196</v>
      </c>
      <c r="B202" s="84" t="str">
        <f>VLOOKUP(A202,'11 - FINANCEIRO'!A:M,1,0)</f>
        <v>4.4.4</v>
      </c>
      <c r="C202" s="67" t="str">
        <f>VLOOKUP(A202,'11 - FINANCEIRO'!A:M,3,FALSE)</f>
        <v>Arrasamento Mecanico De Estaca De Concreto Armado, Diametros De Até 40 Cm. Af_05/2021</v>
      </c>
      <c r="D202" s="68">
        <f>VLOOKUP(A202,'11 - FINANCEIRO'!A:M,10,0)</f>
        <v>0</v>
      </c>
      <c r="E202" s="85" t="str">
        <f>VLOOKUP(A202,'11 - FINANCEIRO'!A:M,4,0)</f>
        <v>un</v>
      </c>
      <c r="F202" s="41" t="str">
        <f t="shared" si="14"/>
        <v>4.4.4</v>
      </c>
      <c r="G202" s="29" t="str">
        <f t="shared" si="15"/>
        <v>NULO</v>
      </c>
      <c r="H202" s="29">
        <f t="shared" si="16"/>
        <v>0</v>
      </c>
    </row>
    <row r="203" spans="1:9" ht="25.5" hidden="1" x14ac:dyDescent="0.3">
      <c r="A203" s="78" t="s">
        <v>197</v>
      </c>
      <c r="B203" s="84" t="str">
        <f>VLOOKUP(A203,'11 - FINANCEIRO'!A:M,1,0)</f>
        <v>4.4.5</v>
      </c>
      <c r="C203" s="67" t="str">
        <f>VLOOKUP(A203,'11 - FINANCEIRO'!A:M,3,FALSE)</f>
        <v>Lastro De Concreto Magro, Aplicado Em Blocos De Coroamento Ou Sapatas, Espessura De 5 Cm. Af_08/2017</v>
      </c>
      <c r="D203" s="68">
        <f>VLOOKUP(A203,'11 - FINANCEIRO'!A:M,10,0)</f>
        <v>0</v>
      </c>
      <c r="E203" s="85" t="str">
        <f>VLOOKUP(A203,'11 - FINANCEIRO'!A:M,4,0)</f>
        <v>m²</v>
      </c>
      <c r="F203" s="41" t="str">
        <f t="shared" si="14"/>
        <v>4.4.5</v>
      </c>
      <c r="G203" s="29" t="str">
        <f t="shared" si="15"/>
        <v>NULO</v>
      </c>
      <c r="H203" s="29">
        <f t="shared" si="16"/>
        <v>0</v>
      </c>
    </row>
    <row r="204" spans="1:9" ht="25.5" hidden="1" x14ac:dyDescent="0.3">
      <c r="A204" s="78" t="s">
        <v>198</v>
      </c>
      <c r="B204" s="84" t="str">
        <f>VLOOKUP(A204,'11 - FINANCEIRO'!A:M,1,0)</f>
        <v>4.4.6</v>
      </c>
      <c r="C204" s="67" t="str">
        <f>VLOOKUP(A204,'11 - FINANCEIRO'!A:M,3,FALSE)</f>
        <v>Fabricação, Montagem E Desmontagem De Fôrma Para Bloco De Coroamento, Em Chapa De Madeira Compensada Resinada, E=17 Mm, 2 Utilizações. Af_06/2017</v>
      </c>
      <c r="D204" s="68">
        <f>VLOOKUP(A204,'11 - FINANCEIRO'!A:M,10,0)</f>
        <v>0</v>
      </c>
      <c r="E204" s="85" t="str">
        <f>VLOOKUP(A204,'11 - FINANCEIRO'!A:M,4,0)</f>
        <v>m²</v>
      </c>
      <c r="F204" s="41" t="str">
        <f t="shared" si="14"/>
        <v>4.4.6</v>
      </c>
      <c r="G204" s="29" t="str">
        <f t="shared" si="15"/>
        <v>NULO</v>
      </c>
      <c r="H204" s="29">
        <f t="shared" si="16"/>
        <v>0</v>
      </c>
    </row>
    <row r="205" spans="1:9" ht="25.5" hidden="1" x14ac:dyDescent="0.3">
      <c r="A205" s="78" t="s">
        <v>199</v>
      </c>
      <c r="B205" s="84" t="str">
        <f>VLOOKUP(A205,'11 - FINANCEIRO'!A:M,1,0)</f>
        <v>4.4.7</v>
      </c>
      <c r="C205" s="67" t="str">
        <f>VLOOKUP(A205,'11 - FINANCEIRO'!A:M,3,FALSE)</f>
        <v>Chumbador Tipo Espera Em Aço Ca-25 Para Fixação De Estrutura Metálica Em Concreto - Fornecimento E Instalação</v>
      </c>
      <c r="D205" s="68">
        <f>VLOOKUP(A205,'11 - FINANCEIRO'!A:M,10,0)</f>
        <v>0</v>
      </c>
      <c r="E205" s="85" t="str">
        <f>VLOOKUP(A205,'11 - FINANCEIRO'!A:M,4,0)</f>
        <v>kg</v>
      </c>
      <c r="F205" s="41" t="str">
        <f t="shared" si="14"/>
        <v>4.4.7</v>
      </c>
      <c r="G205" s="29" t="str">
        <f t="shared" si="15"/>
        <v>NULO</v>
      </c>
      <c r="H205" s="29">
        <f t="shared" si="16"/>
        <v>0</v>
      </c>
    </row>
    <row r="206" spans="1:9" ht="38.25" hidden="1" x14ac:dyDescent="0.3">
      <c r="A206" s="78" t="s">
        <v>200</v>
      </c>
      <c r="B206" s="84" t="str">
        <f>VLOOKUP(A206,'11 - FINANCEIRO'!A:M,1,0)</f>
        <v>4.4.8</v>
      </c>
      <c r="C206" s="67" t="str">
        <f>VLOOKUP(A206,'11 - FINANCEIRO'!A:M,3,FALSE)</f>
        <v>Viga Metálica Em Perfil Laminado Ou Soldado Em Aço Estrutural, Com Conexões Soldadas, Inclusos Mão De Obra, Transporte E Içamento Utilizando Guindaste - Fornecimento E Instalação. Af_01/2020_P</v>
      </c>
      <c r="D206" s="68">
        <f>VLOOKUP(A206,'11 - FINANCEIRO'!A:M,10,0)</f>
        <v>0</v>
      </c>
      <c r="E206" s="85" t="str">
        <f>VLOOKUP(A206,'11 - FINANCEIRO'!A:M,4,0)</f>
        <v>kg</v>
      </c>
      <c r="F206" s="41" t="str">
        <f t="shared" si="14"/>
        <v>4.4.8</v>
      </c>
      <c r="G206" s="29" t="str">
        <f t="shared" si="15"/>
        <v>NULO</v>
      </c>
      <c r="H206" s="29">
        <f t="shared" si="16"/>
        <v>0</v>
      </c>
    </row>
    <row r="207" spans="1:9" ht="25.5" hidden="1" x14ac:dyDescent="0.3">
      <c r="A207" s="78" t="s">
        <v>201</v>
      </c>
      <c r="B207" s="84" t="str">
        <f>VLOOKUP(A207,'11 - FINANCEIRO'!A:M,1,0)</f>
        <v>4.4.9</v>
      </c>
      <c r="C207" s="67" t="str">
        <f>VLOOKUP(A207,'11 - FINANCEIRO'!A:M,3,FALSE)</f>
        <v>Guarda Corpo Em Aço Galvanizado De Altura H=1,10M Pintura Com Tinta Esmalte Suvinil, Linha "Contra Ferrugem" Cor Maracujá, Ref.:C026</v>
      </c>
      <c r="D207" s="68">
        <f>VLOOKUP(A207,'11 - FINANCEIRO'!A:M,10,0)</f>
        <v>0</v>
      </c>
      <c r="E207" s="85" t="str">
        <f>VLOOKUP(A207,'11 - FINANCEIRO'!A:M,4,0)</f>
        <v>m</v>
      </c>
      <c r="F207" s="41" t="str">
        <f t="shared" si="14"/>
        <v>4.4.9</v>
      </c>
      <c r="G207" s="29" t="str">
        <f t="shared" si="15"/>
        <v>NULO</v>
      </c>
      <c r="H207" s="29">
        <f t="shared" si="16"/>
        <v>0</v>
      </c>
    </row>
    <row r="208" spans="1:9" ht="33" hidden="1" x14ac:dyDescent="0.3">
      <c r="A208" s="78" t="s">
        <v>202</v>
      </c>
      <c r="B208" s="84" t="str">
        <f>VLOOKUP(A208,'11 - FINANCEIRO'!A:M,1,0)</f>
        <v>4.4.10</v>
      </c>
      <c r="C208" s="67" t="str">
        <f>VLOOKUP(A208,'11 - FINANCEIRO'!A:M,3,FALSE)</f>
        <v>Demolição Manual De Construções Provisórias - Sem Reaproveitamento, Incluído Transporte E Destinação</v>
      </c>
      <c r="D208" s="68">
        <f>VLOOKUP(A208,'11 - FINANCEIRO'!A:M,10,0)</f>
        <v>0</v>
      </c>
      <c r="E208" s="85" t="str">
        <f>VLOOKUP(A208,'11 - FINANCEIRO'!A:M,4,0)</f>
        <v>m²</v>
      </c>
      <c r="F208" s="41" t="str">
        <f t="shared" si="14"/>
        <v>4.4.10</v>
      </c>
      <c r="G208" s="29" t="str">
        <f t="shared" si="15"/>
        <v>NULO</v>
      </c>
      <c r="H208" s="29">
        <f t="shared" si="16"/>
        <v>0</v>
      </c>
    </row>
    <row r="209" spans="1:9" ht="33" hidden="1" x14ac:dyDescent="0.3">
      <c r="A209" s="78" t="s">
        <v>203</v>
      </c>
      <c r="B209" s="84" t="str">
        <f>VLOOKUP(A209,'11 - FINANCEIRO'!A:M,1,0)</f>
        <v>4.4.11</v>
      </c>
      <c r="C209" s="67" t="str">
        <f>VLOOKUP(A209,'11 - FINANCEIRO'!A:M,3,FALSE)</f>
        <v>Armação Em Aço Ca-50 - Fornecimento, Preparo E Colocação</v>
      </c>
      <c r="D209" s="68">
        <f>VLOOKUP(A209,'11 - FINANCEIRO'!A:M,10,0)</f>
        <v>0</v>
      </c>
      <c r="E209" s="85" t="str">
        <f>VLOOKUP(A209,'11 - FINANCEIRO'!A:M,4,0)</f>
        <v>kg</v>
      </c>
      <c r="F209" s="41" t="str">
        <f t="shared" si="14"/>
        <v>4.4.11</v>
      </c>
      <c r="G209" s="29" t="str">
        <f t="shared" si="15"/>
        <v>NULO</v>
      </c>
      <c r="H209" s="29">
        <f t="shared" si="16"/>
        <v>0</v>
      </c>
    </row>
    <row r="210" spans="1:9" ht="33" hidden="1" x14ac:dyDescent="0.3">
      <c r="A210" s="78" t="s">
        <v>204</v>
      </c>
      <c r="B210" s="84" t="str">
        <f>VLOOKUP(A210,'11 - FINANCEIRO'!A:M,1,0)</f>
        <v>4.4.12</v>
      </c>
      <c r="C210" s="67" t="str">
        <f>VLOOKUP(A210,'11 - FINANCEIRO'!A:M,3,FALSE)</f>
        <v>Concreto Para Bombeamento Fck = 30 Mpa - Confecção Em Central Dosadora De 30 M³/H - Areia E Brita Comerciais</v>
      </c>
      <c r="D210" s="68">
        <f>VLOOKUP(A210,'11 - FINANCEIRO'!A:M,10,0)</f>
        <v>0</v>
      </c>
      <c r="E210" s="85" t="str">
        <f>VLOOKUP(A210,'11 - FINANCEIRO'!A:M,4,0)</f>
        <v>m³</v>
      </c>
      <c r="F210" s="41" t="str">
        <f t="shared" si="14"/>
        <v>4.4.12</v>
      </c>
      <c r="G210" s="29" t="str">
        <f t="shared" si="15"/>
        <v>NULO</v>
      </c>
      <c r="H210" s="29">
        <f t="shared" si="16"/>
        <v>0</v>
      </c>
    </row>
    <row r="211" spans="1:9" ht="15" hidden="1" customHeight="1" x14ac:dyDescent="0.3">
      <c r="A211" s="78" t="s">
        <v>205</v>
      </c>
      <c r="B211" s="84" t="str">
        <f>VLOOKUP(A211,'11 - FINANCEIRO'!A:M,1,0)</f>
        <v>4.4.13</v>
      </c>
      <c r="C211" s="67" t="str">
        <f>VLOOKUP(A211,'11 - FINANCEIRO'!A:M,3,FALSE)</f>
        <v>Servico De Bombeamento De Concreto Com Consumo Minimo De 40 M3</v>
      </c>
      <c r="D211" s="68">
        <f>VLOOKUP(A211,'11 - FINANCEIRO'!A:M,10,0)</f>
        <v>0</v>
      </c>
      <c r="E211" s="85" t="str">
        <f>VLOOKUP(A211,'11 - FINANCEIRO'!A:M,4,0)</f>
        <v xml:space="preserve"> m³</v>
      </c>
      <c r="F211" s="41" t="str">
        <f t="shared" si="14"/>
        <v>4.4.13</v>
      </c>
      <c r="G211" s="29" t="str">
        <f t="shared" si="15"/>
        <v>NULO</v>
      </c>
      <c r="H211" s="29">
        <f t="shared" si="16"/>
        <v>0</v>
      </c>
    </row>
    <row r="212" spans="1:9" x14ac:dyDescent="0.3">
      <c r="A212" s="31" t="s">
        <v>206</v>
      </c>
      <c r="B212" s="32" t="str">
        <f>VLOOKUP(A212,'11 - FINANCEIRO'!A:M,1,0)</f>
        <v>4.5</v>
      </c>
      <c r="C212" s="33" t="str">
        <f>VLOOKUP(A212,'11 - FINANCEIRO'!A:M,2,FALSE)</f>
        <v>Passarela Rua 37</v>
      </c>
      <c r="D212" s="34"/>
      <c r="E212" s="35"/>
      <c r="F212" s="28" t="str">
        <f>A212</f>
        <v>4.5</v>
      </c>
      <c r="H212" s="29">
        <f>SUM(H213:H225)</f>
        <v>1</v>
      </c>
      <c r="I212" s="30" t="s">
        <v>9</v>
      </c>
    </row>
    <row r="213" spans="1:9" hidden="1" x14ac:dyDescent="0.3">
      <c r="A213" s="78" t="s">
        <v>207</v>
      </c>
      <c r="B213" s="84" t="str">
        <f>VLOOKUP(A213,'11 - FINANCEIRO'!A:M,1,0)</f>
        <v>4.5.1</v>
      </c>
      <c r="C213" s="67" t="str">
        <f>VLOOKUP(A213,'11 - FINANCEIRO'!A:M,3,FALSE)</f>
        <v>Preparo E Regularização De Terreno Em Desnível</v>
      </c>
      <c r="D213" s="68">
        <f>VLOOKUP(A213,'11 - FINANCEIRO'!A:M,10,0)</f>
        <v>0</v>
      </c>
      <c r="E213" s="85" t="str">
        <f>VLOOKUP(A213,'11 - FINANCEIRO'!A:M,4,0)</f>
        <v>m²</v>
      </c>
      <c r="F213" s="41" t="str">
        <f t="shared" si="14"/>
        <v>4.5.1</v>
      </c>
      <c r="G213" s="29" t="str">
        <f t="shared" si="15"/>
        <v>NULO</v>
      </c>
      <c r="H213" s="29">
        <f t="shared" si="16"/>
        <v>0</v>
      </c>
    </row>
    <row r="214" spans="1:9" ht="38.25" hidden="1" x14ac:dyDescent="0.3">
      <c r="A214" s="78" t="s">
        <v>208</v>
      </c>
      <c r="B214" s="84" t="str">
        <f>VLOOKUP(A214,'11 - FINANCEIRO'!A:M,1,0)</f>
        <v>4.5.2</v>
      </c>
      <c r="C214" s="67" t="str">
        <f>VLOOKUP(A214,'11 - FINANCEIRO'!A:M,3,FALSE)</f>
        <v>Perfuratriz Com Torre Metálica Para Execução De Estaca Hélice Contínua, Profundidade Máxima De 32 M, Diâmetro Máximo De 1000 Mm, Potência Instalada De 350 Hp, Mesa Rotativa Com Torque Máximo De 263 Knm - Chi Diurno. Af_01/2016</v>
      </c>
      <c r="D214" s="68">
        <f>VLOOKUP(A214,'11 - FINANCEIRO'!A:M,10,0)</f>
        <v>0</v>
      </c>
      <c r="E214" s="85" t="str">
        <f>VLOOKUP(A214,'11 - FINANCEIRO'!A:M,4,0)</f>
        <v>chi</v>
      </c>
      <c r="F214" s="41" t="str">
        <f t="shared" si="14"/>
        <v>4.5.2</v>
      </c>
      <c r="G214" s="29" t="str">
        <f t="shared" si="15"/>
        <v>NULO</v>
      </c>
      <c r="H214" s="29">
        <f t="shared" si="16"/>
        <v>0</v>
      </c>
    </row>
    <row r="215" spans="1:9" ht="25.5" hidden="1" x14ac:dyDescent="0.3">
      <c r="A215" s="78" t="s">
        <v>209</v>
      </c>
      <c r="B215" s="84" t="str">
        <f>VLOOKUP(A215,'11 - FINANCEIRO'!A:M,1,0)</f>
        <v>4.5.3</v>
      </c>
      <c r="C215" s="67" t="str">
        <f>VLOOKUP(A215,'11 - FINANCEIRO'!A:M,3,FALSE)</f>
        <v>Estaca Hélice Contínua, Diâmetro De 30 Cm, Incluso Concreto Fck=30Mpa E Armadura Mínima (Exclusive Mobilização, Desmobilização E Bombeamento). Af_12/2019</v>
      </c>
      <c r="D215" s="68">
        <f>VLOOKUP(A215,'11 - FINANCEIRO'!A:M,10,0)</f>
        <v>0</v>
      </c>
      <c r="E215" s="85" t="str">
        <f>VLOOKUP(A215,'11 - FINANCEIRO'!A:M,4,0)</f>
        <v>m</v>
      </c>
      <c r="F215" s="41" t="str">
        <f t="shared" si="14"/>
        <v>4.5.3</v>
      </c>
      <c r="G215" s="29" t="str">
        <f t="shared" si="15"/>
        <v>NULO</v>
      </c>
      <c r="H215" s="29">
        <f t="shared" si="16"/>
        <v>0</v>
      </c>
    </row>
    <row r="216" spans="1:9" ht="25.5" hidden="1" x14ac:dyDescent="0.3">
      <c r="A216" s="78" t="s">
        <v>210</v>
      </c>
      <c r="B216" s="84" t="str">
        <f>VLOOKUP(A216,'11 - FINANCEIRO'!A:M,1,0)</f>
        <v>4.5.4</v>
      </c>
      <c r="C216" s="67" t="str">
        <f>VLOOKUP(A216,'11 - FINANCEIRO'!A:M,3,FALSE)</f>
        <v>Arrasamento Mecanico De Estaca De Concreto Armado, Diametros De Até 40 Cm. Af_05/2021</v>
      </c>
      <c r="D216" s="68">
        <f>VLOOKUP(A216,'11 - FINANCEIRO'!A:M,10,0)</f>
        <v>0</v>
      </c>
      <c r="E216" s="85" t="str">
        <f>VLOOKUP(A216,'11 - FINANCEIRO'!A:M,4,0)</f>
        <v>un</v>
      </c>
      <c r="F216" s="41" t="str">
        <f t="shared" si="14"/>
        <v>4.5.4</v>
      </c>
      <c r="G216" s="29" t="str">
        <f t="shared" si="15"/>
        <v>NULO</v>
      </c>
      <c r="H216" s="29">
        <f t="shared" si="16"/>
        <v>0</v>
      </c>
    </row>
    <row r="217" spans="1:9" ht="25.5" hidden="1" x14ac:dyDescent="0.3">
      <c r="A217" s="78" t="s">
        <v>211</v>
      </c>
      <c r="B217" s="84" t="str">
        <f>VLOOKUP(A217,'11 - FINANCEIRO'!A:M,1,0)</f>
        <v>4.5.5</v>
      </c>
      <c r="C217" s="67" t="str">
        <f>VLOOKUP(A217,'11 - FINANCEIRO'!A:M,3,FALSE)</f>
        <v>Lastro De Concreto Magro, Aplicado Em Blocos De Coroamento Ou Sapatas, Espessura De 5 Cm. Af_08/2017</v>
      </c>
      <c r="D217" s="68">
        <f>VLOOKUP(A217,'11 - FINANCEIRO'!A:M,10,0)</f>
        <v>0</v>
      </c>
      <c r="E217" s="85" t="str">
        <f>VLOOKUP(A217,'11 - FINANCEIRO'!A:M,4,0)</f>
        <v>m²</v>
      </c>
      <c r="F217" s="41" t="str">
        <f t="shared" si="14"/>
        <v>4.5.5</v>
      </c>
      <c r="G217" s="29" t="str">
        <f t="shared" si="15"/>
        <v>NULO</v>
      </c>
      <c r="H217" s="29">
        <f t="shared" si="16"/>
        <v>0</v>
      </c>
    </row>
    <row r="218" spans="1:9" ht="25.5" hidden="1" x14ac:dyDescent="0.3">
      <c r="A218" s="78" t="s">
        <v>212</v>
      </c>
      <c r="B218" s="84" t="str">
        <f>VLOOKUP(A218,'11 - FINANCEIRO'!A:M,1,0)</f>
        <v>4.5.6</v>
      </c>
      <c r="C218" s="67" t="str">
        <f>VLOOKUP(A218,'11 - FINANCEIRO'!A:M,3,FALSE)</f>
        <v>Fabricação, Montagem E Desmontagem De Fôrma Para Bloco De Coroamento, Em Chapa De Madeira Compensada Resinada, E=17 Mm, 2 Utilizações. Af_06/2017</v>
      </c>
      <c r="D218" s="68">
        <f>VLOOKUP(A218,'11 - FINANCEIRO'!A:M,10,0)</f>
        <v>0</v>
      </c>
      <c r="E218" s="85" t="str">
        <f>VLOOKUP(A218,'11 - FINANCEIRO'!A:M,4,0)</f>
        <v>m²</v>
      </c>
      <c r="F218" s="41" t="str">
        <f t="shared" si="14"/>
        <v>4.5.6</v>
      </c>
      <c r="G218" s="29" t="str">
        <f t="shared" si="15"/>
        <v>NULO</v>
      </c>
      <c r="H218" s="29">
        <f t="shared" si="16"/>
        <v>0</v>
      </c>
    </row>
    <row r="219" spans="1:9" ht="25.5" hidden="1" x14ac:dyDescent="0.3">
      <c r="A219" s="78" t="s">
        <v>213</v>
      </c>
      <c r="B219" s="84" t="str">
        <f>VLOOKUP(A219,'11 - FINANCEIRO'!A:M,1,0)</f>
        <v>4.5.7</v>
      </c>
      <c r="C219" s="67" t="str">
        <f>VLOOKUP(A219,'11 - FINANCEIRO'!A:M,3,FALSE)</f>
        <v>Chumbador Tipo Espera Em Aço Ca-25 Para Fixação De Estrutura Metálica Em Concreto - Fornecimento E Instalação</v>
      </c>
      <c r="D219" s="68">
        <f>VLOOKUP(A219,'11 - FINANCEIRO'!A:M,10,0)</f>
        <v>0</v>
      </c>
      <c r="E219" s="85" t="str">
        <f>VLOOKUP(A219,'11 - FINANCEIRO'!A:M,4,0)</f>
        <v>kg</v>
      </c>
      <c r="F219" s="41" t="str">
        <f t="shared" si="14"/>
        <v>4.5.7</v>
      </c>
      <c r="G219" s="29" t="str">
        <f t="shared" si="15"/>
        <v>NULO</v>
      </c>
      <c r="H219" s="29">
        <f t="shared" si="16"/>
        <v>0</v>
      </c>
    </row>
    <row r="220" spans="1:9" ht="38.25" hidden="1" x14ac:dyDescent="0.3">
      <c r="A220" s="78" t="s">
        <v>214</v>
      </c>
      <c r="B220" s="84" t="str">
        <f>VLOOKUP(A220,'11 - FINANCEIRO'!A:M,1,0)</f>
        <v>4.5.8</v>
      </c>
      <c r="C220" s="67" t="str">
        <f>VLOOKUP(A220,'11 - FINANCEIRO'!A:M,3,FALSE)</f>
        <v>Viga Metálica Em Perfil Laminado Ou Soldado Em Aço Estrutural, Com Conexões Soldadas, Inclusos Mão De Obra, Transporte E Içamento Utilizando Guindaste - Fornecimento E Instalação. Af_01/2020_P</v>
      </c>
      <c r="D220" s="68">
        <f>VLOOKUP(A220,'11 - FINANCEIRO'!A:M,10,0)</f>
        <v>0</v>
      </c>
      <c r="E220" s="85" t="str">
        <f>VLOOKUP(A220,'11 - FINANCEIRO'!A:M,4,0)</f>
        <v>kg</v>
      </c>
      <c r="F220" s="41" t="str">
        <f t="shared" si="14"/>
        <v>4.5.8</v>
      </c>
      <c r="G220" s="29" t="str">
        <f t="shared" si="15"/>
        <v>NULO</v>
      </c>
      <c r="H220" s="29">
        <f t="shared" si="16"/>
        <v>0</v>
      </c>
    </row>
    <row r="221" spans="1:9" ht="25.5" x14ac:dyDescent="0.3">
      <c r="A221" s="78" t="s">
        <v>215</v>
      </c>
      <c r="B221" s="84" t="str">
        <f>VLOOKUP(A221,'11 - FINANCEIRO'!A:M,1,0)</f>
        <v>4.5.9</v>
      </c>
      <c r="C221" s="67" t="str">
        <f>VLOOKUP(A221,'11 - FINANCEIRO'!A:M,3,FALSE)</f>
        <v>Guarda Corpo Em Aço Galvanizado De Altura H=1,10M Pintura Com Tinta Esmalte Suvinil, Linha "Contra Ferrugem" Cor Maracujá, Ref.:C026</v>
      </c>
      <c r="D221" s="68">
        <f>VLOOKUP(A221,'11 - FINANCEIRO'!A:M,10,0)</f>
        <v>6.4399999999999977</v>
      </c>
      <c r="E221" s="85" t="str">
        <f>VLOOKUP(A221,'11 - FINANCEIRO'!A:M,4,0)</f>
        <v>m</v>
      </c>
      <c r="F221" s="41" t="str">
        <f t="shared" si="14"/>
        <v>4.5.9</v>
      </c>
      <c r="G221" s="29" t="str">
        <f t="shared" si="15"/>
        <v>POSITIVO</v>
      </c>
      <c r="H221" s="29">
        <f t="shared" si="16"/>
        <v>1</v>
      </c>
    </row>
    <row r="222" spans="1:9" ht="33" hidden="1" x14ac:dyDescent="0.3">
      <c r="A222" s="78" t="s">
        <v>216</v>
      </c>
      <c r="B222" s="84" t="str">
        <f>VLOOKUP(A222,'11 - FINANCEIRO'!A:M,1,0)</f>
        <v>4.5.10</v>
      </c>
      <c r="C222" s="67" t="str">
        <f>VLOOKUP(A222,'11 - FINANCEIRO'!A:M,3,FALSE)</f>
        <v>Demolição Manual De Construções Provisórias - Sem Reaproveitamento, Incluído Transporte E Destinação</v>
      </c>
      <c r="D222" s="68">
        <f>VLOOKUP(A222,'11 - FINANCEIRO'!A:M,10,0)</f>
        <v>0</v>
      </c>
      <c r="E222" s="85" t="str">
        <f>VLOOKUP(A222,'11 - FINANCEIRO'!A:M,4,0)</f>
        <v>m²</v>
      </c>
      <c r="F222" s="41" t="str">
        <f t="shared" si="14"/>
        <v>4.5.10</v>
      </c>
      <c r="G222" s="29" t="str">
        <f t="shared" si="15"/>
        <v>NULO</v>
      </c>
      <c r="H222" s="29">
        <f t="shared" si="16"/>
        <v>0</v>
      </c>
    </row>
    <row r="223" spans="1:9" ht="33" hidden="1" x14ac:dyDescent="0.3">
      <c r="A223" s="78" t="s">
        <v>217</v>
      </c>
      <c r="B223" s="84" t="str">
        <f>VLOOKUP(A223,'11 - FINANCEIRO'!A:M,1,0)</f>
        <v>4.5.11</v>
      </c>
      <c r="C223" s="67" t="str">
        <f>VLOOKUP(A223,'11 - FINANCEIRO'!A:M,3,FALSE)</f>
        <v>Armação Em Aço Ca-50 - Fornecimento, Preparo E Colocação</v>
      </c>
      <c r="D223" s="68">
        <f>VLOOKUP(A223,'11 - FINANCEIRO'!A:M,10,0)</f>
        <v>0</v>
      </c>
      <c r="E223" s="85" t="str">
        <f>VLOOKUP(A223,'11 - FINANCEIRO'!A:M,4,0)</f>
        <v>kg</v>
      </c>
      <c r="F223" s="41" t="str">
        <f t="shared" si="14"/>
        <v>4.5.11</v>
      </c>
      <c r="G223" s="29" t="str">
        <f t="shared" si="15"/>
        <v>NULO</v>
      </c>
      <c r="H223" s="29">
        <f t="shared" si="16"/>
        <v>0</v>
      </c>
    </row>
    <row r="224" spans="1:9" ht="33" hidden="1" x14ac:dyDescent="0.3">
      <c r="A224" s="78" t="s">
        <v>218</v>
      </c>
      <c r="B224" s="84" t="str">
        <f>VLOOKUP(A224,'11 - FINANCEIRO'!A:M,1,0)</f>
        <v>4.5.12</v>
      </c>
      <c r="C224" s="67" t="str">
        <f>VLOOKUP(A224,'11 - FINANCEIRO'!A:M,3,FALSE)</f>
        <v>Concreto Para Bombeamento Fck = 30 Mpa - Confecção Em Central Dosadora De 30 M³/H - Areia E Brita Comerciais</v>
      </c>
      <c r="D224" s="68">
        <f>VLOOKUP(A224,'11 - FINANCEIRO'!A:M,10,0)</f>
        <v>0</v>
      </c>
      <c r="E224" s="85" t="str">
        <f>VLOOKUP(A224,'11 - FINANCEIRO'!A:M,4,0)</f>
        <v>m³</v>
      </c>
      <c r="F224" s="41" t="str">
        <f t="shared" si="14"/>
        <v>4.5.12</v>
      </c>
      <c r="G224" s="29" t="str">
        <f t="shared" si="15"/>
        <v>NULO</v>
      </c>
      <c r="H224" s="29">
        <f t="shared" si="16"/>
        <v>0</v>
      </c>
    </row>
    <row r="225" spans="1:9" ht="33" hidden="1" x14ac:dyDescent="0.3">
      <c r="A225" s="78" t="s">
        <v>219</v>
      </c>
      <c r="B225" s="84" t="str">
        <f>VLOOKUP(A225,'11 - FINANCEIRO'!A:M,1,0)</f>
        <v>4.5.13</v>
      </c>
      <c r="C225" s="67" t="str">
        <f>VLOOKUP(A225,'11 - FINANCEIRO'!A:M,3,FALSE)</f>
        <v>Servico De Bombeamento De Concreto Com Consumo Minimo De 40 M3</v>
      </c>
      <c r="D225" s="68">
        <f>VLOOKUP(A225,'11 - FINANCEIRO'!A:M,10,0)</f>
        <v>0</v>
      </c>
      <c r="E225" s="85" t="str">
        <f>VLOOKUP(A225,'11 - FINANCEIRO'!A:M,4,0)</f>
        <v xml:space="preserve">m³    </v>
      </c>
      <c r="F225" s="41" t="str">
        <f t="shared" si="14"/>
        <v>4.5.13</v>
      </c>
      <c r="G225" s="29" t="str">
        <f t="shared" si="15"/>
        <v>NULO</v>
      </c>
      <c r="H225" s="29">
        <f t="shared" si="16"/>
        <v>0</v>
      </c>
    </row>
    <row r="226" spans="1:9" x14ac:dyDescent="0.3">
      <c r="A226" s="31" t="s">
        <v>220</v>
      </c>
      <c r="B226" s="32" t="str">
        <f>VLOOKUP(A226,'11 - FINANCEIRO'!A:M,1,0)</f>
        <v>4.6</v>
      </c>
      <c r="C226" s="33" t="str">
        <f>VLOOKUP(A226,'11 - FINANCEIRO'!A:M,2,FALSE)</f>
        <v>Passarela Sales</v>
      </c>
      <c r="D226" s="34"/>
      <c r="E226" s="35"/>
      <c r="F226" s="28" t="str">
        <f>A226</f>
        <v>4.6</v>
      </c>
      <c r="H226" s="29">
        <f>SUM(H227:H239)</f>
        <v>1</v>
      </c>
      <c r="I226" s="30" t="s">
        <v>9</v>
      </c>
    </row>
    <row r="227" spans="1:9" hidden="1" x14ac:dyDescent="0.3">
      <c r="A227" s="78" t="s">
        <v>221</v>
      </c>
      <c r="B227" s="84" t="str">
        <f>VLOOKUP(A227,'11 - FINANCEIRO'!A:M,1,0)</f>
        <v>4.6.1</v>
      </c>
      <c r="C227" s="67" t="str">
        <f>VLOOKUP(A227,'11 - FINANCEIRO'!A:M,3,FALSE)</f>
        <v>Preparo E Regularização De Terreno Em Desnível</v>
      </c>
      <c r="D227" s="68">
        <f>VLOOKUP(A227,'11 - FINANCEIRO'!A:M,10,0)</f>
        <v>0</v>
      </c>
      <c r="E227" s="85" t="str">
        <f>VLOOKUP(A227,'11 - FINANCEIRO'!A:M,4,0)</f>
        <v>m²</v>
      </c>
      <c r="F227" s="41" t="str">
        <f t="shared" si="14"/>
        <v>4.6.1</v>
      </c>
      <c r="G227" s="29" t="str">
        <f t="shared" si="15"/>
        <v>NULO</v>
      </c>
      <c r="H227" s="29">
        <f t="shared" si="16"/>
        <v>0</v>
      </c>
    </row>
    <row r="228" spans="1:9" ht="38.25" hidden="1" x14ac:dyDescent="0.3">
      <c r="A228" s="78" t="s">
        <v>222</v>
      </c>
      <c r="B228" s="84" t="str">
        <f>VLOOKUP(A228,'11 - FINANCEIRO'!A:M,1,0)</f>
        <v>4.6.2</v>
      </c>
      <c r="C228" s="67" t="str">
        <f>VLOOKUP(A228,'11 - FINANCEIRO'!A:M,3,FALSE)</f>
        <v>Perfuratriz Com Torre Metálica Para Execução De Estaca Hélice Contínua, Profundidade Máxima De 32 M, Diâmetro Máximo De 1000 Mm, Potência Instalada De 350 Hp, Mesa Rotativa Com Torque Máximo De 263 Knm - Chi Diurno. Af_01/2016</v>
      </c>
      <c r="D228" s="68">
        <f>VLOOKUP(A228,'11 - FINANCEIRO'!A:M,10,0)</f>
        <v>0</v>
      </c>
      <c r="E228" s="85" t="str">
        <f>VLOOKUP(A228,'11 - FINANCEIRO'!A:M,4,0)</f>
        <v>chi</v>
      </c>
      <c r="F228" s="41" t="str">
        <f t="shared" si="14"/>
        <v>4.6.2</v>
      </c>
      <c r="G228" s="29" t="str">
        <f t="shared" si="15"/>
        <v>NULO</v>
      </c>
      <c r="H228" s="29">
        <f t="shared" si="16"/>
        <v>0</v>
      </c>
    </row>
    <row r="229" spans="1:9" ht="25.5" hidden="1" x14ac:dyDescent="0.3">
      <c r="A229" s="78" t="s">
        <v>223</v>
      </c>
      <c r="B229" s="84" t="str">
        <f>VLOOKUP(A229,'11 - FINANCEIRO'!A:M,1,0)</f>
        <v>4.6.3</v>
      </c>
      <c r="C229" s="67" t="str">
        <f>VLOOKUP(A229,'11 - FINANCEIRO'!A:M,3,FALSE)</f>
        <v>Estaca Hélice Contínua, Diâmetro De 30 Cm, Incluso Concreto Fck=30Mpa E Armadura Mínima (Exclusive Mobilização, Desmobilização E Bombeamento). Af_12/2019</v>
      </c>
      <c r="D229" s="68">
        <f>VLOOKUP(A229,'11 - FINANCEIRO'!A:M,10,0)</f>
        <v>0</v>
      </c>
      <c r="E229" s="85" t="str">
        <f>VLOOKUP(A229,'11 - FINANCEIRO'!A:M,4,0)</f>
        <v>m</v>
      </c>
      <c r="F229" s="41" t="str">
        <f t="shared" si="14"/>
        <v>4.6.3</v>
      </c>
      <c r="G229" s="29" t="str">
        <f t="shared" si="15"/>
        <v>NULO</v>
      </c>
      <c r="H229" s="29">
        <f t="shared" si="16"/>
        <v>0</v>
      </c>
    </row>
    <row r="230" spans="1:9" ht="25.5" hidden="1" x14ac:dyDescent="0.3">
      <c r="A230" s="78" t="s">
        <v>224</v>
      </c>
      <c r="B230" s="84" t="str">
        <f>VLOOKUP(A230,'11 - FINANCEIRO'!A:M,1,0)</f>
        <v>4.6.4</v>
      </c>
      <c r="C230" s="67" t="str">
        <f>VLOOKUP(A230,'11 - FINANCEIRO'!A:M,3,FALSE)</f>
        <v>Arrasamento Mecanico De Estaca De Concreto Armado, Diametros De Até 40 Cm. Af_05/2021</v>
      </c>
      <c r="D230" s="68">
        <f>VLOOKUP(A230,'11 - FINANCEIRO'!A:M,10,0)</f>
        <v>0</v>
      </c>
      <c r="E230" s="85" t="str">
        <f>VLOOKUP(A230,'11 - FINANCEIRO'!A:M,4,0)</f>
        <v>un</v>
      </c>
      <c r="F230" s="41" t="str">
        <f t="shared" si="14"/>
        <v>4.6.4</v>
      </c>
      <c r="G230" s="29" t="str">
        <f t="shared" si="15"/>
        <v>NULO</v>
      </c>
      <c r="H230" s="29">
        <f t="shared" si="16"/>
        <v>0</v>
      </c>
    </row>
    <row r="231" spans="1:9" ht="25.5" hidden="1" x14ac:dyDescent="0.3">
      <c r="A231" s="78" t="s">
        <v>225</v>
      </c>
      <c r="B231" s="84" t="str">
        <f>VLOOKUP(A231,'11 - FINANCEIRO'!A:M,1,0)</f>
        <v>4.6.5</v>
      </c>
      <c r="C231" s="67" t="str">
        <f>VLOOKUP(A231,'11 - FINANCEIRO'!A:M,3,FALSE)</f>
        <v>Lastro De Concreto Magro, Aplicado Em Blocos De Coroamento Ou Sapatas, Espessura De 5 Cm. Af_08/2017</v>
      </c>
      <c r="D231" s="68">
        <f>VLOOKUP(A231,'11 - FINANCEIRO'!A:M,10,0)</f>
        <v>0</v>
      </c>
      <c r="E231" s="85" t="str">
        <f>VLOOKUP(A231,'11 - FINANCEIRO'!A:M,4,0)</f>
        <v>m²</v>
      </c>
      <c r="F231" s="41" t="str">
        <f t="shared" si="14"/>
        <v>4.6.5</v>
      </c>
      <c r="G231" s="29" t="str">
        <f t="shared" si="15"/>
        <v>NULO</v>
      </c>
      <c r="H231" s="29">
        <f t="shared" si="16"/>
        <v>0</v>
      </c>
    </row>
    <row r="232" spans="1:9" ht="25.5" hidden="1" x14ac:dyDescent="0.3">
      <c r="A232" s="78" t="s">
        <v>226</v>
      </c>
      <c r="B232" s="84" t="str">
        <f>VLOOKUP(A232,'11 - FINANCEIRO'!A:M,1,0)</f>
        <v>4.6.6</v>
      </c>
      <c r="C232" s="67" t="str">
        <f>VLOOKUP(A232,'11 - FINANCEIRO'!A:M,3,FALSE)</f>
        <v>Fabricação, Montagem E Desmontagem De Fôrma Para Bloco De Coroamento, Em Chapa De Madeira Compensada Resinada, E=17 Mm, 2 Utilizações. Af_06/2017</v>
      </c>
      <c r="D232" s="68">
        <f>VLOOKUP(A232,'11 - FINANCEIRO'!A:M,10,0)</f>
        <v>0</v>
      </c>
      <c r="E232" s="85" t="str">
        <f>VLOOKUP(A232,'11 - FINANCEIRO'!A:M,4,0)</f>
        <v>m²</v>
      </c>
      <c r="F232" s="41" t="str">
        <f t="shared" si="14"/>
        <v>4.6.6</v>
      </c>
      <c r="G232" s="29" t="str">
        <f t="shared" si="15"/>
        <v>NULO</v>
      </c>
      <c r="H232" s="29">
        <f t="shared" si="16"/>
        <v>0</v>
      </c>
    </row>
    <row r="233" spans="1:9" ht="25.5" hidden="1" x14ac:dyDescent="0.3">
      <c r="A233" s="78" t="s">
        <v>227</v>
      </c>
      <c r="B233" s="84" t="str">
        <f>VLOOKUP(A233,'11 - FINANCEIRO'!A:M,1,0)</f>
        <v>4.6.7</v>
      </c>
      <c r="C233" s="67" t="str">
        <f>VLOOKUP(A233,'11 - FINANCEIRO'!A:M,3,FALSE)</f>
        <v>Chumbador Tipo Espera Em Aço Ca-25 Para Fixação De Estrutura Metálica Em Concreto - Fornecimento E Instalação</v>
      </c>
      <c r="D233" s="68">
        <f>VLOOKUP(A233,'11 - FINANCEIRO'!A:M,10,0)</f>
        <v>0</v>
      </c>
      <c r="E233" s="85" t="str">
        <f>VLOOKUP(A233,'11 - FINANCEIRO'!A:M,4,0)</f>
        <v>kg</v>
      </c>
      <c r="F233" s="41" t="str">
        <f t="shared" si="14"/>
        <v>4.6.7</v>
      </c>
      <c r="G233" s="29" t="str">
        <f t="shared" si="15"/>
        <v>NULO</v>
      </c>
      <c r="H233" s="29">
        <f t="shared" si="16"/>
        <v>0</v>
      </c>
    </row>
    <row r="234" spans="1:9" ht="38.25" hidden="1" x14ac:dyDescent="0.3">
      <c r="A234" s="78" t="s">
        <v>228</v>
      </c>
      <c r="B234" s="84" t="str">
        <f>VLOOKUP(A234,'11 - FINANCEIRO'!A:M,1,0)</f>
        <v>4.6.8</v>
      </c>
      <c r="C234" s="67" t="str">
        <f>VLOOKUP(A234,'11 - FINANCEIRO'!A:M,3,FALSE)</f>
        <v>Viga Metálica Em Perfil Laminado Ou Soldado Em Aço Estrutural, Com Conexões Soldadas, Inclusos Mão De Obra, Transporte E Içamento Utilizando Guindaste - Fornecimento E Instalação. Af_01/2020_P</v>
      </c>
      <c r="D234" s="68">
        <f>VLOOKUP(A234,'11 - FINANCEIRO'!A:M,10,0)</f>
        <v>0</v>
      </c>
      <c r="E234" s="85" t="str">
        <f>VLOOKUP(A234,'11 - FINANCEIRO'!A:M,4,0)</f>
        <v>kg</v>
      </c>
      <c r="F234" s="41" t="str">
        <f t="shared" si="14"/>
        <v>4.6.8</v>
      </c>
      <c r="G234" s="29" t="str">
        <f t="shared" si="15"/>
        <v>NULO</v>
      </c>
      <c r="H234" s="29">
        <f t="shared" si="16"/>
        <v>0</v>
      </c>
    </row>
    <row r="235" spans="1:9" ht="25.5" x14ac:dyDescent="0.3">
      <c r="A235" s="78" t="s">
        <v>229</v>
      </c>
      <c r="B235" s="84" t="str">
        <f>VLOOKUP(A235,'11 - FINANCEIRO'!A:M,1,0)</f>
        <v>4.6.9</v>
      </c>
      <c r="C235" s="67" t="str">
        <f>VLOOKUP(A235,'11 - FINANCEIRO'!A:M,3,FALSE)</f>
        <v>Guarda Corpo Em Aço Galvanizado De Altura H=1,10M Pintura Com Tinta Esmalte Suvinil, Linha "Contra Ferrugem" Cor Maracujá, Ref.:C026</v>
      </c>
      <c r="D235" s="68">
        <f>VLOOKUP(A235,'11 - FINANCEIRO'!A:M,10,0)</f>
        <v>32.42</v>
      </c>
      <c r="E235" s="85" t="str">
        <f>VLOOKUP(A235,'11 - FINANCEIRO'!A:M,4,0)</f>
        <v>m</v>
      </c>
      <c r="F235" s="41" t="str">
        <f t="shared" si="14"/>
        <v>4.6.9</v>
      </c>
      <c r="G235" s="29" t="str">
        <f t="shared" si="15"/>
        <v>POSITIVO</v>
      </c>
      <c r="H235" s="29">
        <f t="shared" si="16"/>
        <v>1</v>
      </c>
    </row>
    <row r="236" spans="1:9" ht="33" hidden="1" x14ac:dyDescent="0.3">
      <c r="A236" s="78" t="s">
        <v>230</v>
      </c>
      <c r="B236" s="84" t="str">
        <f>VLOOKUP(A236,'11 - FINANCEIRO'!A:M,1,0)</f>
        <v>4.6.10</v>
      </c>
      <c r="C236" s="67" t="str">
        <f>VLOOKUP(A236,'11 - FINANCEIRO'!A:M,3,FALSE)</f>
        <v>Demolição Manual De Construções Provisórias - Sem Reaproveitamento, Incluído Transporte E Destinação</v>
      </c>
      <c r="D236" s="68">
        <f>VLOOKUP(A236,'11 - FINANCEIRO'!A:M,10,0)</f>
        <v>0</v>
      </c>
      <c r="E236" s="85" t="str">
        <f>VLOOKUP(A236,'11 - FINANCEIRO'!A:M,4,0)</f>
        <v>m²</v>
      </c>
      <c r="F236" s="41" t="str">
        <f t="shared" si="14"/>
        <v>4.6.10</v>
      </c>
      <c r="G236" s="29" t="str">
        <f t="shared" si="15"/>
        <v>NULO</v>
      </c>
      <c r="H236" s="29">
        <f t="shared" si="16"/>
        <v>0</v>
      </c>
    </row>
    <row r="237" spans="1:9" ht="33" hidden="1" x14ac:dyDescent="0.3">
      <c r="A237" s="78" t="s">
        <v>231</v>
      </c>
      <c r="B237" s="84" t="str">
        <f>VLOOKUP(A237,'11 - FINANCEIRO'!A:M,1,0)</f>
        <v>4.6.11</v>
      </c>
      <c r="C237" s="67" t="str">
        <f>VLOOKUP(A237,'11 - FINANCEIRO'!A:M,3,FALSE)</f>
        <v>Armação Em Aço Ca-50 - Fornecimento, Preparo E Colocação</v>
      </c>
      <c r="D237" s="68">
        <f>VLOOKUP(A237,'11 - FINANCEIRO'!A:M,10,0)</f>
        <v>0</v>
      </c>
      <c r="E237" s="85" t="str">
        <f>VLOOKUP(A237,'11 - FINANCEIRO'!A:M,4,0)</f>
        <v>kg</v>
      </c>
      <c r="F237" s="41" t="str">
        <f t="shared" si="14"/>
        <v>4.6.11</v>
      </c>
      <c r="G237" s="29" t="str">
        <f t="shared" si="15"/>
        <v>NULO</v>
      </c>
      <c r="H237" s="29">
        <f t="shared" si="16"/>
        <v>0</v>
      </c>
    </row>
    <row r="238" spans="1:9" ht="33" hidden="1" x14ac:dyDescent="0.3">
      <c r="A238" s="78" t="s">
        <v>232</v>
      </c>
      <c r="B238" s="84" t="str">
        <f>VLOOKUP(A238,'11 - FINANCEIRO'!A:M,1,0)</f>
        <v>4.6.12</v>
      </c>
      <c r="C238" s="67" t="str">
        <f>VLOOKUP(A238,'11 - FINANCEIRO'!A:M,3,FALSE)</f>
        <v>Concreto Para Bombeamento Fck = 30 Mpa - Confecção Em Central Dosadora De 30 M³/H - Areia E Brita Comerciais</v>
      </c>
      <c r="D238" s="68">
        <f>VLOOKUP(A238,'11 - FINANCEIRO'!A:M,10,0)</f>
        <v>0</v>
      </c>
      <c r="E238" s="85" t="str">
        <f>VLOOKUP(A238,'11 - FINANCEIRO'!A:M,4,0)</f>
        <v>m³</v>
      </c>
      <c r="F238" s="41" t="str">
        <f t="shared" si="14"/>
        <v>4.6.12</v>
      </c>
      <c r="G238" s="29" t="str">
        <f t="shared" si="15"/>
        <v>NULO</v>
      </c>
      <c r="H238" s="29">
        <f t="shared" si="16"/>
        <v>0</v>
      </c>
    </row>
    <row r="239" spans="1:9" ht="33" hidden="1" x14ac:dyDescent="0.3">
      <c r="A239" s="78" t="s">
        <v>233</v>
      </c>
      <c r="B239" s="84" t="str">
        <f>VLOOKUP(A239,'11 - FINANCEIRO'!A:M,1,0)</f>
        <v>4.6.13</v>
      </c>
      <c r="C239" s="67" t="str">
        <f>VLOOKUP(A239,'11 - FINANCEIRO'!A:M,3,FALSE)</f>
        <v>Servico De Bombeamento De Concreto Com Consumo Minimo De 40 M3</v>
      </c>
      <c r="D239" s="68">
        <f>VLOOKUP(A239,'11 - FINANCEIRO'!A:M,10,0)</f>
        <v>0</v>
      </c>
      <c r="E239" s="85" t="str">
        <f>VLOOKUP(A239,'11 - FINANCEIRO'!A:M,4,0)</f>
        <v xml:space="preserve"> m³</v>
      </c>
      <c r="F239" s="41" t="str">
        <f t="shared" si="14"/>
        <v>4.6.13</v>
      </c>
      <c r="G239" s="29" t="str">
        <f t="shared" si="15"/>
        <v>NULO</v>
      </c>
      <c r="H239" s="29">
        <f t="shared" si="16"/>
        <v>0</v>
      </c>
    </row>
    <row r="240" spans="1:9" x14ac:dyDescent="0.3">
      <c r="A240" s="31" t="s">
        <v>234</v>
      </c>
      <c r="B240" s="32" t="str">
        <f>VLOOKUP(A240,'11 - FINANCEIRO'!A:M,1,0)</f>
        <v>4.7</v>
      </c>
      <c r="C240" s="33" t="str">
        <f>VLOOKUP(A240,'11 - FINANCEIRO'!A:M,2,FALSE)</f>
        <v>Passarela Sul</v>
      </c>
      <c r="D240" s="34"/>
      <c r="E240" s="35"/>
      <c r="F240" s="28" t="str">
        <f>A240</f>
        <v>4.7</v>
      </c>
      <c r="H240" s="29">
        <f>SUM(H241:H253)</f>
        <v>1</v>
      </c>
      <c r="I240" s="30" t="s">
        <v>9</v>
      </c>
    </row>
    <row r="241" spans="1:9" hidden="1" x14ac:dyDescent="0.3">
      <c r="A241" s="78" t="s">
        <v>235</v>
      </c>
      <c r="B241" s="84" t="str">
        <f>VLOOKUP(A241,'11 - FINANCEIRO'!A:M,1,0)</f>
        <v>4.7.1</v>
      </c>
      <c r="C241" s="67" t="str">
        <f>VLOOKUP(A241,'11 - FINANCEIRO'!A:M,3,FALSE)</f>
        <v>Preparo E Regularização De Terreno Em Desnível</v>
      </c>
      <c r="D241" s="68">
        <f>VLOOKUP(A241,'11 - FINANCEIRO'!A:M,10,0)</f>
        <v>0</v>
      </c>
      <c r="E241" s="85" t="str">
        <f>VLOOKUP(A241,'11 - FINANCEIRO'!A:M,4,0)</f>
        <v>m²</v>
      </c>
      <c r="F241" s="41" t="str">
        <f t="shared" si="14"/>
        <v>4.7.1</v>
      </c>
      <c r="G241" s="29" t="str">
        <f t="shared" si="15"/>
        <v>NULO</v>
      </c>
      <c r="H241" s="29">
        <f t="shared" si="16"/>
        <v>0</v>
      </c>
    </row>
    <row r="242" spans="1:9" ht="38.25" hidden="1" x14ac:dyDescent="0.3">
      <c r="A242" s="78" t="s">
        <v>236</v>
      </c>
      <c r="B242" s="84" t="str">
        <f>VLOOKUP(A242,'11 - FINANCEIRO'!A:M,1,0)</f>
        <v>4.7.2</v>
      </c>
      <c r="C242" s="67" t="str">
        <f>VLOOKUP(A242,'11 - FINANCEIRO'!A:M,3,FALSE)</f>
        <v>Perfuratriz Com Torre Metálica Para Execução De Estaca Hélice Contínua, Profundidade Máxima De 32 M, Diâmetro Máximo De 1000 Mm, Potência Instalada De 350 Hp, Mesa Rotativa Com Torque Máximo De 263 Knm - Chi Diurno. Af_01/2016</v>
      </c>
      <c r="D242" s="68">
        <f>VLOOKUP(A242,'11 - FINANCEIRO'!A:M,10,0)</f>
        <v>0</v>
      </c>
      <c r="E242" s="85" t="str">
        <f>VLOOKUP(A242,'11 - FINANCEIRO'!A:M,4,0)</f>
        <v>chi</v>
      </c>
      <c r="F242" s="41" t="str">
        <f t="shared" si="14"/>
        <v>4.7.2</v>
      </c>
      <c r="G242" s="29" t="str">
        <f t="shared" si="15"/>
        <v>NULO</v>
      </c>
      <c r="H242" s="29">
        <f t="shared" si="16"/>
        <v>0</v>
      </c>
    </row>
    <row r="243" spans="1:9" ht="25.5" hidden="1" x14ac:dyDescent="0.3">
      <c r="A243" s="78" t="s">
        <v>237</v>
      </c>
      <c r="B243" s="84" t="str">
        <f>VLOOKUP(A243,'11 - FINANCEIRO'!A:M,1,0)</f>
        <v>4.7.3</v>
      </c>
      <c r="C243" s="67" t="str">
        <f>VLOOKUP(A243,'11 - FINANCEIRO'!A:M,3,FALSE)</f>
        <v>Estaca Hélice Contínua, Diâmetro De 30 Cm, Incluso Concreto Fck=30Mpa E Armadura Mínima (Exclusive Mobilização, Desmobilização E Bombeamento). Af_12/2019</v>
      </c>
      <c r="D243" s="68">
        <f>VLOOKUP(A243,'11 - FINANCEIRO'!A:M,10,0)</f>
        <v>0</v>
      </c>
      <c r="E243" s="85" t="str">
        <f>VLOOKUP(A243,'11 - FINANCEIRO'!A:M,4,0)</f>
        <v>m</v>
      </c>
      <c r="F243" s="41" t="str">
        <f t="shared" si="14"/>
        <v>4.7.3</v>
      </c>
      <c r="G243" s="29" t="str">
        <f t="shared" si="15"/>
        <v>NULO</v>
      </c>
      <c r="H243" s="29">
        <f t="shared" si="16"/>
        <v>0</v>
      </c>
    </row>
    <row r="244" spans="1:9" ht="25.5" hidden="1" x14ac:dyDescent="0.3">
      <c r="A244" s="78" t="s">
        <v>238</v>
      </c>
      <c r="B244" s="84" t="str">
        <f>VLOOKUP(A244,'11 - FINANCEIRO'!A:M,1,0)</f>
        <v>4.7.4</v>
      </c>
      <c r="C244" s="67" t="str">
        <f>VLOOKUP(A244,'11 - FINANCEIRO'!A:M,3,FALSE)</f>
        <v>Arrasamento Mecanico De Estaca De Concreto Armado, Diametros De Até 40 Cm. Af_05/2021</v>
      </c>
      <c r="D244" s="68">
        <f>VLOOKUP(A244,'11 - FINANCEIRO'!A:M,10,0)</f>
        <v>0</v>
      </c>
      <c r="E244" s="85" t="str">
        <f>VLOOKUP(A244,'11 - FINANCEIRO'!A:M,4,0)</f>
        <v>un</v>
      </c>
      <c r="F244" s="41" t="str">
        <f t="shared" si="14"/>
        <v>4.7.4</v>
      </c>
      <c r="G244" s="29" t="str">
        <f t="shared" si="15"/>
        <v>NULO</v>
      </c>
      <c r="H244" s="29">
        <f t="shared" si="16"/>
        <v>0</v>
      </c>
    </row>
    <row r="245" spans="1:9" ht="25.5" hidden="1" x14ac:dyDescent="0.3">
      <c r="A245" s="78" t="s">
        <v>239</v>
      </c>
      <c r="B245" s="84" t="str">
        <f>VLOOKUP(A245,'11 - FINANCEIRO'!A:M,1,0)</f>
        <v>4.7.5</v>
      </c>
      <c r="C245" s="67" t="str">
        <f>VLOOKUP(A245,'11 - FINANCEIRO'!A:M,3,FALSE)</f>
        <v>Lastro De Concreto Magro, Aplicado Em Blocos De Coroamento Ou Sapatas, Espessura De 5 Cm. Af_08/2017</v>
      </c>
      <c r="D245" s="68">
        <f>VLOOKUP(A245,'11 - FINANCEIRO'!A:M,10,0)</f>
        <v>0</v>
      </c>
      <c r="E245" s="85" t="str">
        <f>VLOOKUP(A245,'11 - FINANCEIRO'!A:M,4,0)</f>
        <v>m²</v>
      </c>
      <c r="F245" s="41" t="str">
        <f t="shared" si="14"/>
        <v>4.7.5</v>
      </c>
      <c r="G245" s="29" t="str">
        <f t="shared" si="15"/>
        <v>NULO</v>
      </c>
      <c r="H245" s="29">
        <f t="shared" si="16"/>
        <v>0</v>
      </c>
    </row>
    <row r="246" spans="1:9" ht="33" hidden="1" customHeight="1" x14ac:dyDescent="0.3">
      <c r="A246" s="78" t="s">
        <v>240</v>
      </c>
      <c r="B246" s="84" t="str">
        <f>VLOOKUP(A246,'11 - FINANCEIRO'!A:M,1,0)</f>
        <v>4.7.6</v>
      </c>
      <c r="C246" s="67" t="str">
        <f>VLOOKUP(A246,'11 - FINANCEIRO'!A:M,3,FALSE)</f>
        <v>Fabricação, Montagem E Desmontagem De Fôrma Para Bloco De Coroamento, Em Chapa De Madeira Compensada Resinada, E=17 Mm, 2 Utilizações. Af_06/2017</v>
      </c>
      <c r="D246" s="68">
        <f>VLOOKUP(A246,'11 - FINANCEIRO'!A:M,10,0)</f>
        <v>0</v>
      </c>
      <c r="E246" s="85" t="str">
        <f>VLOOKUP(A246,'11 - FINANCEIRO'!A:M,4,0)</f>
        <v>m²</v>
      </c>
      <c r="F246" s="41" t="str">
        <f t="shared" si="14"/>
        <v>4.7.6</v>
      </c>
      <c r="G246" s="29" t="str">
        <f t="shared" si="15"/>
        <v>NULO</v>
      </c>
      <c r="H246" s="29">
        <f t="shared" si="16"/>
        <v>0</v>
      </c>
    </row>
    <row r="247" spans="1:9" ht="33" hidden="1" customHeight="1" x14ac:dyDescent="0.3">
      <c r="A247" s="78" t="s">
        <v>241</v>
      </c>
      <c r="B247" s="84" t="str">
        <f>VLOOKUP(A247,'11 - FINANCEIRO'!A:M,1,0)</f>
        <v>4.7.7</v>
      </c>
      <c r="C247" s="67" t="str">
        <f>VLOOKUP(A247,'11 - FINANCEIRO'!A:M,3,FALSE)</f>
        <v>Chumbador Tipo Espera Em Aço Ca-25 Para Fixação De Estrutura Metálica Em Concreto - Fornecimento E Instalação</v>
      </c>
      <c r="D247" s="68">
        <f>VLOOKUP(A247,'11 - FINANCEIRO'!A:M,10,0)</f>
        <v>0</v>
      </c>
      <c r="E247" s="85" t="str">
        <f>VLOOKUP(A247,'11 - FINANCEIRO'!A:M,4,0)</f>
        <v>kg</v>
      </c>
      <c r="F247" s="41" t="str">
        <f t="shared" si="14"/>
        <v>4.7.7</v>
      </c>
      <c r="G247" s="29" t="str">
        <f t="shared" si="15"/>
        <v>NULO</v>
      </c>
      <c r="H247" s="29">
        <f t="shared" si="16"/>
        <v>0</v>
      </c>
    </row>
    <row r="248" spans="1:9" ht="38.25" hidden="1" x14ac:dyDescent="0.3">
      <c r="A248" s="78" t="s">
        <v>242</v>
      </c>
      <c r="B248" s="84" t="str">
        <f>VLOOKUP(A248,'11 - FINANCEIRO'!A:M,1,0)</f>
        <v>4.7.8</v>
      </c>
      <c r="C248" s="67" t="str">
        <f>VLOOKUP(A248,'11 - FINANCEIRO'!A:M,3,FALSE)</f>
        <v>Viga Metálica Em Perfil Laminado Ou Soldado Em Aço Estrutural, Com Conexões Soldadas, Inclusos Mão De Obra, Transporte E Içamento Utilizando Guindaste - Fornecimento E Instalação. Af_01/2020_P</v>
      </c>
      <c r="D248" s="68">
        <f>VLOOKUP(A248,'11 - FINANCEIRO'!A:M,10,0)</f>
        <v>0</v>
      </c>
      <c r="E248" s="85" t="str">
        <f>VLOOKUP(A248,'11 - FINANCEIRO'!A:M,4,0)</f>
        <v>kg</v>
      </c>
      <c r="F248" s="41" t="str">
        <f t="shared" si="14"/>
        <v>4.7.8</v>
      </c>
      <c r="G248" s="29" t="str">
        <f t="shared" si="15"/>
        <v>NULO</v>
      </c>
      <c r="H248" s="29">
        <f t="shared" si="16"/>
        <v>0</v>
      </c>
    </row>
    <row r="249" spans="1:9" ht="33" x14ac:dyDescent="0.3">
      <c r="A249" s="78" t="s">
        <v>243</v>
      </c>
      <c r="B249" s="84" t="str">
        <f>VLOOKUP(A249,'11 - FINANCEIRO'!A:M,1,0)</f>
        <v>4.7.9</v>
      </c>
      <c r="C249" s="67" t="str">
        <f>VLOOKUP(A249,'11 - FINANCEIRO'!A:M,3,FALSE)</f>
        <v>Guarda Corpo Em Aço Galvanizado De Altura H=1,10M Pintura Com Tinta Esmalte Suvinil, Linha "Contra Ferrugem" Cor Maracujá, Ref.:C026</v>
      </c>
      <c r="D249" s="68">
        <f>VLOOKUP(A249,'11 - FINANCEIRO'!A:M,10,0)</f>
        <v>-16.7</v>
      </c>
      <c r="E249" s="85" t="str">
        <f>VLOOKUP(A249,'11 - FINANCEIRO'!A:M,4,0)</f>
        <v>m</v>
      </c>
      <c r="F249" s="41" t="str">
        <f t="shared" si="14"/>
        <v>4.7.9</v>
      </c>
      <c r="G249" s="29" t="str">
        <f t="shared" si="15"/>
        <v>NEGATIVO</v>
      </c>
      <c r="H249" s="29">
        <f t="shared" si="16"/>
        <v>1</v>
      </c>
    </row>
    <row r="250" spans="1:9" ht="33" hidden="1" x14ac:dyDescent="0.3">
      <c r="A250" s="78" t="s">
        <v>244</v>
      </c>
      <c r="B250" s="84" t="str">
        <f>VLOOKUP(A250,'11 - FINANCEIRO'!A:M,1,0)</f>
        <v>4.7.10</v>
      </c>
      <c r="C250" s="67" t="str">
        <f>VLOOKUP(A250,'11 - FINANCEIRO'!A:M,3,FALSE)</f>
        <v>Demolição Manual De Construções Provisórias - Sem Reaproveitamento, Incluído Transporte E Destinação</v>
      </c>
      <c r="D250" s="68">
        <f>VLOOKUP(A250,'11 - FINANCEIRO'!A:M,10,0)</f>
        <v>0</v>
      </c>
      <c r="E250" s="85" t="str">
        <f>VLOOKUP(A250,'11 - FINANCEIRO'!A:M,4,0)</f>
        <v>m²</v>
      </c>
      <c r="F250" s="41" t="str">
        <f t="shared" si="14"/>
        <v>4.7.10</v>
      </c>
      <c r="G250" s="29" t="str">
        <f t="shared" si="15"/>
        <v>NULO</v>
      </c>
      <c r="H250" s="29">
        <f t="shared" si="16"/>
        <v>0</v>
      </c>
    </row>
    <row r="251" spans="1:9" ht="33" hidden="1" x14ac:dyDescent="0.3">
      <c r="A251" s="78" t="s">
        <v>245</v>
      </c>
      <c r="B251" s="84" t="str">
        <f>VLOOKUP(A251,'11 - FINANCEIRO'!A:M,1,0)</f>
        <v>4.7.11</v>
      </c>
      <c r="C251" s="67" t="str">
        <f>VLOOKUP(A251,'11 - FINANCEIRO'!A:M,3,FALSE)</f>
        <v>Armação Em Aço Ca-50 - Fornecimento, Preparo E Colocação</v>
      </c>
      <c r="D251" s="68">
        <f>VLOOKUP(A251,'11 - FINANCEIRO'!A:M,10,0)</f>
        <v>0</v>
      </c>
      <c r="E251" s="85" t="str">
        <f>VLOOKUP(A251,'11 - FINANCEIRO'!A:M,4,0)</f>
        <v>kg</v>
      </c>
      <c r="F251" s="41" t="str">
        <f t="shared" si="14"/>
        <v>4.7.11</v>
      </c>
      <c r="G251" s="29" t="str">
        <f t="shared" si="15"/>
        <v>NULO</v>
      </c>
      <c r="H251" s="29">
        <f t="shared" si="16"/>
        <v>0</v>
      </c>
    </row>
    <row r="252" spans="1:9" ht="33" hidden="1" x14ac:dyDescent="0.3">
      <c r="A252" s="78" t="s">
        <v>246</v>
      </c>
      <c r="B252" s="84" t="str">
        <f>VLOOKUP(A252,'11 - FINANCEIRO'!A:M,1,0)</f>
        <v>4.7.12</v>
      </c>
      <c r="C252" s="67" t="str">
        <f>VLOOKUP(A252,'11 - FINANCEIRO'!A:M,3,FALSE)</f>
        <v>Concreto Para Bombeamento Fck = 30 Mpa - Confecção Em Central Dosadora De 30 M³/H - Areia E Brita Comerciais</v>
      </c>
      <c r="D252" s="68">
        <f>VLOOKUP(A252,'11 - FINANCEIRO'!A:M,10,0)</f>
        <v>0</v>
      </c>
      <c r="E252" s="85" t="str">
        <f>VLOOKUP(A252,'11 - FINANCEIRO'!A:M,4,0)</f>
        <v>m³</v>
      </c>
      <c r="F252" s="41" t="str">
        <f t="shared" si="14"/>
        <v>4.7.12</v>
      </c>
      <c r="G252" s="29" t="str">
        <f t="shared" si="15"/>
        <v>NULO</v>
      </c>
      <c r="H252" s="29">
        <f t="shared" si="16"/>
        <v>0</v>
      </c>
    </row>
    <row r="253" spans="1:9" ht="33" hidden="1" x14ac:dyDescent="0.3">
      <c r="A253" s="78" t="s">
        <v>247</v>
      </c>
      <c r="B253" s="84" t="str">
        <f>VLOOKUP(A253,'11 - FINANCEIRO'!A:M,1,0)</f>
        <v>4.7.13</v>
      </c>
      <c r="C253" s="67" t="str">
        <f>VLOOKUP(A253,'11 - FINANCEIRO'!A:M,3,FALSE)</f>
        <v>Servico De Bombeamento De Concreto Com Consumo Minimo De 40 M3</v>
      </c>
      <c r="D253" s="68">
        <f>VLOOKUP(A253,'11 - FINANCEIRO'!A:M,10,0)</f>
        <v>0</v>
      </c>
      <c r="E253" s="85" t="str">
        <f>VLOOKUP(A253,'11 - FINANCEIRO'!A:M,4,0)</f>
        <v>m³</v>
      </c>
      <c r="F253" s="41" t="str">
        <f t="shared" si="14"/>
        <v>4.7.13</v>
      </c>
      <c r="G253" s="29" t="str">
        <f t="shared" si="15"/>
        <v>NULO</v>
      </c>
      <c r="H253" s="29">
        <f t="shared" si="16"/>
        <v>0</v>
      </c>
    </row>
    <row r="254" spans="1:9" x14ac:dyDescent="0.3">
      <c r="A254" s="31" t="s">
        <v>248</v>
      </c>
      <c r="B254" s="55" t="str">
        <f>VLOOKUP(A254,'11 - FINANCEIRO'!A:M,1,0)</f>
        <v>5.0</v>
      </c>
      <c r="C254" s="56" t="str">
        <f>VLOOKUP(A254,'11 - FINANCEIRO'!A:M,2,FALSE)</f>
        <v>Urbanização</v>
      </c>
      <c r="D254" s="57"/>
      <c r="E254" s="58"/>
      <c r="F254" s="28" t="str">
        <f>A254</f>
        <v>5.0</v>
      </c>
      <c r="H254" s="29">
        <f>SUM(H255:H273)</f>
        <v>10</v>
      </c>
      <c r="I254" s="30" t="s">
        <v>9</v>
      </c>
    </row>
    <row r="255" spans="1:9" x14ac:dyDescent="0.3">
      <c r="A255" s="31" t="s">
        <v>249</v>
      </c>
      <c r="B255" s="24" t="str">
        <f>VLOOKUP(A255,'11 - FINANCEIRO'!A:M,1,0)</f>
        <v>5.1</v>
      </c>
      <c r="C255" s="25" t="str">
        <f>VLOOKUP(A255,'11 - FINANCEIRO'!A:M,2,FALSE)</f>
        <v>Remoções</v>
      </c>
      <c r="D255" s="26"/>
      <c r="E255" s="27"/>
      <c r="F255" s="28" t="str">
        <f>A255</f>
        <v>5.1</v>
      </c>
      <c r="H255" s="29">
        <f>SUM(H256:H261)</f>
        <v>2</v>
      </c>
      <c r="I255" s="30" t="s">
        <v>9</v>
      </c>
    </row>
    <row r="256" spans="1:9" x14ac:dyDescent="0.3">
      <c r="A256" s="42" t="s">
        <v>250</v>
      </c>
      <c r="B256" s="47" t="str">
        <f>VLOOKUP(A256,'11 - FINANCEIRO'!A:M,1,0)</f>
        <v>5.1.1</v>
      </c>
      <c r="C256" s="44" t="str">
        <f>VLOOKUP(A256,'11 - FINANCEIRO'!A:M,3,FALSE)</f>
        <v>Remoção De Meio Fio</v>
      </c>
      <c r="D256" s="48">
        <f>VLOOKUP(A256,'11 - FINANCEIRO'!A:M,10,0)</f>
        <v>89</v>
      </c>
      <c r="E256" s="49" t="str">
        <f>VLOOKUP(A256,'11 - FINANCEIRO'!A:M,4,0)</f>
        <v>m</v>
      </c>
      <c r="F256" s="28" t="str">
        <f t="shared" ref="F256:F273" si="17">A256</f>
        <v>5.1.1</v>
      </c>
      <c r="G256" s="29" t="str">
        <f t="shared" ref="G256:G273" si="18">IF(D256&gt;0,"POSITIVO",IF(D256=0,"NULO",IF(D256&lt;0,"NEGATIVO")))</f>
        <v>POSITIVO</v>
      </c>
      <c r="H256" s="29">
        <f t="shared" ref="H256:H273" si="19">IF(G256="NULO",0,1)</f>
        <v>1</v>
      </c>
    </row>
    <row r="257" spans="1:9" x14ac:dyDescent="0.3">
      <c r="A257" s="78" t="s">
        <v>251</v>
      </c>
      <c r="B257" s="87" t="str">
        <f>VLOOKUP(A257,'11 - FINANCEIRO'!A:M,1,0)</f>
        <v>5.1.2</v>
      </c>
      <c r="C257" s="64" t="str">
        <f>VLOOKUP(A257,'11 - FINANCEIRO'!A:M,3,FALSE)</f>
        <v>Corte E Remoção De Árvores</v>
      </c>
      <c r="D257" s="65">
        <f>VLOOKUP(A257,'11 - FINANCEIRO'!A:M,10,0)</f>
        <v>2356.1289999999999</v>
      </c>
      <c r="E257" s="88" t="str">
        <f>VLOOKUP(A257,'11 - FINANCEIRO'!A:M,4,0)</f>
        <v>m³</v>
      </c>
      <c r="F257" s="41" t="str">
        <f t="shared" si="17"/>
        <v>5.1.2</v>
      </c>
      <c r="G257" s="29" t="str">
        <f t="shared" si="18"/>
        <v>POSITIVO</v>
      </c>
      <c r="H257" s="29">
        <f t="shared" si="19"/>
        <v>1</v>
      </c>
    </row>
    <row r="258" spans="1:9" hidden="1" x14ac:dyDescent="0.3">
      <c r="A258" s="78" t="s">
        <v>252</v>
      </c>
      <c r="B258" s="84" t="str">
        <f>VLOOKUP(A258,'11 - FINANCEIRO'!A:M,1,0)</f>
        <v>5.1.3</v>
      </c>
      <c r="C258" s="67" t="str">
        <f>VLOOKUP(A258,'11 - FINANCEIRO'!A:M,3,FALSE)</f>
        <v>Demolição De Concreto Armado</v>
      </c>
      <c r="D258" s="68">
        <f>VLOOKUP(A258,'11 - FINANCEIRO'!A:M,10,0)</f>
        <v>0</v>
      </c>
      <c r="E258" s="85" t="str">
        <f>VLOOKUP(A258,'11 - FINANCEIRO'!A:M,4,0)</f>
        <v>m³</v>
      </c>
      <c r="F258" s="41" t="str">
        <f t="shared" si="17"/>
        <v>5.1.3</v>
      </c>
      <c r="G258" s="29" t="str">
        <f t="shared" si="18"/>
        <v>NULO</v>
      </c>
      <c r="H258" s="29">
        <f t="shared" si="19"/>
        <v>0</v>
      </c>
    </row>
    <row r="259" spans="1:9" ht="25.5" hidden="1" x14ac:dyDescent="0.3">
      <c r="A259" s="78" t="s">
        <v>253</v>
      </c>
      <c r="B259" s="84" t="str">
        <f>VLOOKUP(A259,'11 - FINANCEIRO'!A:M,1,0)</f>
        <v>5.1.4</v>
      </c>
      <c r="C259" s="67" t="str">
        <f>VLOOKUP(A259,'11 - FINANCEIRO'!A:M,3,FALSE)</f>
        <v>Carga, Manobra E Descarga De Material Demolido Em Caminhão Basculante De 6 M³ - Carga Com Carregadeira De 1,72 M³ E Descarga Livre</v>
      </c>
      <c r="D259" s="68">
        <f>VLOOKUP(A259,'11 - FINANCEIRO'!A:M,10,0)</f>
        <v>0</v>
      </c>
      <c r="E259" s="85" t="str">
        <f>VLOOKUP(A259,'11 - FINANCEIRO'!A:M,4,0)</f>
        <v>t</v>
      </c>
      <c r="F259" s="41" t="str">
        <f t="shared" si="17"/>
        <v>5.1.4</v>
      </c>
      <c r="G259" s="29" t="str">
        <f t="shared" si="18"/>
        <v>NULO</v>
      </c>
      <c r="H259" s="29">
        <f t="shared" si="19"/>
        <v>0</v>
      </c>
    </row>
    <row r="260" spans="1:9" ht="25.5" hidden="1" x14ac:dyDescent="0.3">
      <c r="A260" s="78" t="s">
        <v>254</v>
      </c>
      <c r="B260" s="84" t="str">
        <f>VLOOKUP(A260,'11 - FINANCEIRO'!A:M,1,0)</f>
        <v>5.1.5</v>
      </c>
      <c r="C260" s="67" t="str">
        <f>VLOOKUP(A260,'11 - FINANCEIRO'!A:M,3,FALSE)</f>
        <v>Transporte De Material De 3ª Categoria Com Caminhão Basculante De 12 M³ Para Rocha - Rodovia Pavimentada</v>
      </c>
      <c r="D260" s="68">
        <f>VLOOKUP(A260,'11 - FINANCEIRO'!A:M,10,0)</f>
        <v>0</v>
      </c>
      <c r="E260" s="85" t="str">
        <f>VLOOKUP(A260,'11 - FINANCEIRO'!A:M,4,0)</f>
        <v>tkm</v>
      </c>
      <c r="F260" s="41" t="str">
        <f t="shared" si="17"/>
        <v>5.1.5</v>
      </c>
      <c r="G260" s="29" t="str">
        <f t="shared" si="18"/>
        <v>NULO</v>
      </c>
      <c r="H260" s="29">
        <f t="shared" si="19"/>
        <v>0</v>
      </c>
    </row>
    <row r="261" spans="1:9" ht="25.5" hidden="1" x14ac:dyDescent="0.3">
      <c r="A261" s="78" t="s">
        <v>255</v>
      </c>
      <c r="B261" s="84" t="str">
        <f>VLOOKUP(A261,'11 - FINANCEIRO'!A:M,1,0)</f>
        <v>5.1.6</v>
      </c>
      <c r="C261" s="67" t="str">
        <f>VLOOKUP(A261,'11 - FINANCEIRO'!A:M,3,FALSE)</f>
        <v>Remocao Residuos Classe A Conama (Cacamba) Classe Ii B (Nbr10004) Inclusive Destinacao Final</v>
      </c>
      <c r="D261" s="68">
        <f>VLOOKUP(A261,'11 - FINANCEIRO'!A:M,10,0)</f>
        <v>0</v>
      </c>
      <c r="E261" s="85" t="str">
        <f>VLOOKUP(A261,'11 - FINANCEIRO'!A:M,4,0)</f>
        <v>m³</v>
      </c>
      <c r="F261" s="41" t="str">
        <f t="shared" si="17"/>
        <v>5.1.6</v>
      </c>
      <c r="G261" s="29" t="str">
        <f t="shared" si="18"/>
        <v>NULO</v>
      </c>
      <c r="H261" s="29">
        <f t="shared" si="19"/>
        <v>0</v>
      </c>
    </row>
    <row r="262" spans="1:9" x14ac:dyDescent="0.3">
      <c r="A262" s="31" t="s">
        <v>256</v>
      </c>
      <c r="B262" s="32" t="str">
        <f>VLOOKUP(A262,'11 - FINANCEIRO'!A:M,1,0)</f>
        <v>5.2</v>
      </c>
      <c r="C262" s="33" t="str">
        <f>VLOOKUP(A262,'11 - FINANCEIRO'!A:M,2,FALSE)</f>
        <v>Piso e Sinalização</v>
      </c>
      <c r="D262" s="34"/>
      <c r="E262" s="35"/>
      <c r="F262" s="28" t="str">
        <f>A262</f>
        <v>5.2</v>
      </c>
      <c r="H262" s="29">
        <f>SUM(H263:H270)</f>
        <v>2</v>
      </c>
      <c r="I262" s="30" t="s">
        <v>9</v>
      </c>
    </row>
    <row r="263" spans="1:9" ht="25.5" x14ac:dyDescent="0.3">
      <c r="A263" s="78" t="s">
        <v>257</v>
      </c>
      <c r="B263" s="84" t="str">
        <f>VLOOKUP(A263,'11 - FINANCEIRO'!A:M,1,0)</f>
        <v>5.2.1</v>
      </c>
      <c r="C263" s="67" t="str">
        <f>VLOOKUP(A263,'11 - FINANCEIRO'!A:M,3,FALSE)</f>
        <v>Execução De Passeio (Calçada) Ou Piso De Concreto Com Concreto Moldado In Loco, Usinado, Acabamento Convencional, Espessura 8 Cm, Armado. Af_07/2016</v>
      </c>
      <c r="D263" s="68">
        <f>VLOOKUP(A263,'11 - FINANCEIRO'!A:M,10,0)</f>
        <v>512.82000000000062</v>
      </c>
      <c r="E263" s="85" t="str">
        <f>VLOOKUP(A263,'11 - FINANCEIRO'!A:M,4,0)</f>
        <v>m²</v>
      </c>
      <c r="F263" s="41" t="str">
        <f t="shared" si="17"/>
        <v>5.2.1</v>
      </c>
      <c r="G263" s="29" t="str">
        <f t="shared" si="18"/>
        <v>POSITIVO</v>
      </c>
      <c r="H263" s="29">
        <f t="shared" si="19"/>
        <v>1</v>
      </c>
    </row>
    <row r="264" spans="1:9" ht="25.5" hidden="1" x14ac:dyDescent="0.3">
      <c r="A264" s="78" t="s">
        <v>258</v>
      </c>
      <c r="B264" s="84" t="str">
        <f>VLOOKUP(A264,'11 - FINANCEIRO'!A:M,1,0)</f>
        <v>5.2.2</v>
      </c>
      <c r="C264" s="67" t="str">
        <f>VLOOKUP(A264,'11 - FINANCEIRO'!A:M,3,FALSE)</f>
        <v>Execução De Passeio Em Piso Intertravado, Com Bloco Retangular Cor Natural De 20 X 10 Cm, Espessura 6 Cm. Af_12/2015</v>
      </c>
      <c r="D264" s="68">
        <f>VLOOKUP(A264,'11 - FINANCEIRO'!A:M,10,0)</f>
        <v>0</v>
      </c>
      <c r="E264" s="85" t="str">
        <f>VLOOKUP(A264,'11 - FINANCEIRO'!A:M,4,0)</f>
        <v>m²</v>
      </c>
      <c r="F264" s="41" t="str">
        <f t="shared" si="17"/>
        <v>5.2.2</v>
      </c>
      <c r="G264" s="29" t="str">
        <f t="shared" si="18"/>
        <v>NULO</v>
      </c>
      <c r="H264" s="29">
        <f t="shared" si="19"/>
        <v>0</v>
      </c>
    </row>
    <row r="265" spans="1:9" ht="25.5" hidden="1" x14ac:dyDescent="0.3">
      <c r="A265" s="78" t="s">
        <v>259</v>
      </c>
      <c r="B265" s="84" t="str">
        <f>VLOOKUP(A265,'11 - FINANCEIRO'!A:M,1,0)</f>
        <v>5.2.3</v>
      </c>
      <c r="C265" s="67" t="str">
        <f>VLOOKUP(A265,'11 - FINANCEIRO'!A:M,3,FALSE)</f>
        <v>Fornecimento E Assentamento De Ladrilho Hidráulico Pastilhado, Vermelho, Dim. 20X20 Cm, Esp. 1.5Cm, Assentado Com Pasta De Cimento Colante, Exclusive Regularização E Lastro</v>
      </c>
      <c r="D265" s="68">
        <f>VLOOKUP(A265,'11 - FINANCEIRO'!A:M,10,0)</f>
        <v>0</v>
      </c>
      <c r="E265" s="85" t="str">
        <f>VLOOKUP(A265,'11 - FINANCEIRO'!A:M,4,0)</f>
        <v>m²</v>
      </c>
      <c r="F265" s="41" t="str">
        <f t="shared" si="17"/>
        <v>5.2.3</v>
      </c>
      <c r="G265" s="29" t="str">
        <f t="shared" si="18"/>
        <v>NULO</v>
      </c>
      <c r="H265" s="29">
        <f t="shared" si="19"/>
        <v>0</v>
      </c>
    </row>
    <row r="266" spans="1:9" ht="25.5" hidden="1" customHeight="1" x14ac:dyDescent="0.3">
      <c r="A266" s="78" t="s">
        <v>260</v>
      </c>
      <c r="B266" s="84" t="str">
        <f>VLOOKUP(A266,'11 - FINANCEIRO'!A:M,1,0)</f>
        <v>5.2.4</v>
      </c>
      <c r="C266" s="67" t="str">
        <f>VLOOKUP(A266,'11 - FINANCEIRO'!A:M,3,FALSE)</f>
        <v>Fornecimento E Assentamento De Ladrilho Hidráulico Ranhurado, Vermelho, Dim. 20X20 Cm, Esp. 1.5Cm, Assentado Com Pasta De Cimento Colante, Exclusive Regularização E Lastro</v>
      </c>
      <c r="D266" s="68">
        <f>VLOOKUP(A266,'11 - FINANCEIRO'!A:M,10,0)</f>
        <v>0</v>
      </c>
      <c r="E266" s="85" t="str">
        <f>VLOOKUP(A266,'11 - FINANCEIRO'!A:M,4,0)</f>
        <v>m²</v>
      </c>
      <c r="F266" s="41" t="str">
        <f t="shared" si="17"/>
        <v>5.2.4</v>
      </c>
      <c r="G266" s="29" t="str">
        <f t="shared" si="18"/>
        <v>NULO</v>
      </c>
      <c r="H266" s="29">
        <f t="shared" si="19"/>
        <v>0</v>
      </c>
    </row>
    <row r="267" spans="1:9" ht="38.25" x14ac:dyDescent="0.3">
      <c r="A267" s="78" t="s">
        <v>261</v>
      </c>
      <c r="B267" s="84" t="str">
        <f>VLOOKUP(A267,'11 - FINANCEIRO'!A:M,1,0)</f>
        <v>5.2.5</v>
      </c>
      <c r="C267" s="67" t="str">
        <f>VLOOKUP(A267,'11 - FINANCEIRO'!A:M,3,FALSE)</f>
        <v>Assentamento De Guia (Meio-Fio) Em Trecho Reto, Confeccionada Em Concreto Pré-Fabricado, Dimensões 100X15X13X30 Cm (Comprimento X Base Inferior X Base Superior X Altura), Para Vias Urbanas (Uso Viário). Af_06/2016</v>
      </c>
      <c r="D267" s="68">
        <f>VLOOKUP(A267,'11 - FINANCEIRO'!A:M,10,0)</f>
        <v>200</v>
      </c>
      <c r="E267" s="85" t="str">
        <f>VLOOKUP(A267,'11 - FINANCEIRO'!A:M,4,0)</f>
        <v>m</v>
      </c>
      <c r="F267" s="41" t="str">
        <f t="shared" si="17"/>
        <v>5.2.5</v>
      </c>
      <c r="G267" s="29" t="str">
        <f t="shared" si="18"/>
        <v>POSITIVO</v>
      </c>
      <c r="H267" s="29">
        <f t="shared" si="19"/>
        <v>1</v>
      </c>
    </row>
    <row r="268" spans="1:9" s="93" customFormat="1" hidden="1" x14ac:dyDescent="0.3">
      <c r="A268" s="78" t="s">
        <v>262</v>
      </c>
      <c r="B268" s="84" t="str">
        <f>VLOOKUP(A268,'11 - FINANCEIRO'!A:M,1,0)</f>
        <v>5.2.6</v>
      </c>
      <c r="C268" s="67" t="str">
        <f>VLOOKUP(A268,'11 - FINANCEIRO'!A:M,3,FALSE)</f>
        <v>Pintura De Faixa Com Termoplástico Por Aspersão - Espessura De 1,5 Mm</v>
      </c>
      <c r="D268" s="68">
        <f>VLOOKUP(A268,'11 - FINANCEIRO'!A:M,10,0)</f>
        <v>0</v>
      </c>
      <c r="E268" s="85" t="str">
        <f>VLOOKUP(A268,'11 - FINANCEIRO'!A:M,4,0)</f>
        <v>m²</v>
      </c>
      <c r="F268" s="41" t="str">
        <f t="shared" si="17"/>
        <v>5.2.6</v>
      </c>
      <c r="G268" s="29" t="str">
        <f t="shared" si="18"/>
        <v>NULO</v>
      </c>
      <c r="H268" s="29">
        <f t="shared" si="19"/>
        <v>0</v>
      </c>
    </row>
    <row r="269" spans="1:9" hidden="1" x14ac:dyDescent="0.3">
      <c r="A269" s="78" t="s">
        <v>263</v>
      </c>
      <c r="B269" s="84" t="str">
        <f>VLOOKUP(A269,'11 - FINANCEIRO'!A:M,1,0)</f>
        <v>5.2.7</v>
      </c>
      <c r="C269" s="67" t="str">
        <f>VLOOKUP(A269,'11 - FINANCEIRO'!A:M,3,FALSE)</f>
        <v>Pintura De Setas E Zebrados Com Termoplástico Por Aspersão - Espessura De 1,5 Mm</v>
      </c>
      <c r="D269" s="68">
        <f>VLOOKUP(A269,'11 - FINANCEIRO'!A:M,10,0)</f>
        <v>0</v>
      </c>
      <c r="E269" s="85" t="str">
        <f>VLOOKUP(A269,'11 - FINANCEIRO'!A:M,4,0)</f>
        <v>m²</v>
      </c>
      <c r="F269" s="41" t="str">
        <f t="shared" si="17"/>
        <v>5.2.7</v>
      </c>
      <c r="G269" s="29" t="str">
        <f t="shared" si="18"/>
        <v>NULO</v>
      </c>
      <c r="H269" s="29">
        <f t="shared" si="19"/>
        <v>0</v>
      </c>
    </row>
    <row r="270" spans="1:9" hidden="1" x14ac:dyDescent="0.3">
      <c r="A270" s="78" t="s">
        <v>264</v>
      </c>
      <c r="B270" s="84" t="str">
        <f>VLOOKUP(A270,'11 - FINANCEIRO'!A:M,1,0)</f>
        <v>5.2.8</v>
      </c>
      <c r="C270" s="67" t="str">
        <f>VLOOKUP(A270,'11 - FINANCEIRO'!A:M,3,FALSE)</f>
        <v>Sinalização Vertical Com Chapa Revestida Em Película, Inclusive Suporte Em Madeira</v>
      </c>
      <c r="D270" s="68">
        <f>VLOOKUP(A270,'11 - FINANCEIRO'!A:M,10,0)</f>
        <v>0</v>
      </c>
      <c r="E270" s="85" t="str">
        <f>VLOOKUP(A270,'11 - FINANCEIRO'!A:M,4,0)</f>
        <v>m²</v>
      </c>
      <c r="F270" s="41" t="str">
        <f t="shared" si="17"/>
        <v>5.2.8</v>
      </c>
      <c r="G270" s="29" t="str">
        <f t="shared" si="18"/>
        <v>NULO</v>
      </c>
      <c r="H270" s="29">
        <f t="shared" si="19"/>
        <v>0</v>
      </c>
    </row>
    <row r="271" spans="1:9" x14ac:dyDescent="0.3">
      <c r="A271" s="31" t="s">
        <v>265</v>
      </c>
      <c r="B271" s="55" t="str">
        <f>VLOOKUP(A271,'11 - FINANCEIRO'!A:M,1,0)</f>
        <v>5.3</v>
      </c>
      <c r="C271" s="56" t="str">
        <f>VLOOKUP(A271,'11 - FINANCEIRO'!A:M,2,FALSE)</f>
        <v>Paisagismo</v>
      </c>
      <c r="D271" s="57"/>
      <c r="E271" s="58"/>
      <c r="F271" s="28" t="str">
        <f>A271</f>
        <v>5.3</v>
      </c>
      <c r="H271" s="29">
        <f>SUM(H272:H273)</f>
        <v>1</v>
      </c>
      <c r="I271" s="30" t="s">
        <v>9</v>
      </c>
    </row>
    <row r="272" spans="1:9" ht="25.5" x14ac:dyDescent="0.3">
      <c r="A272" s="78" t="s">
        <v>266</v>
      </c>
      <c r="B272" s="87" t="str">
        <f>VLOOKUP(A272,'11 - FINANCEIRO'!A:M,1,0)</f>
        <v>5.3.1</v>
      </c>
      <c r="C272" s="64" t="str">
        <f>VLOOKUP(A272,'11 - FINANCEIRO'!A:M,3,FALSE)</f>
        <v>Fornecimento E Plantio De Grama Em Placas Tipo Esmeralda, Inclusive Fornecimento De Terra Vegetal</v>
      </c>
      <c r="D272" s="65">
        <f>VLOOKUP(A272,'11 - FINANCEIRO'!A:M,10,0)</f>
        <v>518.75</v>
      </c>
      <c r="E272" s="88" t="str">
        <f>VLOOKUP(A272,'11 - FINANCEIRO'!A:M,4,0)</f>
        <v>m²</v>
      </c>
      <c r="F272" s="41" t="str">
        <f t="shared" si="17"/>
        <v>5.3.1</v>
      </c>
      <c r="G272" s="29" t="str">
        <f t="shared" si="18"/>
        <v>POSITIVO</v>
      </c>
      <c r="H272" s="29">
        <f t="shared" si="19"/>
        <v>1</v>
      </c>
    </row>
    <row r="273" spans="1:9" ht="25.5" hidden="1" x14ac:dyDescent="0.3">
      <c r="A273" s="78" t="s">
        <v>267</v>
      </c>
      <c r="B273" s="59" t="str">
        <f>VLOOKUP(A273,'11 - FINANCEIRO'!A:M,1,0)</f>
        <v>5.3.2</v>
      </c>
      <c r="C273" s="60" t="str">
        <f>VLOOKUP(A273,'11 - FINANCEIRO'!A:M,3,FALSE)</f>
        <v>Plantio De Árvore Ornamental Com Altura De Muda Maior Que 2,00 M E Menor Ou Igual A 4,00 M. Af_05/2018</v>
      </c>
      <c r="D273" s="61">
        <f>VLOOKUP(A273,'11 - FINANCEIRO'!A:M,10,0)</f>
        <v>0</v>
      </c>
      <c r="E273" s="59" t="str">
        <f>VLOOKUP(A273,'11 - FINANCEIRO'!A:M,4,0)</f>
        <v>un</v>
      </c>
      <c r="F273" s="41" t="str">
        <f t="shared" si="17"/>
        <v>5.3.2</v>
      </c>
      <c r="G273" s="29" t="str">
        <f t="shared" si="18"/>
        <v>NULO</v>
      </c>
      <c r="H273" s="29">
        <f t="shared" si="19"/>
        <v>0</v>
      </c>
    </row>
    <row r="274" spans="1:9" x14ac:dyDescent="0.3">
      <c r="A274" s="31" t="s">
        <v>695</v>
      </c>
      <c r="B274" s="55" t="str">
        <f>VLOOKUP(A274,'11 - FINANCEIRO'!A:M,1,0)</f>
        <v>6.0</v>
      </c>
      <c r="C274" s="56" t="str">
        <f>VLOOKUP(A274,'11 - FINANCEIRO'!A:M,2,FALSE)</f>
        <v>Serviços Novos</v>
      </c>
      <c r="D274" s="57"/>
      <c r="E274" s="58"/>
      <c r="F274" s="28" t="str">
        <f>A274</f>
        <v>6.0</v>
      </c>
      <c r="H274" s="29">
        <f>SUM(H275:H276)</f>
        <v>6</v>
      </c>
      <c r="I274" s="30" t="s">
        <v>9</v>
      </c>
    </row>
    <row r="275" spans="1:9" x14ac:dyDescent="0.3">
      <c r="A275" s="31" t="s">
        <v>698</v>
      </c>
      <c r="B275" s="24" t="str">
        <f>VLOOKUP(A275,'11 - FINANCEIRO'!A:M,1,0)</f>
        <v>6.1</v>
      </c>
      <c r="C275" s="25" t="str">
        <f>VLOOKUP(A275,'11 - FINANCEIRO'!A:M,2,FALSE)</f>
        <v>GALERIA GUARANHUS 1 E 2</v>
      </c>
      <c r="D275" s="26"/>
      <c r="E275" s="27"/>
      <c r="F275" s="28" t="str">
        <f>A275</f>
        <v>6.1</v>
      </c>
      <c r="H275" s="29">
        <f>SUM(H276:H281)</f>
        <v>5</v>
      </c>
      <c r="I275" s="30" t="s">
        <v>9</v>
      </c>
    </row>
    <row r="276" spans="1:9" x14ac:dyDescent="0.3">
      <c r="A276" s="78" t="s">
        <v>721</v>
      </c>
      <c r="B276" s="87" t="str">
        <f>VLOOKUP(A276,'11 - FINANCEIRO'!A:M,1,0)</f>
        <v>6.1.1</v>
      </c>
      <c r="C276" s="64" t="str">
        <f>VLOOKUP(A276,'11 - FINANCEIRO'!A:M,3,FALSE)</f>
        <v>Grupo gerador de 21 a 80 KVA</v>
      </c>
      <c r="D276" s="65">
        <f>VLOOKUP(A276,'11 - FINANCEIRO'!A:M,10,0)</f>
        <v>2</v>
      </c>
      <c r="E276" s="88" t="str">
        <f>VLOOKUP(A276,'11 - FINANCEIRO'!A:M,4,0)</f>
        <v>MÊS</v>
      </c>
      <c r="F276" s="41" t="str">
        <f t="shared" ref="F276:F291" si="20">A276</f>
        <v>6.1.1</v>
      </c>
      <c r="G276" s="29" t="str">
        <f t="shared" ref="G276:G291" si="21">IF(D276&gt;0,"POSITIVO",IF(D276=0,"NULO",IF(D276&lt;0,"NEGATIVO")))</f>
        <v>POSITIVO</v>
      </c>
      <c r="H276" s="29">
        <f t="shared" ref="H276:H291" si="22">IF(G276="NULO",0,1)</f>
        <v>1</v>
      </c>
    </row>
    <row r="277" spans="1:9" ht="38.25" x14ac:dyDescent="0.3">
      <c r="A277" s="78" t="s">
        <v>722</v>
      </c>
      <c r="B277" s="87" t="str">
        <f>VLOOKUP(A277,'11 - FINANCEIRO'!A:M,1,0)</f>
        <v>6.1.2</v>
      </c>
      <c r="C277" s="64" t="str">
        <f>VLOOKUP(A277,'11 - FINANCEIRO'!A:M,3,FALSE)</f>
        <v>Alvenaria de blocos de concreto estrut. (19x19x39cm) cheios, c/ resist. mín. compr. 15MPa, assentados c/ arg. cimento e areia no traço 1:4, esp. juntas de 10mm e esp. da parede s/ revest. 19cm</v>
      </c>
      <c r="D277" s="65">
        <f>VLOOKUP(A277,'11 - FINANCEIRO'!A:M,10,0)</f>
        <v>30.599999999999909</v>
      </c>
      <c r="E277" s="88" t="str">
        <f>VLOOKUP(A277,'11 - FINANCEIRO'!A:M,4,0)</f>
        <v>m²</v>
      </c>
      <c r="F277" s="41" t="str">
        <f t="shared" si="20"/>
        <v>6.1.2</v>
      </c>
      <c r="G277" s="29" t="str">
        <f t="shared" si="21"/>
        <v>POSITIVO</v>
      </c>
      <c r="H277" s="29">
        <f t="shared" si="22"/>
        <v>1</v>
      </c>
    </row>
    <row r="278" spans="1:9" x14ac:dyDescent="0.3">
      <c r="A278" s="78" t="s">
        <v>723</v>
      </c>
      <c r="B278" s="87" t="str">
        <f>VLOOKUP(A278,'11 - FINANCEIRO'!A:M,1,0)</f>
        <v>6.1.3</v>
      </c>
      <c r="C278" s="64" t="str">
        <f>VLOOKUP(A278,'11 - FINANCEIRO'!A:M,3,FALSE)</f>
        <v xml:space="preserve">Limpeza de rua com lavagem (Caminhão PIPA) </v>
      </c>
      <c r="D278" s="65">
        <f>VLOOKUP(A278,'11 - FINANCEIRO'!A:M,10,0)</f>
        <v>44</v>
      </c>
      <c r="E278" s="88" t="str">
        <f>VLOOKUP(A278,'11 - FINANCEIRO'!A:M,4,0)</f>
        <v>h</v>
      </c>
      <c r="F278" s="41" t="str">
        <f t="shared" si="20"/>
        <v>6.1.3</v>
      </c>
      <c r="G278" s="29" t="str">
        <f t="shared" si="21"/>
        <v>POSITIVO</v>
      </c>
      <c r="H278" s="29">
        <f t="shared" si="22"/>
        <v>1</v>
      </c>
    </row>
    <row r="279" spans="1:9" ht="25.5" x14ac:dyDescent="0.3">
      <c r="A279" s="78" t="s">
        <v>725</v>
      </c>
      <c r="B279" s="87" t="str">
        <f>VLOOKUP(A279,'11 - FINANCEIRO'!A:M,1,0)</f>
        <v>6.1.4</v>
      </c>
      <c r="C279" s="64" t="str">
        <f>VLOOKUP(A279,'11 - FINANCEIRO'!A:M,3,FALSE)</f>
        <v>Carga, manobra e descarga de agregados ou solos em caminhão basculante de 14 m³ - carga com carregadeira de 3,40 m³ e t 1,57 descarga livre</v>
      </c>
      <c r="D279" s="65">
        <f>VLOOKUP(A279,'11 - FINANCEIRO'!A:M,10,0)</f>
        <v>11600.333000000013</v>
      </c>
      <c r="E279" s="88" t="str">
        <f>VLOOKUP(A279,'11 - FINANCEIRO'!A:M,4,0)</f>
        <v>t</v>
      </c>
      <c r="F279" s="41" t="str">
        <f t="shared" si="20"/>
        <v>6.1.4</v>
      </c>
      <c r="G279" s="29" t="str">
        <f t="shared" si="21"/>
        <v>POSITIVO</v>
      </c>
      <c r="H279" s="29">
        <f t="shared" si="22"/>
        <v>1</v>
      </c>
    </row>
    <row r="280" spans="1:9" x14ac:dyDescent="0.3">
      <c r="A280" s="78" t="s">
        <v>726</v>
      </c>
      <c r="B280" s="87" t="str">
        <f>VLOOKUP(A280,'11 - FINANCEIRO'!A:M,1,0)</f>
        <v>6.1.5</v>
      </c>
      <c r="C280" s="64" t="str">
        <f>VLOOKUP(A280,'11 - FINANCEIRO'!A:M,3,FALSE)</f>
        <v xml:space="preserve">Tubo PEAD para drenagem - D = 500 mm - fornecimento e instalação </v>
      </c>
      <c r="D280" s="65">
        <f>VLOOKUP(A280,'11 - FINANCEIRO'!A:M,10,0)</f>
        <v>40</v>
      </c>
      <c r="E280" s="88" t="str">
        <f>VLOOKUP(A280,'11 - FINANCEIRO'!A:M,4,0)</f>
        <v>M</v>
      </c>
      <c r="F280" s="41" t="str">
        <f t="shared" si="20"/>
        <v>6.1.5</v>
      </c>
      <c r="G280" s="29" t="str">
        <f t="shared" si="21"/>
        <v>POSITIVO</v>
      </c>
      <c r="H280" s="29">
        <f t="shared" si="22"/>
        <v>1</v>
      </c>
    </row>
    <row r="281" spans="1:9" ht="25.5" hidden="1" x14ac:dyDescent="0.3">
      <c r="A281" s="78" t="s">
        <v>727</v>
      </c>
      <c r="B281" s="87" t="str">
        <f>VLOOKUP(A281,'11 - FINANCEIRO'!A:M,1,0)</f>
        <v>6.1.6</v>
      </c>
      <c r="C281" s="64" t="str">
        <f>VLOOKUP(A281,'11 - FINANCEIRO'!A:M,3,FALSE)</f>
        <v>Esgotamento de vala por turbina, impulsionada por força motriz a diesel (trator agrícola), diâmetro de sucção de 17"</v>
      </c>
      <c r="D281" s="65">
        <f>VLOOKUP(A281,'11 - FINANCEIRO'!A:M,10,0)</f>
        <v>0</v>
      </c>
      <c r="E281" s="88" t="str">
        <f>VLOOKUP(A281,'11 - FINANCEIRO'!A:M,4,0)</f>
        <v>mês</v>
      </c>
      <c r="F281" s="41" t="str">
        <f t="shared" si="20"/>
        <v>6.1.6</v>
      </c>
      <c r="G281" s="29" t="str">
        <f t="shared" si="21"/>
        <v>NULO</v>
      </c>
      <c r="H281" s="29">
        <f t="shared" si="22"/>
        <v>0</v>
      </c>
    </row>
    <row r="282" spans="1:9" ht="38.25" x14ac:dyDescent="0.3">
      <c r="A282" s="78" t="s">
        <v>729</v>
      </c>
      <c r="B282" s="87" t="str">
        <f>VLOOKUP(A282,'11 - FINANCEIRO'!A:M,1,0)</f>
        <v>6.1.7</v>
      </c>
      <c r="C282" s="64" t="str">
        <f>VLOOKUP(A282,'11 - FINANCEIRO'!A:M,3,FALSE)</f>
        <v>Aluguel mensal container para almoxarifado, incl. porta, 2 janelas, 1 pt iluminação, Isolamento térmico (teto), piso em comp. Naval pintado, cert. NR18, incl. laudo descontaminação.</v>
      </c>
      <c r="D282" s="65">
        <f>VLOOKUP(A282,'11 - FINANCEIRO'!A:M,10,0)</f>
        <v>2</v>
      </c>
      <c r="E282" s="88" t="str">
        <f>VLOOKUP(A282,'11 - FINANCEIRO'!A:M,4,0)</f>
        <v>mês</v>
      </c>
      <c r="F282" s="41" t="str">
        <f t="shared" si="20"/>
        <v>6.1.7</v>
      </c>
      <c r="G282" s="29" t="str">
        <f t="shared" si="21"/>
        <v>POSITIVO</v>
      </c>
      <c r="H282" s="29">
        <f t="shared" si="22"/>
        <v>1</v>
      </c>
    </row>
    <row r="283" spans="1:9" x14ac:dyDescent="0.3">
      <c r="A283" s="78" t="s">
        <v>730</v>
      </c>
      <c r="B283" s="87" t="str">
        <f>VLOOKUP(A283,'11 - FINANCEIRO'!A:M,1,0)</f>
        <v>6.1.8</v>
      </c>
      <c r="C283" s="64" t="str">
        <f>VLOOKUP(A283,'11 - FINANCEIRO'!A:M,3,FALSE)</f>
        <v>Banheiro químico</v>
      </c>
      <c r="D283" s="65">
        <f>VLOOKUP(A283,'11 - FINANCEIRO'!A:M,10,0)</f>
        <v>2</v>
      </c>
      <c r="E283" s="88" t="str">
        <f>VLOOKUP(A283,'11 - FINANCEIRO'!A:M,4,0)</f>
        <v>und</v>
      </c>
      <c r="F283" s="41" t="str">
        <f t="shared" si="20"/>
        <v>6.1.8</v>
      </c>
      <c r="G283" s="29" t="str">
        <f t="shared" si="21"/>
        <v>POSITIVO</v>
      </c>
      <c r="H283" s="29">
        <f t="shared" si="22"/>
        <v>1</v>
      </c>
    </row>
    <row r="284" spans="1:9" hidden="1" x14ac:dyDescent="0.3">
      <c r="A284" s="78" t="s">
        <v>731</v>
      </c>
      <c r="B284" s="87" t="str">
        <f>VLOOKUP(A284,'11 - FINANCEIRO'!A:M,1,0)</f>
        <v>6.1.9</v>
      </c>
      <c r="C284" s="64" t="str">
        <f>VLOOKUP(A284,'11 - FINANCEIRO'!A:M,3,FALSE)</f>
        <v>Rip-rap de areia inclusive escavação, transporte e fornecimento de materiais</v>
      </c>
      <c r="D284" s="65">
        <f>VLOOKUP(A284,'11 - FINANCEIRO'!A:M,10,0)</f>
        <v>0</v>
      </c>
      <c r="E284" s="88" t="str">
        <f>VLOOKUP(A284,'11 - FINANCEIRO'!A:M,4,0)</f>
        <v>M³</v>
      </c>
      <c r="F284" s="41" t="str">
        <f t="shared" si="20"/>
        <v>6.1.9</v>
      </c>
      <c r="G284" s="29" t="str">
        <f t="shared" si="21"/>
        <v>NULO</v>
      </c>
      <c r="H284" s="29">
        <f t="shared" si="22"/>
        <v>0</v>
      </c>
    </row>
    <row r="285" spans="1:9" ht="33" x14ac:dyDescent="0.3">
      <c r="A285" s="78" t="s">
        <v>732</v>
      </c>
      <c r="B285" s="87" t="str">
        <f>VLOOKUP(A285,'11 - FINANCEIRO'!A:M,1,0)</f>
        <v>6.1.10</v>
      </c>
      <c r="C285" s="64" t="str">
        <f>VLOOKUP(A285,'11 - FINANCEIRO'!A:M,3,FALSE)</f>
        <v>Vigia noturno com encargos complementares</v>
      </c>
      <c r="D285" s="65">
        <f>VLOOKUP(A285,'11 - FINANCEIRO'!A:M,10,0)</f>
        <v>440</v>
      </c>
      <c r="E285" s="88" t="str">
        <f>VLOOKUP(A285,'11 - FINANCEIRO'!A:M,4,0)</f>
        <v>H</v>
      </c>
      <c r="F285" s="41" t="str">
        <f t="shared" si="20"/>
        <v>6.1.10</v>
      </c>
      <c r="G285" s="29" t="str">
        <f t="shared" si="21"/>
        <v>POSITIVO</v>
      </c>
      <c r="H285" s="29">
        <f t="shared" si="22"/>
        <v>1</v>
      </c>
    </row>
    <row r="286" spans="1:9" ht="33" x14ac:dyDescent="0.3">
      <c r="A286" s="78" t="s">
        <v>733</v>
      </c>
      <c r="B286" s="87" t="str">
        <f>VLOOKUP(A286,'11 - FINANCEIRO'!A:M,1,0)</f>
        <v>6.1.11</v>
      </c>
      <c r="C286" s="64" t="str">
        <f>VLOOKUP(A286,'11 - FINANCEIRO'!A:M,3,FALSE)</f>
        <v>Bomba D ́agua submersível para locação Motor: Elétrico Mono ou Trifásico Tensão: 220 V Diâmetro saída: 6 pol.  (BOMBA ELETRICA)</v>
      </c>
      <c r="D286" s="65">
        <f>VLOOKUP(A286,'11 - FINANCEIRO'!A:M,10,0)</f>
        <v>4</v>
      </c>
      <c r="E286" s="88" t="str">
        <f>VLOOKUP(A286,'11 - FINANCEIRO'!A:M,4,0)</f>
        <v>mês</v>
      </c>
      <c r="F286" s="41" t="str">
        <f t="shared" si="20"/>
        <v>6.1.11</v>
      </c>
      <c r="G286" s="29" t="str">
        <f t="shared" si="21"/>
        <v>POSITIVO</v>
      </c>
      <c r="H286" s="29">
        <f t="shared" si="22"/>
        <v>1</v>
      </c>
    </row>
    <row r="287" spans="1:9" ht="33" x14ac:dyDescent="0.3">
      <c r="A287" s="78" t="s">
        <v>735</v>
      </c>
      <c r="B287" s="87" t="str">
        <f>VLOOKUP(A287,'11 - FINANCEIRO'!A:M,1,0)</f>
        <v>6.1.12</v>
      </c>
      <c r="C287" s="64" t="str">
        <f>VLOOKUP(A287,'11 - FINANCEIRO'!A:M,3,FALSE)</f>
        <v>Serviço de revolvimento mecanico de material do bota espera</v>
      </c>
      <c r="D287" s="65">
        <f>VLOOKUP(A287,'11 - FINANCEIRO'!A:M,10,0)</f>
        <v>1</v>
      </c>
      <c r="E287" s="88" t="str">
        <f>VLOOKUP(A287,'11 - FINANCEIRO'!A:M,4,0)</f>
        <v>mês</v>
      </c>
      <c r="F287" s="41" t="str">
        <f t="shared" si="20"/>
        <v>6.1.12</v>
      </c>
      <c r="G287" s="29" t="str">
        <f t="shared" si="21"/>
        <v>POSITIVO</v>
      </c>
      <c r="H287" s="29">
        <f t="shared" si="22"/>
        <v>1</v>
      </c>
    </row>
    <row r="288" spans="1:9" ht="33" x14ac:dyDescent="0.3">
      <c r="A288" s="78" t="s">
        <v>737</v>
      </c>
      <c r="B288" s="87" t="str">
        <f>VLOOKUP(A288,'11 - FINANCEIRO'!A:M,1,0)</f>
        <v>6.1.13</v>
      </c>
      <c r="C288" s="64" t="str">
        <f>VLOOKUP(A288,'11 - FINANCEIRO'!A:M,3,FALSE)</f>
        <v>Escoramento para corpo de bueiros celulares - utilização de 3 vezes - confecção, instalação e retirada</v>
      </c>
      <c r="D288" s="65">
        <f>VLOOKUP(A288,'11 - FINANCEIRO'!A:M,10,0)</f>
        <v>151.79999999999995</v>
      </c>
      <c r="E288" s="88" t="str">
        <f>VLOOKUP(A288,'11 - FINANCEIRO'!A:M,4,0)</f>
        <v>m³</v>
      </c>
      <c r="F288" s="41" t="str">
        <f t="shared" si="20"/>
        <v>6.1.13</v>
      </c>
      <c r="G288" s="29" t="str">
        <f t="shared" si="21"/>
        <v>POSITIVO</v>
      </c>
      <c r="H288" s="29">
        <f t="shared" si="22"/>
        <v>1</v>
      </c>
    </row>
    <row r="289" spans="1:8" ht="33" x14ac:dyDescent="0.3">
      <c r="A289" s="78" t="s">
        <v>739</v>
      </c>
      <c r="B289" s="87" t="str">
        <f>VLOOKUP(A289,'11 - FINANCEIRO'!A:M,1,0)</f>
        <v>6.1.14</v>
      </c>
      <c r="C289" s="64" t="str">
        <f>VLOOKUP(A289,'11 - FINANCEIRO'!A:M,3,FALSE)</f>
        <v>TRANSPORTE, CARGA E DESCARGA LOCAL COM DMT ATÉ 3,0 KM (Caminhão basculante)</v>
      </c>
      <c r="D289" s="65">
        <f>VLOOKUP(A289,'11 - FINANCEIRO'!A:M,10,0)</f>
        <v>16609.370999999985</v>
      </c>
      <c r="E289" s="88" t="str">
        <f>VLOOKUP(A289,'11 - FINANCEIRO'!A:M,4,0)</f>
        <v>TXKM</v>
      </c>
      <c r="F289" s="41" t="str">
        <f t="shared" si="20"/>
        <v>6.1.14</v>
      </c>
      <c r="G289" s="29" t="str">
        <f t="shared" si="21"/>
        <v>POSITIVO</v>
      </c>
      <c r="H289" s="29">
        <f t="shared" si="22"/>
        <v>1</v>
      </c>
    </row>
    <row r="290" spans="1:8" ht="33" x14ac:dyDescent="0.3">
      <c r="A290" s="78" t="s">
        <v>740</v>
      </c>
      <c r="B290" s="87" t="str">
        <f>VLOOKUP(A290,'11 - FINANCEIRO'!A:M,1,0)</f>
        <v>6.1.15</v>
      </c>
      <c r="C290" s="64" t="str">
        <f>VLOOKUP(A290,'11 - FINANCEIRO'!A:M,3,FALSE)</f>
        <v>Poda em altura de árvore com diâmetro de tronco maior ou igual a 0,60 m.af_05/2018</v>
      </c>
      <c r="D290" s="65">
        <f>VLOOKUP(A290,'11 - FINANCEIRO'!A:M,10,0)</f>
        <v>68</v>
      </c>
      <c r="E290" s="88" t="str">
        <f>VLOOKUP(A290,'11 - FINANCEIRO'!A:M,4,0)</f>
        <v>und</v>
      </c>
      <c r="F290" s="41" t="str">
        <f t="shared" si="20"/>
        <v>6.1.15</v>
      </c>
      <c r="G290" s="29" t="str">
        <f t="shared" si="21"/>
        <v>POSITIVO</v>
      </c>
      <c r="H290" s="29">
        <f t="shared" si="22"/>
        <v>1</v>
      </c>
    </row>
    <row r="291" spans="1:8" ht="38.25" hidden="1" x14ac:dyDescent="0.3">
      <c r="A291" s="78" t="s">
        <v>741</v>
      </c>
      <c r="B291" s="87" t="str">
        <f>VLOOKUP(A291,'11 - FINANCEIRO'!A:M,1,0)</f>
        <v>6.1.16</v>
      </c>
      <c r="C291" s="64" t="str">
        <f>VLOOKUP(A291,'11 - FINANCEIRO'!A:M,3,FALSE)</f>
        <v>Padrão Móvel de entrada de energia trifás., inclusive poste de concreto (3 unds) cabo de ligação até frente de serviço, quadro de distrib., disj. e chave de força (quando necessário), cons. 20m entre padrão entrada e QDG, conf. projeto (02 utilizações).</v>
      </c>
      <c r="D291" s="65">
        <f>VLOOKUP(A291,'11 - FINANCEIRO'!A:M,10,0)</f>
        <v>0</v>
      </c>
      <c r="E291" s="88" t="str">
        <f>VLOOKUP(A291,'11 - FINANCEIRO'!A:M,4,0)</f>
        <v>m</v>
      </c>
      <c r="F291" s="41" t="str">
        <f t="shared" si="20"/>
        <v>6.1.16</v>
      </c>
      <c r="G291" s="29" t="str">
        <f t="shared" si="21"/>
        <v>NULO</v>
      </c>
      <c r="H291" s="29">
        <f t="shared" si="22"/>
        <v>0</v>
      </c>
    </row>
    <row r="292" spans="1:8" ht="33" x14ac:dyDescent="0.3">
      <c r="A292" s="78" t="s">
        <v>957</v>
      </c>
      <c r="B292" s="87" t="str">
        <f>VLOOKUP(A292,'11 - FINANCEIRO'!A:M,1,0)</f>
        <v>6.1.17</v>
      </c>
      <c r="C292" s="64" t="str">
        <f>VLOOKUP(A292,'11 - FINANCEIRO'!A:M,3,FALSE)</f>
        <v>Enrocamento de pedra espalhada - pedra de mão comercial - fornecimento e assentamento</v>
      </c>
      <c r="D292" s="65">
        <f>VLOOKUP(A292,'11 - FINANCEIRO'!A:M,10,0)</f>
        <v>1890.7870000000003</v>
      </c>
      <c r="E292" s="88" t="str">
        <f>VLOOKUP(A292,'11 - FINANCEIRO'!A:M,4,0)</f>
        <v>m³</v>
      </c>
      <c r="F292" s="41" t="str">
        <f t="shared" ref="F292:F298" si="23">A292</f>
        <v>6.1.17</v>
      </c>
      <c r="G292" s="29" t="str">
        <f t="shared" ref="G292:G298" si="24">IF(D292&gt;0,"POSITIVO",IF(D292=0,"NULO",IF(D292&lt;0,"NEGATIVO")))</f>
        <v>POSITIVO</v>
      </c>
      <c r="H292" s="29">
        <f t="shared" ref="H292:H298" si="25">IF(G292="NULO",0,1)</f>
        <v>1</v>
      </c>
    </row>
    <row r="293" spans="1:8" ht="33" x14ac:dyDescent="0.3">
      <c r="A293" s="78" t="s">
        <v>958</v>
      </c>
      <c r="B293" s="87" t="str">
        <f>VLOOKUP(A293,'11 - FINANCEIRO'!A:M,1,0)</f>
        <v>6.1.18</v>
      </c>
      <c r="C293" s="64" t="str">
        <f>VLOOKUP(A293,'11 - FINANCEIRO'!A:M,3,FALSE)</f>
        <v>Enrocamento rachão  espalhado  - rachão reciclado comercial - fornecimento e assentamento</v>
      </c>
      <c r="D293" s="65">
        <f>VLOOKUP(A293,'11 - FINANCEIRO'!A:M,10,0)</f>
        <v>1981.3039999999992</v>
      </c>
      <c r="E293" s="88" t="str">
        <f>VLOOKUP(A293,'11 - FINANCEIRO'!A:M,4,0)</f>
        <v>m³</v>
      </c>
      <c r="F293" s="41" t="str">
        <f t="shared" si="23"/>
        <v>6.1.18</v>
      </c>
      <c r="G293" s="29" t="str">
        <f t="shared" si="24"/>
        <v>POSITIVO</v>
      </c>
      <c r="H293" s="29">
        <f t="shared" si="25"/>
        <v>1</v>
      </c>
    </row>
    <row r="294" spans="1:8" ht="33" hidden="1" x14ac:dyDescent="0.3">
      <c r="A294" s="78" t="s">
        <v>959</v>
      </c>
      <c r="B294" s="87" t="str">
        <f>VLOOKUP(A294,'11 - FINANCEIRO'!A:M,1,0)</f>
        <v>6.1.19</v>
      </c>
      <c r="C294" s="64" t="str">
        <f>VLOOKUP(A294,'11 - FINANCEIRO'!A:M,3,FALSE)</f>
        <v>Pavimentação com blocos de concreto (35 MPa), esp.= 08 cm, colchão areia esp.= 5cm, inclusive fornecimento e transporte dos blocos e areia</v>
      </c>
      <c r="D294" s="65">
        <f>VLOOKUP(A294,'11 - FINANCEIRO'!A:M,10,0)</f>
        <v>0</v>
      </c>
      <c r="E294" s="88" t="str">
        <f>VLOOKUP(A294,'11 - FINANCEIRO'!A:M,4,0)</f>
        <v>m²</v>
      </c>
      <c r="F294" s="41" t="str">
        <f t="shared" si="23"/>
        <v>6.1.19</v>
      </c>
      <c r="G294" s="29" t="str">
        <f t="shared" si="24"/>
        <v>NULO</v>
      </c>
      <c r="H294" s="29">
        <f t="shared" si="25"/>
        <v>0</v>
      </c>
    </row>
    <row r="295" spans="1:8" ht="33" x14ac:dyDescent="0.3">
      <c r="A295" s="78" t="s">
        <v>960</v>
      </c>
      <c r="B295" s="87" t="str">
        <f>VLOOKUP(A295,'11 - FINANCEIRO'!A:M,1,0)</f>
        <v>6.1.20</v>
      </c>
      <c r="C295" s="64" t="str">
        <f>VLOOKUP(A295,'11 - FINANCEIRO'!A:M,3,FALSE)</f>
        <v>Remoção de solos moles, incluindo carregamento mecânico com escavadeira hidráulica em</v>
      </c>
      <c r="D295" s="65">
        <f>VLOOKUP(A295,'11 - FINANCEIRO'!A:M,10,0)</f>
        <v>945.39350000000013</v>
      </c>
      <c r="E295" s="88" t="str">
        <f>VLOOKUP(A295,'11 - FINANCEIRO'!A:M,4,0)</f>
        <v>m³</v>
      </c>
      <c r="F295" s="41" t="str">
        <f t="shared" si="23"/>
        <v>6.1.20</v>
      </c>
      <c r="G295" s="29" t="str">
        <f t="shared" si="24"/>
        <v>POSITIVO</v>
      </c>
      <c r="H295" s="29">
        <f t="shared" si="25"/>
        <v>1</v>
      </c>
    </row>
    <row r="296" spans="1:8" ht="33" hidden="1" x14ac:dyDescent="0.3">
      <c r="A296" s="78" t="s">
        <v>961</v>
      </c>
      <c r="B296" s="87" t="str">
        <f>VLOOKUP(A296,'11 - FINANCEIRO'!A:M,1,0)</f>
        <v>6.1.21</v>
      </c>
      <c r="C296" s="64" t="str">
        <f>VLOOKUP(A296,'11 - FINANCEIRO'!A:M,3,FALSE)</f>
        <v>Caixa ralo em blocos pré-moldados e grelha articulada em FFA em Vias Urbanas</v>
      </c>
      <c r="D296" s="65">
        <f>VLOOKUP(A296,'11 - FINANCEIRO'!A:M,10,0)</f>
        <v>0</v>
      </c>
      <c r="E296" s="88" t="str">
        <f>VLOOKUP(A296,'11 - FINANCEIRO'!A:M,4,0)</f>
        <v>UND</v>
      </c>
      <c r="F296" s="41" t="str">
        <f t="shared" si="23"/>
        <v>6.1.21</v>
      </c>
      <c r="G296" s="29" t="str">
        <f t="shared" si="24"/>
        <v>NULO</v>
      </c>
      <c r="H296" s="29">
        <f t="shared" si="25"/>
        <v>0</v>
      </c>
    </row>
    <row r="297" spans="1:8" ht="33" hidden="1" x14ac:dyDescent="0.3">
      <c r="A297" s="78" t="s">
        <v>962</v>
      </c>
      <c r="B297" s="87" t="str">
        <f>VLOOKUP(A297,'11 - FINANCEIRO'!A:M,1,0)</f>
        <v>6.1.22</v>
      </c>
      <c r="C297" s="64" t="str">
        <f>VLOOKUP(A297,'11 - FINANCEIRO'!A:M,3,FALSE)</f>
        <v>Base de brita graduada, inclusive fornecimento e transporte da brita</v>
      </c>
      <c r="D297" s="65">
        <f>VLOOKUP(A297,'11 - FINANCEIRO'!A:M,10,0)</f>
        <v>0</v>
      </c>
      <c r="E297" s="88" t="str">
        <f>VLOOKUP(A297,'11 - FINANCEIRO'!A:M,4,0)</f>
        <v>m³</v>
      </c>
      <c r="F297" s="41" t="str">
        <f t="shared" si="23"/>
        <v>6.1.22</v>
      </c>
      <c r="G297" s="29" t="str">
        <f t="shared" si="24"/>
        <v>NULO</v>
      </c>
      <c r="H297" s="29">
        <f t="shared" si="25"/>
        <v>0</v>
      </c>
    </row>
    <row r="298" spans="1:8" ht="33" hidden="1" x14ac:dyDescent="0.3">
      <c r="A298" s="78" t="s">
        <v>963</v>
      </c>
      <c r="B298" s="87" t="str">
        <f>VLOOKUP(A298,'11 - FINANCEIRO'!A:M,1,0)</f>
        <v>6.1.23</v>
      </c>
      <c r="C298" s="64" t="str">
        <f>VLOOKUP(A298,'11 - FINANCEIRO'!A:M,3,FALSE)</f>
        <v>Retirada manual de blocos pré-moldados de concreto (Blokret), inclusive empilhamento para reaproveitamento</v>
      </c>
      <c r="D298" s="65">
        <f>VLOOKUP(A298,'11 - FINANCEIRO'!A:M,10,0)</f>
        <v>0</v>
      </c>
      <c r="E298" s="88" t="str">
        <f>VLOOKUP(A298,'11 - FINANCEIRO'!A:M,4,0)</f>
        <v>m²</v>
      </c>
      <c r="F298" s="41" t="str">
        <f t="shared" si="23"/>
        <v>6.1.23</v>
      </c>
      <c r="G298" s="29" t="str">
        <f t="shared" si="24"/>
        <v>NULO</v>
      </c>
      <c r="H298" s="29">
        <f t="shared" si="25"/>
        <v>0</v>
      </c>
    </row>
    <row r="299" spans="1:8" ht="51" x14ac:dyDescent="0.3">
      <c r="A299" s="78" t="s">
        <v>1142</v>
      </c>
      <c r="B299" s="87" t="str">
        <f>VLOOKUP(A299,'11 - FINANCEIRO'!A:M,1,0)</f>
        <v>6.1.24</v>
      </c>
      <c r="C299" s="64" t="str">
        <f>VLOOKUP(A299,'11 - FINANCEIRO'!A:M,3,FALSE)</f>
        <v>REATERRO MECANIZADO DE VALA COM ESCAVADEIRA HIDRÁULICA
(CAPACIDADE DA CAÇA MBA: 0,8 M³ / POTÊNCIA: 111 HP),
LARGURA ATÉ 1,5 M, PROFUNDIDADE DE 1,5 A 3,0 M, COM SOLO
DE 1ª CATEGORIA EM LOCAIS COM ALTO NÍVEL DE INTERFERÊNCIA</v>
      </c>
      <c r="D299" s="65">
        <f>VLOOKUP(A299,'11 - FINANCEIRO'!A:M,10,0)</f>
        <v>662.13200000000052</v>
      </c>
      <c r="E299" s="88" t="str">
        <f>VLOOKUP(A299,'11 - FINANCEIRO'!A:M,4,0)</f>
        <v>m³</v>
      </c>
      <c r="F299" s="41" t="str">
        <f t="shared" ref="F299" si="26">A299</f>
        <v>6.1.24</v>
      </c>
      <c r="G299" s="29" t="str">
        <f t="shared" ref="G299" si="27">IF(D299&gt;0,"POSITIVO",IF(D299=0,"NULO",IF(D299&lt;0,"NEGATIVO")))</f>
        <v>POSITIVO</v>
      </c>
      <c r="H299" s="29">
        <f t="shared" ref="H299" si="28">IF(G299="NULO",0,1)</f>
        <v>1</v>
      </c>
    </row>
    <row r="300" spans="1:8" ht="24.75" customHeight="1" x14ac:dyDescent="0.3">
      <c r="A300" s="78" t="s">
        <v>1143</v>
      </c>
      <c r="B300" s="87" t="str">
        <f>VLOOKUP(A300,'11 - FINANCEIRO'!A:M,1,0)</f>
        <v>6.1.25</v>
      </c>
      <c r="C300" s="64" t="str">
        <f>VLOOKUP(A300,'11 - FINANCEIRO'!A:M,3,FALSE)</f>
        <v>Serviço manual de limpeza e raspagem de terreno, pós movimentação de material de reaterro, inclusive raspagem de equipamento basculante.</v>
      </c>
      <c r="D300" s="65">
        <f>VLOOKUP(A300,'11 - FINANCEIRO'!A:M,10,0)</f>
        <v>662.13200000000052</v>
      </c>
      <c r="E300" s="88" t="str">
        <f>VLOOKUP(A300,'11 - FINANCEIRO'!A:M,4,0)</f>
        <v>m³</v>
      </c>
      <c r="F300" s="41" t="str">
        <f t="shared" ref="F300:F310" si="29">A300</f>
        <v>6.1.25</v>
      </c>
      <c r="G300" s="29" t="str">
        <f t="shared" ref="G300:G305" si="30">IF(D300&gt;0,"POSITIVO",IF(D300=0,"NULO",IF(D300&lt;0,"NEGATIVO")))</f>
        <v>POSITIVO</v>
      </c>
      <c r="H300" s="29">
        <f t="shared" ref="H300:H305" si="31">IF(G300="NULO",0,1)</f>
        <v>1</v>
      </c>
    </row>
    <row r="301" spans="1:8" ht="19.5" customHeight="1" x14ac:dyDescent="0.3">
      <c r="A301" s="78" t="s">
        <v>1144</v>
      </c>
      <c r="B301" s="87" t="str">
        <f>VLOOKUP(A301,'11 - FINANCEIRO'!A:M,1,0)</f>
        <v>6.1.26</v>
      </c>
      <c r="C301" s="64" t="str">
        <f>VLOOKUP(A301,'11 - FINANCEIRO'!A:M,3,FALSE)</f>
        <v>Conjunto motobomba centrífuga 6", a diesel/gasolina, 24 CV, com acessórios.</v>
      </c>
      <c r="D301" s="65">
        <f>VLOOKUP(A301,'11 - FINANCEIRO'!A:M,10,0)</f>
        <v>2</v>
      </c>
      <c r="E301" s="88" t="str">
        <f>VLOOKUP(A301,'11 - FINANCEIRO'!A:M,4,0)</f>
        <v>mês</v>
      </c>
      <c r="F301" s="41" t="str">
        <f t="shared" si="29"/>
        <v>6.1.26</v>
      </c>
      <c r="G301" s="29" t="str">
        <f t="shared" si="30"/>
        <v>POSITIVO</v>
      </c>
      <c r="H301" s="29">
        <f t="shared" si="31"/>
        <v>1</v>
      </c>
    </row>
    <row r="302" spans="1:8" ht="15" hidden="1" customHeight="1" x14ac:dyDescent="0.3">
      <c r="A302" s="78" t="s">
        <v>1145</v>
      </c>
      <c r="B302" s="87" t="str">
        <f>VLOOKUP(A302,'11 - FINANCEIRO'!A:M,1,0)</f>
        <v>6.1.27</v>
      </c>
      <c r="C302" s="64" t="str">
        <f>VLOOKUP(A302,'11 - FINANCEIRO'!A:M,3,FALSE)</f>
        <v>Limpeza sob a ponte Moacir Gonçalves</v>
      </c>
      <c r="D302" s="65">
        <f>VLOOKUP(A302,'11 - FINANCEIRO'!A:M,10,0)</f>
        <v>0</v>
      </c>
      <c r="E302" s="88" t="str">
        <f>VLOOKUP(A302,'11 - FINANCEIRO'!A:M,4,0)</f>
        <v>und</v>
      </c>
      <c r="F302" s="41" t="str">
        <f t="shared" si="29"/>
        <v>6.1.27</v>
      </c>
      <c r="G302" s="29" t="str">
        <f t="shared" si="30"/>
        <v>NULO</v>
      </c>
      <c r="H302" s="29">
        <f t="shared" si="31"/>
        <v>0</v>
      </c>
    </row>
    <row r="303" spans="1:8" ht="24.75" hidden="1" customHeight="1" x14ac:dyDescent="0.3">
      <c r="A303" s="78" t="s">
        <v>1146</v>
      </c>
      <c r="B303" s="87" t="str">
        <f>VLOOKUP(A303,'11 - FINANCEIRO'!A:M,1,0)</f>
        <v>6.1.28</v>
      </c>
      <c r="C303" s="64" t="str">
        <f>VLOOKUP(A303,'11 - FINANCEIRO'!A:M,3,FALSE)</f>
        <v>Corpo de BSCC 3,00 x 3,00 m - moldado no local - altura do aterro 0,00 a 1,00 m - areia e brita comerciais</v>
      </c>
      <c r="D303" s="65">
        <f>VLOOKUP(A303,'11 - FINANCEIRO'!A:M,10,0)</f>
        <v>0</v>
      </c>
      <c r="E303" s="88" t="str">
        <f>VLOOKUP(A303,'11 - FINANCEIRO'!A:M,4,0)</f>
        <v>m</v>
      </c>
      <c r="F303" s="41" t="str">
        <f t="shared" si="29"/>
        <v>6.1.28</v>
      </c>
      <c r="G303" s="29" t="str">
        <f t="shared" si="30"/>
        <v>NULO</v>
      </c>
      <c r="H303" s="29">
        <f t="shared" si="31"/>
        <v>0</v>
      </c>
    </row>
    <row r="304" spans="1:8" ht="19.5" hidden="1" customHeight="1" x14ac:dyDescent="0.3">
      <c r="A304" s="78" t="s">
        <v>1147</v>
      </c>
      <c r="B304" s="87" t="str">
        <f>VLOOKUP(A304,'11 - FINANCEIRO'!A:M,1,0)</f>
        <v>6.1.29</v>
      </c>
      <c r="C304" s="64" t="str">
        <f>VLOOKUP(A304,'11 - FINANCEIRO'!A:M,3,FALSE)</f>
        <v>Equipe de Pare e Siga com sinalização</v>
      </c>
      <c r="D304" s="65">
        <f>VLOOKUP(A304,'11 - FINANCEIRO'!A:M,10,0)</f>
        <v>0</v>
      </c>
      <c r="E304" s="88" t="str">
        <f>VLOOKUP(A304,'11 - FINANCEIRO'!A:M,4,0)</f>
        <v>h</v>
      </c>
      <c r="F304" s="41" t="str">
        <f t="shared" si="29"/>
        <v>6.1.29</v>
      </c>
      <c r="G304" s="29" t="str">
        <f t="shared" si="30"/>
        <v>NULO</v>
      </c>
      <c r="H304" s="29">
        <f t="shared" si="31"/>
        <v>0</v>
      </c>
    </row>
    <row r="305" spans="1:8" ht="18" hidden="1" customHeight="1" x14ac:dyDescent="0.3">
      <c r="A305" s="78" t="s">
        <v>1148</v>
      </c>
      <c r="B305" s="87" t="str">
        <f>VLOOKUP(A305,'11 - FINANCEIRO'!A:M,1,0)</f>
        <v>6.1.30</v>
      </c>
      <c r="C305" s="64" t="str">
        <f>VLOOKUP(A305,'11 - FINANCEIRO'!A:M,3,FALSE)</f>
        <v>Padrão Móvel de entrada de energia trifás., Realocação</v>
      </c>
      <c r="D305" s="65">
        <f>VLOOKUP(A305,'11 - FINANCEIRO'!A:M,10,0)</f>
        <v>0</v>
      </c>
      <c r="E305" s="88" t="str">
        <f>VLOOKUP(A305,'11 - FINANCEIRO'!A:M,4,0)</f>
        <v>m</v>
      </c>
      <c r="F305" s="41" t="str">
        <f t="shared" si="29"/>
        <v>6.1.30</v>
      </c>
      <c r="G305" s="29" t="str">
        <f t="shared" si="30"/>
        <v>NULO</v>
      </c>
      <c r="H305" s="29">
        <f t="shared" si="31"/>
        <v>0</v>
      </c>
    </row>
    <row r="306" spans="1:8" ht="33" x14ac:dyDescent="0.3">
      <c r="A306" s="78" t="s">
        <v>1337</v>
      </c>
      <c r="B306" s="87" t="str">
        <f>VLOOKUP(A306,'11 - FINANCEIRO'!A:M,1,0)</f>
        <v>6.1.32</v>
      </c>
      <c r="C306" s="64" t="str">
        <f>VLOOKUP(A306,'11 - FINANCEIRO'!A:M,3,FALSE)</f>
        <v xml:space="preserve">Corpo de BSCC 2,00 x 1,50 m - moldado no local - altura do aterro 0,00 a 1,00 m - areia extraída e brita produzida </v>
      </c>
      <c r="D306" s="65">
        <f>VLOOKUP(A306,'11 - FINANCEIRO'!A:M,10,0)</f>
        <v>6</v>
      </c>
      <c r="E306" s="88" t="str">
        <f>VLOOKUP(A306,'11 - FINANCEIRO'!A:M,4,0)</f>
        <v>m</v>
      </c>
      <c r="F306" s="41" t="str">
        <f t="shared" si="29"/>
        <v>6.1.32</v>
      </c>
      <c r="G306" s="29" t="str">
        <f t="shared" ref="G306:G310" si="32">IF(D306&gt;0,"POSITIVO",IF(D306=0,"NULO",IF(D306&lt;0,"NEGATIVO")))</f>
        <v>POSITIVO</v>
      </c>
      <c r="H306" s="29">
        <f t="shared" ref="H306:H310" si="33">IF(G306="NULO",0,1)</f>
        <v>1</v>
      </c>
    </row>
    <row r="307" spans="1:8" ht="33" hidden="1" x14ac:dyDescent="0.3">
      <c r="A307" s="78" t="s">
        <v>1338</v>
      </c>
      <c r="B307" s="87" t="str">
        <f>VLOOKUP(A307,'11 - FINANCEIRO'!A:M,1,0)</f>
        <v>6.1.33</v>
      </c>
      <c r="C307" s="64" t="str">
        <f>VLOOKUP(A307,'11 - FINANCEIRO'!A:M,3,FALSE)</f>
        <v>Corpo BSTC (greide) diâmetro 1,20 m CA-1 MF inclusive escavação, reaterro e transporte do tubo</v>
      </c>
      <c r="D307" s="65">
        <f>VLOOKUP(A307,'11 - FINANCEIRO'!A:M,10,0)</f>
        <v>0</v>
      </c>
      <c r="E307" s="88" t="str">
        <f>VLOOKUP(A307,'11 - FINANCEIRO'!A:M,4,0)</f>
        <v>m</v>
      </c>
      <c r="F307" s="41" t="str">
        <f t="shared" si="29"/>
        <v>6.1.33</v>
      </c>
      <c r="G307" s="29" t="str">
        <f t="shared" si="32"/>
        <v>NULO</v>
      </c>
      <c r="H307" s="29">
        <f t="shared" si="33"/>
        <v>0</v>
      </c>
    </row>
    <row r="308" spans="1:8" ht="15" hidden="1" customHeight="1" x14ac:dyDescent="0.3">
      <c r="A308" s="78" t="s">
        <v>1339</v>
      </c>
      <c r="B308" s="87" t="str">
        <f>VLOOKUP(A308,'11 - FINANCEIRO'!A:M,1,0)</f>
        <v>6.1.34</v>
      </c>
      <c r="C308" s="64" t="str">
        <f>VLOOKUP(A308,'11 - FINANCEIRO'!A:M,3,FALSE)</f>
        <v xml:space="preserve">Guarda Corpo para barreira do canal </v>
      </c>
      <c r="D308" s="65">
        <f>VLOOKUP(A308,'11 - FINANCEIRO'!A:M,10,0)</f>
        <v>0</v>
      </c>
      <c r="E308" s="88" t="str">
        <f>VLOOKUP(A308,'11 - FINANCEIRO'!A:M,4,0)</f>
        <v>m</v>
      </c>
      <c r="F308" s="41" t="str">
        <f t="shared" si="29"/>
        <v>6.1.34</v>
      </c>
      <c r="G308" s="29" t="str">
        <f t="shared" si="32"/>
        <v>NULO</v>
      </c>
      <c r="H308" s="29">
        <f t="shared" si="33"/>
        <v>0</v>
      </c>
    </row>
    <row r="309" spans="1:8" ht="33" x14ac:dyDescent="0.3">
      <c r="A309" s="78" t="s">
        <v>1340</v>
      </c>
      <c r="B309" s="87" t="str">
        <f>VLOOKUP(A309,'11 - FINANCEIRO'!A:M,1,0)</f>
        <v>6.1.35</v>
      </c>
      <c r="C309" s="64" t="str">
        <f>VLOOKUP(A309,'11 - FINANCEIRO'!A:M,3,FALSE)</f>
        <v>Transporte com caminhão basculante com caçamba estanque com capacidade de 14 m³ - rodovia pavimentada</v>
      </c>
      <c r="D309" s="65">
        <f>VLOOKUP(A309,'11 - FINANCEIRO'!A:M,10,0)</f>
        <v>1306374.8119999999</v>
      </c>
      <c r="E309" s="88" t="str">
        <f>VLOOKUP(A309,'11 - FINANCEIRO'!A:M,4,0)</f>
        <v>tkm</v>
      </c>
      <c r="F309" s="41" t="str">
        <f t="shared" si="29"/>
        <v>6.1.35</v>
      </c>
      <c r="G309" s="29" t="str">
        <f t="shared" si="32"/>
        <v>POSITIVO</v>
      </c>
      <c r="H309" s="29">
        <f t="shared" si="33"/>
        <v>1</v>
      </c>
    </row>
    <row r="310" spans="1:8" ht="15" hidden="1" customHeight="1" x14ac:dyDescent="0.3">
      <c r="A310" s="78" t="s">
        <v>1341</v>
      </c>
      <c r="B310" s="87" t="str">
        <f>VLOOKUP(A310,'11 - FINANCEIRO'!A:M,1,0)</f>
        <v>6.1.36</v>
      </c>
      <c r="C310" s="64" t="str">
        <f>VLOOKUP(A310,'11 - FINANCEIRO'!A:M,3,FALSE)</f>
        <v xml:space="preserve">MURO TIPO 5: BLOCO DE CONCRETO APARENTE </v>
      </c>
      <c r="D310" s="65">
        <f>VLOOKUP(A310,'11 - FINANCEIRO'!A:M,10,0)</f>
        <v>0</v>
      </c>
      <c r="E310" s="88" t="str">
        <f>VLOOKUP(A310,'11 - FINANCEIRO'!A:M,4,0)</f>
        <v>m</v>
      </c>
      <c r="F310" s="41" t="str">
        <f t="shared" si="29"/>
        <v>6.1.36</v>
      </c>
      <c r="G310" s="29" t="str">
        <f t="shared" si="32"/>
        <v>NULO</v>
      </c>
      <c r="H310" s="29">
        <f t="shared" si="33"/>
        <v>0</v>
      </c>
    </row>
    <row r="311" spans="1:8" ht="15" customHeight="1" x14ac:dyDescent="0.3">
      <c r="A311" s="50"/>
      <c r="B311" s="94"/>
      <c r="C311" s="95"/>
      <c r="D311" s="94"/>
      <c r="E311" s="94"/>
      <c r="F311" s="28"/>
    </row>
    <row r="312" spans="1:8" ht="15.75" customHeight="1" x14ac:dyDescent="0.3">
      <c r="B312" s="94"/>
      <c r="C312" s="96" t="s">
        <v>268</v>
      </c>
      <c r="D312" s="94"/>
      <c r="E312" s="94"/>
      <c r="F312" s="28"/>
    </row>
    <row r="313" spans="1:8" ht="15.75" customHeight="1" x14ac:dyDescent="0.3">
      <c r="B313" s="94"/>
      <c r="C313" s="95" t="s">
        <v>1172</v>
      </c>
      <c r="D313" s="94"/>
      <c r="E313" s="94"/>
      <c r="F313" s="28"/>
    </row>
    <row r="314" spans="1:8" x14ac:dyDescent="0.3">
      <c r="B314" s="94"/>
      <c r="C314" s="96" t="s">
        <v>269</v>
      </c>
      <c r="D314" s="94"/>
      <c r="E314" s="94"/>
      <c r="F314" s="28"/>
    </row>
    <row r="315" spans="1:8" x14ac:dyDescent="0.3">
      <c r="B315" s="94"/>
      <c r="C315" s="96"/>
      <c r="D315" s="94"/>
      <c r="E315" s="94"/>
      <c r="F315" s="28"/>
    </row>
    <row r="316" spans="1:8" x14ac:dyDescent="0.3">
      <c r="B316" s="94"/>
      <c r="C316" s="95"/>
      <c r="D316" s="94"/>
      <c r="E316" s="94"/>
      <c r="F316" s="28"/>
    </row>
    <row r="317" spans="1:8" x14ac:dyDescent="0.3">
      <c r="B317" s="94"/>
      <c r="C317" s="96"/>
      <c r="D317" s="94"/>
      <c r="E317" s="94"/>
      <c r="F317" s="28"/>
    </row>
    <row r="318" spans="1:8" x14ac:dyDescent="0.3">
      <c r="B318" s="94"/>
      <c r="C318" s="98"/>
      <c r="D318" s="94"/>
      <c r="E318" s="94"/>
      <c r="F318" s="28"/>
    </row>
    <row r="319" spans="1:8" ht="20.25" x14ac:dyDescent="0.3">
      <c r="D319" s="1302">
        <f>'11 - FINANCEIRO'!M1</f>
        <v>2407836.6199999996</v>
      </c>
      <c r="E319" s="1302"/>
      <c r="F319" s="28"/>
    </row>
    <row r="320" spans="1:8" x14ac:dyDescent="0.3">
      <c r="F320" s="28"/>
    </row>
    <row r="321" spans="6:6" x14ac:dyDescent="0.3">
      <c r="F321" s="28"/>
    </row>
    <row r="322" spans="6:6" x14ac:dyDescent="0.3">
      <c r="F322" s="28"/>
    </row>
    <row r="323" spans="6:6" x14ac:dyDescent="0.3">
      <c r="F323" s="28"/>
    </row>
    <row r="324" spans="6:6" x14ac:dyDescent="0.3">
      <c r="F324" s="28"/>
    </row>
    <row r="325" spans="6:6" x14ac:dyDescent="0.3">
      <c r="F325" s="28"/>
    </row>
    <row r="326" spans="6:6" x14ac:dyDescent="0.3">
      <c r="F326" s="28"/>
    </row>
    <row r="327" spans="6:6" x14ac:dyDescent="0.3">
      <c r="F327" s="28"/>
    </row>
    <row r="328" spans="6:6" x14ac:dyDescent="0.3">
      <c r="F328" s="28"/>
    </row>
    <row r="329" spans="6:6" x14ac:dyDescent="0.3">
      <c r="F329" s="28"/>
    </row>
    <row r="330" spans="6:6" x14ac:dyDescent="0.3">
      <c r="F330" s="28"/>
    </row>
    <row r="331" spans="6:6" x14ac:dyDescent="0.3">
      <c r="F331" s="28"/>
    </row>
    <row r="332" spans="6:6" x14ac:dyDescent="0.3">
      <c r="F332" s="28"/>
    </row>
    <row r="333" spans="6:6" x14ac:dyDescent="0.3">
      <c r="F333" s="28"/>
    </row>
    <row r="334" spans="6:6" x14ac:dyDescent="0.3">
      <c r="F334" s="28"/>
    </row>
    <row r="335" spans="6:6" x14ac:dyDescent="0.3">
      <c r="F335" s="28"/>
    </row>
    <row r="336" spans="6:6" x14ac:dyDescent="0.3">
      <c r="F336" s="28"/>
    </row>
    <row r="337" spans="6:6" x14ac:dyDescent="0.3">
      <c r="F337" s="28"/>
    </row>
    <row r="338" spans="6:6" x14ac:dyDescent="0.3">
      <c r="F338" s="28"/>
    </row>
    <row r="339" spans="6:6" x14ac:dyDescent="0.3">
      <c r="F339" s="28"/>
    </row>
    <row r="340" spans="6:6" x14ac:dyDescent="0.3">
      <c r="F340" s="28"/>
    </row>
    <row r="341" spans="6:6" x14ac:dyDescent="0.3">
      <c r="F341" s="28"/>
    </row>
    <row r="342" spans="6:6" x14ac:dyDescent="0.3">
      <c r="F342" s="28"/>
    </row>
    <row r="427" spans="3:3" ht="33" x14ac:dyDescent="0.3">
      <c r="C427" s="30" t="s">
        <v>270</v>
      </c>
    </row>
    <row r="634" spans="3:3" ht="33" x14ac:dyDescent="0.3">
      <c r="C634" s="30" t="s">
        <v>271</v>
      </c>
    </row>
  </sheetData>
  <autoFilter ref="A14:I310">
    <filterColumn colId="1" showButton="0"/>
    <filterColumn colId="2" showButton="0"/>
    <filterColumn colId="3" showButton="0"/>
    <filterColumn colId="7">
      <filters>
        <filter val="1"/>
        <filter val="10"/>
        <filter val="12"/>
        <filter val="2"/>
        <filter val="3"/>
        <filter val="4"/>
        <filter val="5"/>
        <filter val="6"/>
        <filter val="60"/>
        <filter val="8"/>
        <filter val="9"/>
      </filters>
    </filterColumn>
  </autoFilter>
  <mergeCells count="3">
    <mergeCell ref="C2:C5"/>
    <mergeCell ref="B14:E14"/>
    <mergeCell ref="D319:E319"/>
  </mergeCells>
  <printOptions horizontalCentered="1"/>
  <pageMargins left="0.25" right="0.25" top="0.75" bottom="0.75" header="0.3" footer="0.3"/>
  <pageSetup paperSize="9" scale="85" fitToHeight="0" orientation="portrait" horizontalDpi="360" verticalDpi="360" r:id="rId1"/>
  <rowBreaks count="5" manualBreakCount="5">
    <brk id="30" min="1" max="4" man="1"/>
    <brk id="67" min="1" max="4" man="1"/>
    <brk id="140" min="1" max="4" man="1"/>
    <brk id="272" min="1" max="4" man="1"/>
    <brk id="299" min="1"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496"/>
  <sheetViews>
    <sheetView tabSelected="1" view="pageBreakPreview" zoomScale="80" zoomScaleNormal="70" zoomScaleSheetLayoutView="80" workbookViewId="0">
      <pane ySplit="14" topLeftCell="A301" activePane="bottomLeft" state="frozen"/>
      <selection activeCell="J54" sqref="J54"/>
      <selection pane="bottomLeft" activeCell="M318" sqref="M318"/>
    </sheetView>
  </sheetViews>
  <sheetFormatPr defaultColWidth="9.140625" defaultRowHeight="15" outlineLevelRow="1" x14ac:dyDescent="0.25"/>
  <cols>
    <col min="1" max="1" width="15" style="245" customWidth="1"/>
    <col min="2" max="2" width="12.140625" customWidth="1"/>
    <col min="3" max="3" width="77.5703125" customWidth="1"/>
    <col min="4" max="4" width="5.42578125" customWidth="1"/>
    <col min="5" max="5" width="13.5703125" customWidth="1"/>
    <col min="6" max="6" width="18.5703125" style="246" customWidth="1"/>
    <col min="7" max="7" width="20" customWidth="1"/>
    <col min="8" max="8" width="14.42578125" customWidth="1"/>
    <col min="9" max="9" width="18.5703125" customWidth="1"/>
    <col min="10" max="10" width="14.42578125" customWidth="1"/>
    <col min="11" max="11" width="21.5703125" customWidth="1"/>
    <col min="12" max="12" width="14.42578125" customWidth="1"/>
    <col min="13" max="13" width="18.5703125" customWidth="1"/>
    <col min="14" max="14" width="14.28515625" style="247" customWidth="1"/>
    <col min="15" max="15" width="18.42578125" style="989" customWidth="1"/>
    <col min="16" max="16" width="15.42578125" style="982" hidden="1" customWidth="1"/>
    <col min="18" max="18" width="9.7109375" bestFit="1" customWidth="1"/>
    <col min="19" max="23" width="9.28515625" bestFit="1" customWidth="1"/>
  </cols>
  <sheetData>
    <row r="1" spans="1:16" x14ac:dyDescent="0.25">
      <c r="A1" s="100"/>
      <c r="B1" s="101"/>
      <c r="C1" s="101"/>
      <c r="D1" s="101"/>
      <c r="E1" s="101"/>
      <c r="F1" s="102"/>
      <c r="G1" s="103"/>
      <c r="H1" s="104"/>
      <c r="I1" s="105"/>
      <c r="J1" s="106"/>
      <c r="K1" s="107"/>
      <c r="L1" s="107"/>
      <c r="M1" s="105">
        <f>K318</f>
        <v>2407836.6199999996</v>
      </c>
      <c r="N1" s="108"/>
      <c r="O1" s="983"/>
      <c r="P1" s="109"/>
    </row>
    <row r="2" spans="1:16" x14ac:dyDescent="0.25">
      <c r="A2" s="1316" t="s">
        <v>1138</v>
      </c>
      <c r="B2" s="1317"/>
      <c r="C2" s="1317"/>
      <c r="D2" s="1317"/>
      <c r="E2" s="1317"/>
      <c r="F2" s="1317"/>
      <c r="G2" s="1317"/>
      <c r="H2" s="1317"/>
      <c r="I2" s="1317"/>
      <c r="J2" s="1317"/>
      <c r="K2" s="1317"/>
      <c r="L2" s="1317"/>
      <c r="M2" s="1318"/>
      <c r="N2" s="110"/>
      <c r="O2" s="984"/>
      <c r="P2" s="980"/>
    </row>
    <row r="3" spans="1:16" x14ac:dyDescent="0.25">
      <c r="A3" s="1319"/>
      <c r="B3" s="1320"/>
      <c r="C3" s="1320"/>
      <c r="D3" s="1320"/>
      <c r="E3" s="1320"/>
      <c r="F3" s="1320"/>
      <c r="G3" s="1320"/>
      <c r="H3" s="1320"/>
      <c r="I3" s="1320"/>
      <c r="J3" s="1320"/>
      <c r="K3" s="1320"/>
      <c r="L3" s="1320"/>
      <c r="M3" s="1321"/>
      <c r="N3" s="110"/>
      <c r="O3" s="984"/>
      <c r="P3" s="980"/>
    </row>
    <row r="4" spans="1:16" x14ac:dyDescent="0.25">
      <c r="A4" s="1319"/>
      <c r="B4" s="1320"/>
      <c r="C4" s="1320"/>
      <c r="D4" s="1320"/>
      <c r="E4" s="1320"/>
      <c r="F4" s="1320"/>
      <c r="G4" s="1320"/>
      <c r="H4" s="1320"/>
      <c r="I4" s="1320"/>
      <c r="J4" s="1320"/>
      <c r="K4" s="1320"/>
      <c r="L4" s="1320"/>
      <c r="M4" s="1321"/>
      <c r="N4" s="110"/>
      <c r="O4" s="984"/>
      <c r="P4" s="980"/>
    </row>
    <row r="5" spans="1:16" x14ac:dyDescent="0.25">
      <c r="A5" s="1322"/>
      <c r="B5" s="1323"/>
      <c r="C5" s="1323"/>
      <c r="D5" s="1323"/>
      <c r="E5" s="1323"/>
      <c r="F5" s="1323"/>
      <c r="G5" s="1323"/>
      <c r="H5" s="1323"/>
      <c r="I5" s="1323"/>
      <c r="J5" s="1323"/>
      <c r="K5" s="1323"/>
      <c r="L5" s="1323"/>
      <c r="M5" s="1324"/>
      <c r="N5" s="110"/>
      <c r="O5" s="984"/>
      <c r="P5" s="980"/>
    </row>
    <row r="6" spans="1:16" x14ac:dyDescent="0.25">
      <c r="A6" s="1325" t="s">
        <v>272</v>
      </c>
      <c r="B6" s="1326"/>
      <c r="C6" s="1327"/>
      <c r="D6" s="1325" t="s">
        <v>273</v>
      </c>
      <c r="E6" s="1326"/>
      <c r="F6" s="1326"/>
      <c r="G6" s="1326"/>
      <c r="H6" s="1327"/>
      <c r="I6" s="1325" t="s">
        <v>274</v>
      </c>
      <c r="J6" s="1326"/>
      <c r="K6" s="1326"/>
      <c r="L6" s="1326"/>
      <c r="M6" s="1327"/>
      <c r="N6" s="110"/>
      <c r="O6" s="984"/>
      <c r="P6" s="980"/>
    </row>
    <row r="7" spans="1:16" x14ac:dyDescent="0.25">
      <c r="A7" s="1328" t="s">
        <v>275</v>
      </c>
      <c r="B7" s="1329"/>
      <c r="C7" s="112" t="s">
        <v>276</v>
      </c>
      <c r="D7" s="113" t="s">
        <v>0</v>
      </c>
      <c r="E7" s="114"/>
      <c r="F7" s="115" t="s">
        <v>1</v>
      </c>
      <c r="G7" s="116"/>
      <c r="H7" s="117"/>
      <c r="I7" s="116" t="s">
        <v>277</v>
      </c>
      <c r="J7" s="1330"/>
      <c r="K7" s="1331"/>
      <c r="L7" s="1331"/>
      <c r="M7" s="1332"/>
      <c r="N7" s="110"/>
      <c r="O7" s="984"/>
      <c r="P7" s="980"/>
    </row>
    <row r="8" spans="1:16" x14ac:dyDescent="0.25">
      <c r="A8" s="1309" t="s">
        <v>278</v>
      </c>
      <c r="B8" s="1310"/>
      <c r="C8" s="118" t="s">
        <v>279</v>
      </c>
      <c r="D8" s="119" t="s">
        <v>280</v>
      </c>
      <c r="E8" s="120"/>
      <c r="F8" s="121" t="s">
        <v>5</v>
      </c>
      <c r="G8" s="120"/>
      <c r="H8" s="122"/>
      <c r="I8" s="120" t="s">
        <v>280</v>
      </c>
      <c r="J8" s="123"/>
      <c r="K8" s="123"/>
      <c r="L8" s="124"/>
      <c r="M8" s="125"/>
      <c r="N8" s="110"/>
      <c r="O8" s="984"/>
      <c r="P8" s="980"/>
    </row>
    <row r="9" spans="1:16" x14ac:dyDescent="0.25">
      <c r="A9" s="1309" t="s">
        <v>282</v>
      </c>
      <c r="B9" s="1310"/>
      <c r="C9" s="126">
        <v>44</v>
      </c>
      <c r="D9" s="119" t="s">
        <v>283</v>
      </c>
      <c r="E9" s="120"/>
      <c r="F9" s="127">
        <v>44742</v>
      </c>
      <c r="G9" s="120"/>
      <c r="H9" s="122"/>
      <c r="I9" s="120" t="s">
        <v>283</v>
      </c>
      <c r="J9" s="127"/>
      <c r="K9" s="127"/>
      <c r="L9" s="124"/>
      <c r="M9" s="125"/>
      <c r="N9" s="110"/>
      <c r="O9" s="984"/>
      <c r="P9" s="980"/>
    </row>
    <row r="10" spans="1:16" x14ac:dyDescent="0.25">
      <c r="A10" s="1309" t="s">
        <v>284</v>
      </c>
      <c r="B10" s="1310"/>
      <c r="C10" s="1224" t="s">
        <v>1335</v>
      </c>
      <c r="D10" s="128" t="s">
        <v>285</v>
      </c>
      <c r="E10" s="129"/>
      <c r="F10" s="130">
        <v>44776</v>
      </c>
      <c r="G10" s="120"/>
      <c r="H10" s="122"/>
      <c r="I10" s="120" t="s">
        <v>285</v>
      </c>
      <c r="J10" s="127"/>
      <c r="K10" s="127"/>
      <c r="L10" s="124"/>
      <c r="M10" s="125"/>
      <c r="N10" s="110"/>
      <c r="O10" s="984"/>
      <c r="P10" s="980"/>
    </row>
    <row r="11" spans="1:16" x14ac:dyDescent="0.25">
      <c r="A11" s="131"/>
      <c r="B11" s="132"/>
      <c r="C11" s="133"/>
      <c r="D11" s="134"/>
      <c r="E11" s="134"/>
      <c r="F11" s="135"/>
      <c r="G11" s="136"/>
      <c r="H11" s="137"/>
      <c r="I11" s="134"/>
      <c r="J11" s="134"/>
      <c r="K11" s="138"/>
      <c r="L11" s="136"/>
      <c r="M11" s="139"/>
      <c r="N11" s="110"/>
      <c r="O11" s="984"/>
      <c r="P11" s="980"/>
    </row>
    <row r="12" spans="1:16" ht="18" x14ac:dyDescent="0.25">
      <c r="A12" s="1311" t="s">
        <v>286</v>
      </c>
      <c r="B12" s="1311"/>
      <c r="C12" s="1311"/>
      <c r="D12" s="1311"/>
      <c r="E12" s="1311"/>
      <c r="F12" s="1311"/>
      <c r="G12" s="1311"/>
      <c r="H12" s="1311"/>
      <c r="I12" s="1311"/>
      <c r="J12" s="1311"/>
      <c r="K12" s="1311"/>
      <c r="L12" s="1311"/>
      <c r="M12" s="1311"/>
      <c r="N12" s="110"/>
      <c r="O12" s="984"/>
      <c r="P12" s="980"/>
    </row>
    <row r="13" spans="1:16" x14ac:dyDescent="0.25">
      <c r="A13" s="1312" t="s">
        <v>287</v>
      </c>
      <c r="B13" s="1312"/>
      <c r="C13" s="1313" t="s">
        <v>288</v>
      </c>
      <c r="D13" s="1313" t="s">
        <v>289</v>
      </c>
      <c r="E13" s="1314" t="s">
        <v>290</v>
      </c>
      <c r="F13" s="1314"/>
      <c r="G13" s="1314"/>
      <c r="H13" s="1303" t="s">
        <v>291</v>
      </c>
      <c r="I13" s="1303"/>
      <c r="J13" s="1315">
        <f>C9</f>
        <v>44</v>
      </c>
      <c r="K13" s="1315"/>
      <c r="L13" s="1303" t="s">
        <v>292</v>
      </c>
      <c r="M13" s="1303"/>
      <c r="N13" s="142"/>
      <c r="O13" s="985"/>
      <c r="P13" s="143"/>
    </row>
    <row r="14" spans="1:16" x14ac:dyDescent="0.25">
      <c r="A14" s="144" t="s">
        <v>293</v>
      </c>
      <c r="B14" s="140" t="s">
        <v>294</v>
      </c>
      <c r="C14" s="1313"/>
      <c r="D14" s="1313"/>
      <c r="E14" s="141" t="s">
        <v>295</v>
      </c>
      <c r="F14" s="145" t="s">
        <v>296</v>
      </c>
      <c r="G14" s="146" t="s">
        <v>297</v>
      </c>
      <c r="H14" s="141" t="s">
        <v>296</v>
      </c>
      <c r="I14" s="146" t="s">
        <v>297</v>
      </c>
      <c r="J14" s="141" t="s">
        <v>296</v>
      </c>
      <c r="K14" s="141" t="s">
        <v>297</v>
      </c>
      <c r="L14" s="141" t="s">
        <v>296</v>
      </c>
      <c r="M14" s="146" t="s">
        <v>297</v>
      </c>
      <c r="N14" s="142"/>
      <c r="O14" s="985"/>
      <c r="P14" s="143"/>
    </row>
    <row r="15" spans="1:16" x14ac:dyDescent="0.25">
      <c r="A15" s="147" t="s">
        <v>8</v>
      </c>
      <c r="B15" s="148" t="s">
        <v>298</v>
      </c>
      <c r="C15" s="148"/>
      <c r="D15" s="148"/>
      <c r="E15" s="148"/>
      <c r="F15" s="149"/>
      <c r="G15" s="150"/>
      <c r="H15" s="148"/>
      <c r="I15" s="150"/>
      <c r="J15" s="148"/>
      <c r="K15" s="148"/>
      <c r="L15" s="148"/>
      <c r="M15" s="151"/>
      <c r="N15" s="152"/>
      <c r="O15" s="986"/>
      <c r="P15" s="143"/>
    </row>
    <row r="16" spans="1:16" s="160" customFormat="1" x14ac:dyDescent="0.25">
      <c r="A16" s="153" t="s">
        <v>10</v>
      </c>
      <c r="B16" s="154" t="s">
        <v>299</v>
      </c>
      <c r="C16" s="155"/>
      <c r="D16" s="155"/>
      <c r="E16" s="155"/>
      <c r="F16" s="156"/>
      <c r="G16" s="157">
        <f>SUBTOTAL(9,G17:G23)</f>
        <v>169232.25</v>
      </c>
      <c r="H16" s="155"/>
      <c r="I16" s="157">
        <f>SUBTOTAL(9,I17:I23)</f>
        <v>111194.42</v>
      </c>
      <c r="J16" s="155"/>
      <c r="K16" s="157">
        <f>SUBTOTAL(9,K17:K23)</f>
        <v>10700.86</v>
      </c>
      <c r="L16" s="155"/>
      <c r="M16" s="158">
        <f>SUBTOTAL(9,M17:M23)</f>
        <v>121895.28</v>
      </c>
      <c r="N16" s="159"/>
      <c r="O16" s="987"/>
      <c r="P16" s="981"/>
    </row>
    <row r="17" spans="1:16" ht="38.25" outlineLevel="1" x14ac:dyDescent="0.25">
      <c r="A17" s="161" t="s">
        <v>11</v>
      </c>
      <c r="B17" s="161">
        <v>20712</v>
      </c>
      <c r="C17" s="162" t="s">
        <v>300</v>
      </c>
      <c r="D17" s="163" t="s">
        <v>301</v>
      </c>
      <c r="E17" s="164">
        <v>52.07</v>
      </c>
      <c r="F17" s="165">
        <v>25</v>
      </c>
      <c r="G17" s="166">
        <f>TRUNC(F17*E17,2)</f>
        <v>1301.75</v>
      </c>
      <c r="H17" s="167">
        <v>25</v>
      </c>
      <c r="I17" s="168">
        <f>ROUND((E17*H17),2)</f>
        <v>1301.75</v>
      </c>
      <c r="J17" s="167">
        <f>VLOOKUP(A17,'12 - CORPO'!$A:$U,18,FALSE)</f>
        <v>0</v>
      </c>
      <c r="K17" s="169">
        <f>M17-I17</f>
        <v>0</v>
      </c>
      <c r="L17" s="167">
        <f>(H17+J17)</f>
        <v>25</v>
      </c>
      <c r="M17" s="166">
        <f>ROUND((E17*L17),2)</f>
        <v>1301.75</v>
      </c>
      <c r="N17" s="1023">
        <f t="shared" ref="N17:N30" si="0">IFERROR(ROUND(M17/G17,4),0)</f>
        <v>1</v>
      </c>
      <c r="O17" s="983">
        <v>1301.75</v>
      </c>
      <c r="P17" s="981">
        <f>G17-O17</f>
        <v>0</v>
      </c>
    </row>
    <row r="18" spans="1:16" ht="25.5" outlineLevel="1" x14ac:dyDescent="0.25">
      <c r="A18" s="170" t="s">
        <v>12</v>
      </c>
      <c r="B18" s="170">
        <v>20714</v>
      </c>
      <c r="C18" s="171" t="s">
        <v>302</v>
      </c>
      <c r="D18" s="172" t="s">
        <v>301</v>
      </c>
      <c r="E18" s="173">
        <v>419.19</v>
      </c>
      <c r="F18" s="174">
        <v>25</v>
      </c>
      <c r="G18" s="175">
        <f t="shared" ref="G18:G23" si="1">TRUNC(F18*E18,2)</f>
        <v>10479.75</v>
      </c>
      <c r="H18" s="167">
        <v>25</v>
      </c>
      <c r="I18" s="168">
        <f t="shared" ref="I18:I23" si="2">ROUND((E18*H18),2)</f>
        <v>10479.75</v>
      </c>
      <c r="J18" s="167">
        <f>VLOOKUP(A18,'12 - CORPO'!$A:$U,18,FALSE)</f>
        <v>0</v>
      </c>
      <c r="K18" s="169">
        <f t="shared" ref="K18:K23" si="3">M18-I18</f>
        <v>0</v>
      </c>
      <c r="L18" s="167">
        <f t="shared" ref="L18:L23" si="4">(H18+J18)</f>
        <v>25</v>
      </c>
      <c r="M18" s="166">
        <f t="shared" ref="M18:M23" si="5">ROUND((E18*L18),2)</f>
        <v>10479.75</v>
      </c>
      <c r="N18" s="1023">
        <f t="shared" si="0"/>
        <v>1</v>
      </c>
      <c r="O18" s="983">
        <v>10479.75</v>
      </c>
      <c r="P18" s="981">
        <f t="shared" ref="P18:P79" si="6">G18-O18</f>
        <v>0</v>
      </c>
    </row>
    <row r="19" spans="1:16" ht="38.25" outlineLevel="1" x14ac:dyDescent="0.25">
      <c r="A19" s="170" t="s">
        <v>13</v>
      </c>
      <c r="B19" s="170">
        <v>20713</v>
      </c>
      <c r="C19" s="171" t="s">
        <v>303</v>
      </c>
      <c r="D19" s="172" t="s">
        <v>301</v>
      </c>
      <c r="E19" s="173">
        <v>752.18</v>
      </c>
      <c r="F19" s="811">
        <v>20</v>
      </c>
      <c r="G19" s="175">
        <f t="shared" si="1"/>
        <v>15043.6</v>
      </c>
      <c r="H19" s="167">
        <v>20</v>
      </c>
      <c r="I19" s="168">
        <f t="shared" si="2"/>
        <v>15043.6</v>
      </c>
      <c r="J19" s="167">
        <f>VLOOKUP(A19,'12 - CORPO'!$A:$U,18,FALSE)</f>
        <v>0</v>
      </c>
      <c r="K19" s="169">
        <f t="shared" si="3"/>
        <v>0</v>
      </c>
      <c r="L19" s="167">
        <f t="shared" si="4"/>
        <v>20</v>
      </c>
      <c r="M19" s="166">
        <f t="shared" si="5"/>
        <v>15043.6</v>
      </c>
      <c r="N19" s="1023">
        <f t="shared" si="0"/>
        <v>1</v>
      </c>
      <c r="O19" s="983">
        <v>15043.6</v>
      </c>
      <c r="P19" s="981">
        <f t="shared" si="6"/>
        <v>0</v>
      </c>
    </row>
    <row r="20" spans="1:16" ht="25.5" outlineLevel="1" x14ac:dyDescent="0.25">
      <c r="A20" s="170" t="s">
        <v>14</v>
      </c>
      <c r="B20" s="170">
        <v>20711</v>
      </c>
      <c r="C20" s="171" t="s">
        <v>304</v>
      </c>
      <c r="D20" s="172" t="s">
        <v>305</v>
      </c>
      <c r="E20" s="173">
        <v>4196.7700000000004</v>
      </c>
      <c r="F20" s="811">
        <v>1</v>
      </c>
      <c r="G20" s="175">
        <f t="shared" si="1"/>
        <v>4196.7700000000004</v>
      </c>
      <c r="H20" s="167">
        <v>1</v>
      </c>
      <c r="I20" s="168">
        <f t="shared" si="2"/>
        <v>4196.7700000000004</v>
      </c>
      <c r="J20" s="167">
        <f>VLOOKUP(A20,'12 - CORPO'!$A:$U,18,FALSE)</f>
        <v>0</v>
      </c>
      <c r="K20" s="169">
        <f t="shared" si="3"/>
        <v>0</v>
      </c>
      <c r="L20" s="167">
        <f t="shared" si="4"/>
        <v>1</v>
      </c>
      <c r="M20" s="166">
        <f t="shared" si="5"/>
        <v>4196.7700000000004</v>
      </c>
      <c r="N20" s="1023">
        <f t="shared" si="0"/>
        <v>1</v>
      </c>
      <c r="O20" s="983">
        <v>4196.7700000000004</v>
      </c>
      <c r="P20" s="981">
        <f t="shared" si="6"/>
        <v>0</v>
      </c>
    </row>
    <row r="21" spans="1:16" ht="38.25" outlineLevel="1" x14ac:dyDescent="0.25">
      <c r="A21" s="170" t="s">
        <v>15</v>
      </c>
      <c r="B21" s="170">
        <v>20350</v>
      </c>
      <c r="C21" s="171" t="s">
        <v>306</v>
      </c>
      <c r="D21" s="172" t="s">
        <v>301</v>
      </c>
      <c r="E21" s="173">
        <v>221.01</v>
      </c>
      <c r="F21" s="811">
        <v>608.41</v>
      </c>
      <c r="G21" s="175">
        <f t="shared" si="1"/>
        <v>134464.69</v>
      </c>
      <c r="H21" s="167">
        <v>349.98700000000002</v>
      </c>
      <c r="I21" s="168">
        <f t="shared" si="2"/>
        <v>77350.63</v>
      </c>
      <c r="J21" s="167">
        <f>VLOOKUP(A21,'12 - CORPO'!$A:$U,18,FALSE)</f>
        <v>48.41799999999995</v>
      </c>
      <c r="K21" s="169">
        <f t="shared" si="3"/>
        <v>10700.86</v>
      </c>
      <c r="L21" s="167">
        <f t="shared" si="4"/>
        <v>398.40499999999997</v>
      </c>
      <c r="M21" s="166">
        <f t="shared" si="5"/>
        <v>88051.49</v>
      </c>
      <c r="N21" s="1023">
        <f t="shared" si="0"/>
        <v>0.65480000000000005</v>
      </c>
      <c r="O21" s="983">
        <v>134464.69</v>
      </c>
      <c r="P21" s="981">
        <f t="shared" si="6"/>
        <v>0</v>
      </c>
    </row>
    <row r="22" spans="1:16" outlineLevel="1" x14ac:dyDescent="0.25">
      <c r="A22" s="170" t="s">
        <v>16</v>
      </c>
      <c r="B22" s="170">
        <v>20305</v>
      </c>
      <c r="C22" s="171" t="s">
        <v>307</v>
      </c>
      <c r="D22" s="172" t="s">
        <v>308</v>
      </c>
      <c r="E22" s="173">
        <v>352.74</v>
      </c>
      <c r="F22" s="811">
        <v>8</v>
      </c>
      <c r="G22" s="175">
        <f t="shared" si="1"/>
        <v>2821.92</v>
      </c>
      <c r="H22" s="167">
        <v>8</v>
      </c>
      <c r="I22" s="168">
        <f t="shared" si="2"/>
        <v>2821.92</v>
      </c>
      <c r="J22" s="167">
        <f>VLOOKUP(A22,'12 - CORPO'!$A:$U,18,FALSE)</f>
        <v>0</v>
      </c>
      <c r="K22" s="169">
        <f t="shared" si="3"/>
        <v>0</v>
      </c>
      <c r="L22" s="167">
        <f t="shared" si="4"/>
        <v>8</v>
      </c>
      <c r="M22" s="166">
        <f t="shared" si="5"/>
        <v>2821.92</v>
      </c>
      <c r="N22" s="1023">
        <f t="shared" si="0"/>
        <v>1</v>
      </c>
      <c r="O22" s="983">
        <v>2821.92</v>
      </c>
      <c r="P22" s="981">
        <f t="shared" si="6"/>
        <v>0</v>
      </c>
    </row>
    <row r="23" spans="1:16" ht="25.5" outlineLevel="1" x14ac:dyDescent="0.25">
      <c r="A23" s="170" t="s">
        <v>17</v>
      </c>
      <c r="B23" s="170">
        <v>200576</v>
      </c>
      <c r="C23" s="171" t="s">
        <v>309</v>
      </c>
      <c r="D23" s="172" t="s">
        <v>305</v>
      </c>
      <c r="E23" s="173">
        <v>923.77</v>
      </c>
      <c r="F23" s="174">
        <v>1</v>
      </c>
      <c r="G23" s="175">
        <f t="shared" si="1"/>
        <v>923.77</v>
      </c>
      <c r="H23" s="167">
        <v>0</v>
      </c>
      <c r="I23" s="168">
        <f t="shared" si="2"/>
        <v>0</v>
      </c>
      <c r="J23" s="167">
        <f>VLOOKUP(A23,'12 - CORPO'!$A:$U,18,FALSE)</f>
        <v>0</v>
      </c>
      <c r="K23" s="169">
        <f t="shared" si="3"/>
        <v>0</v>
      </c>
      <c r="L23" s="167">
        <f t="shared" si="4"/>
        <v>0</v>
      </c>
      <c r="M23" s="166">
        <f t="shared" si="5"/>
        <v>0</v>
      </c>
      <c r="N23" s="1023">
        <f t="shared" si="0"/>
        <v>0</v>
      </c>
      <c r="O23" s="983">
        <v>923.77</v>
      </c>
      <c r="P23" s="981">
        <f t="shared" si="6"/>
        <v>0</v>
      </c>
    </row>
    <row r="24" spans="1:16" s="160" customFormat="1" x14ac:dyDescent="0.25">
      <c r="A24" s="153" t="s">
        <v>18</v>
      </c>
      <c r="B24" s="154" t="s">
        <v>310</v>
      </c>
      <c r="C24" s="155"/>
      <c r="D24" s="155"/>
      <c r="E24" s="155"/>
      <c r="F24" s="156"/>
      <c r="G24" s="157">
        <f>SUBTOTAL(9,G25:G30)</f>
        <v>212142.74999999997</v>
      </c>
      <c r="H24" s="155"/>
      <c r="I24" s="157">
        <f>SUBTOTAL(9,I25:I30)</f>
        <v>181746.96</v>
      </c>
      <c r="J24" s="155"/>
      <c r="K24" s="157">
        <f>SUBTOTAL(9,K25:K30)</f>
        <v>8778.9499999999935</v>
      </c>
      <c r="L24" s="155"/>
      <c r="M24" s="158">
        <f>SUBTOTAL(9,M25:M30)</f>
        <v>190525.91</v>
      </c>
      <c r="N24" s="159"/>
      <c r="O24" s="987"/>
      <c r="P24" s="981"/>
    </row>
    <row r="25" spans="1:16" outlineLevel="1" x14ac:dyDescent="0.25">
      <c r="A25" s="170" t="s">
        <v>19</v>
      </c>
      <c r="B25" s="170">
        <v>20344</v>
      </c>
      <c r="C25" s="171" t="s">
        <v>311</v>
      </c>
      <c r="D25" s="172" t="s">
        <v>305</v>
      </c>
      <c r="E25" s="173">
        <v>1275.44</v>
      </c>
      <c r="F25" s="811">
        <v>8</v>
      </c>
      <c r="G25" s="175">
        <f t="shared" ref="G25:G30" si="7">TRUNC(F25*E25,2)</f>
        <v>10203.52</v>
      </c>
      <c r="H25" s="167">
        <v>5</v>
      </c>
      <c r="I25" s="168">
        <f t="shared" ref="I25:I30" si="8">ROUND((E25*H25),2)</f>
        <v>6377.2</v>
      </c>
      <c r="J25" s="167">
        <f>VLOOKUP(A25,'12 - CORPO'!$A:$U,18,FALSE)</f>
        <v>0</v>
      </c>
      <c r="K25" s="169">
        <f t="shared" ref="K25:K30" si="9">M25-I25</f>
        <v>0</v>
      </c>
      <c r="L25" s="167">
        <f t="shared" ref="L25:L30" si="10">(H25+J25)</f>
        <v>5</v>
      </c>
      <c r="M25" s="166">
        <f t="shared" ref="M25:M30" si="11">ROUND((E25*L25),2)</f>
        <v>6377.2</v>
      </c>
      <c r="N25" s="1023">
        <f t="shared" si="0"/>
        <v>0.625</v>
      </c>
      <c r="O25" s="983">
        <v>10203.52</v>
      </c>
      <c r="P25" s="981">
        <f t="shared" si="6"/>
        <v>0</v>
      </c>
    </row>
    <row r="26" spans="1:16" ht="38.25" outlineLevel="1" x14ac:dyDescent="0.25">
      <c r="A26" s="170" t="s">
        <v>20</v>
      </c>
      <c r="B26" s="170">
        <v>20353</v>
      </c>
      <c r="C26" s="171" t="s">
        <v>312</v>
      </c>
      <c r="D26" s="172" t="s">
        <v>313</v>
      </c>
      <c r="E26" s="173">
        <v>885.46</v>
      </c>
      <c r="F26" s="811">
        <v>47</v>
      </c>
      <c r="G26" s="175">
        <f t="shared" si="7"/>
        <v>41616.620000000003</v>
      </c>
      <c r="H26" s="167">
        <v>44</v>
      </c>
      <c r="I26" s="168">
        <f t="shared" si="8"/>
        <v>38960.239999999998</v>
      </c>
      <c r="J26" s="167">
        <f>VLOOKUP(A26,'12 - CORPO'!$A:$U,18,FALSE)</f>
        <v>1</v>
      </c>
      <c r="K26" s="169">
        <f t="shared" si="9"/>
        <v>885.45999999999913</v>
      </c>
      <c r="L26" s="167">
        <f t="shared" si="10"/>
        <v>45</v>
      </c>
      <c r="M26" s="166">
        <f t="shared" si="11"/>
        <v>39845.699999999997</v>
      </c>
      <c r="N26" s="1023">
        <f t="shared" si="0"/>
        <v>0.95740000000000003</v>
      </c>
      <c r="O26" s="983">
        <v>41616.620000000003</v>
      </c>
      <c r="P26" s="981">
        <f t="shared" si="6"/>
        <v>0</v>
      </c>
    </row>
    <row r="27" spans="1:16" ht="38.25" outlineLevel="1" x14ac:dyDescent="0.25">
      <c r="A27" s="170" t="s">
        <v>21</v>
      </c>
      <c r="B27" s="170">
        <v>20355</v>
      </c>
      <c r="C27" s="171" t="s">
        <v>314</v>
      </c>
      <c r="D27" s="172" t="s">
        <v>313</v>
      </c>
      <c r="E27" s="173">
        <v>1043.4000000000001</v>
      </c>
      <c r="F27" s="811">
        <v>59</v>
      </c>
      <c r="G27" s="175">
        <f t="shared" si="7"/>
        <v>61560.6</v>
      </c>
      <c r="H27" s="167">
        <v>47</v>
      </c>
      <c r="I27" s="168">
        <f t="shared" si="8"/>
        <v>49039.8</v>
      </c>
      <c r="J27" s="167">
        <f>VLOOKUP(A27,'12 - CORPO'!$A:$U,18,FALSE)</f>
        <v>6</v>
      </c>
      <c r="K27" s="169">
        <f t="shared" si="9"/>
        <v>6260.3999999999942</v>
      </c>
      <c r="L27" s="167">
        <f t="shared" si="10"/>
        <v>53</v>
      </c>
      <c r="M27" s="166">
        <f t="shared" si="11"/>
        <v>55300.2</v>
      </c>
      <c r="N27" s="1023">
        <f t="shared" si="0"/>
        <v>0.89829999999999999</v>
      </c>
      <c r="O27" s="983">
        <v>61560.6</v>
      </c>
      <c r="P27" s="981">
        <f t="shared" si="6"/>
        <v>0</v>
      </c>
    </row>
    <row r="28" spans="1:16" ht="51" outlineLevel="1" x14ac:dyDescent="0.25">
      <c r="A28" s="170" t="s">
        <v>22</v>
      </c>
      <c r="B28" s="170">
        <v>20352</v>
      </c>
      <c r="C28" s="171" t="s">
        <v>315</v>
      </c>
      <c r="D28" s="172" t="s">
        <v>313</v>
      </c>
      <c r="E28" s="173">
        <v>969.61</v>
      </c>
      <c r="F28" s="811">
        <v>69</v>
      </c>
      <c r="G28" s="175">
        <f t="shared" si="7"/>
        <v>66903.09</v>
      </c>
      <c r="H28" s="167">
        <v>60</v>
      </c>
      <c r="I28" s="168">
        <f t="shared" si="8"/>
        <v>58176.6</v>
      </c>
      <c r="J28" s="167">
        <f>VLOOKUP(A28,'12 - CORPO'!$A:$U,18,FALSE)</f>
        <v>1</v>
      </c>
      <c r="K28" s="169">
        <f t="shared" si="9"/>
        <v>969.61000000000058</v>
      </c>
      <c r="L28" s="167">
        <f>(H28+J28)</f>
        <v>61</v>
      </c>
      <c r="M28" s="166">
        <f t="shared" si="11"/>
        <v>59146.21</v>
      </c>
      <c r="N28" s="1023">
        <f t="shared" si="0"/>
        <v>0.8841</v>
      </c>
      <c r="O28" s="983">
        <v>66903.09</v>
      </c>
      <c r="P28" s="981">
        <f t="shared" si="6"/>
        <v>0</v>
      </c>
    </row>
    <row r="29" spans="1:16" outlineLevel="1" x14ac:dyDescent="0.25">
      <c r="A29" s="170" t="s">
        <v>23</v>
      </c>
      <c r="B29" s="170">
        <v>20356</v>
      </c>
      <c r="C29" s="171" t="s">
        <v>316</v>
      </c>
      <c r="D29" s="172" t="s">
        <v>317</v>
      </c>
      <c r="E29" s="173">
        <v>75.040000000000006</v>
      </c>
      <c r="F29" s="811">
        <v>9</v>
      </c>
      <c r="G29" s="175">
        <f t="shared" si="7"/>
        <v>675.36</v>
      </c>
      <c r="H29" s="167">
        <v>0</v>
      </c>
      <c r="I29" s="168">
        <f t="shared" si="8"/>
        <v>0</v>
      </c>
      <c r="J29" s="167">
        <f>VLOOKUP(A29,'12 - CORPO'!$A:$U,18,FALSE)</f>
        <v>0</v>
      </c>
      <c r="K29" s="169">
        <f t="shared" si="9"/>
        <v>0</v>
      </c>
      <c r="L29" s="167">
        <f t="shared" si="10"/>
        <v>0</v>
      </c>
      <c r="M29" s="166">
        <f t="shared" si="11"/>
        <v>0</v>
      </c>
      <c r="N29" s="1023">
        <f t="shared" si="0"/>
        <v>0</v>
      </c>
      <c r="O29" s="983">
        <v>675.36</v>
      </c>
      <c r="P29" s="981">
        <f t="shared" si="6"/>
        <v>0</v>
      </c>
    </row>
    <row r="30" spans="1:16" ht="38.25" outlineLevel="1" x14ac:dyDescent="0.25">
      <c r="A30" s="170" t="s">
        <v>24</v>
      </c>
      <c r="B30" s="170">
        <v>20354</v>
      </c>
      <c r="C30" s="171" t="s">
        <v>318</v>
      </c>
      <c r="D30" s="172" t="s">
        <v>313</v>
      </c>
      <c r="E30" s="173">
        <v>663.48</v>
      </c>
      <c r="F30" s="811">
        <v>47</v>
      </c>
      <c r="G30" s="175">
        <f t="shared" si="7"/>
        <v>31183.56</v>
      </c>
      <c r="H30" s="167">
        <v>44</v>
      </c>
      <c r="I30" s="168">
        <f t="shared" si="8"/>
        <v>29193.119999999999</v>
      </c>
      <c r="J30" s="167">
        <f>VLOOKUP(A30,'12 - CORPO'!$A:$U,18,FALSE)</f>
        <v>1</v>
      </c>
      <c r="K30" s="169">
        <f t="shared" si="9"/>
        <v>663.47999999999956</v>
      </c>
      <c r="L30" s="167">
        <f t="shared" si="10"/>
        <v>45</v>
      </c>
      <c r="M30" s="166">
        <f t="shared" si="11"/>
        <v>29856.6</v>
      </c>
      <c r="N30" s="1023">
        <f t="shared" si="0"/>
        <v>0.95740000000000003</v>
      </c>
      <c r="O30" s="983">
        <v>31183.56</v>
      </c>
      <c r="P30" s="981">
        <f t="shared" si="6"/>
        <v>0</v>
      </c>
    </row>
    <row r="31" spans="1:16" x14ac:dyDescent="0.25">
      <c r="A31" s="176"/>
      <c r="B31" s="177"/>
      <c r="C31" s="1304" t="s">
        <v>319</v>
      </c>
      <c r="D31" s="1305"/>
      <c r="E31" s="1305"/>
      <c r="F31" s="1305"/>
      <c r="G31" s="178">
        <f>SUBTOTAL(9,$G$16:$G$30)</f>
        <v>381374.99999999994</v>
      </c>
      <c r="H31" s="179"/>
      <c r="I31" s="180">
        <f>SUBTOTAL(9,$I$17:$I$30)</f>
        <v>292941.37999999995</v>
      </c>
      <c r="J31" s="179"/>
      <c r="K31" s="180">
        <f>SUBTOTAL(9,$K$17:$K$30)</f>
        <v>19479.809999999994</v>
      </c>
      <c r="L31" s="179"/>
      <c r="M31" s="180">
        <f>SUBTOTAL(9,$M$17:$M$30)</f>
        <v>312421.19</v>
      </c>
      <c r="N31" s="108"/>
      <c r="O31" s="983"/>
      <c r="P31" s="981"/>
    </row>
    <row r="32" spans="1:16" x14ac:dyDescent="0.25">
      <c r="A32" s="147" t="s">
        <v>25</v>
      </c>
      <c r="B32" s="148" t="s">
        <v>320</v>
      </c>
      <c r="C32" s="148"/>
      <c r="D32" s="148"/>
      <c r="E32" s="148"/>
      <c r="F32" s="149"/>
      <c r="G32" s="150"/>
      <c r="H32" s="148"/>
      <c r="I32" s="148"/>
      <c r="J32" s="148"/>
      <c r="K32" s="148"/>
      <c r="L32" s="148"/>
      <c r="M32" s="151"/>
      <c r="N32" s="152"/>
      <c r="O32" s="986"/>
      <c r="P32" s="981"/>
    </row>
    <row r="33" spans="1:16" s="160" customFormat="1" x14ac:dyDescent="0.25">
      <c r="A33" s="153" t="s">
        <v>26</v>
      </c>
      <c r="B33" s="154" t="s">
        <v>321</v>
      </c>
      <c r="C33" s="155"/>
      <c r="D33" s="155"/>
      <c r="E33" s="155"/>
      <c r="F33" s="156"/>
      <c r="G33" s="157">
        <f>SUBTOTAL(9,G34:G47)</f>
        <v>20336007.299999997</v>
      </c>
      <c r="H33" s="155"/>
      <c r="I33" s="157">
        <f>SUBTOTAL(9,I34:I47)</f>
        <v>17167248.840000004</v>
      </c>
      <c r="J33" s="155"/>
      <c r="K33" s="157">
        <f>SUBTOTAL(9,K34:K47)</f>
        <v>854949.66999999946</v>
      </c>
      <c r="L33" s="155"/>
      <c r="M33" s="158">
        <f>SUBTOTAL(9,M34:M47)</f>
        <v>18022198.509999998</v>
      </c>
      <c r="N33" s="159"/>
      <c r="O33" s="987"/>
      <c r="P33" s="981"/>
    </row>
    <row r="34" spans="1:16" ht="25.5" outlineLevel="1" x14ac:dyDescent="0.25">
      <c r="A34" s="170" t="s">
        <v>27</v>
      </c>
      <c r="B34" s="170">
        <v>1106280</v>
      </c>
      <c r="C34" s="171" t="s">
        <v>322</v>
      </c>
      <c r="D34" s="172" t="s">
        <v>323</v>
      </c>
      <c r="E34" s="173">
        <v>363.28</v>
      </c>
      <c r="F34" s="174">
        <v>8681</v>
      </c>
      <c r="G34" s="175">
        <f t="shared" ref="G34:G47" si="12">TRUNC(F34*E34,2)</f>
        <v>3153633.68</v>
      </c>
      <c r="H34" s="167">
        <v>7602.8689999999997</v>
      </c>
      <c r="I34" s="168">
        <f>ROUND((E34*H34),2)</f>
        <v>2761970.25</v>
      </c>
      <c r="J34" s="754">
        <f>VLOOKUP(A34,'12 - CORPO'!$A:$U,18,FALSE)</f>
        <v>370</v>
      </c>
      <c r="K34" s="169">
        <f>M34-I34</f>
        <v>134413.60000000009</v>
      </c>
      <c r="L34" s="167">
        <f t="shared" ref="L34:L43" si="13">(H34+J34)</f>
        <v>7972.8689999999997</v>
      </c>
      <c r="M34" s="166">
        <f t="shared" ref="M34:M47" si="14">ROUND((E34*L34),2)</f>
        <v>2896383.85</v>
      </c>
      <c r="N34" s="1023">
        <f t="shared" ref="N34:N79" si="15">IFERROR(ROUND(M34/G34,4),0)</f>
        <v>0.91839999999999999</v>
      </c>
      <c r="O34" s="983">
        <v>3153633.68</v>
      </c>
      <c r="P34" s="981">
        <f t="shared" si="6"/>
        <v>0</v>
      </c>
    </row>
    <row r="35" spans="1:16" outlineLevel="1" x14ac:dyDescent="0.25">
      <c r="A35" s="170" t="s">
        <v>28</v>
      </c>
      <c r="B35" s="170">
        <v>25950</v>
      </c>
      <c r="C35" s="171" t="s">
        <v>324</v>
      </c>
      <c r="D35" s="172" t="s">
        <v>325</v>
      </c>
      <c r="E35" s="173">
        <v>40.520000000000003</v>
      </c>
      <c r="F35" s="174">
        <v>8681</v>
      </c>
      <c r="G35" s="175">
        <f t="shared" si="12"/>
        <v>351754.12</v>
      </c>
      <c r="H35" s="167">
        <v>7602.8689999999997</v>
      </c>
      <c r="I35" s="168">
        <f t="shared" ref="I35:I47" si="16">ROUND((E35*H35),2)</f>
        <v>308068.25</v>
      </c>
      <c r="J35" s="754">
        <f>VLOOKUP(A35,'12 - CORPO'!$A:$U,18,FALSE)</f>
        <v>370</v>
      </c>
      <c r="K35" s="169">
        <f t="shared" ref="K35:K47" si="17">M35-I35</f>
        <v>14992.400000000023</v>
      </c>
      <c r="L35" s="167">
        <f t="shared" si="13"/>
        <v>7972.8689999999997</v>
      </c>
      <c r="M35" s="166">
        <f t="shared" si="14"/>
        <v>323060.65000000002</v>
      </c>
      <c r="N35" s="1023">
        <f t="shared" si="15"/>
        <v>0.91839999999999999</v>
      </c>
      <c r="O35" s="983">
        <v>351754.12</v>
      </c>
      <c r="P35" s="981">
        <f t="shared" si="6"/>
        <v>0</v>
      </c>
    </row>
    <row r="36" spans="1:16" ht="25.5" outlineLevel="1" x14ac:dyDescent="0.25">
      <c r="A36" s="170" t="s">
        <v>29</v>
      </c>
      <c r="B36" s="170">
        <v>3108012</v>
      </c>
      <c r="C36" s="171" t="s">
        <v>326</v>
      </c>
      <c r="D36" s="172" t="s">
        <v>308</v>
      </c>
      <c r="E36" s="173">
        <v>92.09</v>
      </c>
      <c r="F36" s="174">
        <v>27063.37</v>
      </c>
      <c r="G36" s="175">
        <f t="shared" si="12"/>
        <v>2492265.7400000002</v>
      </c>
      <c r="H36" s="167">
        <v>23619.191999999999</v>
      </c>
      <c r="I36" s="168">
        <f t="shared" si="16"/>
        <v>2175091.39</v>
      </c>
      <c r="J36" s="754">
        <f>VLOOKUP(A36,'12 - CORPO'!$A:$U,18,FALSE)</f>
        <v>1251.6500000000015</v>
      </c>
      <c r="K36" s="169">
        <f t="shared" si="17"/>
        <v>115264.44999999972</v>
      </c>
      <c r="L36" s="167">
        <f t="shared" si="13"/>
        <v>24870.842000000001</v>
      </c>
      <c r="M36" s="166">
        <f t="shared" si="14"/>
        <v>2290355.84</v>
      </c>
      <c r="N36" s="1023">
        <f t="shared" si="15"/>
        <v>0.91900000000000004</v>
      </c>
      <c r="O36" s="983">
        <v>2492265.7400000002</v>
      </c>
      <c r="P36" s="981">
        <f t="shared" si="6"/>
        <v>0</v>
      </c>
    </row>
    <row r="37" spans="1:16" outlineLevel="1" x14ac:dyDescent="0.25">
      <c r="A37" s="170" t="s">
        <v>30</v>
      </c>
      <c r="B37" s="170">
        <v>407819</v>
      </c>
      <c r="C37" s="171" t="s">
        <v>327</v>
      </c>
      <c r="D37" s="172" t="s">
        <v>328</v>
      </c>
      <c r="E37" s="173">
        <v>13.36</v>
      </c>
      <c r="F37" s="174">
        <v>547502.34</v>
      </c>
      <c r="G37" s="175">
        <f t="shared" si="12"/>
        <v>7314631.2599999998</v>
      </c>
      <c r="H37" s="167">
        <v>474881.26799999998</v>
      </c>
      <c r="I37" s="168">
        <f t="shared" si="16"/>
        <v>6344413.7400000002</v>
      </c>
      <c r="J37" s="754">
        <f>VLOOKUP(A37,'12 - CORPO'!$A:$U,18,FALSE)</f>
        <v>23656.675000000047</v>
      </c>
      <c r="K37" s="169">
        <f t="shared" si="17"/>
        <v>316053.1799999997</v>
      </c>
      <c r="L37" s="167">
        <f t="shared" si="13"/>
        <v>498537.94300000003</v>
      </c>
      <c r="M37" s="166">
        <f t="shared" si="14"/>
        <v>6660466.9199999999</v>
      </c>
      <c r="N37" s="1023">
        <f t="shared" si="15"/>
        <v>0.91059999999999997</v>
      </c>
      <c r="O37" s="983">
        <v>7314631.2599999998</v>
      </c>
      <c r="P37" s="981">
        <f t="shared" si="6"/>
        <v>0</v>
      </c>
    </row>
    <row r="38" spans="1:16" outlineLevel="1" x14ac:dyDescent="0.25">
      <c r="A38" s="170" t="s">
        <v>31</v>
      </c>
      <c r="B38" s="170">
        <v>407820</v>
      </c>
      <c r="C38" s="171" t="s">
        <v>329</v>
      </c>
      <c r="D38" s="172" t="s">
        <v>328</v>
      </c>
      <c r="E38" s="173">
        <v>14.13</v>
      </c>
      <c r="F38" s="174">
        <v>255978.23999999999</v>
      </c>
      <c r="G38" s="175">
        <f t="shared" si="12"/>
        <v>3616972.53</v>
      </c>
      <c r="H38" s="167">
        <v>223941.742</v>
      </c>
      <c r="I38" s="168">
        <f t="shared" si="16"/>
        <v>3164296.81</v>
      </c>
      <c r="J38" s="754">
        <f>VLOOKUP(A38,'12 - CORPO'!$A:$U,18,FALSE)</f>
        <v>12096.948999999993</v>
      </c>
      <c r="K38" s="169">
        <f t="shared" si="17"/>
        <v>170929.89000000013</v>
      </c>
      <c r="L38" s="167">
        <f t="shared" si="13"/>
        <v>236038.69099999999</v>
      </c>
      <c r="M38" s="166">
        <f t="shared" si="14"/>
        <v>3335226.7</v>
      </c>
      <c r="N38" s="1023">
        <f t="shared" si="15"/>
        <v>0.92210000000000003</v>
      </c>
      <c r="O38" s="983">
        <v>3616972.53</v>
      </c>
      <c r="P38" s="981">
        <f t="shared" si="6"/>
        <v>0</v>
      </c>
    </row>
    <row r="39" spans="1:16" outlineLevel="1" x14ac:dyDescent="0.25">
      <c r="A39" s="170" t="s">
        <v>32</v>
      </c>
      <c r="B39" s="170">
        <v>407818</v>
      </c>
      <c r="C39" s="171" t="s">
        <v>330</v>
      </c>
      <c r="D39" s="172" t="s">
        <v>328</v>
      </c>
      <c r="E39" s="173">
        <v>13.36</v>
      </c>
      <c r="F39" s="174">
        <v>3303.21</v>
      </c>
      <c r="G39" s="175">
        <f>TRUNC(F39*E39,2)+0.01</f>
        <v>44130.89</v>
      </c>
      <c r="H39" s="167">
        <v>2848.23</v>
      </c>
      <c r="I39" s="168">
        <f t="shared" si="16"/>
        <v>38052.35</v>
      </c>
      <c r="J39" s="754">
        <f>VLOOKUP(A39,'12 - CORPO'!$A:$U,18,FALSE)</f>
        <v>50.552999999999884</v>
      </c>
      <c r="K39" s="169">
        <f t="shared" si="17"/>
        <v>675.38999999999942</v>
      </c>
      <c r="L39" s="167">
        <f t="shared" si="13"/>
        <v>2898.7829999999999</v>
      </c>
      <c r="M39" s="166">
        <f t="shared" si="14"/>
        <v>38727.74</v>
      </c>
      <c r="N39" s="1023">
        <f t="shared" si="15"/>
        <v>0.87760000000000005</v>
      </c>
      <c r="O39" s="983">
        <v>44130.89</v>
      </c>
      <c r="P39" s="981">
        <f t="shared" si="6"/>
        <v>0</v>
      </c>
    </row>
    <row r="40" spans="1:16" ht="25.5" outlineLevel="1" x14ac:dyDescent="0.25">
      <c r="A40" s="170" t="s">
        <v>33</v>
      </c>
      <c r="B40" s="170">
        <v>1106057</v>
      </c>
      <c r="C40" s="171" t="s">
        <v>331</v>
      </c>
      <c r="D40" s="172" t="s">
        <v>323</v>
      </c>
      <c r="E40" s="173">
        <v>361.89</v>
      </c>
      <c r="F40" s="174">
        <v>1159.42</v>
      </c>
      <c r="G40" s="175">
        <f t="shared" si="12"/>
        <v>419582.5</v>
      </c>
      <c r="H40" s="167">
        <v>1010.896</v>
      </c>
      <c r="I40" s="168">
        <f t="shared" si="16"/>
        <v>365833.15</v>
      </c>
      <c r="J40" s="754">
        <f>VLOOKUP(A40,'12 - CORPO'!$A:$U,18,FALSE)</f>
        <v>44.860000000000127</v>
      </c>
      <c r="K40" s="169">
        <f t="shared" si="17"/>
        <v>16234.389999999956</v>
      </c>
      <c r="L40" s="167">
        <f t="shared" si="13"/>
        <v>1055.7560000000001</v>
      </c>
      <c r="M40" s="166">
        <f t="shared" si="14"/>
        <v>382067.54</v>
      </c>
      <c r="N40" s="1023">
        <f t="shared" si="15"/>
        <v>0.91059999999999997</v>
      </c>
      <c r="O40" s="983">
        <v>419582.5</v>
      </c>
      <c r="P40" s="981">
        <f t="shared" si="6"/>
        <v>0</v>
      </c>
    </row>
    <row r="41" spans="1:16" ht="25.5" outlineLevel="1" x14ac:dyDescent="0.25">
      <c r="A41" s="170" t="s">
        <v>34</v>
      </c>
      <c r="B41" s="170">
        <v>100322</v>
      </c>
      <c r="C41" s="171" t="s">
        <v>332</v>
      </c>
      <c r="D41" s="809" t="s">
        <v>323</v>
      </c>
      <c r="E41" s="810">
        <v>140.38999999999999</v>
      </c>
      <c r="F41" s="811">
        <v>7801.94</v>
      </c>
      <c r="G41" s="812">
        <f>TRUNC(F41*E41,2)+0.01</f>
        <v>1095314.3600000001</v>
      </c>
      <c r="H41" s="754">
        <v>6910.4160000000002</v>
      </c>
      <c r="I41" s="813">
        <f t="shared" si="16"/>
        <v>970153.3</v>
      </c>
      <c r="J41" s="754">
        <f>VLOOKUP(A41,'12 - CORPO'!$A:$U,18,FALSE)</f>
        <v>269.15999999999985</v>
      </c>
      <c r="K41" s="169">
        <f t="shared" si="17"/>
        <v>37787.369999999995</v>
      </c>
      <c r="L41" s="754">
        <f t="shared" si="13"/>
        <v>7179.576</v>
      </c>
      <c r="M41" s="814">
        <f t="shared" si="14"/>
        <v>1007940.67</v>
      </c>
      <c r="N41" s="1023">
        <f t="shared" si="15"/>
        <v>0.92020000000000002</v>
      </c>
      <c r="O41" s="983">
        <v>1095314.3600000001</v>
      </c>
      <c r="P41" s="981">
        <f t="shared" si="6"/>
        <v>0</v>
      </c>
    </row>
    <row r="42" spans="1:16" ht="25.5" outlineLevel="1" x14ac:dyDescent="0.25">
      <c r="A42" s="170" t="s">
        <v>35</v>
      </c>
      <c r="B42" s="170">
        <v>41221</v>
      </c>
      <c r="C42" s="171" t="s">
        <v>333</v>
      </c>
      <c r="D42" s="172" t="s">
        <v>308</v>
      </c>
      <c r="E42" s="173">
        <v>4.57</v>
      </c>
      <c r="F42" s="174">
        <v>23188.400000000001</v>
      </c>
      <c r="G42" s="175">
        <f>TRUNC(F42*E42,2)+0.01</f>
        <v>105970.98999999999</v>
      </c>
      <c r="H42" s="167">
        <v>20385.919999999998</v>
      </c>
      <c r="I42" s="168">
        <f t="shared" si="16"/>
        <v>93163.65</v>
      </c>
      <c r="J42" s="754">
        <f>VLOOKUP(A42,'12 - CORPO'!$A:$U,18,FALSE)</f>
        <v>897.20000000000073</v>
      </c>
      <c r="K42" s="169">
        <f t="shared" si="17"/>
        <v>4100.2100000000064</v>
      </c>
      <c r="L42" s="167">
        <f t="shared" si="13"/>
        <v>21283.119999999999</v>
      </c>
      <c r="M42" s="166">
        <f t="shared" si="14"/>
        <v>97263.86</v>
      </c>
      <c r="N42" s="1023">
        <f t="shared" si="15"/>
        <v>0.91779999999999995</v>
      </c>
      <c r="O42" s="983">
        <v>105970.99</v>
      </c>
      <c r="P42" s="981">
        <f t="shared" si="6"/>
        <v>0</v>
      </c>
    </row>
    <row r="43" spans="1:16" outlineLevel="1" x14ac:dyDescent="0.25">
      <c r="A43" s="170" t="s">
        <v>36</v>
      </c>
      <c r="B43" s="170">
        <v>7050100030</v>
      </c>
      <c r="C43" s="171" t="s">
        <v>334</v>
      </c>
      <c r="D43" s="172" t="s">
        <v>308</v>
      </c>
      <c r="E43" s="173">
        <v>76.59</v>
      </c>
      <c r="F43" s="174">
        <v>16487.400000000001</v>
      </c>
      <c r="G43" s="175">
        <f>TRUNC(F43*E43,2)+0.01</f>
        <v>1262769.97</v>
      </c>
      <c r="H43" s="167">
        <v>12297.6</v>
      </c>
      <c r="I43" s="168">
        <f t="shared" si="16"/>
        <v>941873.18</v>
      </c>
      <c r="J43" s="754">
        <f>VLOOKUP(A43,'12 - CORPO'!$A:$U,18,FALSE)</f>
        <v>581</v>
      </c>
      <c r="K43" s="169">
        <f t="shared" si="17"/>
        <v>44498.789999999921</v>
      </c>
      <c r="L43" s="167">
        <f t="shared" si="13"/>
        <v>12878.6</v>
      </c>
      <c r="M43" s="166">
        <f t="shared" si="14"/>
        <v>986371.97</v>
      </c>
      <c r="N43" s="1023">
        <f t="shared" si="15"/>
        <v>0.78110000000000002</v>
      </c>
      <c r="O43" s="983">
        <v>1262769.97</v>
      </c>
      <c r="P43" s="981">
        <f t="shared" si="6"/>
        <v>0</v>
      </c>
    </row>
    <row r="44" spans="1:16" ht="51" outlineLevel="1" x14ac:dyDescent="0.25">
      <c r="A44" s="170" t="s">
        <v>37</v>
      </c>
      <c r="B44" s="170">
        <v>4085</v>
      </c>
      <c r="C44" s="171" t="s">
        <v>335</v>
      </c>
      <c r="D44" s="172" t="s">
        <v>336</v>
      </c>
      <c r="E44" s="173">
        <v>2.72</v>
      </c>
      <c r="F44" s="174">
        <v>2160</v>
      </c>
      <c r="G44" s="175">
        <f t="shared" si="12"/>
        <v>5875.2</v>
      </c>
      <c r="H44" s="167">
        <v>0</v>
      </c>
      <c r="I44" s="168">
        <f t="shared" si="16"/>
        <v>0</v>
      </c>
      <c r="J44" s="167">
        <f>VLOOKUP(A44,'12 - CORPO'!$A:$U,18,FALSE)</f>
        <v>0</v>
      </c>
      <c r="K44" s="169">
        <f t="shared" si="17"/>
        <v>0</v>
      </c>
      <c r="L44" s="167">
        <f>(H44+J44)</f>
        <v>0</v>
      </c>
      <c r="M44" s="166">
        <f t="shared" si="14"/>
        <v>0</v>
      </c>
      <c r="N44" s="1023">
        <f t="shared" si="15"/>
        <v>0</v>
      </c>
      <c r="O44" s="983">
        <v>5875.2</v>
      </c>
      <c r="P44" s="981">
        <f t="shared" si="6"/>
        <v>0</v>
      </c>
    </row>
    <row r="45" spans="1:16" outlineLevel="1" x14ac:dyDescent="0.25">
      <c r="A45" s="170" t="s">
        <v>38</v>
      </c>
      <c r="B45" s="170">
        <v>7060100030</v>
      </c>
      <c r="C45" s="171" t="s">
        <v>337</v>
      </c>
      <c r="D45" s="172" t="s">
        <v>317</v>
      </c>
      <c r="E45" s="173">
        <v>4020.92</v>
      </c>
      <c r="F45" s="174">
        <v>72</v>
      </c>
      <c r="G45" s="175">
        <f t="shared" si="12"/>
        <v>289506.24</v>
      </c>
      <c r="H45" s="167">
        <v>0</v>
      </c>
      <c r="I45" s="168">
        <f t="shared" si="16"/>
        <v>0</v>
      </c>
      <c r="J45" s="167">
        <f>VLOOKUP(A45,'12 - CORPO'!$A:$U,18,FALSE)</f>
        <v>0</v>
      </c>
      <c r="K45" s="169">
        <f t="shared" si="17"/>
        <v>0</v>
      </c>
      <c r="L45" s="167">
        <f>(H45+J45)</f>
        <v>0</v>
      </c>
      <c r="M45" s="166">
        <f t="shared" si="14"/>
        <v>0</v>
      </c>
      <c r="N45" s="1023">
        <f t="shared" si="15"/>
        <v>0</v>
      </c>
      <c r="O45" s="983">
        <v>289506.24</v>
      </c>
      <c r="P45" s="981">
        <f t="shared" si="6"/>
        <v>0</v>
      </c>
    </row>
    <row r="46" spans="1:16" outlineLevel="1" x14ac:dyDescent="0.25">
      <c r="A46" s="170" t="s">
        <v>39</v>
      </c>
      <c r="B46" s="170" t="s">
        <v>338</v>
      </c>
      <c r="C46" s="171" t="s">
        <v>339</v>
      </c>
      <c r="D46" s="172" t="s">
        <v>328</v>
      </c>
      <c r="E46" s="173">
        <v>28.216142000000001</v>
      </c>
      <c r="F46" s="174">
        <v>4078</v>
      </c>
      <c r="G46" s="175">
        <f t="shared" si="12"/>
        <v>115065.42</v>
      </c>
      <c r="H46" s="167">
        <v>0</v>
      </c>
      <c r="I46" s="168">
        <f t="shared" si="16"/>
        <v>0</v>
      </c>
      <c r="J46" s="167">
        <f>VLOOKUP(A46,'12 - CORPO'!$A:$U,18,FALSE)</f>
        <v>0</v>
      </c>
      <c r="K46" s="169">
        <f t="shared" si="17"/>
        <v>0</v>
      </c>
      <c r="L46" s="167">
        <f>(H46+J46)</f>
        <v>0</v>
      </c>
      <c r="M46" s="166">
        <f t="shared" si="14"/>
        <v>0</v>
      </c>
      <c r="N46" s="1023">
        <f t="shared" si="15"/>
        <v>0</v>
      </c>
      <c r="O46" s="983">
        <v>115081.16</v>
      </c>
      <c r="P46" s="981">
        <f t="shared" si="6"/>
        <v>-15.740000000005239</v>
      </c>
    </row>
    <row r="47" spans="1:16" outlineLevel="1" x14ac:dyDescent="0.25">
      <c r="A47" s="181" t="s">
        <v>40</v>
      </c>
      <c r="B47" s="181" t="s">
        <v>340</v>
      </c>
      <c r="C47" s="182" t="s">
        <v>341</v>
      </c>
      <c r="D47" s="183" t="s">
        <v>301</v>
      </c>
      <c r="E47" s="184">
        <v>58.08</v>
      </c>
      <c r="F47" s="185">
        <v>1180</v>
      </c>
      <c r="G47" s="186">
        <f t="shared" si="12"/>
        <v>68534.399999999994</v>
      </c>
      <c r="H47" s="187">
        <v>74.599999999999994</v>
      </c>
      <c r="I47" s="188">
        <f t="shared" si="16"/>
        <v>4332.7700000000004</v>
      </c>
      <c r="J47" s="187">
        <f>VLOOKUP(A47,'12 - CORPO'!$A:$U,18,FALSE)</f>
        <v>0</v>
      </c>
      <c r="K47" s="189">
        <f t="shared" si="17"/>
        <v>0</v>
      </c>
      <c r="L47" s="187">
        <f>(H47+J47)</f>
        <v>74.599999999999994</v>
      </c>
      <c r="M47" s="186">
        <f t="shared" si="14"/>
        <v>4332.7700000000004</v>
      </c>
      <c r="N47" s="1023">
        <f t="shared" si="15"/>
        <v>6.3200000000000006E-2</v>
      </c>
      <c r="O47" s="983">
        <v>68534.399999999994</v>
      </c>
      <c r="P47" s="981">
        <f t="shared" si="6"/>
        <v>0</v>
      </c>
    </row>
    <row r="48" spans="1:16" s="160" customFormat="1" x14ac:dyDescent="0.25">
      <c r="A48" s="190" t="s">
        <v>41</v>
      </c>
      <c r="B48" s="191" t="s">
        <v>342</v>
      </c>
      <c r="C48" s="192"/>
      <c r="D48" s="192"/>
      <c r="E48" s="192"/>
      <c r="F48" s="193"/>
      <c r="G48" s="194">
        <f>SUBTOTAL(9,G49:G55)</f>
        <v>13626536.09</v>
      </c>
      <c r="H48" s="192"/>
      <c r="I48" s="194">
        <f>SUBTOTAL(9,I49:I55)</f>
        <v>8977118.0899999999</v>
      </c>
      <c r="J48" s="192"/>
      <c r="K48" s="194">
        <f>SUBTOTAL(9,K49:K55)</f>
        <v>667707.57999999984</v>
      </c>
      <c r="L48" s="192"/>
      <c r="M48" s="195">
        <f>SUBTOTAL(9,M49:M55)</f>
        <v>9644825.6699999981</v>
      </c>
      <c r="N48" s="159"/>
      <c r="O48" s="987"/>
      <c r="P48" s="981"/>
    </row>
    <row r="49" spans="1:16" outlineLevel="1" x14ac:dyDescent="0.25">
      <c r="A49" s="170" t="s">
        <v>42</v>
      </c>
      <c r="B49" s="170">
        <v>40106</v>
      </c>
      <c r="C49" s="171" t="s">
        <v>343</v>
      </c>
      <c r="D49" s="172" t="s">
        <v>323</v>
      </c>
      <c r="E49" s="173">
        <v>11.28</v>
      </c>
      <c r="F49" s="811">
        <v>107585.03</v>
      </c>
      <c r="G49" s="175">
        <f>TRUNC(F49*E49,2)+0.01</f>
        <v>1213559.1399999999</v>
      </c>
      <c r="H49" s="167">
        <v>87111.494000000006</v>
      </c>
      <c r="I49" s="168">
        <f t="shared" ref="I49:I55" si="18">ROUND((E49*H49),2)</f>
        <v>982617.65</v>
      </c>
      <c r="J49" s="754">
        <f>VLOOKUP(A49,'12 - CORPO'!$A:$U,18,FALSE)</f>
        <v>3216.2079999999987</v>
      </c>
      <c r="K49" s="169">
        <f t="shared" ref="K49:K55" si="19">M49-I49</f>
        <v>36278.829999999958</v>
      </c>
      <c r="L49" s="167">
        <f t="shared" ref="L49:L55" si="20">(H49+J49)</f>
        <v>90327.702000000005</v>
      </c>
      <c r="M49" s="166">
        <f t="shared" ref="M49:M55" si="21">ROUND((E49*L49),2)</f>
        <v>1018896.48</v>
      </c>
      <c r="N49" s="1023">
        <f t="shared" si="15"/>
        <v>0.83960000000000001</v>
      </c>
      <c r="O49" s="983">
        <v>1213559.1399999999</v>
      </c>
      <c r="P49" s="981">
        <f t="shared" si="6"/>
        <v>0</v>
      </c>
    </row>
    <row r="50" spans="1:16" ht="25.5" outlineLevel="1" x14ac:dyDescent="0.25">
      <c r="A50" s="170" t="s">
        <v>43</v>
      </c>
      <c r="B50" s="170">
        <v>70114</v>
      </c>
      <c r="C50" s="171" t="s">
        <v>344</v>
      </c>
      <c r="D50" s="172" t="s">
        <v>323</v>
      </c>
      <c r="E50" s="173">
        <v>45.61</v>
      </c>
      <c r="F50" s="811">
        <v>19681.25</v>
      </c>
      <c r="G50" s="175">
        <f t="shared" ref="G50:G52" si="22">TRUNC(F50*E50,2)</f>
        <v>897661.81</v>
      </c>
      <c r="H50" s="167">
        <v>19681.25</v>
      </c>
      <c r="I50" s="168">
        <f t="shared" si="18"/>
        <v>897661.81</v>
      </c>
      <c r="J50" s="754">
        <f>VLOOKUP(A50,'12 - CORPO'!$A:$U,18,FALSE)</f>
        <v>0</v>
      </c>
      <c r="K50" s="169">
        <f>M50-I50</f>
        <v>0</v>
      </c>
      <c r="L50" s="167">
        <f t="shared" si="20"/>
        <v>19681.25</v>
      </c>
      <c r="M50" s="166">
        <f t="shared" si="21"/>
        <v>897661.81</v>
      </c>
      <c r="N50" s="1023">
        <f t="shared" si="15"/>
        <v>1</v>
      </c>
      <c r="O50" s="983">
        <v>897661.81</v>
      </c>
      <c r="P50" s="981">
        <f t="shared" si="6"/>
        <v>0</v>
      </c>
    </row>
    <row r="51" spans="1:16" outlineLevel="1" x14ac:dyDescent="0.25">
      <c r="A51" s="170" t="s">
        <v>44</v>
      </c>
      <c r="B51" s="170" t="s">
        <v>345</v>
      </c>
      <c r="C51" s="171" t="s">
        <v>346</v>
      </c>
      <c r="D51" s="172" t="s">
        <v>347</v>
      </c>
      <c r="E51" s="173">
        <v>89.36</v>
      </c>
      <c r="F51" s="811">
        <v>90575.59</v>
      </c>
      <c r="G51" s="175">
        <f t="shared" si="22"/>
        <v>8093834.7199999997</v>
      </c>
      <c r="H51" s="167">
        <v>48754.3</v>
      </c>
      <c r="I51" s="168">
        <f t="shared" si="18"/>
        <v>4356684.25</v>
      </c>
      <c r="J51" s="754">
        <f>VLOOKUP(A51,'12 - CORPO'!$A:$U,18,FALSE)</f>
        <v>9742.36</v>
      </c>
      <c r="K51" s="169">
        <f t="shared" si="19"/>
        <v>870577.29</v>
      </c>
      <c r="L51" s="167">
        <f t="shared" si="20"/>
        <v>58496.66</v>
      </c>
      <c r="M51" s="166">
        <f>ROUND((E51*L51),2)</f>
        <v>5227261.54</v>
      </c>
      <c r="N51" s="1023">
        <f t="shared" si="15"/>
        <v>0.64580000000000004</v>
      </c>
      <c r="O51" s="983">
        <v>8093834.7199999997</v>
      </c>
      <c r="P51" s="981">
        <f t="shared" si="6"/>
        <v>0</v>
      </c>
    </row>
    <row r="52" spans="1:16" outlineLevel="1" x14ac:dyDescent="0.25">
      <c r="A52" s="170" t="s">
        <v>45</v>
      </c>
      <c r="B52" s="170">
        <v>5503041</v>
      </c>
      <c r="C52" s="171" t="s">
        <v>348</v>
      </c>
      <c r="D52" s="172" t="s">
        <v>323</v>
      </c>
      <c r="E52" s="173">
        <v>6.99</v>
      </c>
      <c r="F52" s="811">
        <v>7110.44</v>
      </c>
      <c r="G52" s="175">
        <f t="shared" si="22"/>
        <v>49701.97</v>
      </c>
      <c r="H52" s="167">
        <v>5919.2349999999997</v>
      </c>
      <c r="I52" s="168">
        <f t="shared" si="18"/>
        <v>41375.449999999997</v>
      </c>
      <c r="J52" s="754">
        <f>VLOOKUP(A52,'12 - CORPO'!$A:$U,18,FALSE)</f>
        <v>810</v>
      </c>
      <c r="K52" s="169">
        <f t="shared" si="19"/>
        <v>5661.9000000000015</v>
      </c>
      <c r="L52" s="167">
        <f t="shared" si="20"/>
        <v>6729.2349999999997</v>
      </c>
      <c r="M52" s="166">
        <f t="shared" si="21"/>
        <v>47037.35</v>
      </c>
      <c r="N52" s="1023">
        <f t="shared" si="15"/>
        <v>0.94640000000000002</v>
      </c>
      <c r="O52" s="983">
        <v>49701.98</v>
      </c>
      <c r="P52" s="981">
        <f t="shared" si="6"/>
        <v>-1.0000000002037268E-2</v>
      </c>
    </row>
    <row r="53" spans="1:16" outlineLevel="1" x14ac:dyDescent="0.25">
      <c r="A53" s="170" t="s">
        <v>46</v>
      </c>
      <c r="B53" s="170">
        <v>42045</v>
      </c>
      <c r="C53" s="171" t="s">
        <v>349</v>
      </c>
      <c r="D53" s="172" t="s">
        <v>323</v>
      </c>
      <c r="E53" s="173">
        <v>9.41</v>
      </c>
      <c r="F53" s="811">
        <v>17330.03</v>
      </c>
      <c r="G53" s="175">
        <f>TRUNC(F53*E53,2)</f>
        <v>163075.57999999999</v>
      </c>
      <c r="H53" s="167">
        <v>12404.45</v>
      </c>
      <c r="I53" s="168">
        <f t="shared" si="18"/>
        <v>116725.87</v>
      </c>
      <c r="J53" s="754">
        <f>VLOOKUP(A53,'12 - CORPO'!$A:$U,18,FALSE)</f>
        <v>4305.2000000000007</v>
      </c>
      <c r="K53" s="169">
        <f t="shared" si="19"/>
        <v>40511.94</v>
      </c>
      <c r="L53" s="167">
        <f t="shared" si="20"/>
        <v>16709.650000000001</v>
      </c>
      <c r="M53" s="166">
        <f t="shared" si="21"/>
        <v>157237.81</v>
      </c>
      <c r="N53" s="1023">
        <f t="shared" si="15"/>
        <v>0.96419999999999995</v>
      </c>
      <c r="O53" s="983">
        <v>163075.57999999999</v>
      </c>
      <c r="P53" s="981">
        <f t="shared" si="6"/>
        <v>0</v>
      </c>
    </row>
    <row r="54" spans="1:16" ht="25.5" outlineLevel="1" x14ac:dyDescent="0.25">
      <c r="A54" s="170" t="s">
        <v>47</v>
      </c>
      <c r="B54" s="170">
        <v>5914336</v>
      </c>
      <c r="C54" s="171" t="s">
        <v>350</v>
      </c>
      <c r="D54" s="809" t="s">
        <v>351</v>
      </c>
      <c r="E54" s="810">
        <v>0.6</v>
      </c>
      <c r="F54" s="811">
        <v>1856501.3</v>
      </c>
      <c r="G54" s="812">
        <f>TRUNC(F54*E54,2)</f>
        <v>1113900.78</v>
      </c>
      <c r="H54" s="754">
        <v>1856501.3</v>
      </c>
      <c r="I54" s="813">
        <f t="shared" si="18"/>
        <v>1113900.78</v>
      </c>
      <c r="J54" s="754">
        <f>VLOOKUP(A54,'12 - CORPO'!$A:$U,18,FALSE)</f>
        <v>-820413.85600000003</v>
      </c>
      <c r="K54" s="169">
        <f t="shared" si="19"/>
        <v>-492248.31000000006</v>
      </c>
      <c r="L54" s="754">
        <f>(H54+J54)</f>
        <v>1036087.444</v>
      </c>
      <c r="M54" s="814">
        <f t="shared" si="21"/>
        <v>621652.47</v>
      </c>
      <c r="N54" s="1023">
        <f t="shared" si="15"/>
        <v>0.55810000000000004</v>
      </c>
      <c r="O54" s="983">
        <v>1113900.78</v>
      </c>
      <c r="P54" s="981">
        <f t="shared" si="6"/>
        <v>0</v>
      </c>
    </row>
    <row r="55" spans="1:16" outlineLevel="1" x14ac:dyDescent="0.25">
      <c r="A55" s="170" t="s">
        <v>48</v>
      </c>
      <c r="B55" s="170">
        <v>30209</v>
      </c>
      <c r="C55" s="171" t="s">
        <v>352</v>
      </c>
      <c r="D55" s="809" t="s">
        <v>323</v>
      </c>
      <c r="E55" s="810">
        <v>100.07343024933132</v>
      </c>
      <c r="F55" s="811">
        <v>20932.650000000001</v>
      </c>
      <c r="G55" s="812">
        <f>TRUNC(F55*E55,2)+0.01</f>
        <v>2094802.09</v>
      </c>
      <c r="H55" s="754">
        <v>14670.75</v>
      </c>
      <c r="I55" s="813">
        <f t="shared" si="18"/>
        <v>1468152.28</v>
      </c>
      <c r="J55" s="754">
        <f>VLOOKUP(A55,'12 - CORPO'!$A:$U,18,FALSE)</f>
        <v>2067.7410000000018</v>
      </c>
      <c r="K55" s="169">
        <f t="shared" si="19"/>
        <v>206925.92999999993</v>
      </c>
      <c r="L55" s="754">
        <f t="shared" si="20"/>
        <v>16738.491000000002</v>
      </c>
      <c r="M55" s="814">
        <f t="shared" si="21"/>
        <v>1675078.21</v>
      </c>
      <c r="N55" s="1023">
        <f t="shared" si="15"/>
        <v>0.79959999999999998</v>
      </c>
      <c r="O55" s="983">
        <v>2094730.29</v>
      </c>
      <c r="P55" s="981">
        <f t="shared" si="6"/>
        <v>71.800000000046566</v>
      </c>
    </row>
    <row r="56" spans="1:16" s="160" customFormat="1" x14ac:dyDescent="0.25">
      <c r="A56" s="153" t="s">
        <v>49</v>
      </c>
      <c r="B56" s="154" t="s">
        <v>353</v>
      </c>
      <c r="C56" s="155"/>
      <c r="D56" s="155"/>
      <c r="E56" s="155"/>
      <c r="F56" s="156"/>
      <c r="G56" s="157">
        <f>SUBTOTAL(9,G57:G57)</f>
        <v>1136.4000000000001</v>
      </c>
      <c r="H56" s="155"/>
      <c r="I56" s="157">
        <f>SUBTOTAL(9,I57:I57)</f>
        <v>0</v>
      </c>
      <c r="J56" s="155"/>
      <c r="K56" s="157">
        <f>SUBTOTAL(9,K57:K57)</f>
        <v>1136.4000000000001</v>
      </c>
      <c r="L56" s="155"/>
      <c r="M56" s="158">
        <f>SUBTOTAL(9,M57:M57)</f>
        <v>1136.4000000000001</v>
      </c>
      <c r="N56" s="159"/>
      <c r="O56" s="987"/>
      <c r="P56" s="981"/>
    </row>
    <row r="57" spans="1:16" ht="38.25" outlineLevel="1" x14ac:dyDescent="0.25">
      <c r="A57" s="170" t="s">
        <v>50</v>
      </c>
      <c r="B57" s="170" t="s">
        <v>354</v>
      </c>
      <c r="C57" s="171" t="s">
        <v>355</v>
      </c>
      <c r="D57" s="172" t="s">
        <v>356</v>
      </c>
      <c r="E57" s="173">
        <v>1136.4000000000001</v>
      </c>
      <c r="F57" s="174">
        <v>1</v>
      </c>
      <c r="G57" s="175">
        <f>TRUNC(F57*E57,2)</f>
        <v>1136.4000000000001</v>
      </c>
      <c r="H57" s="167">
        <v>0</v>
      </c>
      <c r="I57" s="168">
        <f>ROUND((E57*H57),2)</f>
        <v>0</v>
      </c>
      <c r="J57" s="167">
        <f>VLOOKUP(A57,'12 - CORPO'!$A:$U,18,FALSE)</f>
        <v>1</v>
      </c>
      <c r="K57" s="169">
        <f>M57-I57</f>
        <v>1136.4000000000001</v>
      </c>
      <c r="L57" s="167">
        <f>(H57+J57)</f>
        <v>1</v>
      </c>
      <c r="M57" s="166">
        <f>ROUND((E57*L57),2)</f>
        <v>1136.4000000000001</v>
      </c>
      <c r="N57" s="1023">
        <f t="shared" si="15"/>
        <v>1</v>
      </c>
      <c r="O57" s="983">
        <v>1136.4000000000001</v>
      </c>
      <c r="P57" s="981">
        <f t="shared" si="6"/>
        <v>0</v>
      </c>
    </row>
    <row r="58" spans="1:16" s="160" customFormat="1" x14ac:dyDescent="0.25">
      <c r="A58" s="153" t="s">
        <v>51</v>
      </c>
      <c r="B58" s="154" t="s">
        <v>357</v>
      </c>
      <c r="C58" s="155"/>
      <c r="D58" s="155"/>
      <c r="E58" s="155"/>
      <c r="F58" s="156"/>
      <c r="G58" s="157">
        <f>SUBTOTAL(9,G59:G76)</f>
        <v>234712.57</v>
      </c>
      <c r="H58" s="155"/>
      <c r="I58" s="157">
        <f>SUBTOTAL(9,I59:I76)</f>
        <v>81844.61</v>
      </c>
      <c r="J58" s="155"/>
      <c r="K58" s="157">
        <f>SUBTOTAL(9,K59:K76)</f>
        <v>3127.74</v>
      </c>
      <c r="L58" s="155"/>
      <c r="M58" s="158">
        <f>SUBTOTAL(9,M59:M76)</f>
        <v>84972.35</v>
      </c>
      <c r="N58" s="159"/>
      <c r="O58" s="987"/>
      <c r="P58" s="981"/>
    </row>
    <row r="59" spans="1:16" ht="38.25" outlineLevel="1" x14ac:dyDescent="0.25">
      <c r="A59" s="170" t="s">
        <v>52</v>
      </c>
      <c r="B59" s="170">
        <v>30304</v>
      </c>
      <c r="C59" s="171" t="s">
        <v>358</v>
      </c>
      <c r="D59" s="172" t="s">
        <v>323</v>
      </c>
      <c r="E59" s="173">
        <v>60.16</v>
      </c>
      <c r="F59" s="174">
        <v>204</v>
      </c>
      <c r="G59" s="175">
        <f t="shared" ref="G59:G76" si="23">TRUNC(F59*E59,2)</f>
        <v>12272.64</v>
      </c>
      <c r="H59" s="167">
        <v>0</v>
      </c>
      <c r="I59" s="168">
        <f t="shared" ref="I59:I76" si="24">ROUND((E59*H59),2)</f>
        <v>0</v>
      </c>
      <c r="J59" s="167">
        <f>VLOOKUP(A59,'12 - CORPO'!$A:$U,18,FALSE)</f>
        <v>0</v>
      </c>
      <c r="K59" s="167">
        <f t="shared" ref="K59:K65" si="25">M59-I59</f>
        <v>0</v>
      </c>
      <c r="L59" s="167">
        <f t="shared" ref="L59:L76" si="26">(H59+J59)</f>
        <v>0</v>
      </c>
      <c r="M59" s="166">
        <f t="shared" ref="M59:M76" si="27">ROUND((E59*L59),2)</f>
        <v>0</v>
      </c>
      <c r="N59" s="1023">
        <f t="shared" si="15"/>
        <v>0</v>
      </c>
      <c r="O59" s="983">
        <v>12272.64</v>
      </c>
      <c r="P59" s="981">
        <f t="shared" si="6"/>
        <v>0</v>
      </c>
    </row>
    <row r="60" spans="1:16" ht="38.25" outlineLevel="1" x14ac:dyDescent="0.25">
      <c r="A60" s="170" t="s">
        <v>53</v>
      </c>
      <c r="B60" s="170">
        <v>97162</v>
      </c>
      <c r="C60" s="171" t="s">
        <v>359</v>
      </c>
      <c r="D60" s="172" t="s">
        <v>301</v>
      </c>
      <c r="E60" s="173">
        <v>13.72</v>
      </c>
      <c r="F60" s="174">
        <v>12</v>
      </c>
      <c r="G60" s="175">
        <f t="shared" si="23"/>
        <v>164.64</v>
      </c>
      <c r="H60" s="167">
        <v>0</v>
      </c>
      <c r="I60" s="168">
        <f t="shared" si="24"/>
        <v>0</v>
      </c>
      <c r="J60" s="167">
        <f>VLOOKUP(A60,'12 - CORPO'!$A:$U,18,FALSE)</f>
        <v>0</v>
      </c>
      <c r="K60" s="167">
        <f t="shared" si="25"/>
        <v>0</v>
      </c>
      <c r="L60" s="167">
        <f t="shared" si="26"/>
        <v>0</v>
      </c>
      <c r="M60" s="166">
        <f t="shared" si="27"/>
        <v>0</v>
      </c>
      <c r="N60" s="1023">
        <f t="shared" si="15"/>
        <v>0</v>
      </c>
      <c r="O60" s="983">
        <v>164.64</v>
      </c>
      <c r="P60" s="981">
        <f t="shared" si="6"/>
        <v>0</v>
      </c>
    </row>
    <row r="61" spans="1:16" ht="38.25" outlineLevel="1" x14ac:dyDescent="0.25">
      <c r="A61" s="170" t="s">
        <v>54</v>
      </c>
      <c r="B61" s="170">
        <v>97164</v>
      </c>
      <c r="C61" s="171" t="s">
        <v>360</v>
      </c>
      <c r="D61" s="172" t="s">
        <v>301</v>
      </c>
      <c r="E61" s="173">
        <v>17.239999999999998</v>
      </c>
      <c r="F61" s="174">
        <v>18</v>
      </c>
      <c r="G61" s="175">
        <f t="shared" si="23"/>
        <v>310.32</v>
      </c>
      <c r="H61" s="167">
        <v>0</v>
      </c>
      <c r="I61" s="168">
        <f t="shared" si="24"/>
        <v>0</v>
      </c>
      <c r="J61" s="167">
        <f>VLOOKUP(A61,'12 - CORPO'!$A:$U,18,FALSE)</f>
        <v>0</v>
      </c>
      <c r="K61" s="167">
        <f t="shared" si="25"/>
        <v>0</v>
      </c>
      <c r="L61" s="167">
        <f t="shared" si="26"/>
        <v>0</v>
      </c>
      <c r="M61" s="166">
        <f t="shared" si="27"/>
        <v>0</v>
      </c>
      <c r="N61" s="1023">
        <f t="shared" si="15"/>
        <v>0</v>
      </c>
      <c r="O61" s="983">
        <v>310.32</v>
      </c>
      <c r="P61" s="981">
        <f t="shared" si="6"/>
        <v>0</v>
      </c>
    </row>
    <row r="62" spans="1:16" ht="38.25" outlineLevel="1" x14ac:dyDescent="0.25">
      <c r="A62" s="170" t="s">
        <v>55</v>
      </c>
      <c r="B62" s="170">
        <v>97149</v>
      </c>
      <c r="C62" s="171" t="s">
        <v>361</v>
      </c>
      <c r="D62" s="172" t="s">
        <v>301</v>
      </c>
      <c r="E62" s="173">
        <v>31.29</v>
      </c>
      <c r="F62" s="174">
        <v>24</v>
      </c>
      <c r="G62" s="175">
        <f t="shared" si="23"/>
        <v>750.96</v>
      </c>
      <c r="H62" s="167">
        <v>0</v>
      </c>
      <c r="I62" s="168">
        <f t="shared" si="24"/>
        <v>0</v>
      </c>
      <c r="J62" s="167">
        <f>VLOOKUP(A62,'12 - CORPO'!$A:$U,18,FALSE)</f>
        <v>0</v>
      </c>
      <c r="K62" s="167">
        <f t="shared" si="25"/>
        <v>0</v>
      </c>
      <c r="L62" s="167">
        <f t="shared" si="26"/>
        <v>0</v>
      </c>
      <c r="M62" s="166">
        <f t="shared" si="27"/>
        <v>0</v>
      </c>
      <c r="N62" s="1023">
        <f t="shared" si="15"/>
        <v>0</v>
      </c>
      <c r="O62" s="983">
        <v>750.96</v>
      </c>
      <c r="P62" s="981">
        <f t="shared" si="6"/>
        <v>0</v>
      </c>
    </row>
    <row r="63" spans="1:16" outlineLevel="1" x14ac:dyDescent="0.25">
      <c r="A63" s="170" t="s">
        <v>56</v>
      </c>
      <c r="B63" s="170" t="s">
        <v>362</v>
      </c>
      <c r="C63" s="171" t="s">
        <v>363</v>
      </c>
      <c r="D63" s="172" t="s">
        <v>317</v>
      </c>
      <c r="E63" s="173">
        <v>2175.87</v>
      </c>
      <c r="F63" s="811">
        <v>1</v>
      </c>
      <c r="G63" s="175">
        <f t="shared" si="23"/>
        <v>2175.87</v>
      </c>
      <c r="H63" s="167">
        <v>0</v>
      </c>
      <c r="I63" s="168">
        <f t="shared" si="24"/>
        <v>0</v>
      </c>
      <c r="J63" s="167">
        <f>VLOOKUP(A63,'12 - CORPO'!$A:$U,18,FALSE)</f>
        <v>0</v>
      </c>
      <c r="K63" s="167">
        <f t="shared" si="25"/>
        <v>0</v>
      </c>
      <c r="L63" s="167">
        <f t="shared" si="26"/>
        <v>0</v>
      </c>
      <c r="M63" s="166">
        <f t="shared" si="27"/>
        <v>0</v>
      </c>
      <c r="N63" s="1023">
        <f t="shared" si="15"/>
        <v>0</v>
      </c>
      <c r="O63" s="983">
        <v>2175.87</v>
      </c>
      <c r="P63" s="981">
        <f t="shared" si="6"/>
        <v>0</v>
      </c>
    </row>
    <row r="64" spans="1:16" ht="38.25" outlineLevel="1" x14ac:dyDescent="0.25">
      <c r="A64" s="170" t="s">
        <v>57</v>
      </c>
      <c r="B64" s="170" t="s">
        <v>364</v>
      </c>
      <c r="C64" s="171" t="s">
        <v>365</v>
      </c>
      <c r="D64" s="172" t="s">
        <v>301</v>
      </c>
      <c r="E64" s="173">
        <v>370.66</v>
      </c>
      <c r="F64" s="811">
        <v>12</v>
      </c>
      <c r="G64" s="175">
        <f t="shared" si="23"/>
        <v>4447.92</v>
      </c>
      <c r="H64" s="167">
        <v>0</v>
      </c>
      <c r="I64" s="168">
        <f t="shared" si="24"/>
        <v>0</v>
      </c>
      <c r="J64" s="167">
        <f>VLOOKUP(A64,'12 - CORPO'!$A:$U,18,FALSE)</f>
        <v>0</v>
      </c>
      <c r="K64" s="167">
        <f t="shared" si="25"/>
        <v>0</v>
      </c>
      <c r="L64" s="167">
        <f t="shared" si="26"/>
        <v>0</v>
      </c>
      <c r="M64" s="166">
        <f t="shared" si="27"/>
        <v>0</v>
      </c>
      <c r="N64" s="1023">
        <f t="shared" si="15"/>
        <v>0</v>
      </c>
      <c r="O64" s="983">
        <v>4447.92</v>
      </c>
      <c r="P64" s="981">
        <f t="shared" si="6"/>
        <v>0</v>
      </c>
    </row>
    <row r="65" spans="1:16" outlineLevel="1" x14ac:dyDescent="0.25">
      <c r="A65" s="170" t="s">
        <v>58</v>
      </c>
      <c r="B65" s="170" t="s">
        <v>366</v>
      </c>
      <c r="C65" s="171" t="s">
        <v>367</v>
      </c>
      <c r="D65" s="172" t="s">
        <v>301</v>
      </c>
      <c r="E65" s="173">
        <v>3322.15</v>
      </c>
      <c r="F65" s="811">
        <v>24</v>
      </c>
      <c r="G65" s="175">
        <f t="shared" si="23"/>
        <v>79731.600000000006</v>
      </c>
      <c r="H65" s="167">
        <v>0</v>
      </c>
      <c r="I65" s="168">
        <f t="shared" si="24"/>
        <v>0</v>
      </c>
      <c r="J65" s="167">
        <f>VLOOKUP(A65,'12 - CORPO'!$A:$U,18,FALSE)</f>
        <v>0</v>
      </c>
      <c r="K65" s="167">
        <f t="shared" si="25"/>
        <v>0</v>
      </c>
      <c r="L65" s="167">
        <f t="shared" si="26"/>
        <v>0</v>
      </c>
      <c r="M65" s="166">
        <f t="shared" si="27"/>
        <v>0</v>
      </c>
      <c r="N65" s="1023">
        <f t="shared" si="15"/>
        <v>0</v>
      </c>
      <c r="O65" s="983">
        <v>79731.600000000006</v>
      </c>
      <c r="P65" s="981">
        <f t="shared" si="6"/>
        <v>0</v>
      </c>
    </row>
    <row r="66" spans="1:16" ht="25.5" outlineLevel="1" x14ac:dyDescent="0.25">
      <c r="A66" s="170" t="s">
        <v>59</v>
      </c>
      <c r="B66" s="170">
        <v>90746</v>
      </c>
      <c r="C66" s="171" t="s">
        <v>368</v>
      </c>
      <c r="D66" s="172" t="s">
        <v>301</v>
      </c>
      <c r="E66" s="173">
        <v>4.4800000000000004</v>
      </c>
      <c r="F66" s="811">
        <v>24</v>
      </c>
      <c r="G66" s="175">
        <f t="shared" si="23"/>
        <v>107.52</v>
      </c>
      <c r="H66" s="167">
        <v>0</v>
      </c>
      <c r="I66" s="168">
        <f t="shared" si="24"/>
        <v>0</v>
      </c>
      <c r="J66" s="167">
        <f>VLOOKUP(A66,'12 - CORPO'!$A:$U,18,FALSE)</f>
        <v>0</v>
      </c>
      <c r="K66" s="169">
        <f t="shared" ref="K66:K76" si="28">M66-I66</f>
        <v>0</v>
      </c>
      <c r="L66" s="167">
        <f t="shared" si="26"/>
        <v>0</v>
      </c>
      <c r="M66" s="166">
        <f t="shared" si="27"/>
        <v>0</v>
      </c>
      <c r="N66" s="1023">
        <f t="shared" si="15"/>
        <v>0</v>
      </c>
      <c r="O66" s="983">
        <v>107.52</v>
      </c>
      <c r="P66" s="981">
        <f t="shared" si="6"/>
        <v>0</v>
      </c>
    </row>
    <row r="67" spans="1:16" outlineLevel="1" x14ac:dyDescent="0.25">
      <c r="A67" s="170" t="s">
        <v>60</v>
      </c>
      <c r="B67" s="170">
        <v>40172</v>
      </c>
      <c r="C67" s="171" t="s">
        <v>369</v>
      </c>
      <c r="D67" s="172" t="s">
        <v>370</v>
      </c>
      <c r="E67" s="173">
        <v>25.8</v>
      </c>
      <c r="F67" s="811">
        <v>290</v>
      </c>
      <c r="G67" s="175">
        <f t="shared" si="23"/>
        <v>7482</v>
      </c>
      <c r="H67" s="167">
        <v>210</v>
      </c>
      <c r="I67" s="168">
        <f t="shared" si="24"/>
        <v>5418</v>
      </c>
      <c r="J67" s="167">
        <f>VLOOKUP(A67,'12 - CORPO'!$A:$U,18,FALSE)</f>
        <v>80</v>
      </c>
      <c r="K67" s="169">
        <f t="shared" si="28"/>
        <v>2064</v>
      </c>
      <c r="L67" s="167">
        <f t="shared" si="26"/>
        <v>290</v>
      </c>
      <c r="M67" s="166">
        <f t="shared" si="27"/>
        <v>7482</v>
      </c>
      <c r="N67" s="1023">
        <f t="shared" si="15"/>
        <v>1</v>
      </c>
      <c r="O67" s="983">
        <v>7482</v>
      </c>
      <c r="P67" s="981">
        <f t="shared" si="6"/>
        <v>0</v>
      </c>
    </row>
    <row r="68" spans="1:16" outlineLevel="1" x14ac:dyDescent="0.25">
      <c r="A68" s="170" t="s">
        <v>61</v>
      </c>
      <c r="B68" s="170">
        <v>1600438</v>
      </c>
      <c r="C68" s="171" t="s">
        <v>371</v>
      </c>
      <c r="D68" s="172" t="s">
        <v>323</v>
      </c>
      <c r="E68" s="173">
        <v>551.16</v>
      </c>
      <c r="F68" s="811">
        <v>1.93</v>
      </c>
      <c r="G68" s="175">
        <f>TRUNC(F68*E68,2)+0.01</f>
        <v>1063.74</v>
      </c>
      <c r="H68" s="167">
        <v>0</v>
      </c>
      <c r="I68" s="168">
        <f t="shared" si="24"/>
        <v>0</v>
      </c>
      <c r="J68" s="167">
        <f>VLOOKUP(A68,'12 - CORPO'!$A:$U,18,FALSE)</f>
        <v>1.93</v>
      </c>
      <c r="K68" s="169">
        <f t="shared" si="28"/>
        <v>1063.74</v>
      </c>
      <c r="L68" s="167">
        <f t="shared" si="26"/>
        <v>1.93</v>
      </c>
      <c r="M68" s="166">
        <f t="shared" si="27"/>
        <v>1063.74</v>
      </c>
      <c r="N68" s="1023">
        <f t="shared" si="15"/>
        <v>1</v>
      </c>
      <c r="O68" s="983">
        <v>1063.74</v>
      </c>
      <c r="P68" s="981">
        <f t="shared" si="6"/>
        <v>0</v>
      </c>
    </row>
    <row r="69" spans="1:16" ht="25.5" outlineLevel="1" x14ac:dyDescent="0.25">
      <c r="A69" s="170" t="s">
        <v>62</v>
      </c>
      <c r="B69" s="170">
        <v>40418</v>
      </c>
      <c r="C69" s="171" t="s">
        <v>372</v>
      </c>
      <c r="D69" s="172" t="s">
        <v>301</v>
      </c>
      <c r="E69" s="173">
        <v>103.84</v>
      </c>
      <c r="F69" s="811">
        <v>4.75</v>
      </c>
      <c r="G69" s="175">
        <f t="shared" si="23"/>
        <v>493.24</v>
      </c>
      <c r="H69" s="167">
        <v>0</v>
      </c>
      <c r="I69" s="168">
        <f t="shared" si="24"/>
        <v>0</v>
      </c>
      <c r="J69" s="167">
        <f>VLOOKUP(A69,'12 - CORPO'!$A:$U,18,FALSE)</f>
        <v>0</v>
      </c>
      <c r="K69" s="169">
        <f t="shared" si="28"/>
        <v>0</v>
      </c>
      <c r="L69" s="167">
        <f t="shared" si="26"/>
        <v>0</v>
      </c>
      <c r="M69" s="166">
        <f t="shared" si="27"/>
        <v>0</v>
      </c>
      <c r="N69" s="1023">
        <f t="shared" si="15"/>
        <v>0</v>
      </c>
      <c r="O69" s="983">
        <v>493.24</v>
      </c>
      <c r="P69" s="981">
        <f t="shared" si="6"/>
        <v>0</v>
      </c>
    </row>
    <row r="70" spans="1:16" ht="25.5" outlineLevel="1" x14ac:dyDescent="0.25">
      <c r="A70" s="170" t="s">
        <v>63</v>
      </c>
      <c r="B70" s="170">
        <v>40420</v>
      </c>
      <c r="C70" s="171" t="s">
        <v>373</v>
      </c>
      <c r="D70" s="172" t="s">
        <v>301</v>
      </c>
      <c r="E70" s="173">
        <v>132.58000000000001</v>
      </c>
      <c r="F70" s="811">
        <v>46</v>
      </c>
      <c r="G70" s="175">
        <f t="shared" si="23"/>
        <v>6098.68</v>
      </c>
      <c r="H70" s="167">
        <v>46</v>
      </c>
      <c r="I70" s="168">
        <f t="shared" si="24"/>
        <v>6098.68</v>
      </c>
      <c r="J70" s="167">
        <f>VLOOKUP(A70,'12 - CORPO'!$A:$U,18,FALSE)</f>
        <v>0</v>
      </c>
      <c r="K70" s="169">
        <f t="shared" si="28"/>
        <v>0</v>
      </c>
      <c r="L70" s="167">
        <f t="shared" si="26"/>
        <v>46</v>
      </c>
      <c r="M70" s="166">
        <f t="shared" si="27"/>
        <v>6098.68</v>
      </c>
      <c r="N70" s="1023">
        <f t="shared" si="15"/>
        <v>1</v>
      </c>
      <c r="O70" s="983">
        <v>6098.68</v>
      </c>
      <c r="P70" s="981">
        <f t="shared" si="6"/>
        <v>0</v>
      </c>
    </row>
    <row r="71" spans="1:16" ht="25.5" outlineLevel="1" x14ac:dyDescent="0.25">
      <c r="A71" s="170" t="s">
        <v>64</v>
      </c>
      <c r="B71" s="170">
        <v>40423</v>
      </c>
      <c r="C71" s="171" t="s">
        <v>374</v>
      </c>
      <c r="D71" s="172" t="s">
        <v>301</v>
      </c>
      <c r="E71" s="173">
        <v>176.62</v>
      </c>
      <c r="F71" s="174">
        <v>134.55000000000001</v>
      </c>
      <c r="G71" s="175">
        <f t="shared" si="23"/>
        <v>23764.22</v>
      </c>
      <c r="H71" s="167">
        <v>90</v>
      </c>
      <c r="I71" s="168">
        <f t="shared" si="24"/>
        <v>15895.8</v>
      </c>
      <c r="J71" s="167">
        <f>VLOOKUP(A71,'12 - CORPO'!$A:$U,18,FALSE)</f>
        <v>0</v>
      </c>
      <c r="K71" s="169">
        <f t="shared" si="28"/>
        <v>0</v>
      </c>
      <c r="L71" s="167">
        <f t="shared" si="26"/>
        <v>90</v>
      </c>
      <c r="M71" s="166">
        <f t="shared" si="27"/>
        <v>15895.8</v>
      </c>
      <c r="N71" s="1023">
        <f t="shared" si="15"/>
        <v>0.66890000000000005</v>
      </c>
      <c r="O71" s="983">
        <v>23764.22</v>
      </c>
      <c r="P71" s="981">
        <f t="shared" si="6"/>
        <v>0</v>
      </c>
    </row>
    <row r="72" spans="1:16" ht="25.5" outlineLevel="1" x14ac:dyDescent="0.25">
      <c r="A72" s="170" t="s">
        <v>65</v>
      </c>
      <c r="B72" s="170">
        <v>40427</v>
      </c>
      <c r="C72" s="171" t="s">
        <v>375</v>
      </c>
      <c r="D72" s="172" t="s">
        <v>301</v>
      </c>
      <c r="E72" s="173">
        <v>285.13</v>
      </c>
      <c r="F72" s="174">
        <v>87.8</v>
      </c>
      <c r="G72" s="175">
        <f>TRUNC(F72*E72,2)</f>
        <v>25034.41</v>
      </c>
      <c r="H72" s="167">
        <v>67.900000000000006</v>
      </c>
      <c r="I72" s="168">
        <f t="shared" si="24"/>
        <v>19360.330000000002</v>
      </c>
      <c r="J72" s="167">
        <f>VLOOKUP(A72,'12 - CORPO'!$A:$U,18,FALSE)</f>
        <v>0</v>
      </c>
      <c r="K72" s="169">
        <f t="shared" si="28"/>
        <v>0</v>
      </c>
      <c r="L72" s="167">
        <f t="shared" si="26"/>
        <v>67.900000000000006</v>
      </c>
      <c r="M72" s="166">
        <f t="shared" si="27"/>
        <v>19360.330000000002</v>
      </c>
      <c r="N72" s="1023">
        <f t="shared" si="15"/>
        <v>0.77329999999999999</v>
      </c>
      <c r="O72" s="983">
        <v>25034.41</v>
      </c>
      <c r="P72" s="981">
        <f t="shared" si="6"/>
        <v>0</v>
      </c>
    </row>
    <row r="73" spans="1:16" ht="38.25" outlineLevel="1" x14ac:dyDescent="0.25">
      <c r="A73" s="170" t="s">
        <v>66</v>
      </c>
      <c r="B73" s="170">
        <v>40433</v>
      </c>
      <c r="C73" s="171" t="s">
        <v>376</v>
      </c>
      <c r="D73" s="172" t="s">
        <v>301</v>
      </c>
      <c r="E73" s="173">
        <v>578.07000000000005</v>
      </c>
      <c r="F73" s="174">
        <v>34.6</v>
      </c>
      <c r="G73" s="175">
        <f t="shared" si="23"/>
        <v>20001.22</v>
      </c>
      <c r="H73" s="167">
        <v>19.600000000000001</v>
      </c>
      <c r="I73" s="168">
        <f t="shared" si="24"/>
        <v>11330.17</v>
      </c>
      <c r="J73" s="167">
        <f>VLOOKUP(A73,'12 - CORPO'!$A:$U,18,FALSE)</f>
        <v>0</v>
      </c>
      <c r="K73" s="169">
        <f t="shared" si="28"/>
        <v>0</v>
      </c>
      <c r="L73" s="167">
        <f t="shared" si="26"/>
        <v>19.600000000000001</v>
      </c>
      <c r="M73" s="166">
        <f t="shared" si="27"/>
        <v>11330.17</v>
      </c>
      <c r="N73" s="1023">
        <f t="shared" si="15"/>
        <v>0.5665</v>
      </c>
      <c r="O73" s="983">
        <v>20001.22</v>
      </c>
      <c r="P73" s="981">
        <f t="shared" si="6"/>
        <v>0</v>
      </c>
    </row>
    <row r="74" spans="1:16" ht="25.5" outlineLevel="1" x14ac:dyDescent="0.25">
      <c r="A74" s="170" t="s">
        <v>67</v>
      </c>
      <c r="B74" s="170">
        <v>40437</v>
      </c>
      <c r="C74" s="171" t="s">
        <v>377</v>
      </c>
      <c r="D74" s="172" t="s">
        <v>301</v>
      </c>
      <c r="E74" s="173">
        <v>742.01</v>
      </c>
      <c r="F74" s="174">
        <v>37</v>
      </c>
      <c r="G74" s="175">
        <f t="shared" si="23"/>
        <v>27454.37</v>
      </c>
      <c r="H74" s="167">
        <v>27</v>
      </c>
      <c r="I74" s="168">
        <f t="shared" si="24"/>
        <v>20034.27</v>
      </c>
      <c r="J74" s="167">
        <f>VLOOKUP(A74,'12 - CORPO'!$A:$U,18,FALSE)</f>
        <v>0</v>
      </c>
      <c r="K74" s="169">
        <f t="shared" si="28"/>
        <v>0</v>
      </c>
      <c r="L74" s="167">
        <f t="shared" si="26"/>
        <v>27</v>
      </c>
      <c r="M74" s="166">
        <f t="shared" si="27"/>
        <v>20034.27</v>
      </c>
      <c r="N74" s="1023">
        <f t="shared" si="15"/>
        <v>0.72970000000000002</v>
      </c>
      <c r="O74" s="983">
        <v>27454.37</v>
      </c>
      <c r="P74" s="981">
        <f t="shared" si="6"/>
        <v>0</v>
      </c>
    </row>
    <row r="75" spans="1:16" outlineLevel="1" x14ac:dyDescent="0.25">
      <c r="A75" s="170" t="s">
        <v>68</v>
      </c>
      <c r="B75" s="170">
        <v>7250300290</v>
      </c>
      <c r="C75" s="171" t="s">
        <v>378</v>
      </c>
      <c r="D75" s="172" t="s">
        <v>301</v>
      </c>
      <c r="E75" s="173">
        <v>1091.77</v>
      </c>
      <c r="F75" s="174">
        <v>18</v>
      </c>
      <c r="G75" s="175">
        <f t="shared" si="23"/>
        <v>19651.86</v>
      </c>
      <c r="H75" s="167">
        <v>0</v>
      </c>
      <c r="I75" s="168">
        <f t="shared" si="24"/>
        <v>0</v>
      </c>
      <c r="J75" s="167">
        <f>VLOOKUP(A75,'12 - CORPO'!$A:$U,18,FALSE)</f>
        <v>0</v>
      </c>
      <c r="K75" s="169">
        <f t="shared" si="28"/>
        <v>0</v>
      </c>
      <c r="L75" s="167">
        <f t="shared" si="26"/>
        <v>0</v>
      </c>
      <c r="M75" s="166">
        <f t="shared" si="27"/>
        <v>0</v>
      </c>
      <c r="N75" s="1023">
        <f t="shared" si="15"/>
        <v>0</v>
      </c>
      <c r="O75" s="983">
        <v>19651.86</v>
      </c>
      <c r="P75" s="981">
        <f t="shared" si="6"/>
        <v>0</v>
      </c>
    </row>
    <row r="76" spans="1:16" outlineLevel="1" x14ac:dyDescent="0.25">
      <c r="A76" s="170" t="s">
        <v>69</v>
      </c>
      <c r="B76" s="170">
        <v>1600895</v>
      </c>
      <c r="C76" s="171" t="s">
        <v>379</v>
      </c>
      <c r="D76" s="172" t="s">
        <v>308</v>
      </c>
      <c r="E76" s="173">
        <v>13.63</v>
      </c>
      <c r="F76" s="174">
        <v>272</v>
      </c>
      <c r="G76" s="175">
        <f t="shared" si="23"/>
        <v>3707.36</v>
      </c>
      <c r="H76" s="167">
        <v>272</v>
      </c>
      <c r="I76" s="168">
        <f t="shared" si="24"/>
        <v>3707.36</v>
      </c>
      <c r="J76" s="754">
        <f>VLOOKUP(A76,'12 - CORPO'!$A:$U,18,FALSE)</f>
        <v>0</v>
      </c>
      <c r="K76" s="169">
        <f t="shared" si="28"/>
        <v>0</v>
      </c>
      <c r="L76" s="167">
        <f t="shared" si="26"/>
        <v>272</v>
      </c>
      <c r="M76" s="166">
        <f t="shared" si="27"/>
        <v>3707.36</v>
      </c>
      <c r="N76" s="1023">
        <f t="shared" si="15"/>
        <v>1</v>
      </c>
      <c r="O76" s="983">
        <v>3707.36</v>
      </c>
      <c r="P76" s="981">
        <f t="shared" si="6"/>
        <v>0</v>
      </c>
    </row>
    <row r="77" spans="1:16" s="160" customFormat="1" x14ac:dyDescent="0.25">
      <c r="A77" s="153" t="s">
        <v>70</v>
      </c>
      <c r="B77" s="154" t="s">
        <v>380</v>
      </c>
      <c r="C77" s="155"/>
      <c r="D77" s="155"/>
      <c r="E77" s="155"/>
      <c r="F77" s="156"/>
      <c r="G77" s="157">
        <f>SUBTOTAL(9,G78:G79)</f>
        <v>10618.15</v>
      </c>
      <c r="H77" s="155"/>
      <c r="I77" s="157">
        <f>SUBTOTAL(9,I78:I79)</f>
        <v>10618.15</v>
      </c>
      <c r="J77" s="155"/>
      <c r="K77" s="157">
        <f>SUBTOTAL(9,K78:K103)</f>
        <v>4587.330000000009</v>
      </c>
      <c r="L77" s="155"/>
      <c r="M77" s="158">
        <f>SUBTOTAL(9,M78:M79)</f>
        <v>10618.15</v>
      </c>
      <c r="N77" s="159"/>
      <c r="O77" s="987"/>
      <c r="P77" s="981"/>
    </row>
    <row r="78" spans="1:16" ht="38.25" outlineLevel="1" x14ac:dyDescent="0.25">
      <c r="A78" s="170" t="s">
        <v>71</v>
      </c>
      <c r="B78" s="170">
        <v>98421</v>
      </c>
      <c r="C78" s="171" t="s">
        <v>381</v>
      </c>
      <c r="D78" s="172" t="s">
        <v>317</v>
      </c>
      <c r="E78" s="173">
        <v>2193.67</v>
      </c>
      <c r="F78" s="174">
        <v>1</v>
      </c>
      <c r="G78" s="175">
        <f>TRUNC(F78*E78,2)</f>
        <v>2193.67</v>
      </c>
      <c r="H78" s="167">
        <v>1</v>
      </c>
      <c r="I78" s="168">
        <f>ROUND((E78*H78),2)</f>
        <v>2193.67</v>
      </c>
      <c r="J78" s="754">
        <f>VLOOKUP(A78,'12 - CORPO'!$A:$U,18,FALSE)</f>
        <v>0</v>
      </c>
      <c r="K78" s="169">
        <f>M78-I78</f>
        <v>0</v>
      </c>
      <c r="L78" s="167">
        <f>(H78+J78)</f>
        <v>1</v>
      </c>
      <c r="M78" s="166">
        <f>ROUND((E78*L78),2)</f>
        <v>2193.67</v>
      </c>
      <c r="N78" s="1023">
        <f t="shared" si="15"/>
        <v>1</v>
      </c>
      <c r="O78" s="983">
        <v>2193.67</v>
      </c>
      <c r="P78" s="981">
        <f t="shared" si="6"/>
        <v>0</v>
      </c>
    </row>
    <row r="79" spans="1:16" outlineLevel="1" x14ac:dyDescent="0.25">
      <c r="A79" s="170" t="s">
        <v>72</v>
      </c>
      <c r="B79" s="170">
        <v>41116</v>
      </c>
      <c r="C79" s="171" t="s">
        <v>382</v>
      </c>
      <c r="D79" s="172" t="s">
        <v>317</v>
      </c>
      <c r="E79" s="173">
        <v>2106.12</v>
      </c>
      <c r="F79" s="174">
        <v>4</v>
      </c>
      <c r="G79" s="175">
        <f>TRUNC(F79*E79,2)</f>
        <v>8424.48</v>
      </c>
      <c r="H79" s="167">
        <v>4</v>
      </c>
      <c r="I79" s="168">
        <f>ROUND((E79*H79),2)</f>
        <v>8424.48</v>
      </c>
      <c r="J79" s="754">
        <f>VLOOKUP(A79,'12 - CORPO'!$A:$U,18,FALSE)</f>
        <v>0</v>
      </c>
      <c r="K79" s="169">
        <f>M79-I79</f>
        <v>0</v>
      </c>
      <c r="L79" s="167">
        <f>(H79+J79)</f>
        <v>4</v>
      </c>
      <c r="M79" s="166">
        <f>ROUND((E79*L79),2)</f>
        <v>8424.48</v>
      </c>
      <c r="N79" s="1023">
        <f t="shared" si="15"/>
        <v>1</v>
      </c>
      <c r="O79" s="983">
        <v>8424.48</v>
      </c>
      <c r="P79" s="981">
        <f t="shared" si="6"/>
        <v>0</v>
      </c>
    </row>
    <row r="80" spans="1:16" s="160" customFormat="1" x14ac:dyDescent="0.25">
      <c r="A80" s="153" t="s">
        <v>73</v>
      </c>
      <c r="B80" s="154" t="s">
        <v>383</v>
      </c>
      <c r="C80" s="155"/>
      <c r="D80" s="155"/>
      <c r="E80" s="155"/>
      <c r="F80" s="156"/>
      <c r="G80" s="157"/>
      <c r="H80" s="155"/>
      <c r="I80" s="157"/>
      <c r="J80" s="155"/>
      <c r="K80" s="157"/>
      <c r="L80" s="155"/>
      <c r="M80" s="158"/>
      <c r="N80" s="159"/>
      <c r="O80" s="987"/>
      <c r="P80" s="981"/>
    </row>
    <row r="81" spans="1:16" s="160" customFormat="1" x14ac:dyDescent="0.25">
      <c r="A81" s="153" t="s">
        <v>74</v>
      </c>
      <c r="B81" s="154" t="s">
        <v>384</v>
      </c>
      <c r="C81" s="155"/>
      <c r="D81" s="155"/>
      <c r="E81" s="155"/>
      <c r="F81" s="156"/>
      <c r="G81" s="157">
        <f>SUBTOTAL(9,G82:G83)</f>
        <v>2265.64</v>
      </c>
      <c r="H81" s="155"/>
      <c r="I81" s="157">
        <f>SUBTOTAL(9,I82:I83)</f>
        <v>304.29000000000002</v>
      </c>
      <c r="J81" s="155"/>
      <c r="K81" s="157">
        <f>SUBTOTAL(9,K82:K83)</f>
        <v>0</v>
      </c>
      <c r="L81" s="155"/>
      <c r="M81" s="158">
        <f>SUBTOTAL(9,M82:M83)</f>
        <v>304.29000000000002</v>
      </c>
      <c r="N81" s="159"/>
      <c r="O81" s="987"/>
      <c r="P81" s="981"/>
    </row>
    <row r="82" spans="1:16" outlineLevel="1" x14ac:dyDescent="0.25">
      <c r="A82" s="170" t="s">
        <v>75</v>
      </c>
      <c r="B82" s="170" t="s">
        <v>385</v>
      </c>
      <c r="C82" s="171" t="s">
        <v>386</v>
      </c>
      <c r="D82" s="172" t="s">
        <v>301</v>
      </c>
      <c r="E82" s="173">
        <v>7.64</v>
      </c>
      <c r="F82" s="174">
        <v>248.7</v>
      </c>
      <c r="G82" s="175">
        <f>TRUNC(F82*E82,2)</f>
        <v>1900.06</v>
      </c>
      <c r="H82" s="167">
        <v>0</v>
      </c>
      <c r="I82" s="168">
        <f>ROUND((E82*H82),2)</f>
        <v>0</v>
      </c>
      <c r="J82" s="167">
        <f>VLOOKUP(A82,'12 - CORPO'!$A:$U,18,FALSE)</f>
        <v>0</v>
      </c>
      <c r="K82" s="169">
        <f>M82-I82</f>
        <v>0</v>
      </c>
      <c r="L82" s="167">
        <f>(H82+J82)</f>
        <v>0</v>
      </c>
      <c r="M82" s="166">
        <f>ROUND((E82*L82),2)</f>
        <v>0</v>
      </c>
      <c r="N82" s="1023">
        <f t="shared" ref="N82:N107" si="29">IFERROR(ROUND(M82/G82,4),0)</f>
        <v>0</v>
      </c>
      <c r="O82" s="983">
        <v>1900.07</v>
      </c>
      <c r="P82" s="981">
        <f t="shared" ref="P82:P145" si="30">G82-O82</f>
        <v>-9.9999999999909051E-3</v>
      </c>
    </row>
    <row r="83" spans="1:16" outlineLevel="1" x14ac:dyDescent="0.25">
      <c r="A83" s="181" t="s">
        <v>76</v>
      </c>
      <c r="B83" s="181">
        <v>7020100010</v>
      </c>
      <c r="C83" s="182" t="s">
        <v>387</v>
      </c>
      <c r="D83" s="183" t="s">
        <v>301</v>
      </c>
      <c r="E83" s="184">
        <v>1.47</v>
      </c>
      <c r="F83" s="185">
        <v>248.7</v>
      </c>
      <c r="G83" s="186">
        <f>TRUNC(F83*E83,2)</f>
        <v>365.58</v>
      </c>
      <c r="H83" s="187">
        <v>207</v>
      </c>
      <c r="I83" s="188">
        <f>ROUND((E83*H83),2)</f>
        <v>304.29000000000002</v>
      </c>
      <c r="J83" s="187">
        <f>VLOOKUP(A83,'12 - CORPO'!$A:$U,18,FALSE)</f>
        <v>0</v>
      </c>
      <c r="K83" s="189">
        <f>M83-I83</f>
        <v>0</v>
      </c>
      <c r="L83" s="187">
        <f>(H83+J83)</f>
        <v>207</v>
      </c>
      <c r="M83" s="186">
        <f>ROUND((E83*L83),2)</f>
        <v>304.29000000000002</v>
      </c>
      <c r="N83" s="1023">
        <f t="shared" si="29"/>
        <v>0.83230000000000004</v>
      </c>
      <c r="O83" s="983">
        <v>365.59</v>
      </c>
      <c r="P83" s="981">
        <f t="shared" si="30"/>
        <v>-9.9999999999909051E-3</v>
      </c>
    </row>
    <row r="84" spans="1:16" x14ac:dyDescent="0.25">
      <c r="A84" s="190" t="s">
        <v>77</v>
      </c>
      <c r="B84" s="191" t="s">
        <v>388</v>
      </c>
      <c r="C84" s="192"/>
      <c r="D84" s="192"/>
      <c r="E84" s="192"/>
      <c r="F84" s="193"/>
      <c r="G84" s="194">
        <f>SUBTOTAL(9,G85:G97)</f>
        <v>20908.43</v>
      </c>
      <c r="H84" s="192"/>
      <c r="I84" s="194">
        <f>SUBTOTAL(9,I85:I97)</f>
        <v>12274.21</v>
      </c>
      <c r="J84" s="192"/>
      <c r="K84" s="194">
        <f>SUBTOTAL(9,K85:K97)</f>
        <v>0</v>
      </c>
      <c r="L84" s="192"/>
      <c r="M84" s="195">
        <f>SUBTOTAL(9,M85:M97)</f>
        <v>12274.21</v>
      </c>
      <c r="N84" s="152"/>
      <c r="O84" s="986"/>
      <c r="P84" s="981"/>
    </row>
    <row r="85" spans="1:16" outlineLevel="1" x14ac:dyDescent="0.25">
      <c r="A85" s="170" t="s">
        <v>78</v>
      </c>
      <c r="B85" s="170">
        <v>4805757</v>
      </c>
      <c r="C85" s="171" t="s">
        <v>389</v>
      </c>
      <c r="D85" s="172" t="s">
        <v>323</v>
      </c>
      <c r="E85" s="173">
        <v>5.55</v>
      </c>
      <c r="F85" s="174">
        <v>255.38</v>
      </c>
      <c r="G85" s="175">
        <f>TRUNC(F85*E85,2)+0.01</f>
        <v>1417.36</v>
      </c>
      <c r="H85" s="167">
        <v>149.04</v>
      </c>
      <c r="I85" s="168">
        <f t="shared" ref="I85:I97" si="31">ROUND((E85*H85),2)</f>
        <v>827.17</v>
      </c>
      <c r="J85" s="754">
        <f>VLOOKUP(A85,'12 - CORPO'!$A:$U,18,FALSE)</f>
        <v>0</v>
      </c>
      <c r="K85" s="169">
        <f t="shared" ref="K85:K97" si="32">M85-I85</f>
        <v>0</v>
      </c>
      <c r="L85" s="167">
        <f t="shared" ref="L85:L97" si="33">(H85+J85)</f>
        <v>149.04</v>
      </c>
      <c r="M85" s="166">
        <f t="shared" ref="M85:M97" si="34">ROUND((E85*L85),2)</f>
        <v>827.17</v>
      </c>
      <c r="N85" s="1023">
        <f t="shared" si="29"/>
        <v>0.58360000000000001</v>
      </c>
      <c r="O85" s="983">
        <v>1417.36</v>
      </c>
      <c r="P85" s="981">
        <f t="shared" si="30"/>
        <v>0</v>
      </c>
    </row>
    <row r="86" spans="1:16" outlineLevel="1" x14ac:dyDescent="0.25">
      <c r="A86" s="170" t="s">
        <v>79</v>
      </c>
      <c r="B86" s="170">
        <v>4805749</v>
      </c>
      <c r="C86" s="171" t="s">
        <v>390</v>
      </c>
      <c r="D86" s="172" t="s">
        <v>323</v>
      </c>
      <c r="E86" s="173">
        <v>70.31</v>
      </c>
      <c r="F86" s="174">
        <v>28.38</v>
      </c>
      <c r="G86" s="175">
        <f>TRUNC(F86*E86,2)+0.01</f>
        <v>1995.4</v>
      </c>
      <c r="H86" s="167">
        <v>25.92</v>
      </c>
      <c r="I86" s="168">
        <f t="shared" si="31"/>
        <v>1822.44</v>
      </c>
      <c r="J86" s="754">
        <f>VLOOKUP(A86,'12 - CORPO'!$A:$U,18,FALSE)</f>
        <v>0</v>
      </c>
      <c r="K86" s="169">
        <f t="shared" si="32"/>
        <v>0</v>
      </c>
      <c r="L86" s="167">
        <f t="shared" si="33"/>
        <v>25.92</v>
      </c>
      <c r="M86" s="166">
        <f t="shared" si="34"/>
        <v>1822.44</v>
      </c>
      <c r="N86" s="1023">
        <f t="shared" si="29"/>
        <v>0.9133</v>
      </c>
      <c r="O86" s="983">
        <v>1995.4</v>
      </c>
      <c r="P86" s="981">
        <f t="shared" si="30"/>
        <v>0</v>
      </c>
    </row>
    <row r="87" spans="1:16" ht="25.5" outlineLevel="1" x14ac:dyDescent="0.25">
      <c r="A87" s="170" t="s">
        <v>80</v>
      </c>
      <c r="B87" s="170">
        <v>30206</v>
      </c>
      <c r="C87" s="171" t="s">
        <v>391</v>
      </c>
      <c r="D87" s="172" t="s">
        <v>323</v>
      </c>
      <c r="E87" s="173">
        <v>169.15</v>
      </c>
      <c r="F87" s="174">
        <v>10.35</v>
      </c>
      <c r="G87" s="175">
        <f t="shared" ref="G87:G95" si="35">TRUNC(F87*E87,2)</f>
        <v>1750.7</v>
      </c>
      <c r="H87" s="167">
        <v>10.35</v>
      </c>
      <c r="I87" s="168">
        <f t="shared" si="31"/>
        <v>1750.7</v>
      </c>
      <c r="J87" s="754">
        <f>VLOOKUP(A87,'12 - CORPO'!$A:$U,18,FALSE)</f>
        <v>0</v>
      </c>
      <c r="K87" s="169">
        <f t="shared" si="32"/>
        <v>0</v>
      </c>
      <c r="L87" s="167">
        <f t="shared" si="33"/>
        <v>10.35</v>
      </c>
      <c r="M87" s="166">
        <f t="shared" si="34"/>
        <v>1750.7</v>
      </c>
      <c r="N87" s="1023">
        <f t="shared" si="29"/>
        <v>1</v>
      </c>
      <c r="O87" s="983">
        <v>1750.7</v>
      </c>
      <c r="P87" s="981">
        <f t="shared" si="30"/>
        <v>0</v>
      </c>
    </row>
    <row r="88" spans="1:16" outlineLevel="1" x14ac:dyDescent="0.25">
      <c r="A88" s="170" t="s">
        <v>81</v>
      </c>
      <c r="B88" s="170">
        <v>96995</v>
      </c>
      <c r="C88" s="171" t="s">
        <v>392</v>
      </c>
      <c r="D88" s="172" t="s">
        <v>323</v>
      </c>
      <c r="E88" s="173">
        <v>51.07</v>
      </c>
      <c r="F88" s="174">
        <v>10.35</v>
      </c>
      <c r="G88" s="175">
        <f t="shared" si="35"/>
        <v>528.57000000000005</v>
      </c>
      <c r="H88" s="167">
        <v>10.35</v>
      </c>
      <c r="I88" s="168">
        <f t="shared" si="31"/>
        <v>528.57000000000005</v>
      </c>
      <c r="J88" s="754">
        <f>VLOOKUP(A88,'12 - CORPO'!$A:$U,18,FALSE)</f>
        <v>0</v>
      </c>
      <c r="K88" s="169">
        <f t="shared" si="32"/>
        <v>0</v>
      </c>
      <c r="L88" s="167">
        <f t="shared" si="33"/>
        <v>10.35</v>
      </c>
      <c r="M88" s="166">
        <f t="shared" si="34"/>
        <v>528.57000000000005</v>
      </c>
      <c r="N88" s="1023">
        <f t="shared" si="29"/>
        <v>1</v>
      </c>
      <c r="O88" s="983">
        <v>528.57000000000005</v>
      </c>
      <c r="P88" s="981">
        <f t="shared" si="30"/>
        <v>0</v>
      </c>
    </row>
    <row r="89" spans="1:16" outlineLevel="1" x14ac:dyDescent="0.25">
      <c r="A89" s="170" t="s">
        <v>82</v>
      </c>
      <c r="B89" s="170">
        <v>93382</v>
      </c>
      <c r="C89" s="171" t="s">
        <v>393</v>
      </c>
      <c r="D89" s="172" t="s">
        <v>323</v>
      </c>
      <c r="E89" s="173">
        <v>36.700000000000003</v>
      </c>
      <c r="F89" s="174">
        <v>238.24</v>
      </c>
      <c r="G89" s="175">
        <f>TRUNC(F89*E89,2)+0.01</f>
        <v>8743.41</v>
      </c>
      <c r="H89" s="167">
        <v>111.78</v>
      </c>
      <c r="I89" s="168">
        <f t="shared" si="31"/>
        <v>4102.33</v>
      </c>
      <c r="J89" s="754">
        <f>VLOOKUP(A89,'12 - CORPO'!$A:$U,18,FALSE)</f>
        <v>0</v>
      </c>
      <c r="K89" s="169">
        <f t="shared" si="32"/>
        <v>0</v>
      </c>
      <c r="L89" s="167">
        <f t="shared" si="33"/>
        <v>111.78</v>
      </c>
      <c r="M89" s="166">
        <f t="shared" si="34"/>
        <v>4102.33</v>
      </c>
      <c r="N89" s="1023">
        <f t="shared" si="29"/>
        <v>0.46920000000000001</v>
      </c>
      <c r="O89" s="983">
        <v>8743.41</v>
      </c>
      <c r="P89" s="981">
        <f t="shared" si="30"/>
        <v>0</v>
      </c>
    </row>
    <row r="90" spans="1:16" outlineLevel="1" x14ac:dyDescent="0.25">
      <c r="A90" s="170" t="s">
        <v>83</v>
      </c>
      <c r="B90" s="170">
        <v>5914329</v>
      </c>
      <c r="C90" s="171" t="s">
        <v>394</v>
      </c>
      <c r="D90" s="172" t="s">
        <v>351</v>
      </c>
      <c r="E90" s="173">
        <v>0.84</v>
      </c>
      <c r="F90" s="174">
        <v>47.53</v>
      </c>
      <c r="G90" s="175">
        <f>TRUNC(F90*E90,2)+0.01</f>
        <v>39.93</v>
      </c>
      <c r="H90" s="167">
        <v>0</v>
      </c>
      <c r="I90" s="168">
        <f t="shared" si="31"/>
        <v>0</v>
      </c>
      <c r="J90" s="754">
        <f>VLOOKUP(A90,'12 - CORPO'!$A:$U,18,FALSE)</f>
        <v>0</v>
      </c>
      <c r="K90" s="169">
        <f t="shared" si="32"/>
        <v>0</v>
      </c>
      <c r="L90" s="167">
        <f t="shared" si="33"/>
        <v>0</v>
      </c>
      <c r="M90" s="166">
        <f t="shared" si="34"/>
        <v>0</v>
      </c>
      <c r="N90" s="1023">
        <f t="shared" si="29"/>
        <v>0</v>
      </c>
      <c r="O90" s="983">
        <v>39.93</v>
      </c>
      <c r="P90" s="981">
        <f t="shared" si="30"/>
        <v>0</v>
      </c>
    </row>
    <row r="91" spans="1:16" ht="25.5" outlineLevel="1" x14ac:dyDescent="0.25">
      <c r="A91" s="170" t="s">
        <v>84</v>
      </c>
      <c r="B91" s="170">
        <v>97636</v>
      </c>
      <c r="C91" s="171" t="s">
        <v>395</v>
      </c>
      <c r="D91" s="172" t="s">
        <v>308</v>
      </c>
      <c r="E91" s="173">
        <v>23</v>
      </c>
      <c r="F91" s="174">
        <v>141</v>
      </c>
      <c r="G91" s="175">
        <f t="shared" si="35"/>
        <v>3243</v>
      </c>
      <c r="H91" s="167">
        <v>141</v>
      </c>
      <c r="I91" s="168">
        <f t="shared" si="31"/>
        <v>3243</v>
      </c>
      <c r="J91" s="754">
        <f>VLOOKUP(A91,'12 - CORPO'!$A:$U,18,FALSE)</f>
        <v>0</v>
      </c>
      <c r="K91" s="169">
        <f t="shared" si="32"/>
        <v>0</v>
      </c>
      <c r="L91" s="167">
        <f t="shared" si="33"/>
        <v>141</v>
      </c>
      <c r="M91" s="166">
        <f t="shared" si="34"/>
        <v>3243</v>
      </c>
      <c r="N91" s="1023">
        <f t="shared" si="29"/>
        <v>1</v>
      </c>
      <c r="O91" s="983">
        <v>3243</v>
      </c>
      <c r="P91" s="981">
        <f t="shared" si="30"/>
        <v>0</v>
      </c>
    </row>
    <row r="92" spans="1:16" ht="25.5" outlineLevel="1" x14ac:dyDescent="0.25">
      <c r="A92" s="170" t="s">
        <v>85</v>
      </c>
      <c r="B92" s="170">
        <v>42482</v>
      </c>
      <c r="C92" s="171" t="s">
        <v>396</v>
      </c>
      <c r="D92" s="172" t="s">
        <v>323</v>
      </c>
      <c r="E92" s="173">
        <v>97.73</v>
      </c>
      <c r="F92" s="174">
        <v>21.15</v>
      </c>
      <c r="G92" s="175">
        <f>TRUNC(F92*E92,2)+0.01</f>
        <v>2066.9900000000002</v>
      </c>
      <c r="H92" s="167">
        <v>0</v>
      </c>
      <c r="I92" s="168">
        <f t="shared" si="31"/>
        <v>0</v>
      </c>
      <c r="J92" s="754">
        <f>VLOOKUP(A92,'12 - CORPO'!$A:$U,18,FALSE)</f>
        <v>0</v>
      </c>
      <c r="K92" s="169">
        <f t="shared" si="32"/>
        <v>0</v>
      </c>
      <c r="L92" s="167">
        <f t="shared" si="33"/>
        <v>0</v>
      </c>
      <c r="M92" s="166">
        <f t="shared" si="34"/>
        <v>0</v>
      </c>
      <c r="N92" s="1023">
        <f t="shared" si="29"/>
        <v>0</v>
      </c>
      <c r="O92" s="983">
        <v>2066.9899999999998</v>
      </c>
      <c r="P92" s="981">
        <f t="shared" si="30"/>
        <v>0</v>
      </c>
    </row>
    <row r="93" spans="1:16" ht="25.5" outlineLevel="1" x14ac:dyDescent="0.25">
      <c r="A93" s="170" t="s">
        <v>86</v>
      </c>
      <c r="B93" s="170">
        <v>5915433</v>
      </c>
      <c r="C93" s="171" t="s">
        <v>397</v>
      </c>
      <c r="D93" s="172" t="s">
        <v>347</v>
      </c>
      <c r="E93" s="173">
        <v>30.01</v>
      </c>
      <c r="F93" s="174">
        <v>16.5</v>
      </c>
      <c r="G93" s="175">
        <f>TRUNC(F93*E93,2)+0.01</f>
        <v>495.17</v>
      </c>
      <c r="H93" s="167">
        <v>0</v>
      </c>
      <c r="I93" s="168">
        <f t="shared" si="31"/>
        <v>0</v>
      </c>
      <c r="J93" s="754">
        <f>VLOOKUP(A93,'12 - CORPO'!$A:$U,18,FALSE)</f>
        <v>0</v>
      </c>
      <c r="K93" s="169">
        <f t="shared" si="32"/>
        <v>0</v>
      </c>
      <c r="L93" s="167">
        <f t="shared" si="33"/>
        <v>0</v>
      </c>
      <c r="M93" s="166">
        <f t="shared" si="34"/>
        <v>0</v>
      </c>
      <c r="N93" s="1023">
        <f t="shared" si="29"/>
        <v>0</v>
      </c>
      <c r="O93" s="983">
        <v>495.17</v>
      </c>
      <c r="P93" s="981">
        <f t="shared" si="30"/>
        <v>0</v>
      </c>
    </row>
    <row r="94" spans="1:16" ht="25.5" outlineLevel="1" x14ac:dyDescent="0.25">
      <c r="A94" s="170" t="s">
        <v>87</v>
      </c>
      <c r="B94" s="170">
        <v>5914612</v>
      </c>
      <c r="C94" s="171" t="s">
        <v>398</v>
      </c>
      <c r="D94" s="172" t="s">
        <v>351</v>
      </c>
      <c r="E94" s="173">
        <v>1.02</v>
      </c>
      <c r="F94" s="174">
        <v>310.14</v>
      </c>
      <c r="G94" s="175">
        <f>TRUNC(F94*E94,2)</f>
        <v>316.33999999999997</v>
      </c>
      <c r="H94" s="167">
        <v>0</v>
      </c>
      <c r="I94" s="168">
        <f t="shared" si="31"/>
        <v>0</v>
      </c>
      <c r="J94" s="754">
        <f>VLOOKUP(A94,'12 - CORPO'!$A:$U,18,FALSE)</f>
        <v>0</v>
      </c>
      <c r="K94" s="169">
        <f t="shared" si="32"/>
        <v>0</v>
      </c>
      <c r="L94" s="167">
        <f t="shared" si="33"/>
        <v>0</v>
      </c>
      <c r="M94" s="166">
        <f t="shared" si="34"/>
        <v>0</v>
      </c>
      <c r="N94" s="1023">
        <f t="shared" si="29"/>
        <v>0</v>
      </c>
      <c r="O94" s="983">
        <v>316.33999999999997</v>
      </c>
      <c r="P94" s="981">
        <f t="shared" si="30"/>
        <v>0</v>
      </c>
    </row>
    <row r="95" spans="1:16" outlineLevel="1" x14ac:dyDescent="0.25">
      <c r="A95" s="170" t="s">
        <v>88</v>
      </c>
      <c r="B95" s="170">
        <v>4011352</v>
      </c>
      <c r="C95" s="171" t="s">
        <v>399</v>
      </c>
      <c r="D95" s="172" t="s">
        <v>308</v>
      </c>
      <c r="E95" s="173">
        <v>0.37</v>
      </c>
      <c r="F95" s="174">
        <v>141</v>
      </c>
      <c r="G95" s="175">
        <f t="shared" si="35"/>
        <v>52.17</v>
      </c>
      <c r="H95" s="167">
        <v>0</v>
      </c>
      <c r="I95" s="168">
        <f t="shared" si="31"/>
        <v>0</v>
      </c>
      <c r="J95" s="754">
        <f>VLOOKUP(A95,'12 - CORPO'!$A:$U,18,FALSE)</f>
        <v>0</v>
      </c>
      <c r="K95" s="169">
        <f t="shared" si="32"/>
        <v>0</v>
      </c>
      <c r="L95" s="167">
        <f t="shared" si="33"/>
        <v>0</v>
      </c>
      <c r="M95" s="166">
        <f t="shared" si="34"/>
        <v>0</v>
      </c>
      <c r="N95" s="1023">
        <f t="shared" si="29"/>
        <v>0</v>
      </c>
      <c r="O95" s="983">
        <v>52.17</v>
      </c>
      <c r="P95" s="981">
        <f t="shared" si="30"/>
        <v>0</v>
      </c>
    </row>
    <row r="96" spans="1:16" outlineLevel="1" x14ac:dyDescent="0.25">
      <c r="A96" s="170" t="s">
        <v>89</v>
      </c>
      <c r="B96" s="170">
        <v>101196</v>
      </c>
      <c r="C96" s="171" t="s">
        <v>400</v>
      </c>
      <c r="D96" s="172" t="s">
        <v>347</v>
      </c>
      <c r="E96" s="173">
        <v>2251.36</v>
      </c>
      <c r="F96" s="174">
        <v>0.11</v>
      </c>
      <c r="G96" s="175">
        <f>TRUNC(F96*E96,2)+0.01</f>
        <v>247.64999999999998</v>
      </c>
      <c r="H96" s="167">
        <v>0</v>
      </c>
      <c r="I96" s="168">
        <f t="shared" si="31"/>
        <v>0</v>
      </c>
      <c r="J96" s="754">
        <f>VLOOKUP(A96,'12 - CORPO'!$A:$U,18,FALSE)</f>
        <v>0</v>
      </c>
      <c r="K96" s="169">
        <f t="shared" si="32"/>
        <v>0</v>
      </c>
      <c r="L96" s="167">
        <f t="shared" si="33"/>
        <v>0</v>
      </c>
      <c r="M96" s="166">
        <f t="shared" si="34"/>
        <v>0</v>
      </c>
      <c r="N96" s="1023">
        <f t="shared" si="29"/>
        <v>0</v>
      </c>
      <c r="O96" s="983">
        <v>247.65</v>
      </c>
      <c r="P96" s="981">
        <f t="shared" si="30"/>
        <v>0</v>
      </c>
    </row>
    <row r="97" spans="1:16" outlineLevel="1" x14ac:dyDescent="0.25">
      <c r="A97" s="170" t="s">
        <v>90</v>
      </c>
      <c r="B97" s="170">
        <v>100849</v>
      </c>
      <c r="C97" s="171" t="s">
        <v>401</v>
      </c>
      <c r="D97" s="172" t="s">
        <v>347</v>
      </c>
      <c r="E97" s="173">
        <v>69.03</v>
      </c>
      <c r="F97" s="174">
        <v>0.17</v>
      </c>
      <c r="G97" s="175">
        <f>TRUNC(F97*E97,2)+0.01</f>
        <v>11.74</v>
      </c>
      <c r="H97" s="167">
        <v>0</v>
      </c>
      <c r="I97" s="168">
        <f t="shared" si="31"/>
        <v>0</v>
      </c>
      <c r="J97" s="754">
        <f>VLOOKUP(A97,'12 - CORPO'!$A:$U,18,FALSE)</f>
        <v>0</v>
      </c>
      <c r="K97" s="169">
        <f t="shared" si="32"/>
        <v>0</v>
      </c>
      <c r="L97" s="167">
        <f t="shared" si="33"/>
        <v>0</v>
      </c>
      <c r="M97" s="166">
        <f t="shared" si="34"/>
        <v>0</v>
      </c>
      <c r="N97" s="1023">
        <f t="shared" si="29"/>
        <v>0</v>
      </c>
      <c r="O97" s="983">
        <v>11.74</v>
      </c>
      <c r="P97" s="981">
        <f t="shared" si="30"/>
        <v>0</v>
      </c>
    </row>
    <row r="98" spans="1:16" s="160" customFormat="1" x14ac:dyDescent="0.25">
      <c r="A98" s="153" t="s">
        <v>91</v>
      </c>
      <c r="B98" s="154" t="s">
        <v>402</v>
      </c>
      <c r="C98" s="155"/>
      <c r="D98" s="155"/>
      <c r="E98" s="155"/>
      <c r="F98" s="156"/>
      <c r="G98" s="157">
        <f>SUBTOTAL(9,G99)</f>
        <v>5988.5</v>
      </c>
      <c r="H98" s="155"/>
      <c r="I98" s="157">
        <f>SUBTOTAL(9,I99)</f>
        <v>0</v>
      </c>
      <c r="J98" s="155"/>
      <c r="K98" s="157">
        <f>SUBTOTAL(9,K99)</f>
        <v>0</v>
      </c>
      <c r="L98" s="155"/>
      <c r="M98" s="158">
        <f>SUBTOTAL(9,M99)</f>
        <v>0</v>
      </c>
      <c r="N98" s="159"/>
      <c r="O98" s="987"/>
      <c r="P98" s="981"/>
    </row>
    <row r="99" spans="1:16" ht="25.5" outlineLevel="1" x14ac:dyDescent="0.25">
      <c r="A99" s="170" t="s">
        <v>92</v>
      </c>
      <c r="B99" s="170" t="s">
        <v>403</v>
      </c>
      <c r="C99" s="171" t="s">
        <v>404</v>
      </c>
      <c r="D99" s="172" t="s">
        <v>308</v>
      </c>
      <c r="E99" s="173">
        <v>34.22</v>
      </c>
      <c r="F99" s="174">
        <v>175</v>
      </c>
      <c r="G99" s="175">
        <f>TRUNC(F99*E99,2)</f>
        <v>5988.5</v>
      </c>
      <c r="H99" s="167">
        <v>0</v>
      </c>
      <c r="I99" s="168">
        <f>ROUND((E99*H99),2)</f>
        <v>0</v>
      </c>
      <c r="J99" s="167">
        <f>VLOOKUP(A99,'12 - CORPO'!$A:$U,18,FALSE)</f>
        <v>0</v>
      </c>
      <c r="K99" s="169">
        <f>M99-I99</f>
        <v>0</v>
      </c>
      <c r="L99" s="167">
        <f>(H99+J99)</f>
        <v>0</v>
      </c>
      <c r="M99" s="166">
        <f>ROUND((E99*L99),2)</f>
        <v>0</v>
      </c>
      <c r="N99" s="1023">
        <f t="shared" si="29"/>
        <v>0</v>
      </c>
      <c r="O99" s="983">
        <v>5988.5</v>
      </c>
      <c r="P99" s="981">
        <f t="shared" si="30"/>
        <v>0</v>
      </c>
    </row>
    <row r="100" spans="1:16" s="160" customFormat="1" x14ac:dyDescent="0.25">
      <c r="A100" s="153" t="s">
        <v>93</v>
      </c>
      <c r="B100" s="154" t="s">
        <v>405</v>
      </c>
      <c r="C100" s="155"/>
      <c r="D100" s="155"/>
      <c r="E100" s="155"/>
      <c r="F100" s="156"/>
      <c r="G100" s="157">
        <f>SUBTOTAL(9,G101:G103)</f>
        <v>160335.29999999999</v>
      </c>
      <c r="H100" s="155"/>
      <c r="I100" s="157">
        <f>SUBTOTAL(9,I101:I103)</f>
        <v>124720.33</v>
      </c>
      <c r="J100" s="155"/>
      <c r="K100" s="157">
        <f>SUBTOTAL(9,K101:K103)</f>
        <v>4587.330000000009</v>
      </c>
      <c r="L100" s="155"/>
      <c r="M100" s="158">
        <f>SUBTOTAL(9,M101:M103)</f>
        <v>129307.66</v>
      </c>
      <c r="N100" s="159"/>
      <c r="O100" s="987"/>
      <c r="P100" s="981"/>
    </row>
    <row r="101" spans="1:16" ht="38.25" outlineLevel="1" x14ac:dyDescent="0.25">
      <c r="A101" s="170" t="s">
        <v>94</v>
      </c>
      <c r="B101" s="170" t="s">
        <v>406</v>
      </c>
      <c r="C101" s="171" t="s">
        <v>407</v>
      </c>
      <c r="D101" s="172" t="s">
        <v>301</v>
      </c>
      <c r="E101" s="173">
        <v>8.24</v>
      </c>
      <c r="F101" s="811">
        <v>5161.3999999999996</v>
      </c>
      <c r="G101" s="175">
        <f>TRUNC(F101*E101,2)+0.01</f>
        <v>42529.94</v>
      </c>
      <c r="H101" s="167">
        <v>3203.7</v>
      </c>
      <c r="I101" s="168">
        <f>ROUND((E101*H101),2)</f>
        <v>26398.49</v>
      </c>
      <c r="J101" s="167">
        <f>VLOOKUP(A101,'12 - CORPO'!$A:$U,18,FALSE)</f>
        <v>165</v>
      </c>
      <c r="K101" s="169">
        <f>M101-I101</f>
        <v>1359.5999999999985</v>
      </c>
      <c r="L101" s="167">
        <f>(H101+J101)</f>
        <v>3368.7</v>
      </c>
      <c r="M101" s="166">
        <f>ROUND((E101*L101),2)</f>
        <v>27758.09</v>
      </c>
      <c r="N101" s="1023">
        <f t="shared" si="29"/>
        <v>0.65269999999999995</v>
      </c>
      <c r="O101" s="983">
        <v>42529.94</v>
      </c>
      <c r="P101" s="981">
        <f t="shared" si="30"/>
        <v>0</v>
      </c>
    </row>
    <row r="102" spans="1:16" outlineLevel="1" x14ac:dyDescent="0.25">
      <c r="A102" s="170" t="s">
        <v>95</v>
      </c>
      <c r="B102" s="170">
        <v>41936</v>
      </c>
      <c r="C102" s="171" t="s">
        <v>408</v>
      </c>
      <c r="D102" s="172" t="s">
        <v>409</v>
      </c>
      <c r="E102" s="173">
        <v>97.81</v>
      </c>
      <c r="F102" s="811">
        <v>1072.79</v>
      </c>
      <c r="G102" s="175">
        <f>TRUNC(F102*E102,2)+0.01</f>
        <v>104929.59</v>
      </c>
      <c r="H102" s="167">
        <v>1005.2329999999999</v>
      </c>
      <c r="I102" s="168">
        <f>ROUND((E102*H102),2)</f>
        <v>98321.84</v>
      </c>
      <c r="J102" s="754">
        <f>VLOOKUP(A102,'12 - CORPO'!$A:$U,18,FALSE)</f>
        <v>33</v>
      </c>
      <c r="K102" s="169">
        <f>M102-I102</f>
        <v>3227.7300000000105</v>
      </c>
      <c r="L102" s="167">
        <f>(H102+J102)</f>
        <v>1038.2329999999999</v>
      </c>
      <c r="M102" s="166">
        <f>ROUND((E102*L102),2)</f>
        <v>101549.57</v>
      </c>
      <c r="N102" s="1023">
        <f t="shared" si="29"/>
        <v>0.96779999999999999</v>
      </c>
      <c r="O102" s="983">
        <v>104929.59</v>
      </c>
      <c r="P102" s="981">
        <f t="shared" si="30"/>
        <v>0</v>
      </c>
    </row>
    <row r="103" spans="1:16" ht="25.5" outlineLevel="1" x14ac:dyDescent="0.25">
      <c r="A103" s="170" t="s">
        <v>96</v>
      </c>
      <c r="B103" s="170">
        <v>95995</v>
      </c>
      <c r="C103" s="171" t="s">
        <v>410</v>
      </c>
      <c r="D103" s="172" t="s">
        <v>323</v>
      </c>
      <c r="E103" s="173">
        <v>1826.35</v>
      </c>
      <c r="F103" s="811">
        <v>7.05</v>
      </c>
      <c r="G103" s="175">
        <f>TRUNC(F103*E103,2)+0.01</f>
        <v>12875.77</v>
      </c>
      <c r="H103" s="167">
        <v>0</v>
      </c>
      <c r="I103" s="168">
        <f>ROUND((E103*H103),2)</f>
        <v>0</v>
      </c>
      <c r="J103" s="167">
        <f>VLOOKUP(A103,'12 - CORPO'!$A:$U,18,FALSE)</f>
        <v>0</v>
      </c>
      <c r="K103" s="169">
        <f>M103-I103</f>
        <v>0</v>
      </c>
      <c r="L103" s="167">
        <f>(H103+J103)</f>
        <v>0</v>
      </c>
      <c r="M103" s="166">
        <f>ROUND((E103*L103),2)</f>
        <v>0</v>
      </c>
      <c r="N103" s="1023">
        <f t="shared" si="29"/>
        <v>0</v>
      </c>
      <c r="O103" s="983">
        <v>12875.77</v>
      </c>
      <c r="P103" s="981">
        <f t="shared" si="30"/>
        <v>0</v>
      </c>
    </row>
    <row r="104" spans="1:16" s="160" customFormat="1" x14ac:dyDescent="0.25">
      <c r="A104" s="153" t="s">
        <v>97</v>
      </c>
      <c r="B104" s="154" t="s">
        <v>411</v>
      </c>
      <c r="C104" s="155"/>
      <c r="D104" s="155"/>
      <c r="E104" s="155"/>
      <c r="F104" s="156"/>
      <c r="G104" s="157">
        <f>SUBTOTAL(9,G105:G107)</f>
        <v>112687.04999999999</v>
      </c>
      <c r="H104" s="155"/>
      <c r="I104" s="157">
        <f>SUBTOTAL(9,I105:I107)</f>
        <v>89962.709999999992</v>
      </c>
      <c r="J104" s="155"/>
      <c r="K104" s="157">
        <f>SUBTOTAL(9,K105:K107)</f>
        <v>20300.589999999997</v>
      </c>
      <c r="L104" s="155"/>
      <c r="M104" s="158">
        <f>SUBTOTAL(9,M105:M107)</f>
        <v>110263.29999999999</v>
      </c>
      <c r="N104" s="1023"/>
      <c r="O104" s="987"/>
      <c r="P104" s="981"/>
    </row>
    <row r="105" spans="1:16" outlineLevel="1" x14ac:dyDescent="0.25">
      <c r="A105" s="170" t="s">
        <v>98</v>
      </c>
      <c r="B105" s="170">
        <v>42047</v>
      </c>
      <c r="C105" s="171" t="s">
        <v>412</v>
      </c>
      <c r="D105" s="172" t="s">
        <v>370</v>
      </c>
      <c r="E105" s="173">
        <v>41.69</v>
      </c>
      <c r="F105" s="811">
        <v>115</v>
      </c>
      <c r="G105" s="175">
        <f>TRUNC(F105*E105,2)</f>
        <v>4794.3500000000004</v>
      </c>
      <c r="H105" s="167">
        <v>75</v>
      </c>
      <c r="I105" s="168">
        <f>ROUND((E105*H105),2)</f>
        <v>3126.75</v>
      </c>
      <c r="J105" s="167">
        <f>VLOOKUP(A105,'12 - CORPO'!$A:$U,18,FALSE)</f>
        <v>40</v>
      </c>
      <c r="K105" s="169">
        <f>M105-I105</f>
        <v>1667.6000000000004</v>
      </c>
      <c r="L105" s="167">
        <f>(H105+J105)</f>
        <v>115</v>
      </c>
      <c r="M105" s="166">
        <f>ROUND((E105*L105),2)</f>
        <v>4794.3500000000004</v>
      </c>
      <c r="N105" s="1023">
        <f t="shared" si="29"/>
        <v>1</v>
      </c>
      <c r="O105" s="983">
        <v>4794.3500000000004</v>
      </c>
      <c r="P105" s="981">
        <f t="shared" si="30"/>
        <v>0</v>
      </c>
    </row>
    <row r="106" spans="1:16" outlineLevel="1" x14ac:dyDescent="0.25">
      <c r="A106" s="170" t="s">
        <v>99</v>
      </c>
      <c r="B106" s="170">
        <v>40937</v>
      </c>
      <c r="C106" s="171" t="s">
        <v>413</v>
      </c>
      <c r="D106" s="172" t="s">
        <v>308</v>
      </c>
      <c r="E106" s="173">
        <v>528.33000000000004</v>
      </c>
      <c r="F106" s="811">
        <v>95.6</v>
      </c>
      <c r="G106" s="175">
        <f>TRUNC(F106*E106,2)</f>
        <v>50508.34</v>
      </c>
      <c r="H106" s="167">
        <v>62</v>
      </c>
      <c r="I106" s="168">
        <f>ROUND((E106*H106),2)</f>
        <v>32756.46</v>
      </c>
      <c r="J106" s="167">
        <f>VLOOKUP(A106,'12 - CORPO'!$A:$U,18,FALSE)</f>
        <v>33.599999999999994</v>
      </c>
      <c r="K106" s="169">
        <f>M106-I106</f>
        <v>17751.89</v>
      </c>
      <c r="L106" s="167">
        <f>(H106+J106)</f>
        <v>95.6</v>
      </c>
      <c r="M106" s="166">
        <f>ROUND((E106*L106),2)</f>
        <v>50508.35</v>
      </c>
      <c r="N106" s="1023">
        <f t="shared" si="29"/>
        <v>1</v>
      </c>
      <c r="O106" s="983">
        <v>50508.35</v>
      </c>
      <c r="P106" s="981">
        <f t="shared" si="30"/>
        <v>-1.0000000002037268E-2</v>
      </c>
    </row>
    <row r="107" spans="1:16" ht="25.5" outlineLevel="1" x14ac:dyDescent="0.25">
      <c r="A107" s="170" t="s">
        <v>100</v>
      </c>
      <c r="B107" s="170">
        <v>41359</v>
      </c>
      <c r="C107" s="171" t="s">
        <v>414</v>
      </c>
      <c r="D107" s="172" t="s">
        <v>301</v>
      </c>
      <c r="E107" s="173">
        <v>14.444311316955295</v>
      </c>
      <c r="F107" s="811">
        <v>3972.8</v>
      </c>
      <c r="G107" s="175">
        <f>TRUNC(F107*E107,2)</f>
        <v>57384.36</v>
      </c>
      <c r="H107" s="167">
        <v>3744</v>
      </c>
      <c r="I107" s="168">
        <f>ROUND((E107*H107),2)</f>
        <v>54079.5</v>
      </c>
      <c r="J107" s="754">
        <f>VLOOKUP(A107,'12 - CORPO'!$A:$U,18,FALSE)</f>
        <v>61</v>
      </c>
      <c r="K107" s="169">
        <f>M107-I107</f>
        <v>881.09999999999854</v>
      </c>
      <c r="L107" s="167">
        <f>(H107+J107)</f>
        <v>3805</v>
      </c>
      <c r="M107" s="166">
        <f>ROUND((E107*L107),2)</f>
        <v>54960.6</v>
      </c>
      <c r="N107" s="1023">
        <f t="shared" si="29"/>
        <v>0.95779999999999998</v>
      </c>
      <c r="O107" s="983">
        <v>57367.23</v>
      </c>
      <c r="P107" s="981">
        <f t="shared" si="30"/>
        <v>17.129999999997381</v>
      </c>
    </row>
    <row r="108" spans="1:16" x14ac:dyDescent="0.25">
      <c r="A108" s="196"/>
      <c r="B108" s="197"/>
      <c r="C108" s="155" t="s">
        <v>415</v>
      </c>
      <c r="D108" s="155"/>
      <c r="E108" s="155"/>
      <c r="F108" s="156"/>
      <c r="G108" s="178">
        <f>SUBTOTAL(9,$G$33:$G$107)</f>
        <v>34511195.430000007</v>
      </c>
      <c r="H108" s="198"/>
      <c r="I108" s="157">
        <f>SUBTOTAL(9,I34:I107)</f>
        <v>26464091.230000004</v>
      </c>
      <c r="J108" s="155"/>
      <c r="K108" s="157">
        <f>SUBTOTAL(9,K34:K107)</f>
        <v>1551809.3099999994</v>
      </c>
      <c r="L108" s="155"/>
      <c r="M108" s="158">
        <f>SUBTOTAL(9,M34:M107)</f>
        <v>28015900.539999999</v>
      </c>
      <c r="N108" s="152"/>
      <c r="O108" s="986"/>
      <c r="P108" s="981"/>
    </row>
    <row r="109" spans="1:16" s="205" customFormat="1" x14ac:dyDescent="0.25">
      <c r="A109" s="199" t="s">
        <v>101</v>
      </c>
      <c r="B109" s="200" t="s">
        <v>416</v>
      </c>
      <c r="C109" s="201"/>
      <c r="D109" s="201"/>
      <c r="E109" s="201"/>
      <c r="F109" s="202"/>
      <c r="G109" s="203"/>
      <c r="H109" s="201"/>
      <c r="I109" s="203"/>
      <c r="J109" s="201"/>
      <c r="K109" s="203"/>
      <c r="L109" s="201"/>
      <c r="M109" s="204"/>
      <c r="N109" s="152"/>
      <c r="O109" s="986"/>
      <c r="P109" s="981"/>
    </row>
    <row r="110" spans="1:16" s="160" customFormat="1" x14ac:dyDescent="0.25">
      <c r="A110" s="153" t="s">
        <v>102</v>
      </c>
      <c r="B110" s="154" t="s">
        <v>342</v>
      </c>
      <c r="C110" s="155"/>
      <c r="D110" s="155"/>
      <c r="E110" s="155"/>
      <c r="F110" s="156"/>
      <c r="G110" s="157">
        <f>SUBTOTAL(9,G111:G116)</f>
        <v>3341486.1999999997</v>
      </c>
      <c r="H110" s="155"/>
      <c r="I110" s="157">
        <f>SUBTOTAL(9,I111:I116)</f>
        <v>426831.18</v>
      </c>
      <c r="J110" s="155"/>
      <c r="K110" s="157">
        <f>SUBTOTAL(9,K111:K116)</f>
        <v>-426831.18</v>
      </c>
      <c r="L110" s="155"/>
      <c r="M110" s="158">
        <f>SUBTOTAL(9,M111:M116)</f>
        <v>0</v>
      </c>
      <c r="N110" s="159"/>
      <c r="O110" s="987"/>
      <c r="P110" s="981"/>
    </row>
    <row r="111" spans="1:16" outlineLevel="1" x14ac:dyDescent="0.25">
      <c r="A111" s="170" t="s">
        <v>103</v>
      </c>
      <c r="B111" s="170">
        <v>40106</v>
      </c>
      <c r="C111" s="171" t="s">
        <v>343</v>
      </c>
      <c r="D111" s="172" t="s">
        <v>323</v>
      </c>
      <c r="E111" s="173">
        <v>11.28</v>
      </c>
      <c r="F111" s="174">
        <v>16199.32</v>
      </c>
      <c r="G111" s="175">
        <f>TRUNC(F111*E111,2)+0.01</f>
        <v>182728.33000000002</v>
      </c>
      <c r="H111" s="167">
        <v>0</v>
      </c>
      <c r="I111" s="168">
        <f t="shared" ref="I111:I116" si="36">ROUND((E111*H111),2)</f>
        <v>0</v>
      </c>
      <c r="J111" s="754">
        <f>VLOOKUP(A111,'12 - CORPO'!$A:$U,18,FALSE)</f>
        <v>0</v>
      </c>
      <c r="K111" s="169">
        <f t="shared" ref="K111:K116" si="37">M111-I111</f>
        <v>0</v>
      </c>
      <c r="L111" s="167">
        <f t="shared" ref="L111:L116" si="38">(H111+J111)</f>
        <v>0</v>
      </c>
      <c r="M111" s="166">
        <f t="shared" ref="M111:M116" si="39">ROUND((E111*L111),2)</f>
        <v>0</v>
      </c>
      <c r="N111" s="1023">
        <f t="shared" ref="N111:N130" si="40">IFERROR(ROUND(M111/G111,4),0)</f>
        <v>0</v>
      </c>
      <c r="O111" s="983">
        <v>182728.33</v>
      </c>
      <c r="P111" s="981">
        <f t="shared" si="30"/>
        <v>0</v>
      </c>
    </row>
    <row r="112" spans="1:16" ht="25.5" outlineLevel="1" x14ac:dyDescent="0.25">
      <c r="A112" s="170" t="s">
        <v>104</v>
      </c>
      <c r="B112" s="170">
        <v>70114</v>
      </c>
      <c r="C112" s="171" t="s">
        <v>417</v>
      </c>
      <c r="D112" s="172" t="s">
        <v>323</v>
      </c>
      <c r="E112" s="173">
        <v>45.61</v>
      </c>
      <c r="F112" s="174">
        <v>17900.25</v>
      </c>
      <c r="G112" s="175">
        <f>TRUNC(F112*E112,2)</f>
        <v>816430.4</v>
      </c>
      <c r="H112" s="167">
        <v>0</v>
      </c>
      <c r="I112" s="168">
        <f t="shared" si="36"/>
        <v>0</v>
      </c>
      <c r="J112" s="167">
        <f>VLOOKUP(A112,'12 - CORPO'!$A:$U,18,FALSE)</f>
        <v>0</v>
      </c>
      <c r="K112" s="169">
        <f t="shared" si="37"/>
        <v>0</v>
      </c>
      <c r="L112" s="167">
        <f t="shared" si="38"/>
        <v>0</v>
      </c>
      <c r="M112" s="166">
        <f t="shared" si="39"/>
        <v>0</v>
      </c>
      <c r="N112" s="1023">
        <f t="shared" si="40"/>
        <v>0</v>
      </c>
      <c r="O112" s="983">
        <v>816430.4</v>
      </c>
      <c r="P112" s="981">
        <f t="shared" si="30"/>
        <v>0</v>
      </c>
    </row>
    <row r="113" spans="1:16" outlineLevel="1" x14ac:dyDescent="0.25">
      <c r="A113" s="170" t="s">
        <v>105</v>
      </c>
      <c r="B113" s="170" t="s">
        <v>345</v>
      </c>
      <c r="C113" s="171" t="s">
        <v>418</v>
      </c>
      <c r="D113" s="172" t="s">
        <v>347</v>
      </c>
      <c r="E113" s="173">
        <v>89.36</v>
      </c>
      <c r="F113" s="174">
        <v>23047.48</v>
      </c>
      <c r="G113" s="175">
        <f>TRUNC(F113*E113,2)</f>
        <v>2059522.81</v>
      </c>
      <c r="H113" s="167">
        <v>3158.87</v>
      </c>
      <c r="I113" s="168">
        <f t="shared" si="36"/>
        <v>282276.62</v>
      </c>
      <c r="J113" s="754">
        <f>VLOOKUP(A113,'12 - CORPO'!$A:$U,18,FALSE)</f>
        <v>-3158.87</v>
      </c>
      <c r="K113" s="169">
        <f t="shared" si="37"/>
        <v>-282276.62</v>
      </c>
      <c r="L113" s="167">
        <f t="shared" si="38"/>
        <v>0</v>
      </c>
      <c r="M113" s="166">
        <f t="shared" si="39"/>
        <v>0</v>
      </c>
      <c r="N113" s="1023">
        <f t="shared" si="40"/>
        <v>0</v>
      </c>
      <c r="O113" s="983">
        <v>2059522.81</v>
      </c>
      <c r="P113" s="981">
        <f t="shared" si="30"/>
        <v>0</v>
      </c>
    </row>
    <row r="114" spans="1:16" outlineLevel="1" x14ac:dyDescent="0.25">
      <c r="A114" s="170" t="s">
        <v>106</v>
      </c>
      <c r="B114" s="170">
        <v>5503041</v>
      </c>
      <c r="C114" s="171" t="s">
        <v>348</v>
      </c>
      <c r="D114" s="172" t="s">
        <v>323</v>
      </c>
      <c r="E114" s="173">
        <v>6.99</v>
      </c>
      <c r="F114" s="174">
        <v>5471.06</v>
      </c>
      <c r="G114" s="175">
        <f>TRUNC(F114*E114,2)+0.01</f>
        <v>38242.71</v>
      </c>
      <c r="H114" s="167">
        <v>0</v>
      </c>
      <c r="I114" s="168">
        <f t="shared" si="36"/>
        <v>0</v>
      </c>
      <c r="J114" s="167">
        <f>VLOOKUP(A114,'12 - CORPO'!$A:$U,18,FALSE)</f>
        <v>0</v>
      </c>
      <c r="K114" s="169">
        <f t="shared" si="37"/>
        <v>0</v>
      </c>
      <c r="L114" s="167">
        <f t="shared" si="38"/>
        <v>0</v>
      </c>
      <c r="M114" s="166">
        <f t="shared" si="39"/>
        <v>0</v>
      </c>
      <c r="N114" s="1023">
        <f t="shared" si="40"/>
        <v>0</v>
      </c>
      <c r="O114" s="983">
        <v>38242.71</v>
      </c>
      <c r="P114" s="981">
        <f t="shared" si="30"/>
        <v>0</v>
      </c>
    </row>
    <row r="115" spans="1:16" outlineLevel="1" x14ac:dyDescent="0.25">
      <c r="A115" s="170" t="s">
        <v>107</v>
      </c>
      <c r="B115" s="170">
        <v>42045</v>
      </c>
      <c r="C115" s="171" t="s">
        <v>349</v>
      </c>
      <c r="D115" s="172" t="s">
        <v>323</v>
      </c>
      <c r="E115" s="173">
        <v>9.41</v>
      </c>
      <c r="F115" s="174">
        <v>5471.06</v>
      </c>
      <c r="G115" s="175">
        <f>TRUNC(F115*E115,2)</f>
        <v>51482.67</v>
      </c>
      <c r="H115" s="167">
        <v>0</v>
      </c>
      <c r="I115" s="168">
        <f t="shared" si="36"/>
        <v>0</v>
      </c>
      <c r="J115" s="167">
        <f>VLOOKUP(A115,'12 - CORPO'!$A:$U,18,FALSE)</f>
        <v>0</v>
      </c>
      <c r="K115" s="169">
        <f t="shared" si="37"/>
        <v>0</v>
      </c>
      <c r="L115" s="167">
        <f t="shared" si="38"/>
        <v>0</v>
      </c>
      <c r="M115" s="166">
        <f t="shared" si="39"/>
        <v>0</v>
      </c>
      <c r="N115" s="1023">
        <f t="shared" si="40"/>
        <v>0</v>
      </c>
      <c r="O115" s="983">
        <v>51482.67</v>
      </c>
      <c r="P115" s="981">
        <f t="shared" si="30"/>
        <v>0</v>
      </c>
    </row>
    <row r="116" spans="1:16" ht="25.5" outlineLevel="1" x14ac:dyDescent="0.25">
      <c r="A116" s="170" t="s">
        <v>108</v>
      </c>
      <c r="B116" s="170">
        <v>5914336</v>
      </c>
      <c r="C116" s="171" t="s">
        <v>350</v>
      </c>
      <c r="D116" s="172" t="s">
        <v>351</v>
      </c>
      <c r="E116" s="173">
        <v>0.6</v>
      </c>
      <c r="F116" s="174">
        <v>321798.8</v>
      </c>
      <c r="G116" s="175">
        <f>TRUNC(F116*E116,2)</f>
        <v>193079.28</v>
      </c>
      <c r="H116" s="167">
        <v>240924.266</v>
      </c>
      <c r="I116" s="168">
        <f t="shared" si="36"/>
        <v>144554.56</v>
      </c>
      <c r="J116" s="754">
        <f>VLOOKUP(A116,'12 - CORPO'!$A:$U,18,FALSE)</f>
        <v>-240924.266</v>
      </c>
      <c r="K116" s="169">
        <f t="shared" si="37"/>
        <v>-144554.56</v>
      </c>
      <c r="L116" s="167">
        <f t="shared" si="38"/>
        <v>0</v>
      </c>
      <c r="M116" s="166">
        <f t="shared" si="39"/>
        <v>0</v>
      </c>
      <c r="N116" s="1023">
        <f t="shared" si="40"/>
        <v>0</v>
      </c>
      <c r="O116" s="983">
        <v>193079.28</v>
      </c>
      <c r="P116" s="981">
        <f t="shared" si="30"/>
        <v>0</v>
      </c>
    </row>
    <row r="117" spans="1:16" s="160" customFormat="1" x14ac:dyDescent="0.25">
      <c r="A117" s="153" t="s">
        <v>109</v>
      </c>
      <c r="B117" s="154" t="s">
        <v>357</v>
      </c>
      <c r="C117" s="155"/>
      <c r="D117" s="155"/>
      <c r="E117" s="155"/>
      <c r="F117" s="156"/>
      <c r="G117" s="157">
        <f>SUBTOTAL(9,G118:G128)</f>
        <v>42611.06</v>
      </c>
      <c r="H117" s="155"/>
      <c r="I117" s="157">
        <f>SUBTOTAL(9,I118:I128)</f>
        <v>176.62</v>
      </c>
      <c r="J117" s="155"/>
      <c r="K117" s="157">
        <f>SUBTOTAL(9,K118:K128)</f>
        <v>0</v>
      </c>
      <c r="L117" s="155"/>
      <c r="M117" s="158">
        <f>SUBTOTAL(9,M118:M128)</f>
        <v>176.62</v>
      </c>
      <c r="N117" s="159"/>
      <c r="O117" s="987"/>
      <c r="P117" s="981"/>
    </row>
    <row r="118" spans="1:16" outlineLevel="1" x14ac:dyDescent="0.25">
      <c r="A118" s="170" t="s">
        <v>110</v>
      </c>
      <c r="B118" s="170">
        <v>1600895</v>
      </c>
      <c r="C118" s="171" t="s">
        <v>379</v>
      </c>
      <c r="D118" s="172" t="s">
        <v>308</v>
      </c>
      <c r="E118" s="173">
        <v>13.63</v>
      </c>
      <c r="F118" s="174">
        <v>97</v>
      </c>
      <c r="G118" s="175">
        <f t="shared" ref="G118:G128" si="41">TRUNC(F118*E118,2)</f>
        <v>1322.11</v>
      </c>
      <c r="H118" s="167">
        <v>0</v>
      </c>
      <c r="I118" s="168">
        <f t="shared" ref="I118:I128" si="42">ROUND((E118*H118),2)</f>
        <v>0</v>
      </c>
      <c r="J118" s="167">
        <f>VLOOKUP(A118,'12 - CORPO'!$A:$U,18,FALSE)</f>
        <v>0</v>
      </c>
      <c r="K118" s="169">
        <f t="shared" ref="K118:K128" si="43">M118-I118</f>
        <v>0</v>
      </c>
      <c r="L118" s="167">
        <f t="shared" ref="L118:L128" si="44">(H118+J118)</f>
        <v>0</v>
      </c>
      <c r="M118" s="166">
        <f t="shared" ref="M118:M128" si="45">ROUND((E118*L118),2)</f>
        <v>0</v>
      </c>
      <c r="N118" s="1023">
        <f t="shared" si="40"/>
        <v>0</v>
      </c>
      <c r="O118" s="983">
        <v>1322.11</v>
      </c>
      <c r="P118" s="981">
        <f t="shared" si="30"/>
        <v>0</v>
      </c>
    </row>
    <row r="119" spans="1:16" ht="38.25" outlineLevel="1" x14ac:dyDescent="0.25">
      <c r="A119" s="170" t="s">
        <v>111</v>
      </c>
      <c r="B119" s="170">
        <v>30304</v>
      </c>
      <c r="C119" s="171" t="s">
        <v>358</v>
      </c>
      <c r="D119" s="172" t="s">
        <v>323</v>
      </c>
      <c r="E119" s="173">
        <v>60.16</v>
      </c>
      <c r="F119" s="174">
        <v>72.75</v>
      </c>
      <c r="G119" s="175">
        <f t="shared" si="41"/>
        <v>4376.6400000000003</v>
      </c>
      <c r="H119" s="167">
        <v>0</v>
      </c>
      <c r="I119" s="168">
        <f t="shared" si="42"/>
        <v>0</v>
      </c>
      <c r="J119" s="167">
        <f>VLOOKUP(A119,'12 - CORPO'!$A:$U,18,FALSE)</f>
        <v>0</v>
      </c>
      <c r="K119" s="169">
        <f t="shared" si="43"/>
        <v>0</v>
      </c>
      <c r="L119" s="167">
        <f t="shared" si="44"/>
        <v>0</v>
      </c>
      <c r="M119" s="166">
        <f t="shared" si="45"/>
        <v>0</v>
      </c>
      <c r="N119" s="1023">
        <f t="shared" si="40"/>
        <v>0</v>
      </c>
      <c r="O119" s="983">
        <v>4376.6400000000003</v>
      </c>
      <c r="P119" s="981">
        <f t="shared" si="30"/>
        <v>0</v>
      </c>
    </row>
    <row r="120" spans="1:16" ht="38.25" outlineLevel="1" x14ac:dyDescent="0.25">
      <c r="A120" s="170" t="s">
        <v>112</v>
      </c>
      <c r="B120" s="170" t="s">
        <v>406</v>
      </c>
      <c r="C120" s="171" t="s">
        <v>407</v>
      </c>
      <c r="D120" s="172" t="s">
        <v>301</v>
      </c>
      <c r="E120" s="173">
        <v>8.24</v>
      </c>
      <c r="F120" s="174">
        <v>23</v>
      </c>
      <c r="G120" s="175">
        <f t="shared" si="41"/>
        <v>189.52</v>
      </c>
      <c r="H120" s="167">
        <v>0</v>
      </c>
      <c r="I120" s="168">
        <f t="shared" si="42"/>
        <v>0</v>
      </c>
      <c r="J120" s="167">
        <f>VLOOKUP(A120,'12 - CORPO'!$A:$U,18,FALSE)</f>
        <v>0</v>
      </c>
      <c r="K120" s="169">
        <f t="shared" si="43"/>
        <v>0</v>
      </c>
      <c r="L120" s="167">
        <f t="shared" si="44"/>
        <v>0</v>
      </c>
      <c r="M120" s="166">
        <f t="shared" si="45"/>
        <v>0</v>
      </c>
      <c r="N120" s="1023">
        <f t="shared" si="40"/>
        <v>0</v>
      </c>
      <c r="O120" s="983">
        <v>189.52</v>
      </c>
      <c r="P120" s="981">
        <f t="shared" si="30"/>
        <v>0</v>
      </c>
    </row>
    <row r="121" spans="1:16" outlineLevel="1" x14ac:dyDescent="0.25">
      <c r="A121" s="170" t="s">
        <v>113</v>
      </c>
      <c r="B121" s="170">
        <v>41936</v>
      </c>
      <c r="C121" s="171" t="s">
        <v>408</v>
      </c>
      <c r="D121" s="172" t="s">
        <v>301</v>
      </c>
      <c r="E121" s="173">
        <v>97.81</v>
      </c>
      <c r="F121" s="174">
        <v>23</v>
      </c>
      <c r="G121" s="175">
        <f t="shared" si="41"/>
        <v>2249.63</v>
      </c>
      <c r="H121" s="167">
        <v>0</v>
      </c>
      <c r="I121" s="168">
        <f t="shared" si="42"/>
        <v>0</v>
      </c>
      <c r="J121" s="167">
        <f>VLOOKUP(A121,'12 - CORPO'!$A:$U,18,FALSE)</f>
        <v>0</v>
      </c>
      <c r="K121" s="169">
        <f t="shared" si="43"/>
        <v>0</v>
      </c>
      <c r="L121" s="167">
        <f t="shared" si="44"/>
        <v>0</v>
      </c>
      <c r="M121" s="166">
        <f t="shared" si="45"/>
        <v>0</v>
      </c>
      <c r="N121" s="1023">
        <f t="shared" si="40"/>
        <v>0</v>
      </c>
      <c r="O121" s="983">
        <v>2249.63</v>
      </c>
      <c r="P121" s="981">
        <f t="shared" si="30"/>
        <v>0</v>
      </c>
    </row>
    <row r="122" spans="1:16" outlineLevel="1" x14ac:dyDescent="0.25">
      <c r="A122" s="170" t="s">
        <v>114</v>
      </c>
      <c r="B122" s="170">
        <v>98504</v>
      </c>
      <c r="C122" s="171" t="s">
        <v>419</v>
      </c>
      <c r="D122" s="172" t="s">
        <v>308</v>
      </c>
      <c r="E122" s="173">
        <v>14.48</v>
      </c>
      <c r="F122" s="174">
        <v>2098.04</v>
      </c>
      <c r="G122" s="175">
        <f>TRUNC(F122*E122,2)+0.01</f>
        <v>30379.62</v>
      </c>
      <c r="H122" s="167">
        <v>0</v>
      </c>
      <c r="I122" s="168">
        <f t="shared" si="42"/>
        <v>0</v>
      </c>
      <c r="J122" s="167">
        <f>VLOOKUP(A122,'12 - CORPO'!$A:$U,18,FALSE)</f>
        <v>0</v>
      </c>
      <c r="K122" s="169">
        <f t="shared" si="43"/>
        <v>0</v>
      </c>
      <c r="L122" s="167">
        <f t="shared" si="44"/>
        <v>0</v>
      </c>
      <c r="M122" s="166">
        <f t="shared" si="45"/>
        <v>0</v>
      </c>
      <c r="N122" s="1023">
        <f t="shared" si="40"/>
        <v>0</v>
      </c>
      <c r="O122" s="983">
        <v>30379.62</v>
      </c>
      <c r="P122" s="981">
        <f t="shared" si="30"/>
        <v>0</v>
      </c>
    </row>
    <row r="123" spans="1:16" outlineLevel="1" x14ac:dyDescent="0.25">
      <c r="A123" s="170" t="s">
        <v>115</v>
      </c>
      <c r="B123" s="170">
        <v>40172</v>
      </c>
      <c r="C123" s="171" t="s">
        <v>369</v>
      </c>
      <c r="D123" s="172" t="s">
        <v>370</v>
      </c>
      <c r="E123" s="173">
        <v>25.8</v>
      </c>
      <c r="F123" s="174">
        <v>16</v>
      </c>
      <c r="G123" s="175">
        <f>TRUNC(F123*E123,2)</f>
        <v>412.8</v>
      </c>
      <c r="H123" s="167">
        <v>0</v>
      </c>
      <c r="I123" s="168">
        <f t="shared" si="42"/>
        <v>0</v>
      </c>
      <c r="J123" s="167">
        <f>VLOOKUP(A123,'12 - CORPO'!$A:$U,18,FALSE)</f>
        <v>0</v>
      </c>
      <c r="K123" s="169">
        <f t="shared" si="43"/>
        <v>0</v>
      </c>
      <c r="L123" s="167">
        <f t="shared" si="44"/>
        <v>0</v>
      </c>
      <c r="M123" s="166">
        <f t="shared" si="45"/>
        <v>0</v>
      </c>
      <c r="N123" s="1023">
        <f t="shared" si="40"/>
        <v>0</v>
      </c>
      <c r="O123" s="983">
        <v>412.8</v>
      </c>
      <c r="P123" s="981">
        <f t="shared" si="30"/>
        <v>0</v>
      </c>
    </row>
    <row r="124" spans="1:16" outlineLevel="1" x14ac:dyDescent="0.25">
      <c r="A124" s="170" t="s">
        <v>116</v>
      </c>
      <c r="B124" s="170">
        <v>1600438</v>
      </c>
      <c r="C124" s="171" t="s">
        <v>371</v>
      </c>
      <c r="D124" s="172" t="s">
        <v>323</v>
      </c>
      <c r="E124" s="173">
        <v>551.16</v>
      </c>
      <c r="F124" s="174">
        <v>1.59</v>
      </c>
      <c r="G124" s="175">
        <f t="shared" si="41"/>
        <v>876.34</v>
      </c>
      <c r="H124" s="167">
        <v>0</v>
      </c>
      <c r="I124" s="168">
        <f t="shared" si="42"/>
        <v>0</v>
      </c>
      <c r="J124" s="167">
        <f>VLOOKUP(A124,'12 - CORPO'!$A:$U,18,FALSE)</f>
        <v>0</v>
      </c>
      <c r="K124" s="169">
        <f t="shared" si="43"/>
        <v>0</v>
      </c>
      <c r="L124" s="167">
        <f t="shared" si="44"/>
        <v>0</v>
      </c>
      <c r="M124" s="166">
        <f t="shared" si="45"/>
        <v>0</v>
      </c>
      <c r="N124" s="1023">
        <f t="shared" si="40"/>
        <v>0</v>
      </c>
      <c r="O124" s="983">
        <v>876.34</v>
      </c>
      <c r="P124" s="981">
        <f t="shared" si="30"/>
        <v>0</v>
      </c>
    </row>
    <row r="125" spans="1:16" ht="25.5" outlineLevel="1" x14ac:dyDescent="0.25">
      <c r="A125" s="170" t="s">
        <v>117</v>
      </c>
      <c r="B125" s="170">
        <v>40420</v>
      </c>
      <c r="C125" s="171" t="s">
        <v>373</v>
      </c>
      <c r="D125" s="172" t="s">
        <v>301</v>
      </c>
      <c r="E125" s="173">
        <v>132.58000000000001</v>
      </c>
      <c r="F125" s="174">
        <v>3.5</v>
      </c>
      <c r="G125" s="175">
        <f t="shared" si="41"/>
        <v>464.03</v>
      </c>
      <c r="H125" s="167">
        <v>0</v>
      </c>
      <c r="I125" s="168">
        <f t="shared" si="42"/>
        <v>0</v>
      </c>
      <c r="J125" s="167">
        <f>VLOOKUP(A125,'12 - CORPO'!$A:$U,18,FALSE)</f>
        <v>0</v>
      </c>
      <c r="K125" s="169">
        <f t="shared" si="43"/>
        <v>0</v>
      </c>
      <c r="L125" s="167">
        <f t="shared" si="44"/>
        <v>0</v>
      </c>
      <c r="M125" s="166">
        <f t="shared" si="45"/>
        <v>0</v>
      </c>
      <c r="N125" s="1023">
        <f t="shared" si="40"/>
        <v>0</v>
      </c>
      <c r="O125" s="983">
        <v>464.03</v>
      </c>
      <c r="P125" s="981">
        <f t="shared" si="30"/>
        <v>0</v>
      </c>
    </row>
    <row r="126" spans="1:16" ht="25.5" outlineLevel="1" x14ac:dyDescent="0.25">
      <c r="A126" s="170" t="s">
        <v>118</v>
      </c>
      <c r="B126" s="170">
        <v>40423</v>
      </c>
      <c r="C126" s="171" t="s">
        <v>374</v>
      </c>
      <c r="D126" s="172" t="s">
        <v>301</v>
      </c>
      <c r="E126" s="173">
        <v>176.62</v>
      </c>
      <c r="F126" s="174">
        <v>1</v>
      </c>
      <c r="G126" s="175">
        <f t="shared" si="41"/>
        <v>176.62</v>
      </c>
      <c r="H126" s="167">
        <v>1</v>
      </c>
      <c r="I126" s="168">
        <f t="shared" si="42"/>
        <v>176.62</v>
      </c>
      <c r="J126" s="167">
        <f>VLOOKUP(A126,'12 - CORPO'!$A:$U,18,FALSE)</f>
        <v>0</v>
      </c>
      <c r="K126" s="169">
        <f t="shared" si="43"/>
        <v>0</v>
      </c>
      <c r="L126" s="167">
        <f t="shared" si="44"/>
        <v>1</v>
      </c>
      <c r="M126" s="166">
        <f t="shared" si="45"/>
        <v>176.62</v>
      </c>
      <c r="N126" s="1023">
        <f t="shared" si="40"/>
        <v>1</v>
      </c>
      <c r="O126" s="983">
        <v>176.62</v>
      </c>
      <c r="P126" s="981">
        <f t="shared" si="30"/>
        <v>0</v>
      </c>
    </row>
    <row r="127" spans="1:16" ht="25.5" outlineLevel="1" x14ac:dyDescent="0.25">
      <c r="A127" s="170" t="s">
        <v>119</v>
      </c>
      <c r="B127" s="170">
        <v>40427</v>
      </c>
      <c r="C127" s="171" t="s">
        <v>375</v>
      </c>
      <c r="D127" s="172" t="s">
        <v>301</v>
      </c>
      <c r="E127" s="173">
        <v>285.13</v>
      </c>
      <c r="F127" s="174">
        <v>3.2</v>
      </c>
      <c r="G127" s="175">
        <f>TRUNC(F127*E127,2)+0.01</f>
        <v>912.42</v>
      </c>
      <c r="H127" s="167">
        <v>0</v>
      </c>
      <c r="I127" s="168">
        <f t="shared" si="42"/>
        <v>0</v>
      </c>
      <c r="J127" s="167">
        <f>VLOOKUP(A127,'12 - CORPO'!$A:$U,18,FALSE)</f>
        <v>0</v>
      </c>
      <c r="K127" s="169">
        <f t="shared" si="43"/>
        <v>0</v>
      </c>
      <c r="L127" s="167">
        <f t="shared" si="44"/>
        <v>0</v>
      </c>
      <c r="M127" s="166">
        <f t="shared" si="45"/>
        <v>0</v>
      </c>
      <c r="N127" s="1023">
        <f t="shared" si="40"/>
        <v>0</v>
      </c>
      <c r="O127" s="983">
        <v>912.42</v>
      </c>
      <c r="P127" s="981">
        <f t="shared" si="30"/>
        <v>0</v>
      </c>
    </row>
    <row r="128" spans="1:16" outlineLevel="1" x14ac:dyDescent="0.25">
      <c r="A128" s="170" t="s">
        <v>120</v>
      </c>
      <c r="B128" s="170">
        <v>1600436</v>
      </c>
      <c r="C128" s="171" t="s">
        <v>420</v>
      </c>
      <c r="D128" s="172" t="s">
        <v>323</v>
      </c>
      <c r="E128" s="173">
        <v>374.65</v>
      </c>
      <c r="F128" s="174">
        <v>3.34</v>
      </c>
      <c r="G128" s="175">
        <f t="shared" si="41"/>
        <v>1251.33</v>
      </c>
      <c r="H128" s="167">
        <v>0</v>
      </c>
      <c r="I128" s="168">
        <f t="shared" si="42"/>
        <v>0</v>
      </c>
      <c r="J128" s="167">
        <f>VLOOKUP(A128,'12 - CORPO'!$A:$U,18,FALSE)</f>
        <v>0</v>
      </c>
      <c r="K128" s="169">
        <f t="shared" si="43"/>
        <v>0</v>
      </c>
      <c r="L128" s="167">
        <f t="shared" si="44"/>
        <v>0</v>
      </c>
      <c r="M128" s="166">
        <f t="shared" si="45"/>
        <v>0</v>
      </c>
      <c r="N128" s="1023">
        <f t="shared" si="40"/>
        <v>0</v>
      </c>
      <c r="O128" s="983">
        <v>1251.33</v>
      </c>
      <c r="P128" s="981">
        <f t="shared" si="30"/>
        <v>0</v>
      </c>
    </row>
    <row r="129" spans="1:16" s="160" customFormat="1" x14ac:dyDescent="0.25">
      <c r="A129" s="153" t="s">
        <v>121</v>
      </c>
      <c r="B129" s="154" t="s">
        <v>380</v>
      </c>
      <c r="C129" s="155"/>
      <c r="D129" s="155"/>
      <c r="E129" s="155"/>
      <c r="F129" s="156"/>
      <c r="G129" s="157">
        <f>SUBTOTAL(9,G130)</f>
        <v>2193.67</v>
      </c>
      <c r="H129" s="155"/>
      <c r="I129" s="157">
        <f>SUBTOTAL(9,I130)</f>
        <v>2193.67</v>
      </c>
      <c r="J129" s="155"/>
      <c r="K129" s="157">
        <f>SUBTOTAL(9,K130)</f>
        <v>0</v>
      </c>
      <c r="L129" s="155"/>
      <c r="M129" s="158">
        <f>SUBTOTAL(9,M130)</f>
        <v>2193.67</v>
      </c>
      <c r="N129" s="159"/>
      <c r="O129" s="987"/>
      <c r="P129" s="981"/>
    </row>
    <row r="130" spans="1:16" ht="38.25" outlineLevel="1" x14ac:dyDescent="0.25">
      <c r="A130" s="170" t="s">
        <v>122</v>
      </c>
      <c r="B130" s="170">
        <v>98421</v>
      </c>
      <c r="C130" s="171" t="s">
        <v>381</v>
      </c>
      <c r="D130" s="172" t="s">
        <v>317</v>
      </c>
      <c r="E130" s="173">
        <v>2193.67</v>
      </c>
      <c r="F130" s="174">
        <v>1</v>
      </c>
      <c r="G130" s="175">
        <f>TRUNC(F130*E130,2)</f>
        <v>2193.67</v>
      </c>
      <c r="H130" s="167">
        <v>1</v>
      </c>
      <c r="I130" s="168">
        <f>ROUND((E130*H130),2)</f>
        <v>2193.67</v>
      </c>
      <c r="J130" s="167">
        <f>VLOOKUP(A130,'12 - CORPO'!$A:$U,18,FALSE)</f>
        <v>0</v>
      </c>
      <c r="K130" s="169">
        <f>M130-I130</f>
        <v>0</v>
      </c>
      <c r="L130" s="167">
        <f>(H130+J130)</f>
        <v>1</v>
      </c>
      <c r="M130" s="166">
        <f>ROUND((E130*L130),2)</f>
        <v>2193.67</v>
      </c>
      <c r="N130" s="1023">
        <f t="shared" si="40"/>
        <v>1</v>
      </c>
      <c r="O130" s="983">
        <v>2193.67</v>
      </c>
      <c r="P130" s="981">
        <f t="shared" si="30"/>
        <v>0</v>
      </c>
    </row>
    <row r="131" spans="1:16" s="160" customFormat="1" x14ac:dyDescent="0.25">
      <c r="A131" s="153" t="s">
        <v>123</v>
      </c>
      <c r="B131" s="154" t="s">
        <v>383</v>
      </c>
      <c r="C131" s="155"/>
      <c r="D131" s="155"/>
      <c r="E131" s="155"/>
      <c r="F131" s="156"/>
      <c r="G131" s="157"/>
      <c r="H131" s="155"/>
      <c r="I131" s="157"/>
      <c r="J131" s="155"/>
      <c r="K131" s="157"/>
      <c r="L131" s="155"/>
      <c r="M131" s="158"/>
      <c r="N131" s="159"/>
      <c r="O131" s="987"/>
      <c r="P131" s="981"/>
    </row>
    <row r="132" spans="1:16" s="160" customFormat="1" x14ac:dyDescent="0.25">
      <c r="A132" s="153" t="s">
        <v>124</v>
      </c>
      <c r="B132" s="154" t="s">
        <v>384</v>
      </c>
      <c r="C132" s="155"/>
      <c r="D132" s="155"/>
      <c r="E132" s="155"/>
      <c r="F132" s="156"/>
      <c r="G132" s="157">
        <f>SUBTOTAL(9,G133:G134)</f>
        <v>728.80000000000007</v>
      </c>
      <c r="H132" s="155"/>
      <c r="I132" s="157">
        <f>SUBTOTAL(9,I133:I134)</f>
        <v>0</v>
      </c>
      <c r="J132" s="155"/>
      <c r="K132" s="157">
        <f>SUBTOTAL(9,K133:K134)</f>
        <v>0</v>
      </c>
      <c r="L132" s="155"/>
      <c r="M132" s="158">
        <f>SUBTOTAL(9,M133:M134)</f>
        <v>0</v>
      </c>
      <c r="N132" s="159"/>
      <c r="O132" s="987"/>
      <c r="P132" s="981"/>
    </row>
    <row r="133" spans="1:16" outlineLevel="1" x14ac:dyDescent="0.25">
      <c r="A133" s="170" t="s">
        <v>125</v>
      </c>
      <c r="B133" s="170" t="s">
        <v>385</v>
      </c>
      <c r="C133" s="171" t="s">
        <v>386</v>
      </c>
      <c r="D133" s="172" t="s">
        <v>301</v>
      </c>
      <c r="E133" s="173">
        <v>7.64</v>
      </c>
      <c r="F133" s="174">
        <v>80</v>
      </c>
      <c r="G133" s="175">
        <f>TRUNC(F133*E133,2)</f>
        <v>611.20000000000005</v>
      </c>
      <c r="H133" s="167">
        <v>0</v>
      </c>
      <c r="I133" s="168">
        <f>ROUND((E133*H133),2)</f>
        <v>0</v>
      </c>
      <c r="J133" s="167">
        <f>VLOOKUP(A133,'12 - CORPO'!$A:$U,18,FALSE)</f>
        <v>0</v>
      </c>
      <c r="K133" s="169">
        <f>M133-I133</f>
        <v>0</v>
      </c>
      <c r="L133" s="167">
        <f>(H133+J133)</f>
        <v>0</v>
      </c>
      <c r="M133" s="166">
        <f>ROUND((E133*L133),2)</f>
        <v>0</v>
      </c>
      <c r="N133" s="1023">
        <f t="shared" ref="N133:N134" si="46">IFERROR(ROUND(M133/G133,4),0)</f>
        <v>0</v>
      </c>
      <c r="O133" s="983">
        <v>611.20000000000005</v>
      </c>
      <c r="P133" s="981">
        <f t="shared" si="30"/>
        <v>0</v>
      </c>
    </row>
    <row r="134" spans="1:16" outlineLevel="1" x14ac:dyDescent="0.25">
      <c r="A134" s="170" t="s">
        <v>126</v>
      </c>
      <c r="B134" s="170">
        <v>7020100010</v>
      </c>
      <c r="C134" s="171" t="s">
        <v>387</v>
      </c>
      <c r="D134" s="172" t="s">
        <v>301</v>
      </c>
      <c r="E134" s="173">
        <v>1.47</v>
      </c>
      <c r="F134" s="174">
        <v>80</v>
      </c>
      <c r="G134" s="175">
        <f>TRUNC(F134*E134,2)</f>
        <v>117.6</v>
      </c>
      <c r="H134" s="167">
        <v>0</v>
      </c>
      <c r="I134" s="168">
        <f>ROUND((E134*H134),2)</f>
        <v>0</v>
      </c>
      <c r="J134" s="167">
        <f>VLOOKUP(A134,'12 - CORPO'!$A:$U,18,FALSE)</f>
        <v>0</v>
      </c>
      <c r="K134" s="169">
        <f>M134-I134</f>
        <v>0</v>
      </c>
      <c r="L134" s="167">
        <f>(H134+J134)</f>
        <v>0</v>
      </c>
      <c r="M134" s="166">
        <f>ROUND((E134*L134),2)</f>
        <v>0</v>
      </c>
      <c r="N134" s="1023">
        <f t="shared" si="46"/>
        <v>0</v>
      </c>
      <c r="O134" s="983">
        <v>117.6</v>
      </c>
      <c r="P134" s="981">
        <f t="shared" si="30"/>
        <v>0</v>
      </c>
    </row>
    <row r="135" spans="1:16" s="160" customFormat="1" x14ac:dyDescent="0.25">
      <c r="A135" s="153" t="s">
        <v>127</v>
      </c>
      <c r="B135" s="154" t="s">
        <v>388</v>
      </c>
      <c r="C135" s="155"/>
      <c r="D135" s="155"/>
      <c r="E135" s="155"/>
      <c r="F135" s="156"/>
      <c r="G135" s="157">
        <f>SUBTOTAL(9,G136:G148)</f>
        <v>11094.24</v>
      </c>
      <c r="H135" s="155"/>
      <c r="I135" s="157">
        <f>SUBTOTAL(9,I136:I148)</f>
        <v>0</v>
      </c>
      <c r="J135" s="155"/>
      <c r="K135" s="157">
        <f>SUBTOTAL(9,K136:K148)</f>
        <v>1840</v>
      </c>
      <c r="L135" s="155"/>
      <c r="M135" s="158">
        <f>SUBTOTAL(9,M136:M148)</f>
        <v>1840</v>
      </c>
      <c r="N135" s="159"/>
      <c r="O135" s="987"/>
      <c r="P135" s="981"/>
    </row>
    <row r="136" spans="1:16" outlineLevel="1" x14ac:dyDescent="0.25">
      <c r="A136" s="170" t="s">
        <v>128</v>
      </c>
      <c r="B136" s="170">
        <v>4805757</v>
      </c>
      <c r="C136" s="171" t="s">
        <v>389</v>
      </c>
      <c r="D136" s="172" t="s">
        <v>323</v>
      </c>
      <c r="E136" s="173">
        <v>5.55</v>
      </c>
      <c r="F136" s="174">
        <v>126</v>
      </c>
      <c r="G136" s="175">
        <f t="shared" ref="G136:G148" si="47">TRUNC(F136*E136,2)</f>
        <v>699.3</v>
      </c>
      <c r="H136" s="167">
        <v>0</v>
      </c>
      <c r="I136" s="168">
        <f t="shared" ref="I136:I148" si="48">ROUND((E136*H136),2)</f>
        <v>0</v>
      </c>
      <c r="J136" s="167">
        <f>VLOOKUP(A136,'12 - CORPO'!$A:$U,18,FALSE)</f>
        <v>0</v>
      </c>
      <c r="K136" s="169">
        <f t="shared" ref="K136:K148" si="49">M136-I136</f>
        <v>0</v>
      </c>
      <c r="L136" s="167">
        <f t="shared" ref="L136:L148" si="50">(H136+J136)</f>
        <v>0</v>
      </c>
      <c r="M136" s="166">
        <f t="shared" ref="M136:M148" si="51">ROUND((E136*L136),2)</f>
        <v>0</v>
      </c>
      <c r="N136" s="1023">
        <f t="shared" ref="N136:N148" si="52">IFERROR(ROUND(M136/G136,4),0)</f>
        <v>0</v>
      </c>
      <c r="O136" s="983">
        <v>699.3</v>
      </c>
      <c r="P136" s="981">
        <f t="shared" si="30"/>
        <v>0</v>
      </c>
    </row>
    <row r="137" spans="1:16" outlineLevel="1" x14ac:dyDescent="0.25">
      <c r="A137" s="170" t="s">
        <v>129</v>
      </c>
      <c r="B137" s="170">
        <v>4805749</v>
      </c>
      <c r="C137" s="171" t="s">
        <v>390</v>
      </c>
      <c r="D137" s="172" t="s">
        <v>323</v>
      </c>
      <c r="E137" s="173">
        <v>70.31</v>
      </c>
      <c r="F137" s="174">
        <v>14</v>
      </c>
      <c r="G137" s="175">
        <f t="shared" si="47"/>
        <v>984.34</v>
      </c>
      <c r="H137" s="167">
        <v>0</v>
      </c>
      <c r="I137" s="168">
        <f t="shared" si="48"/>
        <v>0</v>
      </c>
      <c r="J137" s="167">
        <f>VLOOKUP(A137,'12 - CORPO'!$A:$U,18,FALSE)</f>
        <v>0</v>
      </c>
      <c r="K137" s="169">
        <f t="shared" si="49"/>
        <v>0</v>
      </c>
      <c r="L137" s="167">
        <f t="shared" si="50"/>
        <v>0</v>
      </c>
      <c r="M137" s="166">
        <f t="shared" si="51"/>
        <v>0</v>
      </c>
      <c r="N137" s="1023">
        <f t="shared" si="52"/>
        <v>0</v>
      </c>
      <c r="O137" s="983">
        <v>984.34</v>
      </c>
      <c r="P137" s="981">
        <f t="shared" si="30"/>
        <v>0</v>
      </c>
    </row>
    <row r="138" spans="1:16" ht="25.5" outlineLevel="1" x14ac:dyDescent="0.25">
      <c r="A138" s="170" t="s">
        <v>130</v>
      </c>
      <c r="B138" s="170">
        <v>30206</v>
      </c>
      <c r="C138" s="171" t="s">
        <v>391</v>
      </c>
      <c r="D138" s="172" t="s">
        <v>323</v>
      </c>
      <c r="E138" s="173">
        <v>169.15</v>
      </c>
      <c r="F138" s="174">
        <v>4</v>
      </c>
      <c r="G138" s="175">
        <f t="shared" si="47"/>
        <v>676.6</v>
      </c>
      <c r="H138" s="167">
        <v>0</v>
      </c>
      <c r="I138" s="168">
        <f t="shared" si="48"/>
        <v>0</v>
      </c>
      <c r="J138" s="167">
        <f>VLOOKUP(A138,'12 - CORPO'!$A:$U,18,FALSE)</f>
        <v>0</v>
      </c>
      <c r="K138" s="169">
        <f t="shared" si="49"/>
        <v>0</v>
      </c>
      <c r="L138" s="167">
        <f t="shared" si="50"/>
        <v>0</v>
      </c>
      <c r="M138" s="166">
        <f t="shared" si="51"/>
        <v>0</v>
      </c>
      <c r="N138" s="1023">
        <f t="shared" si="52"/>
        <v>0</v>
      </c>
      <c r="O138" s="983">
        <v>676.6</v>
      </c>
      <c r="P138" s="981">
        <f t="shared" si="30"/>
        <v>0</v>
      </c>
    </row>
    <row r="139" spans="1:16" outlineLevel="1" x14ac:dyDescent="0.25">
      <c r="A139" s="170" t="s">
        <v>131</v>
      </c>
      <c r="B139" s="170">
        <v>96995</v>
      </c>
      <c r="C139" s="171" t="s">
        <v>392</v>
      </c>
      <c r="D139" s="172" t="s">
        <v>323</v>
      </c>
      <c r="E139" s="173">
        <v>51.07</v>
      </c>
      <c r="F139" s="174">
        <v>40</v>
      </c>
      <c r="G139" s="175">
        <f t="shared" si="47"/>
        <v>2042.8</v>
      </c>
      <c r="H139" s="167">
        <v>0</v>
      </c>
      <c r="I139" s="168">
        <f t="shared" si="48"/>
        <v>0</v>
      </c>
      <c r="J139" s="167">
        <f>VLOOKUP(A139,'12 - CORPO'!$A:$U,18,FALSE)</f>
        <v>0</v>
      </c>
      <c r="K139" s="169">
        <f t="shared" si="49"/>
        <v>0</v>
      </c>
      <c r="L139" s="167">
        <f t="shared" si="50"/>
        <v>0</v>
      </c>
      <c r="M139" s="166">
        <f t="shared" si="51"/>
        <v>0</v>
      </c>
      <c r="N139" s="1023">
        <f t="shared" si="52"/>
        <v>0</v>
      </c>
      <c r="O139" s="983">
        <v>2042.8</v>
      </c>
      <c r="P139" s="981">
        <f t="shared" si="30"/>
        <v>0</v>
      </c>
    </row>
    <row r="140" spans="1:16" outlineLevel="1" x14ac:dyDescent="0.25">
      <c r="A140" s="170" t="s">
        <v>132</v>
      </c>
      <c r="B140" s="170">
        <v>93382</v>
      </c>
      <c r="C140" s="171" t="s">
        <v>393</v>
      </c>
      <c r="D140" s="172" t="s">
        <v>323</v>
      </c>
      <c r="E140" s="173">
        <v>36.700000000000003</v>
      </c>
      <c r="F140" s="174">
        <v>82.59</v>
      </c>
      <c r="G140" s="175">
        <f t="shared" si="47"/>
        <v>3031.05</v>
      </c>
      <c r="H140" s="167">
        <v>0</v>
      </c>
      <c r="I140" s="168">
        <f t="shared" si="48"/>
        <v>0</v>
      </c>
      <c r="J140" s="167">
        <f>VLOOKUP(A140,'12 - CORPO'!$A:$U,18,FALSE)</f>
        <v>0</v>
      </c>
      <c r="K140" s="169">
        <f t="shared" si="49"/>
        <v>0</v>
      </c>
      <c r="L140" s="167">
        <f t="shared" si="50"/>
        <v>0</v>
      </c>
      <c r="M140" s="166">
        <f t="shared" si="51"/>
        <v>0</v>
      </c>
      <c r="N140" s="1023">
        <f t="shared" si="52"/>
        <v>0</v>
      </c>
      <c r="O140" s="983">
        <v>3031.05</v>
      </c>
      <c r="P140" s="981">
        <f t="shared" si="30"/>
        <v>0</v>
      </c>
    </row>
    <row r="141" spans="1:16" outlineLevel="1" x14ac:dyDescent="0.25">
      <c r="A141" s="170" t="s">
        <v>133</v>
      </c>
      <c r="B141" s="170">
        <v>5914329</v>
      </c>
      <c r="C141" s="171" t="s">
        <v>394</v>
      </c>
      <c r="D141" s="172" t="s">
        <v>351</v>
      </c>
      <c r="E141" s="173">
        <v>0.84</v>
      </c>
      <c r="F141" s="174">
        <v>18.37</v>
      </c>
      <c r="G141" s="175">
        <f t="shared" si="47"/>
        <v>15.43</v>
      </c>
      <c r="H141" s="167">
        <v>0</v>
      </c>
      <c r="I141" s="168">
        <f t="shared" si="48"/>
        <v>0</v>
      </c>
      <c r="J141" s="167">
        <f>VLOOKUP(A141,'12 - CORPO'!$A:$U,18,FALSE)</f>
        <v>0</v>
      </c>
      <c r="K141" s="169">
        <f t="shared" si="49"/>
        <v>0</v>
      </c>
      <c r="L141" s="167">
        <f t="shared" si="50"/>
        <v>0</v>
      </c>
      <c r="M141" s="166">
        <f t="shared" si="51"/>
        <v>0</v>
      </c>
      <c r="N141" s="1023">
        <f t="shared" si="52"/>
        <v>0</v>
      </c>
      <c r="O141" s="983">
        <v>15.43</v>
      </c>
      <c r="P141" s="981">
        <f t="shared" si="30"/>
        <v>0</v>
      </c>
    </row>
    <row r="142" spans="1:16" ht="25.5" outlineLevel="1" x14ac:dyDescent="0.25">
      <c r="A142" s="170" t="s">
        <v>134</v>
      </c>
      <c r="B142" s="170">
        <v>97636</v>
      </c>
      <c r="C142" s="171" t="s">
        <v>395</v>
      </c>
      <c r="D142" s="172" t="s">
        <v>308</v>
      </c>
      <c r="E142" s="173">
        <v>23</v>
      </c>
      <c r="F142" s="174">
        <v>80</v>
      </c>
      <c r="G142" s="175">
        <f t="shared" si="47"/>
        <v>1840</v>
      </c>
      <c r="H142" s="167">
        <v>0</v>
      </c>
      <c r="I142" s="168">
        <f t="shared" si="48"/>
        <v>0</v>
      </c>
      <c r="J142" s="167">
        <f>VLOOKUP(A142,'12 - CORPO'!$A:$U,18,FALSE)</f>
        <v>80</v>
      </c>
      <c r="K142" s="169">
        <f t="shared" si="49"/>
        <v>1840</v>
      </c>
      <c r="L142" s="167">
        <f t="shared" si="50"/>
        <v>80</v>
      </c>
      <c r="M142" s="166">
        <f t="shared" si="51"/>
        <v>1840</v>
      </c>
      <c r="N142" s="1023">
        <f t="shared" si="52"/>
        <v>1</v>
      </c>
      <c r="O142" s="983">
        <v>1840</v>
      </c>
      <c r="P142" s="981">
        <f t="shared" si="30"/>
        <v>0</v>
      </c>
    </row>
    <row r="143" spans="1:16" ht="25.5" outlineLevel="1" x14ac:dyDescent="0.25">
      <c r="A143" s="170" t="s">
        <v>135</v>
      </c>
      <c r="B143" s="170">
        <v>42482</v>
      </c>
      <c r="C143" s="171" t="s">
        <v>396</v>
      </c>
      <c r="D143" s="172" t="s">
        <v>323</v>
      </c>
      <c r="E143" s="173">
        <v>97.73</v>
      </c>
      <c r="F143" s="174">
        <v>12</v>
      </c>
      <c r="G143" s="175">
        <f t="shared" si="47"/>
        <v>1172.76</v>
      </c>
      <c r="H143" s="167">
        <v>0</v>
      </c>
      <c r="I143" s="168">
        <f t="shared" si="48"/>
        <v>0</v>
      </c>
      <c r="J143" s="167">
        <f>VLOOKUP(A143,'12 - CORPO'!$A:$U,18,FALSE)</f>
        <v>0</v>
      </c>
      <c r="K143" s="169">
        <f t="shared" si="49"/>
        <v>0</v>
      </c>
      <c r="L143" s="167">
        <f t="shared" si="50"/>
        <v>0</v>
      </c>
      <c r="M143" s="166">
        <f t="shared" si="51"/>
        <v>0</v>
      </c>
      <c r="N143" s="1023">
        <f t="shared" si="52"/>
        <v>0</v>
      </c>
      <c r="O143" s="983">
        <v>1172.76</v>
      </c>
      <c r="P143" s="981">
        <f t="shared" si="30"/>
        <v>0</v>
      </c>
    </row>
    <row r="144" spans="1:16" ht="25.5" outlineLevel="1" x14ac:dyDescent="0.25">
      <c r="A144" s="170" t="s">
        <v>136</v>
      </c>
      <c r="B144" s="170">
        <v>5915433</v>
      </c>
      <c r="C144" s="171" t="s">
        <v>397</v>
      </c>
      <c r="D144" s="172" t="s">
        <v>347</v>
      </c>
      <c r="E144" s="173">
        <v>30.01</v>
      </c>
      <c r="F144" s="174">
        <v>9.36</v>
      </c>
      <c r="G144" s="175">
        <f t="shared" si="47"/>
        <v>280.89</v>
      </c>
      <c r="H144" s="167">
        <v>0</v>
      </c>
      <c r="I144" s="168">
        <f t="shared" si="48"/>
        <v>0</v>
      </c>
      <c r="J144" s="167">
        <f>VLOOKUP(A144,'12 - CORPO'!$A:$U,18,FALSE)</f>
        <v>0</v>
      </c>
      <c r="K144" s="169">
        <f t="shared" si="49"/>
        <v>0</v>
      </c>
      <c r="L144" s="167">
        <f t="shared" si="50"/>
        <v>0</v>
      </c>
      <c r="M144" s="166">
        <f t="shared" si="51"/>
        <v>0</v>
      </c>
      <c r="N144" s="1023">
        <f t="shared" si="52"/>
        <v>0</v>
      </c>
      <c r="O144" s="983">
        <v>280.89</v>
      </c>
      <c r="P144" s="981">
        <f t="shared" si="30"/>
        <v>0</v>
      </c>
    </row>
    <row r="145" spans="1:16" ht="25.5" outlineLevel="1" x14ac:dyDescent="0.25">
      <c r="A145" s="170" t="s">
        <v>137</v>
      </c>
      <c r="B145" s="170">
        <v>5914612</v>
      </c>
      <c r="C145" s="171" t="s">
        <v>398</v>
      </c>
      <c r="D145" s="172" t="s">
        <v>351</v>
      </c>
      <c r="E145" s="173">
        <v>1.02</v>
      </c>
      <c r="F145" s="174">
        <v>175.97</v>
      </c>
      <c r="G145" s="175">
        <f>TRUNC(F145*E145,2)+0.01</f>
        <v>179.48999999999998</v>
      </c>
      <c r="H145" s="167">
        <v>0</v>
      </c>
      <c r="I145" s="168">
        <f t="shared" si="48"/>
        <v>0</v>
      </c>
      <c r="J145" s="167">
        <f>VLOOKUP(A145,'12 - CORPO'!$A:$U,18,FALSE)</f>
        <v>0</v>
      </c>
      <c r="K145" s="169">
        <f t="shared" si="49"/>
        <v>0</v>
      </c>
      <c r="L145" s="167">
        <f t="shared" si="50"/>
        <v>0</v>
      </c>
      <c r="M145" s="166">
        <f t="shared" si="51"/>
        <v>0</v>
      </c>
      <c r="N145" s="1023">
        <f t="shared" si="52"/>
        <v>0</v>
      </c>
      <c r="O145" s="983">
        <v>179.49</v>
      </c>
      <c r="P145" s="981">
        <f t="shared" si="30"/>
        <v>0</v>
      </c>
    </row>
    <row r="146" spans="1:16" outlineLevel="1" x14ac:dyDescent="0.25">
      <c r="A146" s="170" t="s">
        <v>138</v>
      </c>
      <c r="B146" s="170">
        <v>4011352</v>
      </c>
      <c r="C146" s="171" t="s">
        <v>399</v>
      </c>
      <c r="D146" s="172" t="s">
        <v>308</v>
      </c>
      <c r="E146" s="173">
        <v>0.37</v>
      </c>
      <c r="F146" s="174">
        <v>80</v>
      </c>
      <c r="G146" s="175">
        <f t="shared" si="47"/>
        <v>29.6</v>
      </c>
      <c r="H146" s="167">
        <v>0</v>
      </c>
      <c r="I146" s="168">
        <f t="shared" si="48"/>
        <v>0</v>
      </c>
      <c r="J146" s="167">
        <f>VLOOKUP(A146,'12 - CORPO'!$A:$U,18,FALSE)</f>
        <v>0</v>
      </c>
      <c r="K146" s="169">
        <f t="shared" si="49"/>
        <v>0</v>
      </c>
      <c r="L146" s="167">
        <f t="shared" si="50"/>
        <v>0</v>
      </c>
      <c r="M146" s="166">
        <f t="shared" si="51"/>
        <v>0</v>
      </c>
      <c r="N146" s="1023">
        <f t="shared" si="52"/>
        <v>0</v>
      </c>
      <c r="O146" s="983">
        <v>29.6</v>
      </c>
      <c r="P146" s="981">
        <f t="shared" ref="P146:P209" si="53">G146-O146</f>
        <v>0</v>
      </c>
    </row>
    <row r="147" spans="1:16" outlineLevel="1" x14ac:dyDescent="0.25">
      <c r="A147" s="170" t="s">
        <v>139</v>
      </c>
      <c r="B147" s="170">
        <v>101196</v>
      </c>
      <c r="C147" s="171" t="s">
        <v>400</v>
      </c>
      <c r="D147" s="172" t="s">
        <v>347</v>
      </c>
      <c r="E147" s="173">
        <v>2251.36</v>
      </c>
      <c r="F147" s="174">
        <v>0.06</v>
      </c>
      <c r="G147" s="175">
        <f t="shared" si="47"/>
        <v>135.08000000000001</v>
      </c>
      <c r="H147" s="167">
        <v>0</v>
      </c>
      <c r="I147" s="168">
        <f t="shared" si="48"/>
        <v>0</v>
      </c>
      <c r="J147" s="167">
        <f>VLOOKUP(A147,'12 - CORPO'!$A:$U,18,FALSE)</f>
        <v>0</v>
      </c>
      <c r="K147" s="169">
        <f t="shared" si="49"/>
        <v>0</v>
      </c>
      <c r="L147" s="167">
        <f t="shared" si="50"/>
        <v>0</v>
      </c>
      <c r="M147" s="166">
        <f t="shared" si="51"/>
        <v>0</v>
      </c>
      <c r="N147" s="1023">
        <f t="shared" si="52"/>
        <v>0</v>
      </c>
      <c r="O147" s="983">
        <v>135.08000000000001</v>
      </c>
      <c r="P147" s="981">
        <f t="shared" si="53"/>
        <v>0</v>
      </c>
    </row>
    <row r="148" spans="1:16" outlineLevel="1" x14ac:dyDescent="0.25">
      <c r="A148" s="170" t="s">
        <v>140</v>
      </c>
      <c r="B148" s="170">
        <v>100849</v>
      </c>
      <c r="C148" s="171" t="s">
        <v>401</v>
      </c>
      <c r="D148" s="172" t="s">
        <v>347</v>
      </c>
      <c r="E148" s="173">
        <v>69.03</v>
      </c>
      <c r="F148" s="174">
        <v>0.1</v>
      </c>
      <c r="G148" s="175">
        <f t="shared" si="47"/>
        <v>6.9</v>
      </c>
      <c r="H148" s="167">
        <v>0</v>
      </c>
      <c r="I148" s="168">
        <f t="shared" si="48"/>
        <v>0</v>
      </c>
      <c r="J148" s="167">
        <f>VLOOKUP(A148,'12 - CORPO'!$A:$U,18,FALSE)</f>
        <v>0</v>
      </c>
      <c r="K148" s="169">
        <f t="shared" si="49"/>
        <v>0</v>
      </c>
      <c r="L148" s="167">
        <f t="shared" si="50"/>
        <v>0</v>
      </c>
      <c r="M148" s="166">
        <f t="shared" si="51"/>
        <v>0</v>
      </c>
      <c r="N148" s="1023">
        <f t="shared" si="52"/>
        <v>0</v>
      </c>
      <c r="O148" s="983">
        <v>6.9</v>
      </c>
      <c r="P148" s="981">
        <f t="shared" si="53"/>
        <v>0</v>
      </c>
    </row>
    <row r="149" spans="1:16" x14ac:dyDescent="0.25">
      <c r="A149" s="153" t="s">
        <v>141</v>
      </c>
      <c r="B149" s="154" t="s">
        <v>402</v>
      </c>
      <c r="C149" s="155"/>
      <c r="D149" s="155"/>
      <c r="E149" s="155"/>
      <c r="F149" s="156"/>
      <c r="G149" s="157">
        <f>SUBTOTAL(9,G150:G150)</f>
        <v>9581.6</v>
      </c>
      <c r="H149" s="155"/>
      <c r="I149" s="157">
        <f>SUBTOTAL(9,I150:I150)</f>
        <v>0</v>
      </c>
      <c r="J149" s="155"/>
      <c r="K149" s="157">
        <f>SUBTOTAL(9,K150:K150)</f>
        <v>0</v>
      </c>
      <c r="L149" s="155"/>
      <c r="M149" s="158">
        <f>SUBTOTAL(9,M150:M150)</f>
        <v>0</v>
      </c>
      <c r="N149" s="152"/>
      <c r="O149" s="986"/>
      <c r="P149" s="981"/>
    </row>
    <row r="150" spans="1:16" ht="25.5" outlineLevel="1" x14ac:dyDescent="0.25">
      <c r="A150" s="170" t="s">
        <v>142</v>
      </c>
      <c r="B150" s="170" t="s">
        <v>403</v>
      </c>
      <c r="C150" s="171" t="s">
        <v>404</v>
      </c>
      <c r="D150" s="172" t="s">
        <v>308</v>
      </c>
      <c r="E150" s="173">
        <v>34.22</v>
      </c>
      <c r="F150" s="174">
        <v>280</v>
      </c>
      <c r="G150" s="175">
        <f>TRUNC(F150*E150,2)</f>
        <v>9581.6</v>
      </c>
      <c r="H150" s="167">
        <v>0</v>
      </c>
      <c r="I150" s="168">
        <f>ROUND((E150*H150),2)</f>
        <v>0</v>
      </c>
      <c r="J150" s="167">
        <f>VLOOKUP(A150,'12 - CORPO'!$A:$U,18,FALSE)</f>
        <v>0</v>
      </c>
      <c r="K150" s="169">
        <f>M150-I150</f>
        <v>0</v>
      </c>
      <c r="L150" s="167">
        <f>(H150+J150)</f>
        <v>0</v>
      </c>
      <c r="M150" s="166">
        <f>ROUND((E150*L150),2)</f>
        <v>0</v>
      </c>
      <c r="N150" s="1023">
        <f t="shared" ref="N150" si="54">IFERROR(ROUND(M150/G150,4),0)</f>
        <v>0</v>
      </c>
      <c r="O150" s="983">
        <v>9581.6</v>
      </c>
      <c r="P150" s="981">
        <f t="shared" si="53"/>
        <v>0</v>
      </c>
    </row>
    <row r="151" spans="1:16" x14ac:dyDescent="0.25">
      <c r="A151" s="153" t="s">
        <v>143</v>
      </c>
      <c r="B151" s="154" t="s">
        <v>405</v>
      </c>
      <c r="C151" s="155"/>
      <c r="D151" s="155"/>
      <c r="E151" s="155"/>
      <c r="F151" s="156"/>
      <c r="G151" s="157">
        <f>SUBTOTAL(9,G152:G154)</f>
        <v>15789.4</v>
      </c>
      <c r="H151" s="155"/>
      <c r="I151" s="157">
        <f>SUBTOTAL(9,I152:I154)</f>
        <v>0</v>
      </c>
      <c r="J151" s="155"/>
      <c r="K151" s="157">
        <f>SUBTOTAL(9,K152:K154)</f>
        <v>0</v>
      </c>
      <c r="L151" s="155"/>
      <c r="M151" s="158">
        <f>SUBTOTAL(9,M152:M154)</f>
        <v>0</v>
      </c>
      <c r="N151" s="152"/>
      <c r="O151" s="986"/>
      <c r="P151" s="981"/>
    </row>
    <row r="152" spans="1:16" ht="38.25" outlineLevel="1" x14ac:dyDescent="0.25">
      <c r="A152" s="170" t="s">
        <v>144</v>
      </c>
      <c r="B152" s="170" t="s">
        <v>406</v>
      </c>
      <c r="C152" s="171" t="s">
        <v>421</v>
      </c>
      <c r="D152" s="172" t="s">
        <v>301</v>
      </c>
      <c r="E152" s="173">
        <v>8.24</v>
      </c>
      <c r="F152" s="174">
        <v>80</v>
      </c>
      <c r="G152" s="175">
        <f>TRUNC(F152*E152,2)</f>
        <v>659.2</v>
      </c>
      <c r="H152" s="167">
        <v>0</v>
      </c>
      <c r="I152" s="168">
        <f>ROUND((E152*H152),2)</f>
        <v>0</v>
      </c>
      <c r="J152" s="167">
        <f>VLOOKUP(A152,'12 - CORPO'!$A:$U,18,FALSE)</f>
        <v>0</v>
      </c>
      <c r="K152" s="169">
        <f>M152-I152</f>
        <v>0</v>
      </c>
      <c r="L152" s="167">
        <f>(H152+J152)</f>
        <v>0</v>
      </c>
      <c r="M152" s="166">
        <f>ROUND((E152*L152),2)</f>
        <v>0</v>
      </c>
      <c r="N152" s="1023">
        <f t="shared" ref="N152:N158" si="55">IFERROR(ROUND(M152/G152,4),0)</f>
        <v>0</v>
      </c>
      <c r="O152" s="983">
        <v>659.2</v>
      </c>
      <c r="P152" s="981">
        <f t="shared" si="53"/>
        <v>0</v>
      </c>
    </row>
    <row r="153" spans="1:16" outlineLevel="1" x14ac:dyDescent="0.25">
      <c r="A153" s="170" t="s">
        <v>145</v>
      </c>
      <c r="B153" s="170">
        <v>41936</v>
      </c>
      <c r="C153" s="171" t="s">
        <v>422</v>
      </c>
      <c r="D153" s="172" t="s">
        <v>301</v>
      </c>
      <c r="E153" s="173">
        <v>97.81</v>
      </c>
      <c r="F153" s="174">
        <v>80</v>
      </c>
      <c r="G153" s="175">
        <f>TRUNC(F153*E153,2)</f>
        <v>7824.8</v>
      </c>
      <c r="H153" s="167">
        <v>0</v>
      </c>
      <c r="I153" s="168">
        <f>ROUND((E153*H153),2)</f>
        <v>0</v>
      </c>
      <c r="J153" s="167">
        <f>VLOOKUP(A153,'12 - CORPO'!$A:$U,18,FALSE)</f>
        <v>0</v>
      </c>
      <c r="K153" s="169">
        <f>M153-I153</f>
        <v>0</v>
      </c>
      <c r="L153" s="167">
        <f>(H153+J153)</f>
        <v>0</v>
      </c>
      <c r="M153" s="166">
        <f>ROUND((E153*L153),2)</f>
        <v>0</v>
      </c>
      <c r="N153" s="1023">
        <f t="shared" si="55"/>
        <v>0</v>
      </c>
      <c r="O153" s="983">
        <v>7824.8</v>
      </c>
      <c r="P153" s="981">
        <f t="shared" si="53"/>
        <v>0</v>
      </c>
    </row>
    <row r="154" spans="1:16" ht="25.5" outlineLevel="1" x14ac:dyDescent="0.25">
      <c r="A154" s="170" t="s">
        <v>146</v>
      </c>
      <c r="B154" s="170">
        <v>95995</v>
      </c>
      <c r="C154" s="171" t="s">
        <v>410</v>
      </c>
      <c r="D154" s="172" t="s">
        <v>323</v>
      </c>
      <c r="E154" s="173">
        <v>1826.35</v>
      </c>
      <c r="F154" s="174">
        <v>4</v>
      </c>
      <c r="G154" s="175">
        <f>TRUNC(F154*E154,2)</f>
        <v>7305.4</v>
      </c>
      <c r="H154" s="167">
        <v>0</v>
      </c>
      <c r="I154" s="168">
        <f>ROUND((E154*H154),2)</f>
        <v>0</v>
      </c>
      <c r="J154" s="167">
        <f>VLOOKUP(A154,'12 - CORPO'!$A:$U,18,FALSE)</f>
        <v>0</v>
      </c>
      <c r="K154" s="169">
        <f>M154-I154</f>
        <v>0</v>
      </c>
      <c r="L154" s="167">
        <f>(H154+J154)</f>
        <v>0</v>
      </c>
      <c r="M154" s="166">
        <f>ROUND((E154*L154),2)</f>
        <v>0</v>
      </c>
      <c r="N154" s="1023">
        <f t="shared" si="55"/>
        <v>0</v>
      </c>
      <c r="O154" s="983">
        <v>7305.4</v>
      </c>
      <c r="P154" s="981">
        <f t="shared" si="53"/>
        <v>0</v>
      </c>
    </row>
    <row r="155" spans="1:16" s="160" customFormat="1" x14ac:dyDescent="0.25">
      <c r="A155" s="153" t="s">
        <v>147</v>
      </c>
      <c r="B155" s="154" t="s">
        <v>423</v>
      </c>
      <c r="C155" s="155"/>
      <c r="D155" s="155"/>
      <c r="E155" s="155"/>
      <c r="F155" s="156"/>
      <c r="G155" s="157">
        <f>SUBTOTAL(9,G156:G158)</f>
        <v>27704.61</v>
      </c>
      <c r="H155" s="155"/>
      <c r="I155" s="157">
        <f>SUBTOTAL(9,I156:I158)</f>
        <v>5408.37</v>
      </c>
      <c r="J155" s="155"/>
      <c r="K155" s="157">
        <f>SUBTOTAL(9,K156:K158)</f>
        <v>0</v>
      </c>
      <c r="L155" s="155"/>
      <c r="M155" s="158">
        <f>SUBTOTAL(9,M156:M158)</f>
        <v>5408.37</v>
      </c>
      <c r="N155" s="159"/>
      <c r="O155" s="987"/>
      <c r="P155" s="981"/>
    </row>
    <row r="156" spans="1:16" outlineLevel="1" x14ac:dyDescent="0.25">
      <c r="A156" s="170" t="s">
        <v>148</v>
      </c>
      <c r="B156" s="170">
        <v>42047</v>
      </c>
      <c r="C156" s="171" t="s">
        <v>412</v>
      </c>
      <c r="D156" s="172" t="s">
        <v>370</v>
      </c>
      <c r="E156" s="173">
        <v>41.69</v>
      </c>
      <c r="F156" s="174">
        <v>3</v>
      </c>
      <c r="G156" s="175">
        <f>TRUNC(F156*E156,2)</f>
        <v>125.07</v>
      </c>
      <c r="H156" s="167">
        <v>3</v>
      </c>
      <c r="I156" s="168">
        <f>ROUND((E156*H156),2)</f>
        <v>125.07</v>
      </c>
      <c r="J156" s="167">
        <f>VLOOKUP(A156,'12 - CORPO'!$A:$U,18,FALSE)</f>
        <v>0</v>
      </c>
      <c r="K156" s="169">
        <f>M156-I156</f>
        <v>0</v>
      </c>
      <c r="L156" s="167">
        <f>(H156+J156)</f>
        <v>3</v>
      </c>
      <c r="M156" s="166">
        <f>ROUND((E156*L156),2)</f>
        <v>125.07</v>
      </c>
      <c r="N156" s="1023">
        <f t="shared" si="55"/>
        <v>1</v>
      </c>
      <c r="O156" s="983">
        <v>125.07</v>
      </c>
      <c r="P156" s="981">
        <f t="shared" si="53"/>
        <v>0</v>
      </c>
    </row>
    <row r="157" spans="1:16" outlineLevel="1" x14ac:dyDescent="0.25">
      <c r="A157" s="170" t="s">
        <v>149</v>
      </c>
      <c r="B157" s="170">
        <v>40937</v>
      </c>
      <c r="C157" s="171" t="s">
        <v>413</v>
      </c>
      <c r="D157" s="172" t="s">
        <v>308</v>
      </c>
      <c r="E157" s="173">
        <v>528.33000000000004</v>
      </c>
      <c r="F157" s="174">
        <v>10</v>
      </c>
      <c r="G157" s="175">
        <f>TRUNC(F157*E157,2)</f>
        <v>5283.3</v>
      </c>
      <c r="H157" s="167">
        <v>10</v>
      </c>
      <c r="I157" s="168">
        <f>ROUND((E157*H157),2)</f>
        <v>5283.3</v>
      </c>
      <c r="J157" s="167">
        <f>VLOOKUP(A157,'12 - CORPO'!$A:$U,18,FALSE)</f>
        <v>0</v>
      </c>
      <c r="K157" s="169">
        <f>M157-I157</f>
        <v>0</v>
      </c>
      <c r="L157" s="167">
        <f>(H157+J157)</f>
        <v>10</v>
      </c>
      <c r="M157" s="166">
        <f>ROUND((E157*L157),2)</f>
        <v>5283.3</v>
      </c>
      <c r="N157" s="1023">
        <f t="shared" si="55"/>
        <v>1</v>
      </c>
      <c r="O157" s="983">
        <v>5283.3</v>
      </c>
      <c r="P157" s="981">
        <f t="shared" si="53"/>
        <v>0</v>
      </c>
    </row>
    <row r="158" spans="1:16" ht="25.5" outlineLevel="1" x14ac:dyDescent="0.25">
      <c r="A158" s="170" t="s">
        <v>150</v>
      </c>
      <c r="B158" s="170">
        <v>41359</v>
      </c>
      <c r="C158" s="171" t="s">
        <v>424</v>
      </c>
      <c r="D158" s="172" t="s">
        <v>301</v>
      </c>
      <c r="E158" s="173">
        <v>14.444311997926926</v>
      </c>
      <c r="F158" s="174">
        <v>1543.6</v>
      </c>
      <c r="G158" s="175">
        <f>TRUNC(F158*E158,2)</f>
        <v>22296.240000000002</v>
      </c>
      <c r="H158" s="167">
        <v>0</v>
      </c>
      <c r="I158" s="168">
        <f>ROUND((E158*H158),2)</f>
        <v>0</v>
      </c>
      <c r="J158" s="167">
        <f>VLOOKUP(A158,'12 - CORPO'!$A:$U,18,FALSE)</f>
        <v>0</v>
      </c>
      <c r="K158" s="169">
        <f>M158-I158</f>
        <v>0</v>
      </c>
      <c r="L158" s="167">
        <f>(H158+J158)</f>
        <v>0</v>
      </c>
      <c r="M158" s="166">
        <f>ROUND((E158*L158),2)</f>
        <v>0</v>
      </c>
      <c r="N158" s="1023">
        <f t="shared" si="55"/>
        <v>0</v>
      </c>
      <c r="O158" s="983">
        <v>22296.240000000002</v>
      </c>
      <c r="P158" s="981">
        <f t="shared" si="53"/>
        <v>0</v>
      </c>
    </row>
    <row r="159" spans="1:16" x14ac:dyDescent="0.25">
      <c r="A159" s="196"/>
      <c r="B159" s="197"/>
      <c r="C159" s="155" t="s">
        <v>425</v>
      </c>
      <c r="D159" s="155"/>
      <c r="E159" s="155"/>
      <c r="F159" s="156"/>
      <c r="G159" s="157">
        <f>SUBTOTAL(9,G110:G158)</f>
        <v>3451189.5799999991</v>
      </c>
      <c r="H159" s="155"/>
      <c r="I159" s="157">
        <f>SUBTOTAL(9,I111:I158)</f>
        <v>434609.83999999997</v>
      </c>
      <c r="J159" s="155"/>
      <c r="K159" s="157">
        <f>SUBTOTAL(9,K111:K158)</f>
        <v>-424991.18</v>
      </c>
      <c r="L159" s="155"/>
      <c r="M159" s="158">
        <f>SUBTOTAL(9,M111:M158)</f>
        <v>9618.66</v>
      </c>
      <c r="N159" s="152"/>
      <c r="O159" s="986"/>
      <c r="P159" s="981"/>
    </row>
    <row r="160" spans="1:16" s="205" customFormat="1" x14ac:dyDescent="0.25">
      <c r="A160" s="147" t="s">
        <v>151</v>
      </c>
      <c r="B160" s="206" t="s">
        <v>426</v>
      </c>
      <c r="C160" s="148"/>
      <c r="D160" s="148"/>
      <c r="E160" s="148"/>
      <c r="F160" s="149"/>
      <c r="G160" s="150"/>
      <c r="H160" s="148"/>
      <c r="I160" s="150"/>
      <c r="J160" s="148"/>
      <c r="K160" s="150"/>
      <c r="L160" s="148"/>
      <c r="M160" s="151"/>
      <c r="N160" s="152"/>
      <c r="O160" s="986"/>
      <c r="P160" s="981"/>
    </row>
    <row r="161" spans="1:16" s="160" customFormat="1" x14ac:dyDescent="0.25">
      <c r="A161" s="153" t="s">
        <v>152</v>
      </c>
      <c r="B161" s="154" t="s">
        <v>427</v>
      </c>
      <c r="C161" s="155"/>
      <c r="D161" s="155"/>
      <c r="E161" s="155"/>
      <c r="F161" s="156"/>
      <c r="G161" s="157">
        <f>SUBTOTAL(9,G162:G174)</f>
        <v>265623.95</v>
      </c>
      <c r="H161" s="155"/>
      <c r="I161" s="157">
        <f>SUBTOTAL(9,I162:I174)</f>
        <v>58790.97</v>
      </c>
      <c r="J161" s="155"/>
      <c r="K161" s="157">
        <f>SUBTOTAL(9,K162:K174)</f>
        <v>-58790.97</v>
      </c>
      <c r="L161" s="155"/>
      <c r="M161" s="158">
        <f>SUBTOTAL(9,M162:M174)</f>
        <v>0</v>
      </c>
      <c r="N161" s="159"/>
      <c r="O161" s="987"/>
      <c r="P161" s="981"/>
    </row>
    <row r="162" spans="1:16" outlineLevel="1" x14ac:dyDescent="0.25">
      <c r="A162" s="170" t="s">
        <v>153</v>
      </c>
      <c r="B162" s="170">
        <v>1600400</v>
      </c>
      <c r="C162" s="171" t="s">
        <v>428</v>
      </c>
      <c r="D162" s="172" t="s">
        <v>308</v>
      </c>
      <c r="E162" s="173">
        <v>4.9000000000000004</v>
      </c>
      <c r="F162" s="174">
        <v>450</v>
      </c>
      <c r="G162" s="175">
        <f t="shared" ref="G162:G174" si="56">TRUNC(F162*E162,2)</f>
        <v>2205</v>
      </c>
      <c r="H162" s="167">
        <v>0</v>
      </c>
      <c r="I162" s="168">
        <f t="shared" ref="I162:I174" si="57">ROUND((E162*H162),2)</f>
        <v>0</v>
      </c>
      <c r="J162" s="167">
        <f>VLOOKUP(A162,'12 - CORPO'!$A:$U,18,FALSE)</f>
        <v>0</v>
      </c>
      <c r="K162" s="169">
        <f t="shared" ref="K162:K174" si="58">M162-I162</f>
        <v>0</v>
      </c>
      <c r="L162" s="167">
        <f t="shared" ref="L162:L174" si="59">(H162+J162)</f>
        <v>0</v>
      </c>
      <c r="M162" s="166">
        <f t="shared" ref="M162:M174" si="60">ROUND((E162*L162),2)</f>
        <v>0</v>
      </c>
      <c r="N162" s="1023">
        <f t="shared" ref="N162:N225" si="61">IFERROR(ROUND(M162/G162,4),0)</f>
        <v>0</v>
      </c>
      <c r="O162" s="983">
        <v>2205</v>
      </c>
      <c r="P162" s="981">
        <f t="shared" si="53"/>
        <v>0</v>
      </c>
    </row>
    <row r="163" spans="1:16" ht="38.25" outlineLevel="1" x14ac:dyDescent="0.25">
      <c r="A163" s="170" t="s">
        <v>154</v>
      </c>
      <c r="B163" s="170">
        <v>93225</v>
      </c>
      <c r="C163" s="171" t="s">
        <v>429</v>
      </c>
      <c r="D163" s="172" t="s">
        <v>430</v>
      </c>
      <c r="E163" s="173">
        <v>518.76</v>
      </c>
      <c r="F163" s="174">
        <v>24</v>
      </c>
      <c r="G163" s="175">
        <f t="shared" si="56"/>
        <v>12450.24</v>
      </c>
      <c r="H163" s="167">
        <v>0</v>
      </c>
      <c r="I163" s="168">
        <f t="shared" si="57"/>
        <v>0</v>
      </c>
      <c r="J163" s="167">
        <f>VLOOKUP(A163,'12 - CORPO'!$A:$U,18,FALSE)</f>
        <v>0</v>
      </c>
      <c r="K163" s="169">
        <f t="shared" si="58"/>
        <v>0</v>
      </c>
      <c r="L163" s="167">
        <f t="shared" si="59"/>
        <v>0</v>
      </c>
      <c r="M163" s="166">
        <f t="shared" si="60"/>
        <v>0</v>
      </c>
      <c r="N163" s="1023">
        <f t="shared" si="61"/>
        <v>0</v>
      </c>
      <c r="O163" s="983">
        <v>12450.24</v>
      </c>
      <c r="P163" s="981">
        <f t="shared" si="53"/>
        <v>0</v>
      </c>
    </row>
    <row r="164" spans="1:16" ht="25.5" outlineLevel="1" x14ac:dyDescent="0.25">
      <c r="A164" s="170" t="s">
        <v>155</v>
      </c>
      <c r="B164" s="170">
        <v>100651</v>
      </c>
      <c r="C164" s="171" t="s">
        <v>431</v>
      </c>
      <c r="D164" s="172" t="s">
        <v>301</v>
      </c>
      <c r="E164" s="173">
        <v>145.58000000000001</v>
      </c>
      <c r="F164" s="174">
        <v>104</v>
      </c>
      <c r="G164" s="175">
        <f t="shared" si="56"/>
        <v>15140.32</v>
      </c>
      <c r="H164" s="167">
        <v>0</v>
      </c>
      <c r="I164" s="168">
        <f t="shared" si="57"/>
        <v>0</v>
      </c>
      <c r="J164" s="167">
        <f>VLOOKUP(A164,'12 - CORPO'!$A:$U,18,FALSE)</f>
        <v>0</v>
      </c>
      <c r="K164" s="169">
        <f t="shared" si="58"/>
        <v>0</v>
      </c>
      <c r="L164" s="167">
        <f t="shared" si="59"/>
        <v>0</v>
      </c>
      <c r="M164" s="166">
        <f t="shared" si="60"/>
        <v>0</v>
      </c>
      <c r="N164" s="1023">
        <f t="shared" si="61"/>
        <v>0</v>
      </c>
      <c r="O164" s="983">
        <v>15140.32</v>
      </c>
      <c r="P164" s="981">
        <f t="shared" si="53"/>
        <v>0</v>
      </c>
    </row>
    <row r="165" spans="1:16" ht="25.5" outlineLevel="1" x14ac:dyDescent="0.25">
      <c r="A165" s="170" t="s">
        <v>156</v>
      </c>
      <c r="B165" s="170">
        <v>95601</v>
      </c>
      <c r="C165" s="171" t="s">
        <v>432</v>
      </c>
      <c r="D165" s="172" t="s">
        <v>317</v>
      </c>
      <c r="E165" s="173">
        <v>15.6</v>
      </c>
      <c r="F165" s="174">
        <v>8</v>
      </c>
      <c r="G165" s="175">
        <f t="shared" si="56"/>
        <v>124.8</v>
      </c>
      <c r="H165" s="167">
        <v>0</v>
      </c>
      <c r="I165" s="168">
        <f t="shared" si="57"/>
        <v>0</v>
      </c>
      <c r="J165" s="167">
        <f>VLOOKUP(A165,'12 - CORPO'!$A:$U,18,FALSE)</f>
        <v>0</v>
      </c>
      <c r="K165" s="169">
        <f t="shared" si="58"/>
        <v>0</v>
      </c>
      <c r="L165" s="167">
        <f t="shared" si="59"/>
        <v>0</v>
      </c>
      <c r="M165" s="166">
        <f t="shared" si="60"/>
        <v>0</v>
      </c>
      <c r="N165" s="1023">
        <f t="shared" si="61"/>
        <v>0</v>
      </c>
      <c r="O165" s="983">
        <v>124.8</v>
      </c>
      <c r="P165" s="981">
        <f t="shared" si="53"/>
        <v>0</v>
      </c>
    </row>
    <row r="166" spans="1:16" ht="25.5" outlineLevel="1" x14ac:dyDescent="0.25">
      <c r="A166" s="170" t="s">
        <v>157</v>
      </c>
      <c r="B166" s="170">
        <v>96619</v>
      </c>
      <c r="C166" s="171" t="s">
        <v>433</v>
      </c>
      <c r="D166" s="172" t="s">
        <v>308</v>
      </c>
      <c r="E166" s="173">
        <v>30.05</v>
      </c>
      <c r="F166" s="174">
        <v>3.5</v>
      </c>
      <c r="G166" s="175">
        <f>TRUNC(F166*E166,2)+0.01</f>
        <v>105.18</v>
      </c>
      <c r="H166" s="167">
        <v>0</v>
      </c>
      <c r="I166" s="168">
        <f t="shared" si="57"/>
        <v>0</v>
      </c>
      <c r="J166" s="167">
        <f>VLOOKUP(A166,'12 - CORPO'!$A:$U,18,FALSE)</f>
        <v>0</v>
      </c>
      <c r="K166" s="169">
        <f t="shared" si="58"/>
        <v>0</v>
      </c>
      <c r="L166" s="167">
        <f t="shared" si="59"/>
        <v>0</v>
      </c>
      <c r="M166" s="166">
        <f t="shared" si="60"/>
        <v>0</v>
      </c>
      <c r="N166" s="1023">
        <f t="shared" si="61"/>
        <v>0</v>
      </c>
      <c r="O166" s="983">
        <v>105.18</v>
      </c>
      <c r="P166" s="981">
        <f t="shared" si="53"/>
        <v>0</v>
      </c>
    </row>
    <row r="167" spans="1:16" ht="25.5" outlineLevel="1" x14ac:dyDescent="0.25">
      <c r="A167" s="170" t="s">
        <v>158</v>
      </c>
      <c r="B167" s="170">
        <v>96537</v>
      </c>
      <c r="C167" s="171" t="s">
        <v>434</v>
      </c>
      <c r="D167" s="172" t="s">
        <v>308</v>
      </c>
      <c r="E167" s="173">
        <v>207.19</v>
      </c>
      <c r="F167" s="174">
        <v>34.6</v>
      </c>
      <c r="G167" s="175">
        <f t="shared" si="56"/>
        <v>7168.77</v>
      </c>
      <c r="H167" s="167">
        <v>0</v>
      </c>
      <c r="I167" s="168">
        <f t="shared" si="57"/>
        <v>0</v>
      </c>
      <c r="J167" s="167">
        <f>VLOOKUP(A167,'12 - CORPO'!$A:$U,18,FALSE)</f>
        <v>0</v>
      </c>
      <c r="K167" s="169">
        <f t="shared" si="58"/>
        <v>0</v>
      </c>
      <c r="L167" s="167">
        <f t="shared" si="59"/>
        <v>0</v>
      </c>
      <c r="M167" s="166">
        <f t="shared" si="60"/>
        <v>0</v>
      </c>
      <c r="N167" s="1023">
        <f t="shared" si="61"/>
        <v>0</v>
      </c>
      <c r="O167" s="983">
        <v>7168.77</v>
      </c>
      <c r="P167" s="981">
        <f t="shared" si="53"/>
        <v>0</v>
      </c>
    </row>
    <row r="168" spans="1:16" outlineLevel="1" x14ac:dyDescent="0.25">
      <c r="A168" s="170" t="s">
        <v>159</v>
      </c>
      <c r="B168" s="170">
        <v>407819</v>
      </c>
      <c r="C168" s="171" t="s">
        <v>327</v>
      </c>
      <c r="D168" s="172" t="s">
        <v>328</v>
      </c>
      <c r="E168" s="173">
        <v>13.36</v>
      </c>
      <c r="F168" s="174">
        <v>99</v>
      </c>
      <c r="G168" s="175">
        <f t="shared" si="56"/>
        <v>1322.64</v>
      </c>
      <c r="H168" s="167">
        <v>0</v>
      </c>
      <c r="I168" s="168">
        <f t="shared" si="57"/>
        <v>0</v>
      </c>
      <c r="J168" s="167">
        <f>VLOOKUP(A168,'12 - CORPO'!$A:$U,18,FALSE)</f>
        <v>0</v>
      </c>
      <c r="K168" s="169">
        <f t="shared" si="58"/>
        <v>0</v>
      </c>
      <c r="L168" s="167">
        <f t="shared" si="59"/>
        <v>0</v>
      </c>
      <c r="M168" s="166">
        <f t="shared" si="60"/>
        <v>0</v>
      </c>
      <c r="N168" s="1023">
        <f t="shared" si="61"/>
        <v>0</v>
      </c>
      <c r="O168" s="983">
        <v>1322.64</v>
      </c>
      <c r="P168" s="981">
        <f t="shared" si="53"/>
        <v>0</v>
      </c>
    </row>
    <row r="169" spans="1:16" ht="25.5" outlineLevel="1" x14ac:dyDescent="0.25">
      <c r="A169" s="181" t="s">
        <v>160</v>
      </c>
      <c r="B169" s="181">
        <v>407740</v>
      </c>
      <c r="C169" s="182" t="s">
        <v>435</v>
      </c>
      <c r="D169" s="183" t="s">
        <v>328</v>
      </c>
      <c r="E169" s="184">
        <v>15.33</v>
      </c>
      <c r="F169" s="185">
        <v>12.8</v>
      </c>
      <c r="G169" s="186">
        <f t="shared" si="56"/>
        <v>196.22</v>
      </c>
      <c r="H169" s="187">
        <v>0</v>
      </c>
      <c r="I169" s="188">
        <f t="shared" si="57"/>
        <v>0</v>
      </c>
      <c r="J169" s="187">
        <f>VLOOKUP(A169,'12 - CORPO'!$A:$U,18,FALSE)</f>
        <v>0</v>
      </c>
      <c r="K169" s="189">
        <f t="shared" si="58"/>
        <v>0</v>
      </c>
      <c r="L169" s="187">
        <f t="shared" si="59"/>
        <v>0</v>
      </c>
      <c r="M169" s="186">
        <f t="shared" si="60"/>
        <v>0</v>
      </c>
      <c r="N169" s="1023">
        <f t="shared" si="61"/>
        <v>0</v>
      </c>
      <c r="O169" s="983">
        <v>196.22</v>
      </c>
      <c r="P169" s="981">
        <f t="shared" si="53"/>
        <v>0</v>
      </c>
    </row>
    <row r="170" spans="1:16" ht="38.25" outlineLevel="1" x14ac:dyDescent="0.25">
      <c r="A170" s="161" t="s">
        <v>161</v>
      </c>
      <c r="B170" s="161">
        <v>100764</v>
      </c>
      <c r="C170" s="162" t="s">
        <v>436</v>
      </c>
      <c r="D170" s="163" t="s">
        <v>328</v>
      </c>
      <c r="E170" s="164">
        <v>28.29</v>
      </c>
      <c r="F170" s="165">
        <v>5620.51</v>
      </c>
      <c r="G170" s="166">
        <f>TRUNC(F170*E170,2)+0.01</f>
        <v>159004.23000000001</v>
      </c>
      <c r="H170" s="167">
        <v>0</v>
      </c>
      <c r="I170" s="168">
        <f t="shared" si="57"/>
        <v>0</v>
      </c>
      <c r="J170" s="167">
        <f>VLOOKUP(A170,'12 - CORPO'!$A:$U,18,FALSE)</f>
        <v>0</v>
      </c>
      <c r="K170" s="169">
        <f t="shared" si="58"/>
        <v>0</v>
      </c>
      <c r="L170" s="167">
        <f t="shared" si="59"/>
        <v>0</v>
      </c>
      <c r="M170" s="166">
        <f t="shared" si="60"/>
        <v>0</v>
      </c>
      <c r="N170" s="1023">
        <f t="shared" si="61"/>
        <v>0</v>
      </c>
      <c r="O170" s="983">
        <v>159004.23000000001</v>
      </c>
      <c r="P170" s="981">
        <f t="shared" si="53"/>
        <v>0</v>
      </c>
    </row>
    <row r="171" spans="1:16" ht="25.5" outlineLevel="1" x14ac:dyDescent="0.25">
      <c r="A171" s="170" t="s">
        <v>162</v>
      </c>
      <c r="B171" s="170" t="s">
        <v>437</v>
      </c>
      <c r="C171" s="171" t="s">
        <v>438</v>
      </c>
      <c r="D171" s="172" t="s">
        <v>301</v>
      </c>
      <c r="E171" s="173">
        <v>756.05671296296293</v>
      </c>
      <c r="F171" s="174">
        <v>77.760000000000005</v>
      </c>
      <c r="G171" s="175">
        <f t="shared" si="56"/>
        <v>58790.97</v>
      </c>
      <c r="H171" s="167">
        <v>77.760000000000005</v>
      </c>
      <c r="I171" s="168">
        <f t="shared" si="57"/>
        <v>58790.97</v>
      </c>
      <c r="J171" s="167">
        <f>VLOOKUP(A171,'12 - CORPO'!$A:$U,18,FALSE)</f>
        <v>-77.760000000000005</v>
      </c>
      <c r="K171" s="169">
        <f t="shared" si="58"/>
        <v>-58790.97</v>
      </c>
      <c r="L171" s="167">
        <f t="shared" si="59"/>
        <v>0</v>
      </c>
      <c r="M171" s="166">
        <f t="shared" si="60"/>
        <v>0</v>
      </c>
      <c r="N171" s="1023">
        <f t="shared" si="61"/>
        <v>0</v>
      </c>
      <c r="O171" s="983">
        <v>58790.97</v>
      </c>
      <c r="P171" s="981">
        <f t="shared" si="53"/>
        <v>0</v>
      </c>
    </row>
    <row r="172" spans="1:16" ht="25.5" outlineLevel="1" x14ac:dyDescent="0.25">
      <c r="A172" s="170" t="s">
        <v>163</v>
      </c>
      <c r="B172" s="170" t="s">
        <v>439</v>
      </c>
      <c r="C172" s="171" t="s">
        <v>440</v>
      </c>
      <c r="D172" s="172" t="s">
        <v>308</v>
      </c>
      <c r="E172" s="173">
        <v>159.71</v>
      </c>
      <c r="F172" s="174">
        <v>28</v>
      </c>
      <c r="G172" s="175">
        <f t="shared" si="56"/>
        <v>4471.88</v>
      </c>
      <c r="H172" s="167">
        <v>0</v>
      </c>
      <c r="I172" s="168">
        <f t="shared" si="57"/>
        <v>0</v>
      </c>
      <c r="J172" s="167">
        <f>VLOOKUP(A172,'12 - CORPO'!$A:$U,18,FALSE)</f>
        <v>0</v>
      </c>
      <c r="K172" s="169">
        <f t="shared" si="58"/>
        <v>0</v>
      </c>
      <c r="L172" s="167">
        <f t="shared" si="59"/>
        <v>0</v>
      </c>
      <c r="M172" s="166">
        <f t="shared" si="60"/>
        <v>0</v>
      </c>
      <c r="N172" s="1023">
        <f t="shared" si="61"/>
        <v>0</v>
      </c>
      <c r="O172" s="983">
        <v>4471.88</v>
      </c>
      <c r="P172" s="981">
        <f t="shared" si="53"/>
        <v>0</v>
      </c>
    </row>
    <row r="173" spans="1:16" ht="25.5" outlineLevel="1" x14ac:dyDescent="0.25">
      <c r="A173" s="170" t="s">
        <v>164</v>
      </c>
      <c r="B173" s="170">
        <v>1106280</v>
      </c>
      <c r="C173" s="171" t="s">
        <v>322</v>
      </c>
      <c r="D173" s="172" t="s">
        <v>323</v>
      </c>
      <c r="E173" s="173">
        <v>363.28</v>
      </c>
      <c r="F173" s="174">
        <v>11.5</v>
      </c>
      <c r="G173" s="175">
        <f t="shared" si="56"/>
        <v>4177.72</v>
      </c>
      <c r="H173" s="167">
        <v>0</v>
      </c>
      <c r="I173" s="168">
        <f t="shared" si="57"/>
        <v>0</v>
      </c>
      <c r="J173" s="167">
        <f>VLOOKUP(A173,'12 - CORPO'!$A:$U,18,FALSE)</f>
        <v>0</v>
      </c>
      <c r="K173" s="169">
        <f t="shared" si="58"/>
        <v>0</v>
      </c>
      <c r="L173" s="167">
        <f t="shared" si="59"/>
        <v>0</v>
      </c>
      <c r="M173" s="166">
        <f t="shared" si="60"/>
        <v>0</v>
      </c>
      <c r="N173" s="1023">
        <f t="shared" si="61"/>
        <v>0</v>
      </c>
      <c r="O173" s="983">
        <v>4177.72</v>
      </c>
      <c r="P173" s="981">
        <f t="shared" si="53"/>
        <v>0</v>
      </c>
    </row>
    <row r="174" spans="1:16" outlineLevel="1" x14ac:dyDescent="0.25">
      <c r="A174" s="170" t="s">
        <v>165</v>
      </c>
      <c r="B174" s="170">
        <v>25950</v>
      </c>
      <c r="C174" s="171" t="s">
        <v>441</v>
      </c>
      <c r="D174" s="172" t="s">
        <v>323</v>
      </c>
      <c r="E174" s="173">
        <v>40.520000000000003</v>
      </c>
      <c r="F174" s="174">
        <v>11.5</v>
      </c>
      <c r="G174" s="175">
        <f t="shared" si="56"/>
        <v>465.98</v>
      </c>
      <c r="H174" s="167">
        <v>0</v>
      </c>
      <c r="I174" s="168">
        <f t="shared" si="57"/>
        <v>0</v>
      </c>
      <c r="J174" s="167">
        <f>VLOOKUP(A174,'12 - CORPO'!$A:$U,18,FALSE)</f>
        <v>0</v>
      </c>
      <c r="K174" s="169">
        <f t="shared" si="58"/>
        <v>0</v>
      </c>
      <c r="L174" s="167">
        <f t="shared" si="59"/>
        <v>0</v>
      </c>
      <c r="M174" s="166">
        <f t="shared" si="60"/>
        <v>0</v>
      </c>
      <c r="N174" s="1023">
        <f t="shared" si="61"/>
        <v>0</v>
      </c>
      <c r="O174" s="983">
        <v>465.98</v>
      </c>
      <c r="P174" s="981">
        <f t="shared" si="53"/>
        <v>0</v>
      </c>
    </row>
    <row r="175" spans="1:16" x14ac:dyDescent="0.25">
      <c r="A175" s="153" t="s">
        <v>166</v>
      </c>
      <c r="B175" s="154" t="s">
        <v>442</v>
      </c>
      <c r="C175" s="155"/>
      <c r="D175" s="155"/>
      <c r="E175" s="155"/>
      <c r="F175" s="156"/>
      <c r="G175" s="157">
        <f>SUBTOTAL(9,G176:G187)</f>
        <v>218510.13</v>
      </c>
      <c r="H175" s="155"/>
      <c r="I175" s="157">
        <f>SUBTOTAL(9,I176:I183)</f>
        <v>100308.56</v>
      </c>
      <c r="J175" s="155"/>
      <c r="K175" s="157">
        <f>SUBTOTAL(9,K176:K187)</f>
        <v>12127.150000000001</v>
      </c>
      <c r="L175" s="155"/>
      <c r="M175" s="158">
        <f>SUBTOTAL(9,M176:M183)</f>
        <v>100308.56</v>
      </c>
      <c r="N175" s="152"/>
      <c r="O175" s="986"/>
      <c r="P175" s="981"/>
    </row>
    <row r="176" spans="1:16" outlineLevel="1" x14ac:dyDescent="0.25">
      <c r="A176" s="170" t="s">
        <v>167</v>
      </c>
      <c r="B176" s="170">
        <v>1600400</v>
      </c>
      <c r="C176" s="171" t="s">
        <v>428</v>
      </c>
      <c r="D176" s="172" t="s">
        <v>308</v>
      </c>
      <c r="E176" s="173">
        <v>4.9000000000000004</v>
      </c>
      <c r="F176" s="174">
        <v>360</v>
      </c>
      <c r="G176" s="175">
        <f t="shared" ref="G176:G187" si="62">TRUNC(F176*E176,2)</f>
        <v>1764</v>
      </c>
      <c r="H176" s="167">
        <v>360</v>
      </c>
      <c r="I176" s="168">
        <f t="shared" ref="I176:I187" si="63">ROUND((E176*H176),2)</f>
        <v>1764</v>
      </c>
      <c r="J176" s="167">
        <f>VLOOKUP(A176,'12 - CORPO'!$A:$U,18,FALSE)</f>
        <v>0</v>
      </c>
      <c r="K176" s="169">
        <f t="shared" ref="K176:K187" si="64">M176-I176</f>
        <v>0</v>
      </c>
      <c r="L176" s="167">
        <f t="shared" ref="L176:L187" si="65">(H176+J176)</f>
        <v>360</v>
      </c>
      <c r="M176" s="166">
        <f t="shared" ref="M176:M187" si="66">ROUND((E176*L176),2)</f>
        <v>1764</v>
      </c>
      <c r="N176" s="1023">
        <f t="shared" si="61"/>
        <v>1</v>
      </c>
      <c r="O176" s="983">
        <v>1764</v>
      </c>
      <c r="P176" s="981">
        <f t="shared" si="53"/>
        <v>0</v>
      </c>
    </row>
    <row r="177" spans="1:16" outlineLevel="1" x14ac:dyDescent="0.25">
      <c r="A177" s="170" t="s">
        <v>168</v>
      </c>
      <c r="B177" s="170">
        <v>2306113</v>
      </c>
      <c r="C177" s="171" t="s">
        <v>443</v>
      </c>
      <c r="D177" s="172" t="s">
        <v>301</v>
      </c>
      <c r="E177" s="173">
        <v>292.04000000000002</v>
      </c>
      <c r="F177" s="174">
        <v>160</v>
      </c>
      <c r="G177" s="175">
        <f t="shared" si="62"/>
        <v>46726.400000000001</v>
      </c>
      <c r="H177" s="167">
        <v>0</v>
      </c>
      <c r="I177" s="168">
        <f t="shared" si="63"/>
        <v>0</v>
      </c>
      <c r="J177" s="167">
        <f>VLOOKUP(A177,'12 - CORPO'!$A:$U,18,FALSE)</f>
        <v>0</v>
      </c>
      <c r="K177" s="169">
        <f t="shared" si="64"/>
        <v>0</v>
      </c>
      <c r="L177" s="167">
        <f t="shared" si="65"/>
        <v>0</v>
      </c>
      <c r="M177" s="166">
        <f t="shared" si="66"/>
        <v>0</v>
      </c>
      <c r="N177" s="1023">
        <f t="shared" si="61"/>
        <v>0</v>
      </c>
      <c r="O177" s="983">
        <v>46726.400000000001</v>
      </c>
      <c r="P177" s="981">
        <f t="shared" si="53"/>
        <v>0</v>
      </c>
    </row>
    <row r="178" spans="1:16" outlineLevel="1" x14ac:dyDescent="0.25">
      <c r="A178" s="170" t="s">
        <v>169</v>
      </c>
      <c r="B178" s="170" t="s">
        <v>444</v>
      </c>
      <c r="C178" s="171" t="s">
        <v>445</v>
      </c>
      <c r="D178" s="172" t="s">
        <v>317</v>
      </c>
      <c r="E178" s="173">
        <v>58.73</v>
      </c>
      <c r="F178" s="174">
        <v>8</v>
      </c>
      <c r="G178" s="175">
        <f t="shared" si="62"/>
        <v>469.84</v>
      </c>
      <c r="H178" s="167">
        <v>0</v>
      </c>
      <c r="I178" s="168">
        <f t="shared" si="63"/>
        <v>0</v>
      </c>
      <c r="J178" s="167">
        <f>VLOOKUP(A178,'12 - CORPO'!$A:$U,18,FALSE)</f>
        <v>0</v>
      </c>
      <c r="K178" s="169">
        <f t="shared" si="64"/>
        <v>0</v>
      </c>
      <c r="L178" s="167">
        <f t="shared" si="65"/>
        <v>0</v>
      </c>
      <c r="M178" s="166">
        <f t="shared" si="66"/>
        <v>0</v>
      </c>
      <c r="N178" s="1023">
        <f t="shared" si="61"/>
        <v>0</v>
      </c>
      <c r="O178" s="983">
        <v>469.84</v>
      </c>
      <c r="P178" s="981">
        <f t="shared" si="53"/>
        <v>0</v>
      </c>
    </row>
    <row r="179" spans="1:16" ht="25.5" outlineLevel="1" x14ac:dyDescent="0.25">
      <c r="A179" s="170" t="s">
        <v>170</v>
      </c>
      <c r="B179" s="170">
        <v>96619</v>
      </c>
      <c r="C179" s="171" t="s">
        <v>433</v>
      </c>
      <c r="D179" s="172" t="s">
        <v>308</v>
      </c>
      <c r="E179" s="173">
        <v>30.05</v>
      </c>
      <c r="F179" s="174">
        <v>3.5</v>
      </c>
      <c r="G179" s="175">
        <f>TRUNC(F179*E179,2)+0.01</f>
        <v>105.18</v>
      </c>
      <c r="H179" s="167">
        <v>3.5</v>
      </c>
      <c r="I179" s="168">
        <f t="shared" si="63"/>
        <v>105.18</v>
      </c>
      <c r="J179" s="167">
        <f>VLOOKUP(A179,'12 - CORPO'!$A:$U,18,FALSE)</f>
        <v>0</v>
      </c>
      <c r="K179" s="169">
        <f t="shared" si="64"/>
        <v>0</v>
      </c>
      <c r="L179" s="167">
        <f t="shared" si="65"/>
        <v>3.5</v>
      </c>
      <c r="M179" s="166">
        <f t="shared" si="66"/>
        <v>105.18</v>
      </c>
      <c r="N179" s="1023">
        <f t="shared" si="61"/>
        <v>1</v>
      </c>
      <c r="O179" s="983">
        <v>105.18</v>
      </c>
      <c r="P179" s="981">
        <f t="shared" si="53"/>
        <v>0</v>
      </c>
    </row>
    <row r="180" spans="1:16" ht="25.5" outlineLevel="1" x14ac:dyDescent="0.25">
      <c r="A180" s="170" t="s">
        <v>171</v>
      </c>
      <c r="B180" s="170">
        <v>96537</v>
      </c>
      <c r="C180" s="171" t="s">
        <v>434</v>
      </c>
      <c r="D180" s="172" t="s">
        <v>308</v>
      </c>
      <c r="E180" s="173">
        <v>207.19</v>
      </c>
      <c r="F180" s="174">
        <v>33</v>
      </c>
      <c r="G180" s="175">
        <f t="shared" si="62"/>
        <v>6837.27</v>
      </c>
      <c r="H180" s="167">
        <v>19.16</v>
      </c>
      <c r="I180" s="168">
        <f t="shared" si="63"/>
        <v>3969.76</v>
      </c>
      <c r="J180" s="167">
        <f>VLOOKUP(A180,'12 - CORPO'!$A:$U,18,FALSE)</f>
        <v>0</v>
      </c>
      <c r="K180" s="169">
        <f t="shared" si="64"/>
        <v>0</v>
      </c>
      <c r="L180" s="167">
        <f t="shared" si="65"/>
        <v>19.16</v>
      </c>
      <c r="M180" s="166">
        <f t="shared" si="66"/>
        <v>3969.76</v>
      </c>
      <c r="N180" s="1023">
        <f t="shared" si="61"/>
        <v>0.5806</v>
      </c>
      <c r="O180" s="983">
        <v>6837.27</v>
      </c>
      <c r="P180" s="981">
        <f t="shared" si="53"/>
        <v>0</v>
      </c>
    </row>
    <row r="181" spans="1:16" outlineLevel="1" x14ac:dyDescent="0.25">
      <c r="A181" s="170" t="s">
        <v>172</v>
      </c>
      <c r="B181" s="170">
        <v>407819</v>
      </c>
      <c r="C181" s="171" t="s">
        <v>327</v>
      </c>
      <c r="D181" s="172" t="s">
        <v>328</v>
      </c>
      <c r="E181" s="173">
        <v>13.36</v>
      </c>
      <c r="F181" s="174">
        <v>99</v>
      </c>
      <c r="G181" s="175">
        <f t="shared" si="62"/>
        <v>1322.64</v>
      </c>
      <c r="H181" s="167">
        <v>99</v>
      </c>
      <c r="I181" s="168">
        <f t="shared" si="63"/>
        <v>1322.64</v>
      </c>
      <c r="J181" s="167">
        <f>VLOOKUP(A181,'12 - CORPO'!$A:$U,18,FALSE)</f>
        <v>0</v>
      </c>
      <c r="K181" s="169">
        <f t="shared" si="64"/>
        <v>0</v>
      </c>
      <c r="L181" s="167">
        <f t="shared" si="65"/>
        <v>99</v>
      </c>
      <c r="M181" s="166">
        <f t="shared" si="66"/>
        <v>1322.64</v>
      </c>
      <c r="N181" s="1023">
        <f t="shared" si="61"/>
        <v>1</v>
      </c>
      <c r="O181" s="983">
        <v>1322.64</v>
      </c>
      <c r="P181" s="981">
        <f t="shared" si="53"/>
        <v>0</v>
      </c>
    </row>
    <row r="182" spans="1:16" ht="25.5" outlineLevel="1" x14ac:dyDescent="0.25">
      <c r="A182" s="170" t="s">
        <v>173</v>
      </c>
      <c r="B182" s="170">
        <v>407740</v>
      </c>
      <c r="C182" s="171" t="s">
        <v>435</v>
      </c>
      <c r="D182" s="172" t="s">
        <v>328</v>
      </c>
      <c r="E182" s="173">
        <v>15.33</v>
      </c>
      <c r="F182" s="174">
        <v>12.8</v>
      </c>
      <c r="G182" s="175">
        <f t="shared" si="62"/>
        <v>196.22</v>
      </c>
      <c r="H182" s="167">
        <v>12.8</v>
      </c>
      <c r="I182" s="168">
        <f t="shared" si="63"/>
        <v>196.22</v>
      </c>
      <c r="J182" s="167">
        <f>VLOOKUP(A182,'12 - CORPO'!$A:$U,18,FALSE)</f>
        <v>0</v>
      </c>
      <c r="K182" s="169">
        <f t="shared" si="64"/>
        <v>0</v>
      </c>
      <c r="L182" s="167">
        <f t="shared" si="65"/>
        <v>12.8</v>
      </c>
      <c r="M182" s="166">
        <f t="shared" si="66"/>
        <v>196.22</v>
      </c>
      <c r="N182" s="1023">
        <f t="shared" si="61"/>
        <v>1</v>
      </c>
      <c r="O182" s="983">
        <v>196.22</v>
      </c>
      <c r="P182" s="981">
        <f t="shared" si="53"/>
        <v>0</v>
      </c>
    </row>
    <row r="183" spans="1:16" ht="38.25" outlineLevel="1" x14ac:dyDescent="0.25">
      <c r="A183" s="170" t="s">
        <v>174</v>
      </c>
      <c r="B183" s="170">
        <v>100764</v>
      </c>
      <c r="C183" s="171" t="s">
        <v>436</v>
      </c>
      <c r="D183" s="172" t="s">
        <v>328</v>
      </c>
      <c r="E183" s="173">
        <v>28.29</v>
      </c>
      <c r="F183" s="174">
        <v>3285.64</v>
      </c>
      <c r="G183" s="175">
        <f>TRUNC(F183*E183,2)+0.01</f>
        <v>92950.76</v>
      </c>
      <c r="H183" s="167">
        <v>3285.64</v>
      </c>
      <c r="I183" s="168">
        <f t="shared" si="63"/>
        <v>92950.76</v>
      </c>
      <c r="J183" s="167">
        <f>VLOOKUP(A183,'12 - CORPO'!$A:$U,18,FALSE)</f>
        <v>0</v>
      </c>
      <c r="K183" s="169">
        <f t="shared" si="64"/>
        <v>0</v>
      </c>
      <c r="L183" s="167">
        <f t="shared" si="65"/>
        <v>3285.64</v>
      </c>
      <c r="M183" s="166">
        <f t="shared" si="66"/>
        <v>92950.76</v>
      </c>
      <c r="N183" s="1023">
        <f t="shared" si="61"/>
        <v>1</v>
      </c>
      <c r="O183" s="983">
        <v>92950.76</v>
      </c>
      <c r="P183" s="981">
        <f t="shared" si="53"/>
        <v>0</v>
      </c>
    </row>
    <row r="184" spans="1:16" ht="25.5" outlineLevel="1" x14ac:dyDescent="0.25">
      <c r="A184" s="170" t="s">
        <v>175</v>
      </c>
      <c r="B184" s="170" t="s">
        <v>437</v>
      </c>
      <c r="C184" s="171" t="s">
        <v>438</v>
      </c>
      <c r="D184" s="172" t="s">
        <v>301</v>
      </c>
      <c r="E184" s="173">
        <v>756.05658567774935</v>
      </c>
      <c r="F184" s="174">
        <v>78.599999999999994</v>
      </c>
      <c r="G184" s="175">
        <f t="shared" si="62"/>
        <v>59426.04</v>
      </c>
      <c r="H184" s="167">
        <v>62.56</v>
      </c>
      <c r="I184" s="168">
        <f t="shared" si="63"/>
        <v>47298.9</v>
      </c>
      <c r="J184" s="167">
        <f>VLOOKUP(A184,'12 - CORPO'!$A:$U,18,FALSE)</f>
        <v>16.039999999999992</v>
      </c>
      <c r="K184" s="169">
        <f t="shared" si="64"/>
        <v>12127.150000000001</v>
      </c>
      <c r="L184" s="167">
        <f t="shared" si="65"/>
        <v>78.599999999999994</v>
      </c>
      <c r="M184" s="166">
        <f t="shared" si="66"/>
        <v>59426.05</v>
      </c>
      <c r="N184" s="1023">
        <f t="shared" si="61"/>
        <v>1</v>
      </c>
      <c r="O184" s="983">
        <v>59426.32</v>
      </c>
      <c r="P184" s="981">
        <f t="shared" si="53"/>
        <v>-0.27999999999883585</v>
      </c>
    </row>
    <row r="185" spans="1:16" ht="25.5" outlineLevel="1" x14ac:dyDescent="0.25">
      <c r="A185" s="170" t="s">
        <v>176</v>
      </c>
      <c r="B185" s="170" t="s">
        <v>439</v>
      </c>
      <c r="C185" s="171" t="s">
        <v>440</v>
      </c>
      <c r="D185" s="172" t="s">
        <v>308</v>
      </c>
      <c r="E185" s="173">
        <v>159.71</v>
      </c>
      <c r="F185" s="174">
        <v>28</v>
      </c>
      <c r="G185" s="175">
        <f t="shared" si="62"/>
        <v>4471.88</v>
      </c>
      <c r="H185" s="167">
        <v>2.8</v>
      </c>
      <c r="I185" s="168">
        <f t="shared" si="63"/>
        <v>447.19</v>
      </c>
      <c r="J185" s="167">
        <f>VLOOKUP(A185,'12 - CORPO'!$A:$U,18,FALSE)</f>
        <v>0</v>
      </c>
      <c r="K185" s="169">
        <f t="shared" si="64"/>
        <v>0</v>
      </c>
      <c r="L185" s="167">
        <f t="shared" si="65"/>
        <v>2.8</v>
      </c>
      <c r="M185" s="166">
        <f t="shared" si="66"/>
        <v>447.19</v>
      </c>
      <c r="N185" s="1023">
        <f t="shared" si="61"/>
        <v>0.1</v>
      </c>
      <c r="O185" s="983">
        <v>4471.88</v>
      </c>
      <c r="P185" s="981">
        <f t="shared" si="53"/>
        <v>0</v>
      </c>
    </row>
    <row r="186" spans="1:16" ht="25.5" outlineLevel="1" x14ac:dyDescent="0.25">
      <c r="A186" s="170" t="s">
        <v>177</v>
      </c>
      <c r="B186" s="170">
        <v>1106280</v>
      </c>
      <c r="C186" s="171" t="s">
        <v>322</v>
      </c>
      <c r="D186" s="172" t="s">
        <v>323</v>
      </c>
      <c r="E186" s="173">
        <v>363.28</v>
      </c>
      <c r="F186" s="174">
        <v>10.5</v>
      </c>
      <c r="G186" s="175">
        <f t="shared" si="62"/>
        <v>3814.44</v>
      </c>
      <c r="H186" s="167">
        <v>10.459</v>
      </c>
      <c r="I186" s="168">
        <f t="shared" si="63"/>
        <v>3799.55</v>
      </c>
      <c r="J186" s="167">
        <f>VLOOKUP(A186,'12 - CORPO'!$A:$U,18,FALSE)</f>
        <v>0</v>
      </c>
      <c r="K186" s="169">
        <f t="shared" si="64"/>
        <v>0</v>
      </c>
      <c r="L186" s="167">
        <f t="shared" si="65"/>
        <v>10.459</v>
      </c>
      <c r="M186" s="166">
        <f t="shared" si="66"/>
        <v>3799.55</v>
      </c>
      <c r="N186" s="1023">
        <f t="shared" si="61"/>
        <v>0.99609999999999999</v>
      </c>
      <c r="O186" s="983">
        <v>3814.44</v>
      </c>
      <c r="P186" s="981">
        <f t="shared" si="53"/>
        <v>0</v>
      </c>
    </row>
    <row r="187" spans="1:16" outlineLevel="1" x14ac:dyDescent="0.25">
      <c r="A187" s="170" t="s">
        <v>178</v>
      </c>
      <c r="B187" s="170">
        <v>25950</v>
      </c>
      <c r="C187" s="171" t="s">
        <v>324</v>
      </c>
      <c r="D187" s="172" t="s">
        <v>323</v>
      </c>
      <c r="E187" s="173">
        <v>40.520000000000003</v>
      </c>
      <c r="F187" s="174">
        <v>10.5</v>
      </c>
      <c r="G187" s="175">
        <f t="shared" si="62"/>
        <v>425.46</v>
      </c>
      <c r="H187" s="167">
        <v>10.459</v>
      </c>
      <c r="I187" s="168">
        <f t="shared" si="63"/>
        <v>423.8</v>
      </c>
      <c r="J187" s="167">
        <f>VLOOKUP(A187,'12 - CORPO'!$A:$U,18,FALSE)</f>
        <v>0</v>
      </c>
      <c r="K187" s="169">
        <f t="shared" si="64"/>
        <v>0</v>
      </c>
      <c r="L187" s="167">
        <f t="shared" si="65"/>
        <v>10.459</v>
      </c>
      <c r="M187" s="166">
        <f t="shared" si="66"/>
        <v>423.8</v>
      </c>
      <c r="N187" s="1023">
        <f t="shared" si="61"/>
        <v>0.99609999999999999</v>
      </c>
      <c r="O187" s="983">
        <v>425.46</v>
      </c>
      <c r="P187" s="981">
        <f t="shared" si="53"/>
        <v>0</v>
      </c>
    </row>
    <row r="188" spans="1:16" x14ac:dyDescent="0.25">
      <c r="A188" s="153" t="s">
        <v>179</v>
      </c>
      <c r="B188" s="154" t="s">
        <v>446</v>
      </c>
      <c r="C188" s="155"/>
      <c r="D188" s="155"/>
      <c r="E188" s="155"/>
      <c r="F188" s="156"/>
      <c r="G188" s="157">
        <f>SUBTOTAL(9,G189:G200)</f>
        <v>214940.9</v>
      </c>
      <c r="H188" s="155"/>
      <c r="I188" s="157">
        <f>SUBTOTAL(9,I189:I200)</f>
        <v>175227.69</v>
      </c>
      <c r="J188" s="155"/>
      <c r="K188" s="157">
        <f>SUBTOTAL(9,K189:K200)</f>
        <v>9065.1200000000026</v>
      </c>
      <c r="L188" s="155"/>
      <c r="M188" s="158">
        <f>SUBTOTAL(9,M189:M195)</f>
        <v>115221.51</v>
      </c>
      <c r="N188" s="152"/>
      <c r="O188" s="986"/>
      <c r="P188" s="981"/>
    </row>
    <row r="189" spans="1:16" outlineLevel="1" x14ac:dyDescent="0.25">
      <c r="A189" s="170" t="s">
        <v>180</v>
      </c>
      <c r="B189" s="170">
        <v>1600400</v>
      </c>
      <c r="C189" s="171" t="s">
        <v>428</v>
      </c>
      <c r="D189" s="172" t="s">
        <v>308</v>
      </c>
      <c r="E189" s="173">
        <v>4.9000000000000004</v>
      </c>
      <c r="F189" s="174">
        <v>360</v>
      </c>
      <c r="G189" s="175">
        <f t="shared" ref="G189:G200" si="67">TRUNC(F189*E189,2)</f>
        <v>1764</v>
      </c>
      <c r="H189" s="167">
        <v>358.6</v>
      </c>
      <c r="I189" s="168">
        <f t="shared" ref="I189:I200" si="68">ROUND((E189*H189),2)</f>
        <v>1757.14</v>
      </c>
      <c r="J189" s="167">
        <f>VLOOKUP(A189,'12 - CORPO'!$A:$U,18,FALSE)</f>
        <v>0</v>
      </c>
      <c r="K189" s="169">
        <f t="shared" ref="K189:K200" si="69">M189-I189</f>
        <v>0</v>
      </c>
      <c r="L189" s="167">
        <f t="shared" ref="L189:L200" si="70">(H189+J189)</f>
        <v>358.6</v>
      </c>
      <c r="M189" s="166">
        <f t="shared" ref="M189:M200" si="71">ROUND((E189*L189),2)</f>
        <v>1757.14</v>
      </c>
      <c r="N189" s="1023">
        <f t="shared" si="61"/>
        <v>0.99609999999999999</v>
      </c>
      <c r="O189" s="983">
        <v>1764</v>
      </c>
      <c r="P189" s="981">
        <f t="shared" si="53"/>
        <v>0</v>
      </c>
    </row>
    <row r="190" spans="1:16" outlineLevel="1" x14ac:dyDescent="0.25">
      <c r="A190" s="170" t="s">
        <v>181</v>
      </c>
      <c r="B190" s="170">
        <v>2306113</v>
      </c>
      <c r="C190" s="171" t="s">
        <v>443</v>
      </c>
      <c r="D190" s="172" t="s">
        <v>301</v>
      </c>
      <c r="E190" s="173">
        <v>292.04000000000002</v>
      </c>
      <c r="F190" s="174">
        <v>88</v>
      </c>
      <c r="G190" s="175">
        <f t="shared" si="67"/>
        <v>25699.52</v>
      </c>
      <c r="H190" s="167">
        <v>0</v>
      </c>
      <c r="I190" s="168">
        <f t="shared" si="68"/>
        <v>0</v>
      </c>
      <c r="J190" s="167">
        <f>VLOOKUP(A190,'12 - CORPO'!$A:$U,18,FALSE)</f>
        <v>0</v>
      </c>
      <c r="K190" s="169">
        <f t="shared" si="69"/>
        <v>0</v>
      </c>
      <c r="L190" s="167">
        <f t="shared" si="70"/>
        <v>0</v>
      </c>
      <c r="M190" s="166">
        <f t="shared" si="71"/>
        <v>0</v>
      </c>
      <c r="N190" s="1023">
        <f t="shared" si="61"/>
        <v>0</v>
      </c>
      <c r="O190" s="983">
        <v>25699.52</v>
      </c>
      <c r="P190" s="981">
        <f t="shared" si="53"/>
        <v>0</v>
      </c>
    </row>
    <row r="191" spans="1:16" outlineLevel="1" x14ac:dyDescent="0.25">
      <c r="A191" s="170" t="s">
        <v>182</v>
      </c>
      <c r="B191" s="170" t="s">
        <v>444</v>
      </c>
      <c r="C191" s="171" t="s">
        <v>445</v>
      </c>
      <c r="D191" s="172" t="s">
        <v>317</v>
      </c>
      <c r="E191" s="173">
        <v>58.73</v>
      </c>
      <c r="F191" s="174">
        <v>8</v>
      </c>
      <c r="G191" s="175">
        <f t="shared" si="67"/>
        <v>469.84</v>
      </c>
      <c r="H191" s="167">
        <v>0</v>
      </c>
      <c r="I191" s="168">
        <f t="shared" si="68"/>
        <v>0</v>
      </c>
      <c r="J191" s="167">
        <f>VLOOKUP(A191,'12 - CORPO'!$A:$U,18,FALSE)</f>
        <v>0</v>
      </c>
      <c r="K191" s="169">
        <f t="shared" si="69"/>
        <v>0</v>
      </c>
      <c r="L191" s="167">
        <f t="shared" si="70"/>
        <v>0</v>
      </c>
      <c r="M191" s="166">
        <f t="shared" si="71"/>
        <v>0</v>
      </c>
      <c r="N191" s="1023">
        <f t="shared" si="61"/>
        <v>0</v>
      </c>
      <c r="O191" s="983">
        <v>469.84</v>
      </c>
      <c r="P191" s="981">
        <f t="shared" si="53"/>
        <v>0</v>
      </c>
    </row>
    <row r="192" spans="1:16" ht="25.5" outlineLevel="1" x14ac:dyDescent="0.25">
      <c r="A192" s="170" t="s">
        <v>183</v>
      </c>
      <c r="B192" s="170">
        <v>96619</v>
      </c>
      <c r="C192" s="171" t="s">
        <v>433</v>
      </c>
      <c r="D192" s="172" t="s">
        <v>308</v>
      </c>
      <c r="E192" s="173">
        <v>30.05</v>
      </c>
      <c r="F192" s="174">
        <v>3.5</v>
      </c>
      <c r="G192" s="175">
        <f>TRUNC(F192*E192,2)+0.01</f>
        <v>105.18</v>
      </c>
      <c r="H192" s="167">
        <v>3.5</v>
      </c>
      <c r="I192" s="168">
        <f t="shared" si="68"/>
        <v>105.18</v>
      </c>
      <c r="J192" s="167">
        <f>VLOOKUP(A192,'12 - CORPO'!$A:$U,18,FALSE)</f>
        <v>0</v>
      </c>
      <c r="K192" s="169">
        <f t="shared" si="69"/>
        <v>0</v>
      </c>
      <c r="L192" s="167">
        <f t="shared" si="70"/>
        <v>3.5</v>
      </c>
      <c r="M192" s="166">
        <f t="shared" si="71"/>
        <v>105.18</v>
      </c>
      <c r="N192" s="1023">
        <f t="shared" si="61"/>
        <v>1</v>
      </c>
      <c r="O192" s="983">
        <v>105.18</v>
      </c>
      <c r="P192" s="981">
        <f t="shared" si="53"/>
        <v>0</v>
      </c>
    </row>
    <row r="193" spans="1:16" ht="25.5" outlineLevel="1" x14ac:dyDescent="0.25">
      <c r="A193" s="170" t="s">
        <v>184</v>
      </c>
      <c r="B193" s="170">
        <v>96537</v>
      </c>
      <c r="C193" s="171" t="s">
        <v>434</v>
      </c>
      <c r="D193" s="172" t="s">
        <v>308</v>
      </c>
      <c r="E193" s="173">
        <v>207.19</v>
      </c>
      <c r="F193" s="174">
        <v>33</v>
      </c>
      <c r="G193" s="175">
        <f t="shared" si="67"/>
        <v>6837.27</v>
      </c>
      <c r="H193" s="167">
        <v>33</v>
      </c>
      <c r="I193" s="168">
        <f t="shared" si="68"/>
        <v>6837.27</v>
      </c>
      <c r="J193" s="167">
        <f>VLOOKUP(A193,'12 - CORPO'!$A:$U,18,FALSE)</f>
        <v>0</v>
      </c>
      <c r="K193" s="169">
        <f t="shared" si="69"/>
        <v>0</v>
      </c>
      <c r="L193" s="167">
        <f t="shared" si="70"/>
        <v>33</v>
      </c>
      <c r="M193" s="166">
        <f t="shared" si="71"/>
        <v>6837.27</v>
      </c>
      <c r="N193" s="1023">
        <f t="shared" si="61"/>
        <v>1</v>
      </c>
      <c r="O193" s="983">
        <v>6837.27</v>
      </c>
      <c r="P193" s="981">
        <f t="shared" si="53"/>
        <v>0</v>
      </c>
    </row>
    <row r="194" spans="1:16" ht="25.5" outlineLevel="1" x14ac:dyDescent="0.25">
      <c r="A194" s="170" t="s">
        <v>185</v>
      </c>
      <c r="B194" s="170">
        <v>407740</v>
      </c>
      <c r="C194" s="171" t="s">
        <v>435</v>
      </c>
      <c r="D194" s="172" t="s">
        <v>328</v>
      </c>
      <c r="E194" s="173">
        <v>15.33</v>
      </c>
      <c r="F194" s="174">
        <v>12.8</v>
      </c>
      <c r="G194" s="175">
        <f t="shared" si="67"/>
        <v>196.22</v>
      </c>
      <c r="H194" s="167">
        <v>12.8</v>
      </c>
      <c r="I194" s="168">
        <f t="shared" si="68"/>
        <v>196.22</v>
      </c>
      <c r="J194" s="167">
        <f>VLOOKUP(A194,'12 - CORPO'!$A:$U,18,FALSE)</f>
        <v>0</v>
      </c>
      <c r="K194" s="169">
        <f t="shared" si="69"/>
        <v>0</v>
      </c>
      <c r="L194" s="167">
        <f t="shared" si="70"/>
        <v>12.8</v>
      </c>
      <c r="M194" s="166">
        <f t="shared" si="71"/>
        <v>196.22</v>
      </c>
      <c r="N194" s="1023">
        <f t="shared" si="61"/>
        <v>1</v>
      </c>
      <c r="O194" s="983">
        <v>196.22</v>
      </c>
      <c r="P194" s="981">
        <f t="shared" si="53"/>
        <v>0</v>
      </c>
    </row>
    <row r="195" spans="1:16" ht="38.25" outlineLevel="1" x14ac:dyDescent="0.25">
      <c r="A195" s="170" t="s">
        <v>186</v>
      </c>
      <c r="B195" s="170">
        <v>100764</v>
      </c>
      <c r="C195" s="171" t="s">
        <v>436</v>
      </c>
      <c r="D195" s="172" t="s">
        <v>328</v>
      </c>
      <c r="E195" s="173">
        <v>28.29</v>
      </c>
      <c r="F195" s="174">
        <v>3758.42</v>
      </c>
      <c r="G195" s="175">
        <f t="shared" si="67"/>
        <v>106325.7</v>
      </c>
      <c r="H195" s="167">
        <v>3758.42</v>
      </c>
      <c r="I195" s="168">
        <f t="shared" si="68"/>
        <v>106325.7</v>
      </c>
      <c r="J195" s="167">
        <f>VLOOKUP(A195,'12 - CORPO'!$A:$U,18,FALSE)</f>
        <v>0</v>
      </c>
      <c r="K195" s="169">
        <f t="shared" si="69"/>
        <v>0</v>
      </c>
      <c r="L195" s="167">
        <f t="shared" si="70"/>
        <v>3758.42</v>
      </c>
      <c r="M195" s="166">
        <f t="shared" si="71"/>
        <v>106325.7</v>
      </c>
      <c r="N195" s="1023">
        <f t="shared" si="61"/>
        <v>1</v>
      </c>
      <c r="O195" s="983">
        <v>106325.7</v>
      </c>
      <c r="P195" s="981">
        <f t="shared" si="53"/>
        <v>0</v>
      </c>
    </row>
    <row r="196" spans="1:16" ht="25.5" outlineLevel="1" x14ac:dyDescent="0.25">
      <c r="A196" s="170" t="s">
        <v>187</v>
      </c>
      <c r="B196" s="170" t="s">
        <v>437</v>
      </c>
      <c r="C196" s="171" t="s">
        <v>438</v>
      </c>
      <c r="D196" s="172" t="s">
        <v>301</v>
      </c>
      <c r="E196" s="173">
        <v>756.05665879738922</v>
      </c>
      <c r="F196" s="174">
        <v>84</v>
      </c>
      <c r="G196" s="175">
        <f t="shared" si="67"/>
        <v>63508.75</v>
      </c>
      <c r="H196" s="167">
        <v>72.010000000000005</v>
      </c>
      <c r="I196" s="168">
        <f t="shared" si="68"/>
        <v>54443.64</v>
      </c>
      <c r="J196" s="754">
        <f>VLOOKUP(A196,'12 - CORPO'!$A:$U,18,FALSE)</f>
        <v>11.989999999999995</v>
      </c>
      <c r="K196" s="169">
        <f t="shared" si="69"/>
        <v>9065.1200000000026</v>
      </c>
      <c r="L196" s="167">
        <f t="shared" si="70"/>
        <v>84</v>
      </c>
      <c r="M196" s="166">
        <f t="shared" si="71"/>
        <v>63508.76</v>
      </c>
      <c r="N196" s="1023">
        <f t="shared" si="61"/>
        <v>1</v>
      </c>
      <c r="O196" s="983">
        <v>63509.04</v>
      </c>
      <c r="P196" s="981">
        <f t="shared" si="53"/>
        <v>-0.29000000000087311</v>
      </c>
    </row>
    <row r="197" spans="1:16" ht="25.5" outlineLevel="1" x14ac:dyDescent="0.25">
      <c r="A197" s="170" t="s">
        <v>188</v>
      </c>
      <c r="B197" s="170" t="s">
        <v>439</v>
      </c>
      <c r="C197" s="171" t="s">
        <v>440</v>
      </c>
      <c r="D197" s="172" t="s">
        <v>308</v>
      </c>
      <c r="E197" s="173">
        <v>159.71</v>
      </c>
      <c r="F197" s="174">
        <v>28</v>
      </c>
      <c r="G197" s="175">
        <f t="shared" si="67"/>
        <v>4471.88</v>
      </c>
      <c r="H197" s="167">
        <v>0</v>
      </c>
      <c r="I197" s="168">
        <f t="shared" si="68"/>
        <v>0</v>
      </c>
      <c r="J197" s="167">
        <f>VLOOKUP(A197,'12 - CORPO'!$A:$U,18,FALSE)</f>
        <v>0</v>
      </c>
      <c r="K197" s="169">
        <f t="shared" si="69"/>
        <v>0</v>
      </c>
      <c r="L197" s="167">
        <f t="shared" si="70"/>
        <v>0</v>
      </c>
      <c r="M197" s="166">
        <f t="shared" si="71"/>
        <v>0</v>
      </c>
      <c r="N197" s="1023">
        <f t="shared" si="61"/>
        <v>0</v>
      </c>
      <c r="O197" s="983">
        <v>4471.88</v>
      </c>
      <c r="P197" s="981">
        <f t="shared" si="53"/>
        <v>0</v>
      </c>
    </row>
    <row r="198" spans="1:16" outlineLevel="1" x14ac:dyDescent="0.25">
      <c r="A198" s="170" t="s">
        <v>189</v>
      </c>
      <c r="B198" s="170">
        <v>407819</v>
      </c>
      <c r="C198" s="171" t="s">
        <v>327</v>
      </c>
      <c r="D198" s="172" t="s">
        <v>328</v>
      </c>
      <c r="E198" s="173">
        <v>13.36</v>
      </c>
      <c r="F198" s="174">
        <v>99</v>
      </c>
      <c r="G198" s="175">
        <f t="shared" si="67"/>
        <v>1322.64</v>
      </c>
      <c r="H198" s="167">
        <v>99</v>
      </c>
      <c r="I198" s="168">
        <f t="shared" si="68"/>
        <v>1322.64</v>
      </c>
      <c r="J198" s="167">
        <f>VLOOKUP(A198,'12 - CORPO'!$A:$U,18,FALSE)</f>
        <v>0</v>
      </c>
      <c r="K198" s="169">
        <f t="shared" si="69"/>
        <v>0</v>
      </c>
      <c r="L198" s="167">
        <f t="shared" si="70"/>
        <v>99</v>
      </c>
      <c r="M198" s="166">
        <f t="shared" si="71"/>
        <v>1322.64</v>
      </c>
      <c r="N198" s="1023">
        <f t="shared" si="61"/>
        <v>1</v>
      </c>
      <c r="O198" s="983">
        <v>1322.64</v>
      </c>
      <c r="P198" s="981">
        <f t="shared" si="53"/>
        <v>0</v>
      </c>
    </row>
    <row r="199" spans="1:16" ht="25.5" outlineLevel="1" x14ac:dyDescent="0.25">
      <c r="A199" s="170" t="s">
        <v>190</v>
      </c>
      <c r="B199" s="170">
        <v>1106280</v>
      </c>
      <c r="C199" s="171" t="s">
        <v>322</v>
      </c>
      <c r="D199" s="172" t="s">
        <v>323</v>
      </c>
      <c r="E199" s="173">
        <v>363.28</v>
      </c>
      <c r="F199" s="174">
        <v>10.5</v>
      </c>
      <c r="G199" s="175">
        <f t="shared" si="67"/>
        <v>3814.44</v>
      </c>
      <c r="H199" s="167">
        <v>10.5</v>
      </c>
      <c r="I199" s="168">
        <f t="shared" si="68"/>
        <v>3814.44</v>
      </c>
      <c r="J199" s="167">
        <f>VLOOKUP(A199,'12 - CORPO'!$A:$U,18,FALSE)</f>
        <v>0</v>
      </c>
      <c r="K199" s="169">
        <f t="shared" si="69"/>
        <v>0</v>
      </c>
      <c r="L199" s="167">
        <f t="shared" si="70"/>
        <v>10.5</v>
      </c>
      <c r="M199" s="166">
        <f t="shared" si="71"/>
        <v>3814.44</v>
      </c>
      <c r="N199" s="1023">
        <f t="shared" si="61"/>
        <v>1</v>
      </c>
      <c r="O199" s="983">
        <v>3814.44</v>
      </c>
      <c r="P199" s="981">
        <f t="shared" si="53"/>
        <v>0</v>
      </c>
    </row>
    <row r="200" spans="1:16" outlineLevel="1" x14ac:dyDescent="0.25">
      <c r="A200" s="181" t="s">
        <v>191</v>
      </c>
      <c r="B200" s="181">
        <v>25950</v>
      </c>
      <c r="C200" s="182" t="s">
        <v>324</v>
      </c>
      <c r="D200" s="183" t="s">
        <v>325</v>
      </c>
      <c r="E200" s="184">
        <v>40.520000000000003</v>
      </c>
      <c r="F200" s="185">
        <v>10.5</v>
      </c>
      <c r="G200" s="186">
        <f t="shared" si="67"/>
        <v>425.46</v>
      </c>
      <c r="H200" s="187">
        <v>10.5</v>
      </c>
      <c r="I200" s="188">
        <f t="shared" si="68"/>
        <v>425.46</v>
      </c>
      <c r="J200" s="187">
        <f>VLOOKUP(A200,'12 - CORPO'!$A:$U,18,FALSE)</f>
        <v>0</v>
      </c>
      <c r="K200" s="189">
        <f t="shared" si="69"/>
        <v>0</v>
      </c>
      <c r="L200" s="187">
        <f t="shared" si="70"/>
        <v>10.5</v>
      </c>
      <c r="M200" s="186">
        <f t="shared" si="71"/>
        <v>425.46</v>
      </c>
      <c r="N200" s="1023">
        <f t="shared" si="61"/>
        <v>1</v>
      </c>
      <c r="O200" s="983">
        <v>425.46</v>
      </c>
      <c r="P200" s="981">
        <f t="shared" si="53"/>
        <v>0</v>
      </c>
    </row>
    <row r="201" spans="1:16" x14ac:dyDescent="0.25">
      <c r="A201" s="190" t="s">
        <v>192</v>
      </c>
      <c r="B201" s="191" t="s">
        <v>447</v>
      </c>
      <c r="C201" s="192"/>
      <c r="D201" s="192"/>
      <c r="E201" s="192"/>
      <c r="F201" s="193"/>
      <c r="G201" s="194">
        <f>SUBTOTAL(9,G202:G214)</f>
        <v>184865.69</v>
      </c>
      <c r="H201" s="192"/>
      <c r="I201" s="194">
        <f>SUBTOTAL(9,I202:I214)</f>
        <v>107716.32999999999</v>
      </c>
      <c r="J201" s="192"/>
      <c r="K201" s="194">
        <f>SUBTOTAL(9,K202:K214)</f>
        <v>0</v>
      </c>
      <c r="L201" s="192"/>
      <c r="M201" s="195">
        <f>SUBTOTAL(9,M202:M207)</f>
        <v>5707.79</v>
      </c>
      <c r="N201" s="152"/>
      <c r="O201" s="986"/>
      <c r="P201" s="981"/>
    </row>
    <row r="202" spans="1:16" outlineLevel="1" x14ac:dyDescent="0.25">
      <c r="A202" s="170" t="s">
        <v>193</v>
      </c>
      <c r="B202" s="170">
        <v>1600400</v>
      </c>
      <c r="C202" s="171" t="s">
        <v>428</v>
      </c>
      <c r="D202" s="172" t="s">
        <v>308</v>
      </c>
      <c r="E202" s="173">
        <v>4.9000000000000004</v>
      </c>
      <c r="F202" s="174">
        <v>340</v>
      </c>
      <c r="G202" s="175">
        <f t="shared" ref="G202:G214" si="72">TRUNC(F202*E202,2)</f>
        <v>1666</v>
      </c>
      <c r="H202" s="167">
        <v>340</v>
      </c>
      <c r="I202" s="168">
        <f t="shared" ref="I202:I214" si="73">ROUND((E202*H202),2)</f>
        <v>1666</v>
      </c>
      <c r="J202" s="167">
        <f>VLOOKUP(A202,'12 - CORPO'!$A:$U,18,FALSE)</f>
        <v>0</v>
      </c>
      <c r="K202" s="169">
        <f t="shared" ref="K202:K214" si="74">M202-I202</f>
        <v>0</v>
      </c>
      <c r="L202" s="167">
        <f t="shared" ref="L202:L214" si="75">(H202+J202)</f>
        <v>340</v>
      </c>
      <c r="M202" s="166">
        <f t="shared" ref="M202:M214" si="76">ROUND((E202*L202),2)</f>
        <v>1666</v>
      </c>
      <c r="N202" s="1023">
        <f t="shared" si="61"/>
        <v>1</v>
      </c>
      <c r="O202" s="983">
        <v>1666</v>
      </c>
      <c r="P202" s="981">
        <f t="shared" si="53"/>
        <v>0</v>
      </c>
    </row>
    <row r="203" spans="1:16" ht="38.25" outlineLevel="1" x14ac:dyDescent="0.25">
      <c r="A203" s="170" t="s">
        <v>194</v>
      </c>
      <c r="B203" s="170">
        <v>93225</v>
      </c>
      <c r="C203" s="171" t="s">
        <v>429</v>
      </c>
      <c r="D203" s="172" t="s">
        <v>430</v>
      </c>
      <c r="E203" s="173">
        <v>518.76</v>
      </c>
      <c r="F203" s="174">
        <v>24</v>
      </c>
      <c r="G203" s="175">
        <f t="shared" si="72"/>
        <v>12450.24</v>
      </c>
      <c r="H203" s="167">
        <v>0</v>
      </c>
      <c r="I203" s="168">
        <f t="shared" si="73"/>
        <v>0</v>
      </c>
      <c r="J203" s="167">
        <f>VLOOKUP(A203,'12 - CORPO'!$A:$U,18,FALSE)</f>
        <v>0</v>
      </c>
      <c r="K203" s="169">
        <f t="shared" si="74"/>
        <v>0</v>
      </c>
      <c r="L203" s="167">
        <f t="shared" si="75"/>
        <v>0</v>
      </c>
      <c r="M203" s="166">
        <f t="shared" si="76"/>
        <v>0</v>
      </c>
      <c r="N203" s="1023">
        <f t="shared" si="61"/>
        <v>0</v>
      </c>
      <c r="O203" s="983">
        <v>12450.24</v>
      </c>
      <c r="P203" s="981">
        <f t="shared" si="53"/>
        <v>0</v>
      </c>
    </row>
    <row r="204" spans="1:16" ht="25.5" outlineLevel="1" x14ac:dyDescent="0.25">
      <c r="A204" s="170" t="s">
        <v>195</v>
      </c>
      <c r="B204" s="170">
        <v>100651</v>
      </c>
      <c r="C204" s="171" t="s">
        <v>431</v>
      </c>
      <c r="D204" s="172" t="s">
        <v>301</v>
      </c>
      <c r="E204" s="173">
        <v>145.58000000000001</v>
      </c>
      <c r="F204" s="174">
        <v>72</v>
      </c>
      <c r="G204" s="175">
        <f t="shared" si="72"/>
        <v>10481.76</v>
      </c>
      <c r="H204" s="167">
        <v>0</v>
      </c>
      <c r="I204" s="168">
        <f t="shared" si="73"/>
        <v>0</v>
      </c>
      <c r="J204" s="167">
        <f>VLOOKUP(A204,'12 - CORPO'!$A:$U,18,FALSE)</f>
        <v>0</v>
      </c>
      <c r="K204" s="169">
        <f t="shared" si="74"/>
        <v>0</v>
      </c>
      <c r="L204" s="167">
        <f t="shared" si="75"/>
        <v>0</v>
      </c>
      <c r="M204" s="166">
        <f t="shared" si="76"/>
        <v>0</v>
      </c>
      <c r="N204" s="1023">
        <f t="shared" si="61"/>
        <v>0</v>
      </c>
      <c r="O204" s="983">
        <v>10481.76</v>
      </c>
      <c r="P204" s="981">
        <f t="shared" si="53"/>
        <v>0</v>
      </c>
    </row>
    <row r="205" spans="1:16" ht="25.5" outlineLevel="1" x14ac:dyDescent="0.25">
      <c r="A205" s="170" t="s">
        <v>196</v>
      </c>
      <c r="B205" s="170">
        <v>95601</v>
      </c>
      <c r="C205" s="171" t="s">
        <v>432</v>
      </c>
      <c r="D205" s="172" t="s">
        <v>317</v>
      </c>
      <c r="E205" s="173">
        <v>15.6</v>
      </c>
      <c r="F205" s="174">
        <v>8</v>
      </c>
      <c r="G205" s="175">
        <f t="shared" si="72"/>
        <v>124.8</v>
      </c>
      <c r="H205" s="167">
        <v>0</v>
      </c>
      <c r="I205" s="168">
        <f t="shared" si="73"/>
        <v>0</v>
      </c>
      <c r="J205" s="167">
        <f>VLOOKUP(A205,'12 - CORPO'!$A:$U,18,FALSE)</f>
        <v>0</v>
      </c>
      <c r="K205" s="169">
        <f t="shared" si="74"/>
        <v>0</v>
      </c>
      <c r="L205" s="167">
        <f t="shared" si="75"/>
        <v>0</v>
      </c>
      <c r="M205" s="166">
        <f t="shared" si="76"/>
        <v>0</v>
      </c>
      <c r="N205" s="1023">
        <f t="shared" si="61"/>
        <v>0</v>
      </c>
      <c r="O205" s="983">
        <v>124.8</v>
      </c>
      <c r="P205" s="981">
        <f t="shared" si="53"/>
        <v>0</v>
      </c>
    </row>
    <row r="206" spans="1:16" ht="25.5" outlineLevel="1" x14ac:dyDescent="0.25">
      <c r="A206" s="170" t="s">
        <v>197</v>
      </c>
      <c r="B206" s="170">
        <v>96619</v>
      </c>
      <c r="C206" s="171" t="s">
        <v>433</v>
      </c>
      <c r="D206" s="172" t="s">
        <v>308</v>
      </c>
      <c r="E206" s="173">
        <v>30.05</v>
      </c>
      <c r="F206" s="174">
        <v>3.5</v>
      </c>
      <c r="G206" s="175">
        <f>TRUNC(F206*E206,2)+0.01</f>
        <v>105.18</v>
      </c>
      <c r="H206" s="167">
        <v>3.5</v>
      </c>
      <c r="I206" s="168">
        <f t="shared" si="73"/>
        <v>105.18</v>
      </c>
      <c r="J206" s="167">
        <f>VLOOKUP(A206,'12 - CORPO'!$A:$U,18,FALSE)</f>
        <v>0</v>
      </c>
      <c r="K206" s="169">
        <f t="shared" si="74"/>
        <v>0</v>
      </c>
      <c r="L206" s="167">
        <f t="shared" si="75"/>
        <v>3.5</v>
      </c>
      <c r="M206" s="166">
        <f t="shared" si="76"/>
        <v>105.18</v>
      </c>
      <c r="N206" s="1023">
        <f t="shared" si="61"/>
        <v>1</v>
      </c>
      <c r="O206" s="983">
        <v>105.18</v>
      </c>
      <c r="P206" s="981">
        <f t="shared" si="53"/>
        <v>0</v>
      </c>
    </row>
    <row r="207" spans="1:16" ht="25.5" outlineLevel="1" x14ac:dyDescent="0.25">
      <c r="A207" s="170" t="s">
        <v>198</v>
      </c>
      <c r="B207" s="170">
        <v>96537</v>
      </c>
      <c r="C207" s="171" t="s">
        <v>434</v>
      </c>
      <c r="D207" s="172" t="s">
        <v>308</v>
      </c>
      <c r="E207" s="173">
        <v>207.19</v>
      </c>
      <c r="F207" s="174">
        <v>19</v>
      </c>
      <c r="G207" s="175">
        <f t="shared" si="72"/>
        <v>3936.61</v>
      </c>
      <c r="H207" s="167">
        <v>19</v>
      </c>
      <c r="I207" s="168">
        <f t="shared" si="73"/>
        <v>3936.61</v>
      </c>
      <c r="J207" s="167">
        <f>VLOOKUP(A207,'12 - CORPO'!$A:$U,18,FALSE)</f>
        <v>0</v>
      </c>
      <c r="K207" s="169">
        <f t="shared" si="74"/>
        <v>0</v>
      </c>
      <c r="L207" s="167">
        <f t="shared" si="75"/>
        <v>19</v>
      </c>
      <c r="M207" s="166">
        <f t="shared" si="76"/>
        <v>3936.61</v>
      </c>
      <c r="N207" s="1023">
        <f t="shared" si="61"/>
        <v>1</v>
      </c>
      <c r="O207" s="983">
        <v>3936.61</v>
      </c>
      <c r="P207" s="981">
        <f t="shared" si="53"/>
        <v>0</v>
      </c>
    </row>
    <row r="208" spans="1:16" ht="25.5" outlineLevel="1" x14ac:dyDescent="0.25">
      <c r="A208" s="170" t="s">
        <v>199</v>
      </c>
      <c r="B208" s="170">
        <v>407740</v>
      </c>
      <c r="C208" s="171" t="s">
        <v>435</v>
      </c>
      <c r="D208" s="172" t="s">
        <v>328</v>
      </c>
      <c r="E208" s="173">
        <v>15.33</v>
      </c>
      <c r="F208" s="174">
        <v>12.8</v>
      </c>
      <c r="G208" s="175">
        <f t="shared" si="72"/>
        <v>196.22</v>
      </c>
      <c r="H208" s="167">
        <v>12.8</v>
      </c>
      <c r="I208" s="168">
        <f t="shared" si="73"/>
        <v>196.22</v>
      </c>
      <c r="J208" s="167">
        <f>VLOOKUP(A208,'12 - CORPO'!$A:$U,18,FALSE)</f>
        <v>0</v>
      </c>
      <c r="K208" s="169">
        <f t="shared" si="74"/>
        <v>0</v>
      </c>
      <c r="L208" s="167">
        <f t="shared" si="75"/>
        <v>12.8</v>
      </c>
      <c r="M208" s="166">
        <f t="shared" si="76"/>
        <v>196.22</v>
      </c>
      <c r="N208" s="1023">
        <f t="shared" si="61"/>
        <v>1</v>
      </c>
      <c r="O208" s="983">
        <v>196.22</v>
      </c>
      <c r="P208" s="981">
        <f t="shared" si="53"/>
        <v>0</v>
      </c>
    </row>
    <row r="209" spans="1:16" ht="38.25" outlineLevel="1" x14ac:dyDescent="0.25">
      <c r="A209" s="170" t="s">
        <v>200</v>
      </c>
      <c r="B209" s="170">
        <v>100764</v>
      </c>
      <c r="C209" s="171" t="s">
        <v>436</v>
      </c>
      <c r="D209" s="172" t="s">
        <v>328</v>
      </c>
      <c r="E209" s="173">
        <v>28.29</v>
      </c>
      <c r="F209" s="174">
        <v>3285.64</v>
      </c>
      <c r="G209" s="175">
        <f>TRUNC(F209*E209,2)+0.01</f>
        <v>92950.76</v>
      </c>
      <c r="H209" s="167">
        <v>2761</v>
      </c>
      <c r="I209" s="168">
        <f t="shared" si="73"/>
        <v>78108.69</v>
      </c>
      <c r="J209" s="167">
        <f>VLOOKUP(A209,'12 - CORPO'!$A:$U,18,FALSE)</f>
        <v>0</v>
      </c>
      <c r="K209" s="169">
        <f t="shared" si="74"/>
        <v>0</v>
      </c>
      <c r="L209" s="167">
        <f t="shared" si="75"/>
        <v>2761</v>
      </c>
      <c r="M209" s="166">
        <f t="shared" si="76"/>
        <v>78108.69</v>
      </c>
      <c r="N209" s="1023">
        <f t="shared" si="61"/>
        <v>0.84030000000000005</v>
      </c>
      <c r="O209" s="983">
        <v>92950.76</v>
      </c>
      <c r="P209" s="981">
        <f t="shared" si="53"/>
        <v>0</v>
      </c>
    </row>
    <row r="210" spans="1:16" ht="25.5" outlineLevel="1" x14ac:dyDescent="0.25">
      <c r="A210" s="170" t="s">
        <v>201</v>
      </c>
      <c r="B210" s="170" t="s">
        <v>437</v>
      </c>
      <c r="C210" s="171" t="s">
        <v>438</v>
      </c>
      <c r="D210" s="172" t="s">
        <v>301</v>
      </c>
      <c r="E210" s="173">
        <v>756.05678571428575</v>
      </c>
      <c r="F210" s="174">
        <v>74</v>
      </c>
      <c r="G210" s="175">
        <f t="shared" si="72"/>
        <v>55948.2</v>
      </c>
      <c r="H210" s="167">
        <v>28</v>
      </c>
      <c r="I210" s="168">
        <f t="shared" si="73"/>
        <v>21169.59</v>
      </c>
      <c r="J210" s="167">
        <f>VLOOKUP(A210,'12 - CORPO'!$A:$U,18,FALSE)</f>
        <v>0</v>
      </c>
      <c r="K210" s="169">
        <f t="shared" si="74"/>
        <v>0</v>
      </c>
      <c r="L210" s="167">
        <f t="shared" si="75"/>
        <v>28</v>
      </c>
      <c r="M210" s="166">
        <f t="shared" si="76"/>
        <v>21169.59</v>
      </c>
      <c r="N210" s="1023">
        <f t="shared" si="61"/>
        <v>0.37840000000000001</v>
      </c>
      <c r="O210" s="983">
        <v>55948.44</v>
      </c>
      <c r="P210" s="981">
        <f t="shared" ref="P210:P273" si="77">G210-O210</f>
        <v>-0.24000000000523869</v>
      </c>
    </row>
    <row r="211" spans="1:16" ht="25.5" outlineLevel="1" x14ac:dyDescent="0.25">
      <c r="A211" s="170" t="s">
        <v>202</v>
      </c>
      <c r="B211" s="170" t="s">
        <v>439</v>
      </c>
      <c r="C211" s="171" t="s">
        <v>440</v>
      </c>
      <c r="D211" s="172" t="s">
        <v>308</v>
      </c>
      <c r="E211" s="173">
        <v>159.71</v>
      </c>
      <c r="F211" s="174">
        <v>28</v>
      </c>
      <c r="G211" s="175">
        <f t="shared" si="72"/>
        <v>4471.88</v>
      </c>
      <c r="H211" s="167">
        <v>0</v>
      </c>
      <c r="I211" s="168">
        <f t="shared" si="73"/>
        <v>0</v>
      </c>
      <c r="J211" s="167">
        <f>VLOOKUP(A211,'12 - CORPO'!$A:$U,18,FALSE)</f>
        <v>0</v>
      </c>
      <c r="K211" s="169">
        <f t="shared" si="74"/>
        <v>0</v>
      </c>
      <c r="L211" s="167">
        <f t="shared" si="75"/>
        <v>0</v>
      </c>
      <c r="M211" s="166">
        <f t="shared" si="76"/>
        <v>0</v>
      </c>
      <c r="N211" s="1023">
        <f t="shared" si="61"/>
        <v>0</v>
      </c>
      <c r="O211" s="983">
        <v>4471.88</v>
      </c>
      <c r="P211" s="981">
        <f t="shared" si="77"/>
        <v>0</v>
      </c>
    </row>
    <row r="212" spans="1:16" outlineLevel="1" x14ac:dyDescent="0.25">
      <c r="A212" s="170" t="s">
        <v>203</v>
      </c>
      <c r="B212" s="170">
        <v>407819</v>
      </c>
      <c r="C212" s="171" t="s">
        <v>327</v>
      </c>
      <c r="D212" s="172" t="s">
        <v>328</v>
      </c>
      <c r="E212" s="173">
        <v>13.36</v>
      </c>
      <c r="F212" s="174">
        <v>99</v>
      </c>
      <c r="G212" s="175">
        <f t="shared" si="72"/>
        <v>1322.64</v>
      </c>
      <c r="H212" s="167">
        <v>99</v>
      </c>
      <c r="I212" s="168">
        <f t="shared" si="73"/>
        <v>1322.64</v>
      </c>
      <c r="J212" s="167">
        <f>VLOOKUP(A212,'12 - CORPO'!$A:$U,18,FALSE)</f>
        <v>0</v>
      </c>
      <c r="K212" s="169">
        <f t="shared" si="74"/>
        <v>0</v>
      </c>
      <c r="L212" s="167">
        <f t="shared" si="75"/>
        <v>99</v>
      </c>
      <c r="M212" s="166">
        <f t="shared" si="76"/>
        <v>1322.64</v>
      </c>
      <c r="N212" s="1023">
        <f t="shared" si="61"/>
        <v>1</v>
      </c>
      <c r="O212" s="983">
        <v>1322.64</v>
      </c>
      <c r="P212" s="981">
        <f t="shared" si="77"/>
        <v>0</v>
      </c>
    </row>
    <row r="213" spans="1:16" ht="25.5" outlineLevel="1" x14ac:dyDescent="0.25">
      <c r="A213" s="170" t="s">
        <v>204</v>
      </c>
      <c r="B213" s="170">
        <v>1106280</v>
      </c>
      <c r="C213" s="171" t="s">
        <v>322</v>
      </c>
      <c r="D213" s="172" t="s">
        <v>323</v>
      </c>
      <c r="E213" s="173">
        <v>363.28</v>
      </c>
      <c r="F213" s="174">
        <v>3</v>
      </c>
      <c r="G213" s="175">
        <f t="shared" si="72"/>
        <v>1089.8399999999999</v>
      </c>
      <c r="H213" s="167">
        <v>3</v>
      </c>
      <c r="I213" s="168">
        <f t="shared" si="73"/>
        <v>1089.8399999999999</v>
      </c>
      <c r="J213" s="167">
        <f>VLOOKUP(A213,'12 - CORPO'!$A:$U,18,FALSE)</f>
        <v>0</v>
      </c>
      <c r="K213" s="169">
        <f t="shared" si="74"/>
        <v>0</v>
      </c>
      <c r="L213" s="167">
        <f t="shared" si="75"/>
        <v>3</v>
      </c>
      <c r="M213" s="166">
        <f t="shared" si="76"/>
        <v>1089.8399999999999</v>
      </c>
      <c r="N213" s="1023">
        <f t="shared" si="61"/>
        <v>1</v>
      </c>
      <c r="O213" s="983">
        <v>1089.8399999999999</v>
      </c>
      <c r="P213" s="981">
        <f t="shared" si="77"/>
        <v>0</v>
      </c>
    </row>
    <row r="214" spans="1:16" outlineLevel="1" x14ac:dyDescent="0.25">
      <c r="A214" s="170" t="s">
        <v>205</v>
      </c>
      <c r="B214" s="170">
        <v>25950</v>
      </c>
      <c r="C214" s="171" t="s">
        <v>324</v>
      </c>
      <c r="D214" s="172" t="s">
        <v>325</v>
      </c>
      <c r="E214" s="173">
        <v>40.520000000000003</v>
      </c>
      <c r="F214" s="174">
        <v>3</v>
      </c>
      <c r="G214" s="175">
        <f t="shared" si="72"/>
        <v>121.56</v>
      </c>
      <c r="H214" s="167">
        <v>3</v>
      </c>
      <c r="I214" s="168">
        <f t="shared" si="73"/>
        <v>121.56</v>
      </c>
      <c r="J214" s="167">
        <f>VLOOKUP(A214,'12 - CORPO'!$A:$U,18,FALSE)</f>
        <v>0</v>
      </c>
      <c r="K214" s="169">
        <f t="shared" si="74"/>
        <v>0</v>
      </c>
      <c r="L214" s="167">
        <f t="shared" si="75"/>
        <v>3</v>
      </c>
      <c r="M214" s="166">
        <f t="shared" si="76"/>
        <v>121.56</v>
      </c>
      <c r="N214" s="1023">
        <f t="shared" si="61"/>
        <v>1</v>
      </c>
      <c r="O214" s="983">
        <v>121.56</v>
      </c>
      <c r="P214" s="981">
        <f t="shared" si="77"/>
        <v>0</v>
      </c>
    </row>
    <row r="215" spans="1:16" x14ac:dyDescent="0.25">
      <c r="A215" s="153" t="s">
        <v>206</v>
      </c>
      <c r="B215" s="154" t="s">
        <v>448</v>
      </c>
      <c r="C215" s="155"/>
      <c r="D215" s="155"/>
      <c r="E215" s="155"/>
      <c r="F215" s="156"/>
      <c r="G215" s="157">
        <f>SUBTOTAL(9,G216:G228)</f>
        <v>164132.20000000001</v>
      </c>
      <c r="H215" s="155"/>
      <c r="I215" s="157">
        <f>SUBTOTAL(9,I216:I228)</f>
        <v>129759.27</v>
      </c>
      <c r="J215" s="155"/>
      <c r="K215" s="157">
        <f>SUBTOTAL(9,K216:K228)</f>
        <v>4869</v>
      </c>
      <c r="L215" s="155"/>
      <c r="M215" s="158">
        <f>SUBTOTAL(9,M216:M228)</f>
        <v>134628.26999999999</v>
      </c>
      <c r="N215" s="152"/>
      <c r="O215" s="986"/>
      <c r="P215" s="981"/>
    </row>
    <row r="216" spans="1:16" outlineLevel="1" x14ac:dyDescent="0.25">
      <c r="A216" s="170" t="s">
        <v>207</v>
      </c>
      <c r="B216" s="170">
        <v>1600400</v>
      </c>
      <c r="C216" s="171" t="s">
        <v>428</v>
      </c>
      <c r="D216" s="172" t="s">
        <v>308</v>
      </c>
      <c r="E216" s="173">
        <v>4.9000000000000004</v>
      </c>
      <c r="F216" s="174">
        <v>340</v>
      </c>
      <c r="G216" s="175">
        <f t="shared" ref="G216:G228" si="78">TRUNC(F216*E216,2)</f>
        <v>1666</v>
      </c>
      <c r="H216" s="167">
        <v>151.5</v>
      </c>
      <c r="I216" s="168">
        <f t="shared" ref="I216:I228" si="79">ROUND((E216*H216),2)</f>
        <v>742.35</v>
      </c>
      <c r="J216" s="167">
        <f>VLOOKUP(A216,'12 - CORPO'!$A:$U,18,FALSE)</f>
        <v>0</v>
      </c>
      <c r="K216" s="169">
        <f t="shared" ref="K216:K228" si="80">M216-I216</f>
        <v>0</v>
      </c>
      <c r="L216" s="167">
        <f t="shared" ref="L216:L228" si="81">(H216+J216)</f>
        <v>151.5</v>
      </c>
      <c r="M216" s="166">
        <f t="shared" ref="M216:M228" si="82">ROUND((E216*L216),2)</f>
        <v>742.35</v>
      </c>
      <c r="N216" s="1023">
        <f t="shared" si="61"/>
        <v>0.4456</v>
      </c>
      <c r="O216" s="983">
        <v>1666</v>
      </c>
      <c r="P216" s="981">
        <f t="shared" si="77"/>
        <v>0</v>
      </c>
    </row>
    <row r="217" spans="1:16" ht="38.25" outlineLevel="1" x14ac:dyDescent="0.25">
      <c r="A217" s="170" t="s">
        <v>208</v>
      </c>
      <c r="B217" s="170">
        <v>93225</v>
      </c>
      <c r="C217" s="171" t="s">
        <v>429</v>
      </c>
      <c r="D217" s="172" t="s">
        <v>430</v>
      </c>
      <c r="E217" s="173">
        <v>518.76</v>
      </c>
      <c r="F217" s="174">
        <v>24</v>
      </c>
      <c r="G217" s="175">
        <f t="shared" si="78"/>
        <v>12450.24</v>
      </c>
      <c r="H217" s="167">
        <v>0</v>
      </c>
      <c r="I217" s="168">
        <f t="shared" si="79"/>
        <v>0</v>
      </c>
      <c r="J217" s="167">
        <f>VLOOKUP(A217,'12 - CORPO'!$A:$U,18,FALSE)</f>
        <v>0</v>
      </c>
      <c r="K217" s="169">
        <f t="shared" si="80"/>
        <v>0</v>
      </c>
      <c r="L217" s="167">
        <f t="shared" si="81"/>
        <v>0</v>
      </c>
      <c r="M217" s="166">
        <f t="shared" si="82"/>
        <v>0</v>
      </c>
      <c r="N217" s="1023">
        <f t="shared" si="61"/>
        <v>0</v>
      </c>
      <c r="O217" s="983">
        <v>12450.24</v>
      </c>
      <c r="P217" s="981">
        <f t="shared" si="77"/>
        <v>0</v>
      </c>
    </row>
    <row r="218" spans="1:16" ht="25.5" outlineLevel="1" x14ac:dyDescent="0.25">
      <c r="A218" s="170" t="s">
        <v>209</v>
      </c>
      <c r="B218" s="170">
        <v>100651</v>
      </c>
      <c r="C218" s="171" t="s">
        <v>431</v>
      </c>
      <c r="D218" s="172" t="s">
        <v>301</v>
      </c>
      <c r="E218" s="173">
        <v>145.58000000000001</v>
      </c>
      <c r="F218" s="174">
        <v>88</v>
      </c>
      <c r="G218" s="175">
        <f t="shared" si="78"/>
        <v>12811.04</v>
      </c>
      <c r="H218" s="167">
        <v>0</v>
      </c>
      <c r="I218" s="168">
        <f t="shared" si="79"/>
        <v>0</v>
      </c>
      <c r="J218" s="167">
        <f>VLOOKUP(A218,'12 - CORPO'!$A:$U,18,FALSE)</f>
        <v>0</v>
      </c>
      <c r="K218" s="169">
        <f t="shared" si="80"/>
        <v>0</v>
      </c>
      <c r="L218" s="167">
        <f t="shared" si="81"/>
        <v>0</v>
      </c>
      <c r="M218" s="166">
        <f t="shared" si="82"/>
        <v>0</v>
      </c>
      <c r="N218" s="1023">
        <f t="shared" si="61"/>
        <v>0</v>
      </c>
      <c r="O218" s="983">
        <v>12811.04</v>
      </c>
      <c r="P218" s="981">
        <f t="shared" si="77"/>
        <v>0</v>
      </c>
    </row>
    <row r="219" spans="1:16" ht="25.5" outlineLevel="1" x14ac:dyDescent="0.25">
      <c r="A219" s="170" t="s">
        <v>210</v>
      </c>
      <c r="B219" s="170">
        <v>95601</v>
      </c>
      <c r="C219" s="171" t="s">
        <v>432</v>
      </c>
      <c r="D219" s="172" t="s">
        <v>317</v>
      </c>
      <c r="E219" s="173">
        <v>15.6</v>
      </c>
      <c r="F219" s="174">
        <v>8</v>
      </c>
      <c r="G219" s="175">
        <f t="shared" si="78"/>
        <v>124.8</v>
      </c>
      <c r="H219" s="167">
        <v>0</v>
      </c>
      <c r="I219" s="168">
        <f t="shared" si="79"/>
        <v>0</v>
      </c>
      <c r="J219" s="167">
        <f>VLOOKUP(A219,'12 - CORPO'!$A:$U,18,FALSE)</f>
        <v>0</v>
      </c>
      <c r="K219" s="169">
        <f t="shared" si="80"/>
        <v>0</v>
      </c>
      <c r="L219" s="167">
        <f t="shared" si="81"/>
        <v>0</v>
      </c>
      <c r="M219" s="166">
        <f t="shared" si="82"/>
        <v>0</v>
      </c>
      <c r="N219" s="1023">
        <f t="shared" si="61"/>
        <v>0</v>
      </c>
      <c r="O219" s="983">
        <v>124.8</v>
      </c>
      <c r="P219" s="981">
        <f t="shared" si="77"/>
        <v>0</v>
      </c>
    </row>
    <row r="220" spans="1:16" ht="25.5" outlineLevel="1" x14ac:dyDescent="0.25">
      <c r="A220" s="170" t="s">
        <v>211</v>
      </c>
      <c r="B220" s="170">
        <v>96619</v>
      </c>
      <c r="C220" s="171" t="s">
        <v>433</v>
      </c>
      <c r="D220" s="172" t="s">
        <v>308</v>
      </c>
      <c r="E220" s="173">
        <v>30.05</v>
      </c>
      <c r="F220" s="174">
        <v>3.5</v>
      </c>
      <c r="G220" s="175">
        <f>TRUNC(F220*E220,2)+0.01</f>
        <v>105.18</v>
      </c>
      <c r="H220" s="167">
        <v>3.5</v>
      </c>
      <c r="I220" s="168">
        <f t="shared" si="79"/>
        <v>105.18</v>
      </c>
      <c r="J220" s="167">
        <f>VLOOKUP(A220,'12 - CORPO'!$A:$U,18,FALSE)</f>
        <v>0</v>
      </c>
      <c r="K220" s="169">
        <f t="shared" si="80"/>
        <v>0</v>
      </c>
      <c r="L220" s="167">
        <f t="shared" si="81"/>
        <v>3.5</v>
      </c>
      <c r="M220" s="166">
        <f t="shared" si="82"/>
        <v>105.18</v>
      </c>
      <c r="N220" s="1023">
        <f t="shared" si="61"/>
        <v>1</v>
      </c>
      <c r="O220" s="983">
        <v>105.18</v>
      </c>
      <c r="P220" s="981">
        <f t="shared" si="77"/>
        <v>0</v>
      </c>
    </row>
    <row r="221" spans="1:16" ht="25.5" outlineLevel="1" x14ac:dyDescent="0.25">
      <c r="A221" s="170" t="s">
        <v>212</v>
      </c>
      <c r="B221" s="170">
        <v>96537</v>
      </c>
      <c r="C221" s="171" t="s">
        <v>434</v>
      </c>
      <c r="D221" s="172" t="s">
        <v>308</v>
      </c>
      <c r="E221" s="173">
        <v>207.19</v>
      </c>
      <c r="F221" s="174">
        <v>33</v>
      </c>
      <c r="G221" s="175">
        <f t="shared" si="78"/>
        <v>6837.27</v>
      </c>
      <c r="H221" s="167">
        <v>33</v>
      </c>
      <c r="I221" s="168">
        <f t="shared" si="79"/>
        <v>6837.27</v>
      </c>
      <c r="J221" s="167">
        <f>VLOOKUP(A221,'12 - CORPO'!$A:$U,18,FALSE)</f>
        <v>0</v>
      </c>
      <c r="K221" s="169">
        <f t="shared" si="80"/>
        <v>0</v>
      </c>
      <c r="L221" s="167">
        <f t="shared" si="81"/>
        <v>33</v>
      </c>
      <c r="M221" s="166">
        <f t="shared" si="82"/>
        <v>6837.27</v>
      </c>
      <c r="N221" s="1023">
        <f t="shared" si="61"/>
        <v>1</v>
      </c>
      <c r="O221" s="983">
        <v>6837.27</v>
      </c>
      <c r="P221" s="981">
        <f t="shared" si="77"/>
        <v>0</v>
      </c>
    </row>
    <row r="222" spans="1:16" ht="25.5" outlineLevel="1" x14ac:dyDescent="0.25">
      <c r="A222" s="170" t="s">
        <v>213</v>
      </c>
      <c r="B222" s="170">
        <v>407740</v>
      </c>
      <c r="C222" s="171" t="s">
        <v>435</v>
      </c>
      <c r="D222" s="172" t="s">
        <v>328</v>
      </c>
      <c r="E222" s="173">
        <v>15.33</v>
      </c>
      <c r="F222" s="174">
        <v>12.8</v>
      </c>
      <c r="G222" s="175">
        <f t="shared" si="78"/>
        <v>196.22</v>
      </c>
      <c r="H222" s="167">
        <v>12.8</v>
      </c>
      <c r="I222" s="168">
        <f t="shared" si="79"/>
        <v>196.22</v>
      </c>
      <c r="J222" s="167">
        <f>VLOOKUP(A222,'12 - CORPO'!$A:$U,18,FALSE)</f>
        <v>0</v>
      </c>
      <c r="K222" s="169">
        <f t="shared" si="80"/>
        <v>0</v>
      </c>
      <c r="L222" s="167">
        <f t="shared" si="81"/>
        <v>12.8</v>
      </c>
      <c r="M222" s="166">
        <f t="shared" si="82"/>
        <v>196.22</v>
      </c>
      <c r="N222" s="1023">
        <f t="shared" si="61"/>
        <v>1</v>
      </c>
      <c r="O222" s="983">
        <v>196.22</v>
      </c>
      <c r="P222" s="981">
        <f t="shared" si="77"/>
        <v>0</v>
      </c>
    </row>
    <row r="223" spans="1:16" ht="38.25" outlineLevel="1" x14ac:dyDescent="0.25">
      <c r="A223" s="170" t="s">
        <v>214</v>
      </c>
      <c r="B223" s="170">
        <v>100764</v>
      </c>
      <c r="C223" s="171" t="s">
        <v>436</v>
      </c>
      <c r="D223" s="172" t="s">
        <v>328</v>
      </c>
      <c r="E223" s="173">
        <v>28.29</v>
      </c>
      <c r="F223" s="174">
        <v>2599.9699999999998</v>
      </c>
      <c r="G223" s="175">
        <f t="shared" si="78"/>
        <v>73553.149999999994</v>
      </c>
      <c r="H223" s="167">
        <v>2599.9699999999998</v>
      </c>
      <c r="I223" s="168">
        <f t="shared" si="79"/>
        <v>73553.149999999994</v>
      </c>
      <c r="J223" s="167">
        <f>VLOOKUP(A223,'12 - CORPO'!$A:$U,18,FALSE)</f>
        <v>0</v>
      </c>
      <c r="K223" s="169">
        <f t="shared" si="80"/>
        <v>0</v>
      </c>
      <c r="L223" s="167">
        <f t="shared" si="81"/>
        <v>2599.9699999999998</v>
      </c>
      <c r="M223" s="166">
        <f t="shared" si="82"/>
        <v>73553.149999999994</v>
      </c>
      <c r="N223" s="1023">
        <f t="shared" si="61"/>
        <v>1</v>
      </c>
      <c r="O223" s="983">
        <v>73553.149999999994</v>
      </c>
      <c r="P223" s="981">
        <f t="shared" si="77"/>
        <v>0</v>
      </c>
    </row>
    <row r="224" spans="1:16" ht="25.5" outlineLevel="1" x14ac:dyDescent="0.25">
      <c r="A224" s="170" t="s">
        <v>215</v>
      </c>
      <c r="B224" s="170" t="s">
        <v>437</v>
      </c>
      <c r="C224" s="171" t="s">
        <v>438</v>
      </c>
      <c r="D224" s="172" t="s">
        <v>301</v>
      </c>
      <c r="E224" s="173">
        <v>756.05657708627996</v>
      </c>
      <c r="F224" s="174">
        <v>63</v>
      </c>
      <c r="G224" s="175">
        <f t="shared" si="78"/>
        <v>47631.56</v>
      </c>
      <c r="H224" s="167">
        <v>56.56</v>
      </c>
      <c r="I224" s="168">
        <f t="shared" si="79"/>
        <v>42762.559999999998</v>
      </c>
      <c r="J224" s="167">
        <f>VLOOKUP(A224,'12 - CORPO'!$A:$U,18,FALSE)</f>
        <v>6.4399999999999977</v>
      </c>
      <c r="K224" s="169">
        <f t="shared" si="80"/>
        <v>4869</v>
      </c>
      <c r="L224" s="167">
        <f t="shared" si="81"/>
        <v>63</v>
      </c>
      <c r="M224" s="166">
        <f t="shared" si="82"/>
        <v>47631.56</v>
      </c>
      <c r="N224" s="1023">
        <f t="shared" si="61"/>
        <v>1</v>
      </c>
      <c r="O224" s="983">
        <v>47631.78</v>
      </c>
      <c r="P224" s="981">
        <f t="shared" si="77"/>
        <v>-0.22000000000116415</v>
      </c>
    </row>
    <row r="225" spans="1:16" ht="25.5" outlineLevel="1" x14ac:dyDescent="0.25">
      <c r="A225" s="170" t="s">
        <v>216</v>
      </c>
      <c r="B225" s="170" t="s">
        <v>439</v>
      </c>
      <c r="C225" s="171" t="s">
        <v>440</v>
      </c>
      <c r="D225" s="172" t="s">
        <v>308</v>
      </c>
      <c r="E225" s="173">
        <v>159.71</v>
      </c>
      <c r="F225" s="174">
        <v>20</v>
      </c>
      <c r="G225" s="175">
        <f t="shared" si="78"/>
        <v>3194.2</v>
      </c>
      <c r="H225" s="167">
        <v>0</v>
      </c>
      <c r="I225" s="168">
        <f t="shared" si="79"/>
        <v>0</v>
      </c>
      <c r="J225" s="167">
        <f>VLOOKUP(A225,'12 - CORPO'!$A:$U,18,FALSE)</f>
        <v>0</v>
      </c>
      <c r="K225" s="169">
        <f t="shared" si="80"/>
        <v>0</v>
      </c>
      <c r="L225" s="167">
        <f t="shared" si="81"/>
        <v>0</v>
      </c>
      <c r="M225" s="166">
        <f t="shared" si="82"/>
        <v>0</v>
      </c>
      <c r="N225" s="1023">
        <f t="shared" si="61"/>
        <v>0</v>
      </c>
      <c r="O225" s="983">
        <v>3194.2</v>
      </c>
      <c r="P225" s="981">
        <f t="shared" si="77"/>
        <v>0</v>
      </c>
    </row>
    <row r="226" spans="1:16" outlineLevel="1" x14ac:dyDescent="0.25">
      <c r="A226" s="170" t="s">
        <v>217</v>
      </c>
      <c r="B226" s="170">
        <v>407819</v>
      </c>
      <c r="C226" s="171" t="s">
        <v>327</v>
      </c>
      <c r="D226" s="172" t="s">
        <v>328</v>
      </c>
      <c r="E226" s="173">
        <v>13.36</v>
      </c>
      <c r="F226" s="174">
        <v>99</v>
      </c>
      <c r="G226" s="175">
        <f t="shared" si="78"/>
        <v>1322.64</v>
      </c>
      <c r="H226" s="167">
        <v>99</v>
      </c>
      <c r="I226" s="168">
        <f t="shared" si="79"/>
        <v>1322.64</v>
      </c>
      <c r="J226" s="167">
        <f>VLOOKUP(A226,'12 - CORPO'!$A:$U,18,FALSE)</f>
        <v>0</v>
      </c>
      <c r="K226" s="169">
        <f t="shared" si="80"/>
        <v>0</v>
      </c>
      <c r="L226" s="167">
        <f t="shared" si="81"/>
        <v>99</v>
      </c>
      <c r="M226" s="166">
        <f t="shared" si="82"/>
        <v>1322.64</v>
      </c>
      <c r="N226" s="1023">
        <f t="shared" ref="N226:N256" si="83">IFERROR(ROUND(M226/G226,4),0)</f>
        <v>1</v>
      </c>
      <c r="O226" s="983">
        <v>1322.64</v>
      </c>
      <c r="P226" s="981">
        <f t="shared" si="77"/>
        <v>0</v>
      </c>
    </row>
    <row r="227" spans="1:16" ht="25.5" outlineLevel="1" x14ac:dyDescent="0.25">
      <c r="A227" s="170" t="s">
        <v>218</v>
      </c>
      <c r="B227" s="170">
        <v>1106280</v>
      </c>
      <c r="C227" s="171" t="s">
        <v>322</v>
      </c>
      <c r="D227" s="172" t="s">
        <v>323</v>
      </c>
      <c r="E227" s="173">
        <v>363.28</v>
      </c>
      <c r="F227" s="174">
        <v>10.5</v>
      </c>
      <c r="G227" s="175">
        <f t="shared" si="78"/>
        <v>3814.44</v>
      </c>
      <c r="H227" s="167">
        <v>10.5</v>
      </c>
      <c r="I227" s="168">
        <f t="shared" si="79"/>
        <v>3814.44</v>
      </c>
      <c r="J227" s="167">
        <f>VLOOKUP(A227,'12 - CORPO'!$A:$U,18,FALSE)</f>
        <v>0</v>
      </c>
      <c r="K227" s="169">
        <f t="shared" si="80"/>
        <v>0</v>
      </c>
      <c r="L227" s="167">
        <f t="shared" si="81"/>
        <v>10.5</v>
      </c>
      <c r="M227" s="166">
        <f t="shared" si="82"/>
        <v>3814.44</v>
      </c>
      <c r="N227" s="1023">
        <f t="shared" si="83"/>
        <v>1</v>
      </c>
      <c r="O227" s="983">
        <v>3814.44</v>
      </c>
      <c r="P227" s="981">
        <f t="shared" si="77"/>
        <v>0</v>
      </c>
    </row>
    <row r="228" spans="1:16" outlineLevel="1" x14ac:dyDescent="0.25">
      <c r="A228" s="170" t="s">
        <v>219</v>
      </c>
      <c r="B228" s="170">
        <v>25950</v>
      </c>
      <c r="C228" s="171" t="s">
        <v>324</v>
      </c>
      <c r="D228" s="172" t="s">
        <v>449</v>
      </c>
      <c r="E228" s="173">
        <v>40.520000000000003</v>
      </c>
      <c r="F228" s="174">
        <v>10.5</v>
      </c>
      <c r="G228" s="175">
        <f t="shared" si="78"/>
        <v>425.46</v>
      </c>
      <c r="H228" s="167">
        <v>10.5</v>
      </c>
      <c r="I228" s="168">
        <f t="shared" si="79"/>
        <v>425.46</v>
      </c>
      <c r="J228" s="167">
        <f>VLOOKUP(A228,'12 - CORPO'!$A:$U,18,FALSE)</f>
        <v>0</v>
      </c>
      <c r="K228" s="169">
        <f t="shared" si="80"/>
        <v>0</v>
      </c>
      <c r="L228" s="167">
        <f t="shared" si="81"/>
        <v>10.5</v>
      </c>
      <c r="M228" s="166">
        <f t="shared" si="82"/>
        <v>425.46</v>
      </c>
      <c r="N228" s="1023">
        <f t="shared" si="83"/>
        <v>1</v>
      </c>
      <c r="O228" s="983">
        <v>425.46</v>
      </c>
      <c r="P228" s="981">
        <f t="shared" si="77"/>
        <v>0</v>
      </c>
    </row>
    <row r="229" spans="1:16" outlineLevel="1" x14ac:dyDescent="0.25">
      <c r="A229" s="153" t="s">
        <v>220</v>
      </c>
      <c r="B229" s="154" t="s">
        <v>450</v>
      </c>
      <c r="C229" s="155"/>
      <c r="D229" s="155"/>
      <c r="E229" s="155"/>
      <c r="F229" s="156"/>
      <c r="G229" s="157">
        <f>SUBTOTAL(9,G230:G242)</f>
        <v>192185.5</v>
      </c>
      <c r="H229" s="155"/>
      <c r="I229" s="157">
        <f>SUBTOTAL(9,I230:I242)</f>
        <v>124664.56</v>
      </c>
      <c r="J229" s="155"/>
      <c r="K229" s="157">
        <f>SUBTOTAL(9,K230:K242)</f>
        <v>24511.35</v>
      </c>
      <c r="L229" s="155"/>
      <c r="M229" s="158">
        <f>SUBTOTAL(9,M230:M242)</f>
        <v>149175.91</v>
      </c>
      <c r="N229" s="108"/>
      <c r="O229" s="983"/>
      <c r="P229" s="981"/>
    </row>
    <row r="230" spans="1:16" outlineLevel="1" x14ac:dyDescent="0.25">
      <c r="A230" s="170" t="s">
        <v>221</v>
      </c>
      <c r="B230" s="170">
        <v>1600400</v>
      </c>
      <c r="C230" s="171" t="s">
        <v>428</v>
      </c>
      <c r="D230" s="172" t="s">
        <v>308</v>
      </c>
      <c r="E230" s="173">
        <v>4.9000000000000004</v>
      </c>
      <c r="F230" s="174">
        <v>400</v>
      </c>
      <c r="G230" s="175">
        <f t="shared" ref="G230:G241" si="84">TRUNC(F230*E230,2)</f>
        <v>1960</v>
      </c>
      <c r="H230" s="167">
        <v>400</v>
      </c>
      <c r="I230" s="168">
        <f t="shared" ref="I230:I242" si="85">ROUND((E230*H230),2)</f>
        <v>1960</v>
      </c>
      <c r="J230" s="167">
        <f>VLOOKUP(A230,'12 - CORPO'!$A:$U,18,FALSE)</f>
        <v>0</v>
      </c>
      <c r="K230" s="169">
        <f t="shared" ref="K230:K242" si="86">M230-I230</f>
        <v>0</v>
      </c>
      <c r="L230" s="167">
        <f t="shared" ref="L230:L242" si="87">(H230+J230)</f>
        <v>400</v>
      </c>
      <c r="M230" s="166">
        <f t="shared" ref="M230:M242" si="88">ROUND((E230*L230),2)</f>
        <v>1960</v>
      </c>
      <c r="N230" s="1023">
        <f t="shared" si="83"/>
        <v>1</v>
      </c>
      <c r="O230" s="983">
        <v>1960</v>
      </c>
      <c r="P230" s="981">
        <f t="shared" si="77"/>
        <v>0</v>
      </c>
    </row>
    <row r="231" spans="1:16" ht="38.25" outlineLevel="1" x14ac:dyDescent="0.25">
      <c r="A231" s="170" t="s">
        <v>222</v>
      </c>
      <c r="B231" s="170">
        <v>93225</v>
      </c>
      <c r="C231" s="171" t="s">
        <v>429</v>
      </c>
      <c r="D231" s="172" t="s">
        <v>430</v>
      </c>
      <c r="E231" s="173">
        <v>518.76</v>
      </c>
      <c r="F231" s="174">
        <v>24</v>
      </c>
      <c r="G231" s="175">
        <f t="shared" si="84"/>
        <v>12450.24</v>
      </c>
      <c r="H231" s="167">
        <v>0</v>
      </c>
      <c r="I231" s="168">
        <f t="shared" si="85"/>
        <v>0</v>
      </c>
      <c r="J231" s="167">
        <f>VLOOKUP(A231,'12 - CORPO'!$A:$U,18,FALSE)</f>
        <v>0</v>
      </c>
      <c r="K231" s="169">
        <f t="shared" si="86"/>
        <v>0</v>
      </c>
      <c r="L231" s="167">
        <f t="shared" si="87"/>
        <v>0</v>
      </c>
      <c r="M231" s="166">
        <f t="shared" si="88"/>
        <v>0</v>
      </c>
      <c r="N231" s="1023">
        <f t="shared" si="83"/>
        <v>0</v>
      </c>
      <c r="O231" s="983">
        <v>12450.24</v>
      </c>
      <c r="P231" s="981">
        <f t="shared" si="77"/>
        <v>0</v>
      </c>
    </row>
    <row r="232" spans="1:16" ht="25.5" outlineLevel="1" x14ac:dyDescent="0.25">
      <c r="A232" s="170" t="s">
        <v>223</v>
      </c>
      <c r="B232" s="170">
        <v>100651</v>
      </c>
      <c r="C232" s="171" t="s">
        <v>431</v>
      </c>
      <c r="D232" s="172" t="s">
        <v>301</v>
      </c>
      <c r="E232" s="173">
        <v>145.58000000000001</v>
      </c>
      <c r="F232" s="174">
        <v>72</v>
      </c>
      <c r="G232" s="175">
        <f t="shared" si="84"/>
        <v>10481.76</v>
      </c>
      <c r="H232" s="167">
        <v>0</v>
      </c>
      <c r="I232" s="168">
        <f t="shared" si="85"/>
        <v>0</v>
      </c>
      <c r="J232" s="167">
        <f>VLOOKUP(A232,'12 - CORPO'!$A:$U,18,FALSE)</f>
        <v>0</v>
      </c>
      <c r="K232" s="169">
        <f t="shared" si="86"/>
        <v>0</v>
      </c>
      <c r="L232" s="167">
        <f t="shared" si="87"/>
        <v>0</v>
      </c>
      <c r="M232" s="166">
        <f t="shared" si="88"/>
        <v>0</v>
      </c>
      <c r="N232" s="1023">
        <f t="shared" si="83"/>
        <v>0</v>
      </c>
      <c r="O232" s="983">
        <v>10481.76</v>
      </c>
      <c r="P232" s="981">
        <f t="shared" si="77"/>
        <v>0</v>
      </c>
    </row>
    <row r="233" spans="1:16" ht="25.5" outlineLevel="1" x14ac:dyDescent="0.25">
      <c r="A233" s="170" t="s">
        <v>224</v>
      </c>
      <c r="B233" s="170">
        <v>95601</v>
      </c>
      <c r="C233" s="171" t="s">
        <v>432</v>
      </c>
      <c r="D233" s="172" t="s">
        <v>317</v>
      </c>
      <c r="E233" s="173">
        <v>15.6</v>
      </c>
      <c r="F233" s="174">
        <v>8</v>
      </c>
      <c r="G233" s="175">
        <f t="shared" si="84"/>
        <v>124.8</v>
      </c>
      <c r="H233" s="167">
        <v>0</v>
      </c>
      <c r="I233" s="168">
        <f t="shared" si="85"/>
        <v>0</v>
      </c>
      <c r="J233" s="167">
        <f>VLOOKUP(A233,'12 - CORPO'!$A:$U,18,FALSE)</f>
        <v>0</v>
      </c>
      <c r="K233" s="169">
        <f t="shared" si="86"/>
        <v>0</v>
      </c>
      <c r="L233" s="167">
        <f t="shared" si="87"/>
        <v>0</v>
      </c>
      <c r="M233" s="166">
        <f t="shared" si="88"/>
        <v>0</v>
      </c>
      <c r="N233" s="1023">
        <f t="shared" si="83"/>
        <v>0</v>
      </c>
      <c r="O233" s="983">
        <v>124.8</v>
      </c>
      <c r="P233" s="981">
        <f t="shared" si="77"/>
        <v>0</v>
      </c>
    </row>
    <row r="234" spans="1:16" ht="25.5" outlineLevel="1" x14ac:dyDescent="0.25">
      <c r="A234" s="170" t="s">
        <v>225</v>
      </c>
      <c r="B234" s="170">
        <v>96619</v>
      </c>
      <c r="C234" s="171" t="s">
        <v>433</v>
      </c>
      <c r="D234" s="172" t="s">
        <v>308</v>
      </c>
      <c r="E234" s="173">
        <v>30.05</v>
      </c>
      <c r="F234" s="174">
        <v>3.5</v>
      </c>
      <c r="G234" s="175">
        <f>TRUNC(F234*E234,2)+0.01</f>
        <v>105.18</v>
      </c>
      <c r="H234" s="167">
        <v>3.5</v>
      </c>
      <c r="I234" s="168">
        <f t="shared" si="85"/>
        <v>105.18</v>
      </c>
      <c r="J234" s="167">
        <f>VLOOKUP(A234,'12 - CORPO'!$A:$U,18,FALSE)</f>
        <v>0</v>
      </c>
      <c r="K234" s="169">
        <f t="shared" si="86"/>
        <v>0</v>
      </c>
      <c r="L234" s="167">
        <f t="shared" si="87"/>
        <v>3.5</v>
      </c>
      <c r="M234" s="166">
        <f t="shared" si="88"/>
        <v>105.18</v>
      </c>
      <c r="N234" s="1023">
        <f t="shared" si="83"/>
        <v>1</v>
      </c>
      <c r="O234" s="983">
        <v>105.18</v>
      </c>
      <c r="P234" s="981">
        <f t="shared" si="77"/>
        <v>0</v>
      </c>
    </row>
    <row r="235" spans="1:16" ht="25.5" outlineLevel="1" x14ac:dyDescent="0.25">
      <c r="A235" s="207" t="s">
        <v>226</v>
      </c>
      <c r="B235" s="207">
        <v>96537</v>
      </c>
      <c r="C235" s="208" t="s">
        <v>434</v>
      </c>
      <c r="D235" s="209" t="s">
        <v>308</v>
      </c>
      <c r="E235" s="210">
        <v>207.19</v>
      </c>
      <c r="F235" s="211">
        <v>27.7</v>
      </c>
      <c r="G235" s="212">
        <f t="shared" si="84"/>
        <v>5739.16</v>
      </c>
      <c r="H235" s="213">
        <v>27.7</v>
      </c>
      <c r="I235" s="214">
        <f t="shared" si="85"/>
        <v>5739.16</v>
      </c>
      <c r="J235" s="213">
        <f>VLOOKUP(A235,'12 - CORPO'!$A:$U,18,FALSE)</f>
        <v>0</v>
      </c>
      <c r="K235" s="215">
        <f t="shared" si="86"/>
        <v>0</v>
      </c>
      <c r="L235" s="213">
        <f t="shared" si="87"/>
        <v>27.7</v>
      </c>
      <c r="M235" s="212">
        <f t="shared" si="88"/>
        <v>5739.16</v>
      </c>
      <c r="N235" s="1023">
        <f t="shared" si="83"/>
        <v>1</v>
      </c>
      <c r="O235" s="983">
        <v>5739.16</v>
      </c>
      <c r="P235" s="981">
        <f t="shared" si="77"/>
        <v>0</v>
      </c>
    </row>
    <row r="236" spans="1:16" ht="25.5" outlineLevel="1" x14ac:dyDescent="0.25">
      <c r="A236" s="161" t="s">
        <v>227</v>
      </c>
      <c r="B236" s="161">
        <v>407740</v>
      </c>
      <c r="C236" s="162" t="s">
        <v>435</v>
      </c>
      <c r="D236" s="163" t="s">
        <v>328</v>
      </c>
      <c r="E236" s="164">
        <v>15.33</v>
      </c>
      <c r="F236" s="165">
        <v>12.8</v>
      </c>
      <c r="G236" s="166">
        <f t="shared" si="84"/>
        <v>196.22</v>
      </c>
      <c r="H236" s="167">
        <v>12.8</v>
      </c>
      <c r="I236" s="168">
        <f t="shared" si="85"/>
        <v>196.22</v>
      </c>
      <c r="J236" s="167">
        <f>VLOOKUP(A236,'12 - CORPO'!$A:$U,18,FALSE)</f>
        <v>0</v>
      </c>
      <c r="K236" s="169">
        <f t="shared" si="86"/>
        <v>0</v>
      </c>
      <c r="L236" s="167">
        <f t="shared" si="87"/>
        <v>12.8</v>
      </c>
      <c r="M236" s="166">
        <f t="shared" si="88"/>
        <v>196.22</v>
      </c>
      <c r="N236" s="1023">
        <f t="shared" si="83"/>
        <v>1</v>
      </c>
      <c r="O236" s="983">
        <v>196.22</v>
      </c>
      <c r="P236" s="981">
        <f t="shared" si="77"/>
        <v>0</v>
      </c>
    </row>
    <row r="237" spans="1:16" ht="38.25" outlineLevel="1" x14ac:dyDescent="0.25">
      <c r="A237" s="170" t="s">
        <v>228</v>
      </c>
      <c r="B237" s="170">
        <v>100764</v>
      </c>
      <c r="C237" s="171" t="s">
        <v>436</v>
      </c>
      <c r="D237" s="172" t="s">
        <v>328</v>
      </c>
      <c r="E237" s="173">
        <v>28.29</v>
      </c>
      <c r="F237" s="174">
        <v>3285.64</v>
      </c>
      <c r="G237" s="175">
        <f>TRUNC(F237*E237,2)+0.01</f>
        <v>92950.76</v>
      </c>
      <c r="H237" s="167">
        <v>2761</v>
      </c>
      <c r="I237" s="168">
        <f t="shared" si="85"/>
        <v>78108.69</v>
      </c>
      <c r="J237" s="167">
        <f>VLOOKUP(A237,'12 - CORPO'!$A:$U,18,FALSE)</f>
        <v>0</v>
      </c>
      <c r="K237" s="169">
        <f t="shared" si="86"/>
        <v>0</v>
      </c>
      <c r="L237" s="167">
        <f t="shared" si="87"/>
        <v>2761</v>
      </c>
      <c r="M237" s="166">
        <f t="shared" si="88"/>
        <v>78108.69</v>
      </c>
      <c r="N237" s="1023">
        <f t="shared" si="83"/>
        <v>0.84030000000000005</v>
      </c>
      <c r="O237" s="983">
        <v>92950.76</v>
      </c>
      <c r="P237" s="981">
        <f t="shared" si="77"/>
        <v>0</v>
      </c>
    </row>
    <row r="238" spans="1:16" ht="25.5" outlineLevel="1" x14ac:dyDescent="0.25">
      <c r="A238" s="170" t="s">
        <v>229</v>
      </c>
      <c r="B238" s="170" t="s">
        <v>437</v>
      </c>
      <c r="C238" s="171" t="s">
        <v>438</v>
      </c>
      <c r="D238" s="172" t="s">
        <v>301</v>
      </c>
      <c r="E238" s="173">
        <v>756.05656610470271</v>
      </c>
      <c r="F238" s="174">
        <v>77.5</v>
      </c>
      <c r="G238" s="175">
        <f t="shared" si="84"/>
        <v>58594.38</v>
      </c>
      <c r="H238" s="167">
        <v>45.08</v>
      </c>
      <c r="I238" s="168">
        <f t="shared" si="85"/>
        <v>34083.03</v>
      </c>
      <c r="J238" s="167">
        <f>VLOOKUP(A238,'12 - CORPO'!$A:$U,18,FALSE)</f>
        <v>32.42</v>
      </c>
      <c r="K238" s="169">
        <f t="shared" si="86"/>
        <v>24511.35</v>
      </c>
      <c r="L238" s="167">
        <f t="shared" si="87"/>
        <v>77.5</v>
      </c>
      <c r="M238" s="166">
        <f t="shared" si="88"/>
        <v>58594.38</v>
      </c>
      <c r="N238" s="1023">
        <f t="shared" si="83"/>
        <v>1</v>
      </c>
      <c r="O238" s="983">
        <v>58594.65</v>
      </c>
      <c r="P238" s="981">
        <f t="shared" si="77"/>
        <v>-0.27000000000407454</v>
      </c>
    </row>
    <row r="239" spans="1:16" ht="25.5" outlineLevel="1" x14ac:dyDescent="0.25">
      <c r="A239" s="170" t="s">
        <v>230</v>
      </c>
      <c r="B239" s="170" t="s">
        <v>439</v>
      </c>
      <c r="C239" s="171" t="s">
        <v>440</v>
      </c>
      <c r="D239" s="172" t="s">
        <v>308</v>
      </c>
      <c r="E239" s="173">
        <v>159.71</v>
      </c>
      <c r="F239" s="174">
        <v>32</v>
      </c>
      <c r="G239" s="175">
        <f t="shared" si="84"/>
        <v>5110.72</v>
      </c>
      <c r="H239" s="167">
        <v>0</v>
      </c>
      <c r="I239" s="168">
        <f t="shared" si="85"/>
        <v>0</v>
      </c>
      <c r="J239" s="167">
        <f>VLOOKUP(A239,'12 - CORPO'!$A:$U,18,FALSE)</f>
        <v>0</v>
      </c>
      <c r="K239" s="169">
        <f t="shared" si="86"/>
        <v>0</v>
      </c>
      <c r="L239" s="167">
        <f t="shared" si="87"/>
        <v>0</v>
      </c>
      <c r="M239" s="166">
        <f t="shared" si="88"/>
        <v>0</v>
      </c>
      <c r="N239" s="1023">
        <f t="shared" si="83"/>
        <v>0</v>
      </c>
      <c r="O239" s="983">
        <v>5110.72</v>
      </c>
      <c r="P239" s="981">
        <f t="shared" si="77"/>
        <v>0</v>
      </c>
    </row>
    <row r="240" spans="1:16" outlineLevel="1" x14ac:dyDescent="0.25">
      <c r="A240" s="170" t="s">
        <v>231</v>
      </c>
      <c r="B240" s="170">
        <v>407819</v>
      </c>
      <c r="C240" s="171" t="s">
        <v>327</v>
      </c>
      <c r="D240" s="172" t="s">
        <v>328</v>
      </c>
      <c r="E240" s="173">
        <v>13.36</v>
      </c>
      <c r="F240" s="174">
        <v>99</v>
      </c>
      <c r="G240" s="175">
        <f t="shared" si="84"/>
        <v>1322.64</v>
      </c>
      <c r="H240" s="167">
        <v>99</v>
      </c>
      <c r="I240" s="168">
        <f t="shared" si="85"/>
        <v>1322.64</v>
      </c>
      <c r="J240" s="167">
        <f>VLOOKUP(A240,'12 - CORPO'!$A:$U,18,FALSE)</f>
        <v>0</v>
      </c>
      <c r="K240" s="169">
        <f t="shared" si="86"/>
        <v>0</v>
      </c>
      <c r="L240" s="167">
        <f t="shared" si="87"/>
        <v>99</v>
      </c>
      <c r="M240" s="166">
        <f t="shared" si="88"/>
        <v>1322.64</v>
      </c>
      <c r="N240" s="1023">
        <f t="shared" si="83"/>
        <v>1</v>
      </c>
      <c r="O240" s="983">
        <v>1322.64</v>
      </c>
      <c r="P240" s="981">
        <f t="shared" si="77"/>
        <v>0</v>
      </c>
    </row>
    <row r="241" spans="1:16" ht="25.5" outlineLevel="1" x14ac:dyDescent="0.25">
      <c r="A241" s="170" t="s">
        <v>232</v>
      </c>
      <c r="B241" s="170">
        <v>1106280</v>
      </c>
      <c r="C241" s="171" t="s">
        <v>322</v>
      </c>
      <c r="D241" s="172" t="s">
        <v>323</v>
      </c>
      <c r="E241" s="173">
        <v>363.28</v>
      </c>
      <c r="F241" s="174">
        <v>7.8</v>
      </c>
      <c r="G241" s="175">
        <f t="shared" si="84"/>
        <v>2833.58</v>
      </c>
      <c r="H241" s="167">
        <v>7.8</v>
      </c>
      <c r="I241" s="168">
        <f t="shared" si="85"/>
        <v>2833.58</v>
      </c>
      <c r="J241" s="167">
        <f>VLOOKUP(A241,'12 - CORPO'!$A:$U,18,FALSE)</f>
        <v>0</v>
      </c>
      <c r="K241" s="169">
        <f t="shared" si="86"/>
        <v>0</v>
      </c>
      <c r="L241" s="167">
        <f t="shared" si="87"/>
        <v>7.8</v>
      </c>
      <c r="M241" s="166">
        <f t="shared" si="88"/>
        <v>2833.58</v>
      </c>
      <c r="N241" s="1023">
        <f t="shared" si="83"/>
        <v>1</v>
      </c>
      <c r="O241" s="983">
        <v>2833.58</v>
      </c>
      <c r="P241" s="981">
        <f t="shared" si="77"/>
        <v>0</v>
      </c>
    </row>
    <row r="242" spans="1:16" outlineLevel="1" x14ac:dyDescent="0.25">
      <c r="A242" s="170" t="s">
        <v>233</v>
      </c>
      <c r="B242" s="170">
        <v>25950</v>
      </c>
      <c r="C242" s="171" t="s">
        <v>324</v>
      </c>
      <c r="D242" s="172" t="s">
        <v>325</v>
      </c>
      <c r="E242" s="173">
        <v>40.520000000000003</v>
      </c>
      <c r="F242" s="174">
        <v>7.8</v>
      </c>
      <c r="G242" s="175">
        <f>TRUNC(F242*E242,2)+0.01</f>
        <v>316.06</v>
      </c>
      <c r="H242" s="167">
        <v>7.8</v>
      </c>
      <c r="I242" s="168">
        <f t="shared" si="85"/>
        <v>316.06</v>
      </c>
      <c r="J242" s="167">
        <f>VLOOKUP(A242,'12 - CORPO'!$A:$U,18,FALSE)</f>
        <v>0</v>
      </c>
      <c r="K242" s="169">
        <f t="shared" si="86"/>
        <v>0</v>
      </c>
      <c r="L242" s="167">
        <f t="shared" si="87"/>
        <v>7.8</v>
      </c>
      <c r="M242" s="166">
        <f t="shared" si="88"/>
        <v>316.06</v>
      </c>
      <c r="N242" s="1023">
        <f t="shared" si="83"/>
        <v>1</v>
      </c>
      <c r="O242" s="983">
        <v>316.06</v>
      </c>
      <c r="P242" s="981">
        <f t="shared" si="77"/>
        <v>0</v>
      </c>
    </row>
    <row r="243" spans="1:16" x14ac:dyDescent="0.25">
      <c r="A243" s="153" t="s">
        <v>234</v>
      </c>
      <c r="B243" s="154" t="s">
        <v>451</v>
      </c>
      <c r="C243" s="155"/>
      <c r="D243" s="155"/>
      <c r="E243" s="155"/>
      <c r="F243" s="156"/>
      <c r="G243" s="157">
        <f>SUBTOTAL(9,G244:G256)</f>
        <v>267049.48</v>
      </c>
      <c r="H243" s="155"/>
      <c r="I243" s="157">
        <f>SUBTOTAL(9,I244:I256)</f>
        <v>12626.15</v>
      </c>
      <c r="J243" s="155"/>
      <c r="K243" s="157">
        <f>SUBTOTAL(9,K244:K256)</f>
        <v>-12626.15</v>
      </c>
      <c r="L243" s="155"/>
      <c r="M243" s="158">
        <f>SUBTOTAL(9,M244:M256)</f>
        <v>0</v>
      </c>
      <c r="N243" s="152"/>
      <c r="O243" s="986"/>
      <c r="P243" s="981"/>
    </row>
    <row r="244" spans="1:16" outlineLevel="1" x14ac:dyDescent="0.25">
      <c r="A244" s="170" t="s">
        <v>235</v>
      </c>
      <c r="B244" s="170">
        <v>1600400</v>
      </c>
      <c r="C244" s="171" t="s">
        <v>428</v>
      </c>
      <c r="D244" s="172" t="s">
        <v>308</v>
      </c>
      <c r="E244" s="173">
        <v>4.9000000000000004</v>
      </c>
      <c r="F244" s="174">
        <v>400</v>
      </c>
      <c r="G244" s="175">
        <f t="shared" ref="G244:G255" si="89">TRUNC(F244*E244,2)</f>
        <v>1960</v>
      </c>
      <c r="H244" s="167">
        <v>0</v>
      </c>
      <c r="I244" s="168">
        <f t="shared" ref="I244:I256" si="90">ROUND((E244*H244),2)</f>
        <v>0</v>
      </c>
      <c r="J244" s="167">
        <f>VLOOKUP(A244,'12 - CORPO'!$A:$U,18,FALSE)</f>
        <v>0</v>
      </c>
      <c r="K244" s="169">
        <f t="shared" ref="K244:K256" si="91">M244-I244</f>
        <v>0</v>
      </c>
      <c r="L244" s="167">
        <f t="shared" ref="L244:L256" si="92">(H244+J244)</f>
        <v>0</v>
      </c>
      <c r="M244" s="166">
        <f t="shared" ref="M244:M256" si="93">ROUND((E244*L244),2)</f>
        <v>0</v>
      </c>
      <c r="N244" s="1023">
        <f t="shared" si="83"/>
        <v>0</v>
      </c>
      <c r="O244" s="983">
        <v>1960</v>
      </c>
      <c r="P244" s="981">
        <f t="shared" si="77"/>
        <v>0</v>
      </c>
    </row>
    <row r="245" spans="1:16" ht="38.25" outlineLevel="1" x14ac:dyDescent="0.25">
      <c r="A245" s="170" t="s">
        <v>236</v>
      </c>
      <c r="B245" s="170">
        <v>93225</v>
      </c>
      <c r="C245" s="171" t="s">
        <v>429</v>
      </c>
      <c r="D245" s="172" t="s">
        <v>430</v>
      </c>
      <c r="E245" s="173">
        <v>518.76</v>
      </c>
      <c r="F245" s="174">
        <v>24</v>
      </c>
      <c r="G245" s="175">
        <f t="shared" si="89"/>
        <v>12450.24</v>
      </c>
      <c r="H245" s="167">
        <v>0</v>
      </c>
      <c r="I245" s="168">
        <f t="shared" si="90"/>
        <v>0</v>
      </c>
      <c r="J245" s="167">
        <f>VLOOKUP(A245,'12 - CORPO'!$A:$U,18,FALSE)</f>
        <v>0</v>
      </c>
      <c r="K245" s="169">
        <f t="shared" si="91"/>
        <v>0</v>
      </c>
      <c r="L245" s="167">
        <f t="shared" si="92"/>
        <v>0</v>
      </c>
      <c r="M245" s="166">
        <f t="shared" si="93"/>
        <v>0</v>
      </c>
      <c r="N245" s="1023">
        <f t="shared" si="83"/>
        <v>0</v>
      </c>
      <c r="O245" s="983">
        <v>12450.24</v>
      </c>
      <c r="P245" s="981">
        <f t="shared" si="77"/>
        <v>0</v>
      </c>
    </row>
    <row r="246" spans="1:16" ht="25.5" outlineLevel="1" x14ac:dyDescent="0.25">
      <c r="A246" s="170" t="s">
        <v>237</v>
      </c>
      <c r="B246" s="170">
        <v>100651</v>
      </c>
      <c r="C246" s="171" t="s">
        <v>431</v>
      </c>
      <c r="D246" s="172" t="s">
        <v>301</v>
      </c>
      <c r="E246" s="173">
        <v>145.58000000000001</v>
      </c>
      <c r="F246" s="174">
        <v>80</v>
      </c>
      <c r="G246" s="175">
        <f t="shared" si="89"/>
        <v>11646.4</v>
      </c>
      <c r="H246" s="167">
        <v>0</v>
      </c>
      <c r="I246" s="168">
        <f t="shared" si="90"/>
        <v>0</v>
      </c>
      <c r="J246" s="167">
        <f>VLOOKUP(A246,'12 - CORPO'!$A:$U,18,FALSE)</f>
        <v>0</v>
      </c>
      <c r="K246" s="169">
        <f t="shared" si="91"/>
        <v>0</v>
      </c>
      <c r="L246" s="167">
        <f t="shared" si="92"/>
        <v>0</v>
      </c>
      <c r="M246" s="166">
        <f t="shared" si="93"/>
        <v>0</v>
      </c>
      <c r="N246" s="1023">
        <f t="shared" si="83"/>
        <v>0</v>
      </c>
      <c r="O246" s="983">
        <v>11646.4</v>
      </c>
      <c r="P246" s="981">
        <f t="shared" si="77"/>
        <v>0</v>
      </c>
    </row>
    <row r="247" spans="1:16" ht="25.5" outlineLevel="1" x14ac:dyDescent="0.25">
      <c r="A247" s="170" t="s">
        <v>238</v>
      </c>
      <c r="B247" s="170">
        <v>95601</v>
      </c>
      <c r="C247" s="171" t="s">
        <v>432</v>
      </c>
      <c r="D247" s="172" t="s">
        <v>317</v>
      </c>
      <c r="E247" s="173">
        <v>15.6</v>
      </c>
      <c r="F247" s="174">
        <v>8</v>
      </c>
      <c r="G247" s="175">
        <f t="shared" si="89"/>
        <v>124.8</v>
      </c>
      <c r="H247" s="167">
        <v>0</v>
      </c>
      <c r="I247" s="168">
        <f t="shared" si="90"/>
        <v>0</v>
      </c>
      <c r="J247" s="167">
        <f>VLOOKUP(A247,'12 - CORPO'!$A:$U,18,FALSE)</f>
        <v>0</v>
      </c>
      <c r="K247" s="169">
        <f t="shared" si="91"/>
        <v>0</v>
      </c>
      <c r="L247" s="167">
        <f t="shared" si="92"/>
        <v>0</v>
      </c>
      <c r="M247" s="166">
        <f t="shared" si="93"/>
        <v>0</v>
      </c>
      <c r="N247" s="1023">
        <f t="shared" si="83"/>
        <v>0</v>
      </c>
      <c r="O247" s="983">
        <v>124.8</v>
      </c>
      <c r="P247" s="981">
        <f t="shared" si="77"/>
        <v>0</v>
      </c>
    </row>
    <row r="248" spans="1:16" ht="25.5" outlineLevel="1" x14ac:dyDescent="0.25">
      <c r="A248" s="170" t="s">
        <v>239</v>
      </c>
      <c r="B248" s="170">
        <v>96619</v>
      </c>
      <c r="C248" s="171" t="s">
        <v>433</v>
      </c>
      <c r="D248" s="172" t="s">
        <v>308</v>
      </c>
      <c r="E248" s="173">
        <v>30.05</v>
      </c>
      <c r="F248" s="174">
        <v>3.5</v>
      </c>
      <c r="G248" s="175">
        <f>TRUNC(F248*E248,2)+0.01</f>
        <v>105.18</v>
      </c>
      <c r="H248" s="167">
        <v>0</v>
      </c>
      <c r="I248" s="168">
        <f t="shared" si="90"/>
        <v>0</v>
      </c>
      <c r="J248" s="167">
        <f>VLOOKUP(A248,'12 - CORPO'!$A:$U,18,FALSE)</f>
        <v>0</v>
      </c>
      <c r="K248" s="169">
        <f t="shared" si="91"/>
        <v>0</v>
      </c>
      <c r="L248" s="167">
        <f t="shared" si="92"/>
        <v>0</v>
      </c>
      <c r="M248" s="166">
        <f t="shared" si="93"/>
        <v>0</v>
      </c>
      <c r="N248" s="1023">
        <f t="shared" si="83"/>
        <v>0</v>
      </c>
      <c r="O248" s="983">
        <v>105.18</v>
      </c>
      <c r="P248" s="981">
        <f t="shared" si="77"/>
        <v>0</v>
      </c>
    </row>
    <row r="249" spans="1:16" ht="25.5" outlineLevel="1" x14ac:dyDescent="0.25">
      <c r="A249" s="170" t="s">
        <v>240</v>
      </c>
      <c r="B249" s="170">
        <v>96537</v>
      </c>
      <c r="C249" s="171" t="s">
        <v>434</v>
      </c>
      <c r="D249" s="172" t="s">
        <v>308</v>
      </c>
      <c r="E249" s="173">
        <v>207.19</v>
      </c>
      <c r="F249" s="174">
        <v>36.799999999999997</v>
      </c>
      <c r="G249" s="175">
        <f t="shared" si="89"/>
        <v>7624.59</v>
      </c>
      <c r="H249" s="167">
        <v>0</v>
      </c>
      <c r="I249" s="168">
        <f t="shared" si="90"/>
        <v>0</v>
      </c>
      <c r="J249" s="167">
        <f>VLOOKUP(A249,'12 - CORPO'!$A:$U,18,FALSE)</f>
        <v>0</v>
      </c>
      <c r="K249" s="169">
        <f t="shared" si="91"/>
        <v>0</v>
      </c>
      <c r="L249" s="167">
        <f t="shared" si="92"/>
        <v>0</v>
      </c>
      <c r="M249" s="166">
        <f t="shared" si="93"/>
        <v>0</v>
      </c>
      <c r="N249" s="1023">
        <f t="shared" si="83"/>
        <v>0</v>
      </c>
      <c r="O249" s="983">
        <v>7624.59</v>
      </c>
      <c r="P249" s="981">
        <f t="shared" si="77"/>
        <v>0</v>
      </c>
    </row>
    <row r="250" spans="1:16" ht="25.5" outlineLevel="1" x14ac:dyDescent="0.25">
      <c r="A250" s="170" t="s">
        <v>241</v>
      </c>
      <c r="B250" s="170">
        <v>407740</v>
      </c>
      <c r="C250" s="171" t="s">
        <v>435</v>
      </c>
      <c r="D250" s="172" t="s">
        <v>328</v>
      </c>
      <c r="E250" s="173">
        <v>15.33</v>
      </c>
      <c r="F250" s="174">
        <v>12.8</v>
      </c>
      <c r="G250" s="175">
        <f t="shared" si="89"/>
        <v>196.22</v>
      </c>
      <c r="H250" s="167">
        <v>0</v>
      </c>
      <c r="I250" s="168">
        <f t="shared" si="90"/>
        <v>0</v>
      </c>
      <c r="J250" s="167">
        <f>VLOOKUP(A250,'12 - CORPO'!$A:$U,18,FALSE)</f>
        <v>0</v>
      </c>
      <c r="K250" s="169">
        <f t="shared" si="91"/>
        <v>0</v>
      </c>
      <c r="L250" s="167">
        <f t="shared" si="92"/>
        <v>0</v>
      </c>
      <c r="M250" s="166">
        <f t="shared" si="93"/>
        <v>0</v>
      </c>
      <c r="N250" s="1023">
        <f t="shared" si="83"/>
        <v>0</v>
      </c>
      <c r="O250" s="983">
        <v>196.22</v>
      </c>
      <c r="P250" s="981">
        <f t="shared" si="77"/>
        <v>0</v>
      </c>
    </row>
    <row r="251" spans="1:16" ht="38.25" outlineLevel="1" x14ac:dyDescent="0.25">
      <c r="A251" s="170" t="s">
        <v>242</v>
      </c>
      <c r="B251" s="170">
        <v>100764</v>
      </c>
      <c r="C251" s="171" t="s">
        <v>436</v>
      </c>
      <c r="D251" s="172" t="s">
        <v>328</v>
      </c>
      <c r="E251" s="173">
        <v>28.29</v>
      </c>
      <c r="F251" s="174">
        <v>5620.51</v>
      </c>
      <c r="G251" s="175">
        <f>TRUNC(F251*E251,2)+0.01</f>
        <v>159004.23000000001</v>
      </c>
      <c r="H251" s="167">
        <v>0</v>
      </c>
      <c r="I251" s="168">
        <f t="shared" si="90"/>
        <v>0</v>
      </c>
      <c r="J251" s="167">
        <f>VLOOKUP(A251,'12 - CORPO'!$A:$U,18,FALSE)</f>
        <v>0</v>
      </c>
      <c r="K251" s="169">
        <f t="shared" si="91"/>
        <v>0</v>
      </c>
      <c r="L251" s="167">
        <f t="shared" si="92"/>
        <v>0</v>
      </c>
      <c r="M251" s="166">
        <f t="shared" si="93"/>
        <v>0</v>
      </c>
      <c r="N251" s="1023">
        <f t="shared" si="83"/>
        <v>0</v>
      </c>
      <c r="O251" s="983">
        <v>159004.23000000001</v>
      </c>
      <c r="P251" s="981">
        <f t="shared" si="77"/>
        <v>0</v>
      </c>
    </row>
    <row r="252" spans="1:16" ht="25.5" outlineLevel="1" x14ac:dyDescent="0.25">
      <c r="A252" s="170" t="s">
        <v>243</v>
      </c>
      <c r="B252" s="170" t="s">
        <v>437</v>
      </c>
      <c r="C252" s="171" t="s">
        <v>438</v>
      </c>
      <c r="D252" s="172" t="s">
        <v>301</v>
      </c>
      <c r="E252" s="173">
        <v>756.05663471241166</v>
      </c>
      <c r="F252" s="174">
        <v>79.28</v>
      </c>
      <c r="G252" s="175">
        <f t="shared" si="89"/>
        <v>59940.17</v>
      </c>
      <c r="H252" s="167">
        <v>16.7</v>
      </c>
      <c r="I252" s="168">
        <f t="shared" si="90"/>
        <v>12626.15</v>
      </c>
      <c r="J252" s="167">
        <f>VLOOKUP(A252,'12 - CORPO'!$A:$U,18,FALSE)</f>
        <v>-16.7</v>
      </c>
      <c r="K252" s="169">
        <f t="shared" si="91"/>
        <v>-12626.15</v>
      </c>
      <c r="L252" s="167">
        <f t="shared" si="92"/>
        <v>0</v>
      </c>
      <c r="M252" s="166">
        <f t="shared" si="93"/>
        <v>0</v>
      </c>
      <c r="N252" s="1023">
        <f t="shared" si="83"/>
        <v>0</v>
      </c>
      <c r="O252" s="983">
        <v>59940.17</v>
      </c>
      <c r="P252" s="981">
        <f t="shared" si="77"/>
        <v>0</v>
      </c>
    </row>
    <row r="253" spans="1:16" ht="25.5" outlineLevel="1" x14ac:dyDescent="0.25">
      <c r="A253" s="170" t="s">
        <v>244</v>
      </c>
      <c r="B253" s="170" t="s">
        <v>439</v>
      </c>
      <c r="C253" s="171" t="s">
        <v>440</v>
      </c>
      <c r="D253" s="172" t="s">
        <v>308</v>
      </c>
      <c r="E253" s="173">
        <v>159.71</v>
      </c>
      <c r="F253" s="174">
        <v>47</v>
      </c>
      <c r="G253" s="175">
        <f t="shared" si="89"/>
        <v>7506.37</v>
      </c>
      <c r="H253" s="167">
        <v>0</v>
      </c>
      <c r="I253" s="168">
        <f t="shared" si="90"/>
        <v>0</v>
      </c>
      <c r="J253" s="167">
        <f>VLOOKUP(A253,'12 - CORPO'!$A:$U,18,FALSE)</f>
        <v>0</v>
      </c>
      <c r="K253" s="169">
        <f t="shared" si="91"/>
        <v>0</v>
      </c>
      <c r="L253" s="167">
        <f t="shared" si="92"/>
        <v>0</v>
      </c>
      <c r="M253" s="166">
        <f t="shared" si="93"/>
        <v>0</v>
      </c>
      <c r="N253" s="1023">
        <f t="shared" si="83"/>
        <v>0</v>
      </c>
      <c r="O253" s="983">
        <v>7506.37</v>
      </c>
      <c r="P253" s="981">
        <f t="shared" si="77"/>
        <v>0</v>
      </c>
    </row>
    <row r="254" spans="1:16" outlineLevel="1" x14ac:dyDescent="0.25">
      <c r="A254" s="170" t="s">
        <v>245</v>
      </c>
      <c r="B254" s="170">
        <v>407819</v>
      </c>
      <c r="C254" s="171" t="s">
        <v>327</v>
      </c>
      <c r="D254" s="172" t="s">
        <v>328</v>
      </c>
      <c r="E254" s="173">
        <v>13.36</v>
      </c>
      <c r="F254" s="174">
        <v>99</v>
      </c>
      <c r="G254" s="175">
        <f t="shared" si="89"/>
        <v>1322.64</v>
      </c>
      <c r="H254" s="167">
        <v>0</v>
      </c>
      <c r="I254" s="168">
        <f t="shared" si="90"/>
        <v>0</v>
      </c>
      <c r="J254" s="167">
        <f>VLOOKUP(A254,'12 - CORPO'!$A:$U,18,FALSE)</f>
        <v>0</v>
      </c>
      <c r="K254" s="169">
        <f t="shared" si="91"/>
        <v>0</v>
      </c>
      <c r="L254" s="167">
        <f t="shared" si="92"/>
        <v>0</v>
      </c>
      <c r="M254" s="166">
        <f t="shared" si="93"/>
        <v>0</v>
      </c>
      <c r="N254" s="1023">
        <f t="shared" si="83"/>
        <v>0</v>
      </c>
      <c r="O254" s="983">
        <v>1322.64</v>
      </c>
      <c r="P254" s="981">
        <f t="shared" si="77"/>
        <v>0</v>
      </c>
    </row>
    <row r="255" spans="1:16" ht="25.5" outlineLevel="1" x14ac:dyDescent="0.25">
      <c r="A255" s="170" t="s">
        <v>246</v>
      </c>
      <c r="B255" s="170">
        <v>1106280</v>
      </c>
      <c r="C255" s="171" t="s">
        <v>322</v>
      </c>
      <c r="D255" s="172" t="s">
        <v>323</v>
      </c>
      <c r="E255" s="173">
        <v>363.28</v>
      </c>
      <c r="F255" s="174">
        <v>12.8</v>
      </c>
      <c r="G255" s="175">
        <f t="shared" si="89"/>
        <v>4649.9799999999996</v>
      </c>
      <c r="H255" s="167">
        <v>0</v>
      </c>
      <c r="I255" s="168">
        <f t="shared" si="90"/>
        <v>0</v>
      </c>
      <c r="J255" s="167">
        <f>VLOOKUP(A255,'12 - CORPO'!$A:$U,18,FALSE)</f>
        <v>0</v>
      </c>
      <c r="K255" s="169">
        <f t="shared" si="91"/>
        <v>0</v>
      </c>
      <c r="L255" s="167">
        <f t="shared" si="92"/>
        <v>0</v>
      </c>
      <c r="M255" s="166">
        <f t="shared" si="93"/>
        <v>0</v>
      </c>
      <c r="N255" s="1023">
        <f t="shared" si="83"/>
        <v>0</v>
      </c>
      <c r="O255" s="983">
        <v>4649.9799999999996</v>
      </c>
      <c r="P255" s="981">
        <f t="shared" si="77"/>
        <v>0</v>
      </c>
    </row>
    <row r="256" spans="1:16" outlineLevel="1" x14ac:dyDescent="0.25">
      <c r="A256" s="170" t="s">
        <v>247</v>
      </c>
      <c r="B256" s="170">
        <v>25950</v>
      </c>
      <c r="C256" s="171" t="s">
        <v>324</v>
      </c>
      <c r="D256" s="172" t="s">
        <v>323</v>
      </c>
      <c r="E256" s="173">
        <v>40.520000000000003</v>
      </c>
      <c r="F256" s="174">
        <v>12.8</v>
      </c>
      <c r="G256" s="175">
        <f>TRUNC(F256*E256,2)+0.01</f>
        <v>518.66</v>
      </c>
      <c r="H256" s="167">
        <v>0</v>
      </c>
      <c r="I256" s="168">
        <f t="shared" si="90"/>
        <v>0</v>
      </c>
      <c r="J256" s="167">
        <f>VLOOKUP(A256,'12 - CORPO'!$A:$U,18,FALSE)</f>
        <v>0</v>
      </c>
      <c r="K256" s="169">
        <f t="shared" si="91"/>
        <v>0</v>
      </c>
      <c r="L256" s="167">
        <f t="shared" si="92"/>
        <v>0</v>
      </c>
      <c r="M256" s="166">
        <f t="shared" si="93"/>
        <v>0</v>
      </c>
      <c r="N256" s="1023">
        <f t="shared" si="83"/>
        <v>0</v>
      </c>
      <c r="O256" s="983">
        <v>518.66</v>
      </c>
      <c r="P256" s="981">
        <f t="shared" si="77"/>
        <v>0</v>
      </c>
    </row>
    <row r="257" spans="1:16" x14ac:dyDescent="0.25">
      <c r="A257" s="196"/>
      <c r="B257" s="197"/>
      <c r="C257" s="155" t="s">
        <v>452</v>
      </c>
      <c r="D257" s="155"/>
      <c r="E257" s="155"/>
      <c r="F257" s="156"/>
      <c r="G257" s="157">
        <f>SUBTOTAL(9,G162:G256)</f>
        <v>1507307.8499999996</v>
      </c>
      <c r="H257" s="155"/>
      <c r="I257" s="157">
        <f>SUBTOTAL(9,I162:I256)</f>
        <v>761062.97000000009</v>
      </c>
      <c r="J257" s="155"/>
      <c r="K257" s="157">
        <f>SUBTOTAL(9,K162:K256)</f>
        <v>-20844.5</v>
      </c>
      <c r="L257" s="155"/>
      <c r="M257" s="158">
        <f>SUBTOTAL(9,M162:M256)</f>
        <v>740218.47000000009</v>
      </c>
      <c r="N257" s="152"/>
      <c r="O257" s="986"/>
      <c r="P257" s="981"/>
    </row>
    <row r="258" spans="1:16" s="205" customFormat="1" x14ac:dyDescent="0.25">
      <c r="A258" s="147" t="s">
        <v>248</v>
      </c>
      <c r="B258" s="206" t="s">
        <v>453</v>
      </c>
      <c r="C258" s="148"/>
      <c r="D258" s="148"/>
      <c r="E258" s="148"/>
      <c r="F258" s="149"/>
      <c r="G258" s="150"/>
      <c r="H258" s="148"/>
      <c r="I258" s="150"/>
      <c r="J258" s="148"/>
      <c r="K258" s="150"/>
      <c r="L258" s="148"/>
      <c r="M258" s="151"/>
      <c r="N258" s="152"/>
      <c r="O258" s="986"/>
      <c r="P258" s="981"/>
    </row>
    <row r="259" spans="1:16" x14ac:dyDescent="0.25">
      <c r="A259" s="153" t="s">
        <v>249</v>
      </c>
      <c r="B259" s="154" t="s">
        <v>454</v>
      </c>
      <c r="C259" s="155"/>
      <c r="D259" s="155"/>
      <c r="E259" s="155"/>
      <c r="F259" s="156"/>
      <c r="G259" s="157">
        <f>SUBTOTAL(9,G260:G265)</f>
        <v>228076.02000000002</v>
      </c>
      <c r="H259" s="155"/>
      <c r="I259" s="157">
        <f>SUBTOTAL(9,I260:I265)</f>
        <v>125349.26</v>
      </c>
      <c r="J259" s="155"/>
      <c r="K259" s="157">
        <f>SUBTOTAL(9,K260:K265)</f>
        <v>35398</v>
      </c>
      <c r="L259" s="155"/>
      <c r="M259" s="158">
        <f>SUBTOTAL(9,M260:M265)</f>
        <v>160747.26</v>
      </c>
      <c r="N259" s="152"/>
      <c r="O259" s="986"/>
      <c r="P259" s="981"/>
    </row>
    <row r="260" spans="1:16" outlineLevel="1" x14ac:dyDescent="0.25">
      <c r="A260" s="170" t="s">
        <v>250</v>
      </c>
      <c r="B260" s="170">
        <v>40893</v>
      </c>
      <c r="C260" s="171" t="s">
        <v>455</v>
      </c>
      <c r="D260" s="172" t="s">
        <v>301</v>
      </c>
      <c r="E260" s="173">
        <v>18.367106251837658</v>
      </c>
      <c r="F260" s="811">
        <v>2552.8000000000002</v>
      </c>
      <c r="G260" s="812">
        <f>TRUNC(F260*E260,2)+4.74</f>
        <v>46892.28</v>
      </c>
      <c r="H260" s="167">
        <v>2363.8000000000002</v>
      </c>
      <c r="I260" s="168">
        <f t="shared" ref="I260:I265" si="94">ROUND((E260*H260),2)</f>
        <v>43416.17</v>
      </c>
      <c r="J260" s="167">
        <f>VLOOKUP(A260,'12 - CORPO'!$A:$U,18,FALSE)</f>
        <v>89</v>
      </c>
      <c r="K260" s="169">
        <f t="shared" ref="K260:K265" si="95">M260-I260</f>
        <v>1634.6699999999983</v>
      </c>
      <c r="L260" s="167">
        <f t="shared" ref="L260:L265" si="96">(H260+J260)</f>
        <v>2452.8000000000002</v>
      </c>
      <c r="M260" s="166">
        <f t="shared" ref="M260:M265" si="97">ROUND((E260*L260),2)</f>
        <v>45050.84</v>
      </c>
      <c r="N260" s="1023">
        <f t="shared" ref="N260:N277" si="98">IFERROR(ROUND(M260/G260,4),0)</f>
        <v>0.9607</v>
      </c>
      <c r="O260" s="983">
        <v>46894.94</v>
      </c>
      <c r="P260" s="981">
        <f t="shared" si="77"/>
        <v>-2.6600000000034925</v>
      </c>
    </row>
    <row r="261" spans="1:16" outlineLevel="1" x14ac:dyDescent="0.25">
      <c r="A261" s="170" t="s">
        <v>251</v>
      </c>
      <c r="B261" s="170">
        <v>4915768</v>
      </c>
      <c r="C261" s="171" t="s">
        <v>456</v>
      </c>
      <c r="D261" s="172" t="s">
        <v>323</v>
      </c>
      <c r="E261" s="173">
        <v>14.33</v>
      </c>
      <c r="F261" s="811">
        <v>9668.74</v>
      </c>
      <c r="G261" s="175">
        <f>TRUNC(F261*E261,2)-0.01</f>
        <v>138553.03</v>
      </c>
      <c r="H261" s="167">
        <v>4483.8900000000003</v>
      </c>
      <c r="I261" s="168">
        <f t="shared" si="94"/>
        <v>64254.14</v>
      </c>
      <c r="J261" s="754">
        <f>VLOOKUP(A261,'12 - CORPO'!$A:$U,18,FALSE)</f>
        <v>2356.1289999999999</v>
      </c>
      <c r="K261" s="169">
        <f t="shared" si="95"/>
        <v>33763.33</v>
      </c>
      <c r="L261" s="167">
        <f t="shared" si="96"/>
        <v>6840.0190000000002</v>
      </c>
      <c r="M261" s="166">
        <f t="shared" si="97"/>
        <v>98017.47</v>
      </c>
      <c r="N261" s="1023">
        <f t="shared" si="98"/>
        <v>0.70740000000000003</v>
      </c>
      <c r="O261" s="983">
        <v>138553.04</v>
      </c>
      <c r="P261" s="981">
        <f t="shared" si="77"/>
        <v>-1.0000000009313226E-2</v>
      </c>
    </row>
    <row r="262" spans="1:16" outlineLevel="1" x14ac:dyDescent="0.25">
      <c r="A262" s="170" t="s">
        <v>252</v>
      </c>
      <c r="B262" s="170">
        <v>1600438</v>
      </c>
      <c r="C262" s="171" t="s">
        <v>371</v>
      </c>
      <c r="D262" s="172" t="s">
        <v>323</v>
      </c>
      <c r="E262" s="173">
        <v>386.0875737060494</v>
      </c>
      <c r="F262" s="174">
        <v>45.79</v>
      </c>
      <c r="G262" s="175">
        <f t="shared" ref="G262:G265" si="99">TRUNC(F262*E262,2)</f>
        <v>17678.95</v>
      </c>
      <c r="H262" s="167">
        <v>45.79</v>
      </c>
      <c r="I262" s="168">
        <f t="shared" si="94"/>
        <v>17678.95</v>
      </c>
      <c r="J262" s="167">
        <f>VLOOKUP(A262,'12 - CORPO'!$A:$U,18,FALSE)</f>
        <v>0</v>
      </c>
      <c r="K262" s="169">
        <f t="shared" si="95"/>
        <v>0</v>
      </c>
      <c r="L262" s="167">
        <f t="shared" si="96"/>
        <v>45.79</v>
      </c>
      <c r="M262" s="166">
        <f t="shared" si="97"/>
        <v>17678.95</v>
      </c>
      <c r="N262" s="1023">
        <f t="shared" si="98"/>
        <v>1</v>
      </c>
      <c r="O262" s="983">
        <v>17679.060000000001</v>
      </c>
      <c r="P262" s="981">
        <f t="shared" si="77"/>
        <v>-0.11000000000058208</v>
      </c>
    </row>
    <row r="263" spans="1:16" ht="25.5" outlineLevel="1" x14ac:dyDescent="0.25">
      <c r="A263" s="170" t="s">
        <v>253</v>
      </c>
      <c r="B263" s="170">
        <v>5914675</v>
      </c>
      <c r="C263" s="171" t="s">
        <v>457</v>
      </c>
      <c r="D263" s="172" t="s">
        <v>347</v>
      </c>
      <c r="E263" s="173">
        <v>2.46</v>
      </c>
      <c r="F263" s="174">
        <v>367.92</v>
      </c>
      <c r="G263" s="175">
        <f t="shared" si="99"/>
        <v>905.08</v>
      </c>
      <c r="H263" s="167">
        <v>0</v>
      </c>
      <c r="I263" s="168">
        <f t="shared" si="94"/>
        <v>0</v>
      </c>
      <c r="J263" s="167">
        <f>VLOOKUP(A263,'12 - CORPO'!$A:$U,18,FALSE)</f>
        <v>0</v>
      </c>
      <c r="K263" s="169">
        <f t="shared" si="95"/>
        <v>0</v>
      </c>
      <c r="L263" s="167">
        <f t="shared" si="96"/>
        <v>0</v>
      </c>
      <c r="M263" s="166">
        <f t="shared" si="97"/>
        <v>0</v>
      </c>
      <c r="N263" s="1023">
        <f t="shared" si="98"/>
        <v>0</v>
      </c>
      <c r="O263" s="983">
        <v>905.08</v>
      </c>
      <c r="P263" s="981">
        <f t="shared" si="77"/>
        <v>0</v>
      </c>
    </row>
    <row r="264" spans="1:16" ht="25.5" outlineLevel="1" x14ac:dyDescent="0.25">
      <c r="A264" s="170" t="s">
        <v>254</v>
      </c>
      <c r="B264" s="170">
        <v>5914336</v>
      </c>
      <c r="C264" s="171" t="s">
        <v>350</v>
      </c>
      <c r="D264" s="172" t="s">
        <v>351</v>
      </c>
      <c r="E264" s="173">
        <v>0.6</v>
      </c>
      <c r="F264" s="174">
        <v>5371.63</v>
      </c>
      <c r="G264" s="175">
        <f>TRUNC(F264*E264,2)+0.01</f>
        <v>3222.98</v>
      </c>
      <c r="H264" s="167">
        <v>0</v>
      </c>
      <c r="I264" s="168">
        <f t="shared" si="94"/>
        <v>0</v>
      </c>
      <c r="J264" s="167">
        <f>VLOOKUP(A264,'12 - CORPO'!$A:$U,18,FALSE)</f>
        <v>0</v>
      </c>
      <c r="K264" s="169">
        <f t="shared" si="95"/>
        <v>0</v>
      </c>
      <c r="L264" s="167">
        <f t="shared" si="96"/>
        <v>0</v>
      </c>
      <c r="M264" s="166">
        <f t="shared" si="97"/>
        <v>0</v>
      </c>
      <c r="N264" s="1023">
        <f t="shared" si="98"/>
        <v>0</v>
      </c>
      <c r="O264" s="983">
        <v>3222.98</v>
      </c>
      <c r="P264" s="981">
        <f t="shared" si="77"/>
        <v>0</v>
      </c>
    </row>
    <row r="265" spans="1:16" ht="25.5" outlineLevel="1" x14ac:dyDescent="0.25">
      <c r="A265" s="170" t="s">
        <v>255</v>
      </c>
      <c r="B265" s="170">
        <v>70114</v>
      </c>
      <c r="C265" s="171" t="s">
        <v>417</v>
      </c>
      <c r="D265" s="172" t="s">
        <v>323</v>
      </c>
      <c r="E265" s="173">
        <v>45.61</v>
      </c>
      <c r="F265" s="174">
        <v>456.56</v>
      </c>
      <c r="G265" s="175">
        <f t="shared" si="99"/>
        <v>20823.7</v>
      </c>
      <c r="H265" s="167">
        <v>0</v>
      </c>
      <c r="I265" s="168">
        <f t="shared" si="94"/>
        <v>0</v>
      </c>
      <c r="J265" s="167">
        <f>VLOOKUP(A265,'12 - CORPO'!$A:$U,18,FALSE)</f>
        <v>0</v>
      </c>
      <c r="K265" s="169">
        <f t="shared" si="95"/>
        <v>0</v>
      </c>
      <c r="L265" s="167">
        <f t="shared" si="96"/>
        <v>0</v>
      </c>
      <c r="M265" s="166">
        <f t="shared" si="97"/>
        <v>0</v>
      </c>
      <c r="N265" s="1023">
        <f t="shared" si="98"/>
        <v>0</v>
      </c>
      <c r="O265" s="983">
        <v>20823.7</v>
      </c>
      <c r="P265" s="981">
        <f t="shared" si="77"/>
        <v>0</v>
      </c>
    </row>
    <row r="266" spans="1:16" x14ac:dyDescent="0.25">
      <c r="A266" s="153" t="s">
        <v>256</v>
      </c>
      <c r="B266" s="154" t="s">
        <v>458</v>
      </c>
      <c r="C266" s="155"/>
      <c r="D266" s="155"/>
      <c r="E266" s="155"/>
      <c r="F266" s="156"/>
      <c r="G266" s="157">
        <f>SUBTOTAL(9,G267:G274)</f>
        <v>1683976.61</v>
      </c>
      <c r="H266" s="155"/>
      <c r="I266" s="157">
        <f>SUBTOTAL(9,I267:I274)</f>
        <v>641470.9</v>
      </c>
      <c r="J266" s="155"/>
      <c r="K266" s="157">
        <f>SUBTOTAL(9,K267:K274)</f>
        <v>56592.959999999992</v>
      </c>
      <c r="L266" s="155"/>
      <c r="M266" s="158">
        <f>SUBTOTAL(9,M267:M274)</f>
        <v>698063.86</v>
      </c>
      <c r="N266" s="152"/>
      <c r="O266" s="986"/>
      <c r="P266" s="981"/>
    </row>
    <row r="267" spans="1:16" ht="25.5" outlineLevel="1" x14ac:dyDescent="0.25">
      <c r="A267" s="170" t="s">
        <v>257</v>
      </c>
      <c r="B267" s="170">
        <v>94995</v>
      </c>
      <c r="C267" s="171" t="s">
        <v>459</v>
      </c>
      <c r="D267" s="172" t="s">
        <v>308</v>
      </c>
      <c r="E267" s="173">
        <v>93.278580505902497</v>
      </c>
      <c r="F267" s="174">
        <v>8978.41</v>
      </c>
      <c r="G267" s="175">
        <f t="shared" ref="G267:G273" si="100">TRUNC(F267*E267,2)</f>
        <v>837493.34</v>
      </c>
      <c r="H267" s="167">
        <v>4698.3999999999996</v>
      </c>
      <c r="I267" s="168">
        <f t="shared" ref="I267:I274" si="101">ROUND((E267*H267),2)</f>
        <v>438260.08</v>
      </c>
      <c r="J267" s="167">
        <f>VLOOKUP(A267,'12 - CORPO'!$A:$U,18,FALSE)</f>
        <v>512.82000000000062</v>
      </c>
      <c r="K267" s="169">
        <f t="shared" ref="K267:K274" si="102">M267-I267</f>
        <v>47835.119999999995</v>
      </c>
      <c r="L267" s="167">
        <f t="shared" ref="L267:L274" si="103">(H267+J267)</f>
        <v>5211.22</v>
      </c>
      <c r="M267" s="166">
        <f t="shared" ref="M267:M274" si="104">ROUND((E267*L267),2)</f>
        <v>486095.2</v>
      </c>
      <c r="N267" s="1023">
        <f t="shared" si="98"/>
        <v>0.58040000000000003</v>
      </c>
      <c r="O267" s="983">
        <v>837493.34</v>
      </c>
      <c r="P267" s="981">
        <f t="shared" si="77"/>
        <v>0</v>
      </c>
    </row>
    <row r="268" spans="1:16" ht="25.5" outlineLevel="1" x14ac:dyDescent="0.25">
      <c r="A268" s="170" t="s">
        <v>258</v>
      </c>
      <c r="B268" s="170">
        <v>92396</v>
      </c>
      <c r="C268" s="171" t="s">
        <v>460</v>
      </c>
      <c r="D268" s="172" t="s">
        <v>308</v>
      </c>
      <c r="E268" s="173">
        <v>79.91</v>
      </c>
      <c r="F268" s="174">
        <v>1612.58</v>
      </c>
      <c r="G268" s="175">
        <f>TRUNC(F268*E268,2)+0.01</f>
        <v>128861.26999999999</v>
      </c>
      <c r="H268" s="167">
        <v>400</v>
      </c>
      <c r="I268" s="168">
        <f t="shared" si="101"/>
        <v>31964</v>
      </c>
      <c r="J268" s="167">
        <f>VLOOKUP(A268,'12 - CORPO'!$A:$U,18,FALSE)</f>
        <v>0</v>
      </c>
      <c r="K268" s="169">
        <f t="shared" si="102"/>
        <v>0</v>
      </c>
      <c r="L268" s="167">
        <f t="shared" si="103"/>
        <v>400</v>
      </c>
      <c r="M268" s="166">
        <f t="shared" si="104"/>
        <v>31964</v>
      </c>
      <c r="N268" s="1023">
        <f t="shared" si="98"/>
        <v>0.248</v>
      </c>
      <c r="O268" s="983">
        <v>128861.27</v>
      </c>
      <c r="P268" s="981">
        <f t="shared" si="77"/>
        <v>0</v>
      </c>
    </row>
    <row r="269" spans="1:16" ht="38.25" outlineLevel="1" x14ac:dyDescent="0.25">
      <c r="A269" s="170" t="s">
        <v>259</v>
      </c>
      <c r="B269" s="170">
        <v>200253</v>
      </c>
      <c r="C269" s="171" t="s">
        <v>461</v>
      </c>
      <c r="D269" s="172" t="s">
        <v>308</v>
      </c>
      <c r="E269" s="173">
        <v>64.642140300823371</v>
      </c>
      <c r="F269" s="174">
        <v>1198.71</v>
      </c>
      <c r="G269" s="175">
        <f t="shared" si="100"/>
        <v>77487.179999999993</v>
      </c>
      <c r="H269" s="167">
        <v>253.90600000000001</v>
      </c>
      <c r="I269" s="168">
        <f t="shared" si="101"/>
        <v>16413.03</v>
      </c>
      <c r="J269" s="167">
        <f>VLOOKUP(A269,'12 - CORPO'!$A:$U,18,FALSE)</f>
        <v>0</v>
      </c>
      <c r="K269" s="169">
        <f t="shared" si="102"/>
        <v>0</v>
      </c>
      <c r="L269" s="167">
        <f t="shared" si="103"/>
        <v>253.90600000000001</v>
      </c>
      <c r="M269" s="166">
        <f t="shared" si="104"/>
        <v>16413.03</v>
      </c>
      <c r="N269" s="1023">
        <f t="shared" si="98"/>
        <v>0.21179999999999999</v>
      </c>
      <c r="O269" s="983">
        <v>77487.179999999993</v>
      </c>
      <c r="P269" s="981">
        <f t="shared" si="77"/>
        <v>0</v>
      </c>
    </row>
    <row r="270" spans="1:16" ht="38.25" outlineLevel="1" x14ac:dyDescent="0.25">
      <c r="A270" s="170" t="s">
        <v>260</v>
      </c>
      <c r="B270" s="170">
        <v>200254</v>
      </c>
      <c r="C270" s="171" t="s">
        <v>462</v>
      </c>
      <c r="D270" s="172" t="s">
        <v>308</v>
      </c>
      <c r="E270" s="173">
        <v>92.28</v>
      </c>
      <c r="F270" s="174">
        <v>239.74</v>
      </c>
      <c r="G270" s="175">
        <f>TRUNC(F270*E270,2)+0.01</f>
        <v>22123.21</v>
      </c>
      <c r="H270" s="167">
        <v>0</v>
      </c>
      <c r="I270" s="168">
        <f t="shared" si="101"/>
        <v>0</v>
      </c>
      <c r="J270" s="167">
        <f>VLOOKUP(A270,'12 - CORPO'!$A:$U,18,FALSE)</f>
        <v>0</v>
      </c>
      <c r="K270" s="169">
        <f t="shared" si="102"/>
        <v>0</v>
      </c>
      <c r="L270" s="167">
        <f t="shared" si="103"/>
        <v>0</v>
      </c>
      <c r="M270" s="166">
        <f t="shared" si="104"/>
        <v>0</v>
      </c>
      <c r="N270" s="1023">
        <f t="shared" si="98"/>
        <v>0</v>
      </c>
      <c r="O270" s="983">
        <v>22123.21</v>
      </c>
      <c r="P270" s="981">
        <f t="shared" si="77"/>
        <v>0</v>
      </c>
    </row>
    <row r="271" spans="1:16" ht="38.25" outlineLevel="1" x14ac:dyDescent="0.25">
      <c r="A271" s="207" t="s">
        <v>261</v>
      </c>
      <c r="B271" s="207">
        <v>94273</v>
      </c>
      <c r="C271" s="208" t="s">
        <v>463</v>
      </c>
      <c r="D271" s="209" t="s">
        <v>301</v>
      </c>
      <c r="E271" s="210">
        <v>43.789200082640434</v>
      </c>
      <c r="F271" s="211">
        <v>8083.21</v>
      </c>
      <c r="G271" s="212">
        <f t="shared" si="100"/>
        <v>353957.3</v>
      </c>
      <c r="H271" s="213">
        <v>3535.89</v>
      </c>
      <c r="I271" s="214">
        <f t="shared" si="101"/>
        <v>154833.79</v>
      </c>
      <c r="J271" s="213">
        <f>VLOOKUP(A271,'12 - CORPO'!$A:$U,18,FALSE)</f>
        <v>200</v>
      </c>
      <c r="K271" s="215">
        <f t="shared" si="102"/>
        <v>8757.8399999999965</v>
      </c>
      <c r="L271" s="213">
        <f t="shared" si="103"/>
        <v>3735.89</v>
      </c>
      <c r="M271" s="212">
        <f t="shared" si="104"/>
        <v>163591.63</v>
      </c>
      <c r="N271" s="1023">
        <f t="shared" si="98"/>
        <v>0.4622</v>
      </c>
      <c r="O271" s="983">
        <v>353957.3</v>
      </c>
      <c r="P271" s="981">
        <f t="shared" si="77"/>
        <v>0</v>
      </c>
    </row>
    <row r="272" spans="1:16" outlineLevel="1" x14ac:dyDescent="0.25">
      <c r="A272" s="161" t="s">
        <v>262</v>
      </c>
      <c r="B272" s="161">
        <v>5213408</v>
      </c>
      <c r="C272" s="162" t="s">
        <v>464</v>
      </c>
      <c r="D272" s="163" t="s">
        <v>308</v>
      </c>
      <c r="E272" s="164">
        <v>35.599409629078998</v>
      </c>
      <c r="F272" s="165">
        <v>6497.61</v>
      </c>
      <c r="G272" s="166">
        <f t="shared" si="100"/>
        <v>231311.08</v>
      </c>
      <c r="H272" s="167">
        <v>0</v>
      </c>
      <c r="I272" s="168">
        <f t="shared" si="101"/>
        <v>0</v>
      </c>
      <c r="J272" s="167">
        <f>VLOOKUP(A272,'12 - CORPO'!$A:$U,18,FALSE)</f>
        <v>0</v>
      </c>
      <c r="K272" s="169">
        <f t="shared" si="102"/>
        <v>0</v>
      </c>
      <c r="L272" s="167">
        <f t="shared" si="103"/>
        <v>0</v>
      </c>
      <c r="M272" s="166">
        <f t="shared" si="104"/>
        <v>0</v>
      </c>
      <c r="N272" s="1023">
        <f t="shared" si="98"/>
        <v>0</v>
      </c>
      <c r="O272" s="983">
        <v>231311.08</v>
      </c>
      <c r="P272" s="981">
        <f t="shared" si="77"/>
        <v>0</v>
      </c>
    </row>
    <row r="273" spans="1:16" ht="25.5" customHeight="1" outlineLevel="1" x14ac:dyDescent="0.25">
      <c r="A273" s="170" t="s">
        <v>263</v>
      </c>
      <c r="B273" s="170">
        <v>5214003</v>
      </c>
      <c r="C273" s="171" t="s">
        <v>465</v>
      </c>
      <c r="D273" s="172" t="s">
        <v>308</v>
      </c>
      <c r="E273" s="173">
        <v>60</v>
      </c>
      <c r="F273" s="174">
        <v>303.43</v>
      </c>
      <c r="G273" s="175">
        <f t="shared" si="100"/>
        <v>18205.8</v>
      </c>
      <c r="H273" s="167">
        <v>0</v>
      </c>
      <c r="I273" s="168">
        <f t="shared" si="101"/>
        <v>0</v>
      </c>
      <c r="J273" s="167">
        <f>VLOOKUP(A273,'12 - CORPO'!$A:$U,18,FALSE)</f>
        <v>0</v>
      </c>
      <c r="K273" s="169">
        <f t="shared" si="102"/>
        <v>0</v>
      </c>
      <c r="L273" s="167">
        <f t="shared" si="103"/>
        <v>0</v>
      </c>
      <c r="M273" s="166">
        <f t="shared" si="104"/>
        <v>0</v>
      </c>
      <c r="N273" s="1023">
        <f t="shared" si="98"/>
        <v>0</v>
      </c>
      <c r="O273" s="983">
        <v>18205.8</v>
      </c>
      <c r="P273" s="981">
        <f t="shared" si="77"/>
        <v>0</v>
      </c>
    </row>
    <row r="274" spans="1:16" outlineLevel="1" x14ac:dyDescent="0.25">
      <c r="A274" s="170" t="s">
        <v>264</v>
      </c>
      <c r="B274" s="170">
        <v>40936</v>
      </c>
      <c r="C274" s="171" t="s">
        <v>466</v>
      </c>
      <c r="D274" s="172" t="s">
        <v>308</v>
      </c>
      <c r="E274" s="173">
        <v>664.72</v>
      </c>
      <c r="F274" s="174">
        <v>21.87</v>
      </c>
      <c r="G274" s="175">
        <f>TRUNC(F274*E274,2)+0.01</f>
        <v>14537.43</v>
      </c>
      <c r="H274" s="167">
        <v>0</v>
      </c>
      <c r="I274" s="168">
        <f t="shared" si="101"/>
        <v>0</v>
      </c>
      <c r="J274" s="167">
        <f>VLOOKUP(A274,'12 - CORPO'!$A:$U,18,FALSE)</f>
        <v>0</v>
      </c>
      <c r="K274" s="169">
        <f t="shared" si="102"/>
        <v>0</v>
      </c>
      <c r="L274" s="167">
        <f t="shared" si="103"/>
        <v>0</v>
      </c>
      <c r="M274" s="166">
        <f t="shared" si="104"/>
        <v>0</v>
      </c>
      <c r="N274" s="1023">
        <f t="shared" si="98"/>
        <v>0</v>
      </c>
      <c r="O274" s="983">
        <v>14537.43</v>
      </c>
      <c r="P274" s="981">
        <f t="shared" ref="P274:P316" si="105">G274-O274</f>
        <v>0</v>
      </c>
    </row>
    <row r="275" spans="1:16" x14ac:dyDescent="0.25">
      <c r="A275" s="153" t="s">
        <v>265</v>
      </c>
      <c r="B275" s="154" t="s">
        <v>467</v>
      </c>
      <c r="C275" s="155"/>
      <c r="D275" s="155"/>
      <c r="E275" s="155"/>
      <c r="F275" s="156"/>
      <c r="G275" s="157">
        <f>SUBTOTAL(9,G276:G277)</f>
        <v>441911.22</v>
      </c>
      <c r="H275" s="155"/>
      <c r="I275" s="157">
        <f>SUBTOTAL(9,I276:I277)</f>
        <v>78081.259999999995</v>
      </c>
      <c r="J275" s="155"/>
      <c r="K275" s="157">
        <f>SUBTOTAL(9,K276:K277)</f>
        <v>12871.739999999998</v>
      </c>
      <c r="L275" s="155"/>
      <c r="M275" s="158">
        <f>SUBTOTAL(9,M276:M277)</f>
        <v>90953</v>
      </c>
      <c r="N275" s="152"/>
      <c r="O275" s="986"/>
      <c r="P275" s="981"/>
    </row>
    <row r="276" spans="1:16" ht="25.5" outlineLevel="1" x14ac:dyDescent="0.25">
      <c r="A276" s="170" t="s">
        <v>266</v>
      </c>
      <c r="B276" s="170">
        <v>200326</v>
      </c>
      <c r="C276" s="171" t="s">
        <v>468</v>
      </c>
      <c r="D276" s="172" t="s">
        <v>308</v>
      </c>
      <c r="E276" s="173">
        <v>24.813000166996002</v>
      </c>
      <c r="F276" s="174">
        <v>15988.41</v>
      </c>
      <c r="G276" s="175">
        <f>TRUNC(F276*E276,2)</f>
        <v>396720.42</v>
      </c>
      <c r="H276" s="167">
        <v>2371.7860000000001</v>
      </c>
      <c r="I276" s="168">
        <f>ROUND((E276*H276),2)</f>
        <v>58851.13</v>
      </c>
      <c r="J276" s="167">
        <f>VLOOKUP(A276,'12 - CORPO'!$A:$U,18,FALSE)</f>
        <v>518.75</v>
      </c>
      <c r="K276" s="169">
        <f>M276-I276</f>
        <v>12871.739999999998</v>
      </c>
      <c r="L276" s="167">
        <f>(H276+J276)</f>
        <v>2890.5360000000001</v>
      </c>
      <c r="M276" s="166">
        <f>ROUND((E276*L276),2)</f>
        <v>71722.87</v>
      </c>
      <c r="N276" s="1023">
        <f t="shared" si="98"/>
        <v>0.18079999999999999</v>
      </c>
      <c r="O276" s="983">
        <v>396720.42</v>
      </c>
      <c r="P276" s="981">
        <f t="shared" si="105"/>
        <v>0</v>
      </c>
    </row>
    <row r="277" spans="1:16" ht="25.5" outlineLevel="1" x14ac:dyDescent="0.25">
      <c r="A277" s="170" t="s">
        <v>267</v>
      </c>
      <c r="B277" s="170">
        <v>98511</v>
      </c>
      <c r="C277" s="171" t="s">
        <v>469</v>
      </c>
      <c r="D277" s="172" t="s">
        <v>317</v>
      </c>
      <c r="E277" s="173">
        <v>96.150638297872348</v>
      </c>
      <c r="F277" s="174">
        <v>470</v>
      </c>
      <c r="G277" s="175">
        <f>TRUNC(F277*E277,2)</f>
        <v>45190.8</v>
      </c>
      <c r="H277" s="167">
        <v>200</v>
      </c>
      <c r="I277" s="168">
        <f>ROUND((E277*H277),2)</f>
        <v>19230.13</v>
      </c>
      <c r="J277" s="167">
        <f>VLOOKUP(A277,'12 - CORPO'!$A:$U,18,FALSE)</f>
        <v>0</v>
      </c>
      <c r="K277" s="169">
        <f>M277-I277</f>
        <v>0</v>
      </c>
      <c r="L277" s="167">
        <f>(H277+J277)</f>
        <v>200</v>
      </c>
      <c r="M277" s="166">
        <f>ROUND((E277*L277),2)</f>
        <v>19230.13</v>
      </c>
      <c r="N277" s="1023">
        <f t="shared" si="98"/>
        <v>0.42549999999999999</v>
      </c>
      <c r="O277" s="983">
        <v>45190.8</v>
      </c>
      <c r="P277" s="981">
        <f t="shared" si="105"/>
        <v>0</v>
      </c>
    </row>
    <row r="278" spans="1:16" outlineLevel="1" x14ac:dyDescent="0.25">
      <c r="A278" s="216"/>
      <c r="B278" s="217"/>
      <c r="C278" s="218" t="s">
        <v>470</v>
      </c>
      <c r="D278" s="219"/>
      <c r="E278" s="220"/>
      <c r="F278" s="221"/>
      <c r="G278" s="194">
        <f>SUBTOTAL(9,G259:G277)</f>
        <v>2353963.8499999996</v>
      </c>
      <c r="H278" s="222"/>
      <c r="I278" s="194">
        <f>SUBTOTAL(9,I260:I277)</f>
        <v>844901.42</v>
      </c>
      <c r="J278" s="222"/>
      <c r="K278" s="194">
        <f>SUBTOTAL(9,K260:K277)</f>
        <v>104862.69999999998</v>
      </c>
      <c r="L278" s="222"/>
      <c r="M278" s="195">
        <f>SUBTOTAL(9,M260:M277)</f>
        <v>949764.12</v>
      </c>
      <c r="N278" s="108"/>
      <c r="O278" s="983"/>
      <c r="P278" s="981"/>
    </row>
    <row r="279" spans="1:16" x14ac:dyDescent="0.25">
      <c r="A279" s="147" t="s">
        <v>695</v>
      </c>
      <c r="B279" s="206" t="s">
        <v>696</v>
      </c>
      <c r="C279" s="148"/>
      <c r="D279" s="148"/>
      <c r="E279" s="148"/>
      <c r="F279" s="149"/>
      <c r="G279" s="150">
        <f>SUBTOTAL(9,G281:G296)</f>
        <v>5577426.3399999999</v>
      </c>
      <c r="H279" s="148"/>
      <c r="I279" s="150">
        <f>SUBTOTAL(9,I281:I296)</f>
        <v>3916898.19</v>
      </c>
      <c r="J279" s="148"/>
      <c r="K279" s="150">
        <f>SUBTOTAL(9,K281:K296)</f>
        <v>212789.60000000003</v>
      </c>
      <c r="L279" s="148"/>
      <c r="M279" s="151">
        <f>SUBTOTAL(9,M281:M296)</f>
        <v>4129687.7899999996</v>
      </c>
      <c r="N279" s="152"/>
      <c r="O279" s="986"/>
      <c r="P279" s="981"/>
    </row>
    <row r="280" spans="1:16" x14ac:dyDescent="0.25">
      <c r="A280" s="153" t="s">
        <v>698</v>
      </c>
      <c r="B280" s="154" t="s">
        <v>743</v>
      </c>
      <c r="C280" s="155"/>
      <c r="D280" s="155"/>
      <c r="E280" s="155"/>
      <c r="F280" s="156"/>
      <c r="G280" s="157">
        <f>SUBTOTAL(9,G281:G296)</f>
        <v>5577426.3399999999</v>
      </c>
      <c r="H280" s="155"/>
      <c r="I280" s="157">
        <f>SUBTOTAL(9,I281:I296)</f>
        <v>3916898.19</v>
      </c>
      <c r="J280" s="155"/>
      <c r="K280" s="157">
        <f>SUBTOTAL(9,K281:K310)</f>
        <v>579658.76000000024</v>
      </c>
      <c r="L280" s="155"/>
      <c r="M280" s="158">
        <f>SUBTOTAL(9,M281:M296)</f>
        <v>4129687.7899999996</v>
      </c>
      <c r="N280" s="152"/>
      <c r="O280" s="986"/>
      <c r="P280" s="981"/>
    </row>
    <row r="281" spans="1:16" outlineLevel="1" x14ac:dyDescent="0.25">
      <c r="A281" s="170" t="s">
        <v>721</v>
      </c>
      <c r="B281" s="170">
        <v>7010100290</v>
      </c>
      <c r="C281" s="171" t="s">
        <v>705</v>
      </c>
      <c r="D281" s="172" t="s">
        <v>699</v>
      </c>
      <c r="E281" s="173">
        <v>8386.94</v>
      </c>
      <c r="F281" s="811">
        <v>52</v>
      </c>
      <c r="G281" s="175">
        <f t="shared" ref="G281:G296" si="106">TRUNC(F281*E281,2)</f>
        <v>436120.88</v>
      </c>
      <c r="H281" s="167">
        <v>39</v>
      </c>
      <c r="I281" s="168">
        <f t="shared" ref="I281:I296" si="107">ROUND((E281*H281),2)</f>
        <v>327090.65999999997</v>
      </c>
      <c r="J281" s="167">
        <f>VLOOKUP(A281,'12 - CORPO'!$A:$U,18,FALSE)</f>
        <v>2</v>
      </c>
      <c r="K281" s="169">
        <f t="shared" ref="K281:K296" si="108">M281-I281</f>
        <v>16773.880000000005</v>
      </c>
      <c r="L281" s="167">
        <f t="shared" ref="L281:L296" si="109">(H281+J281)</f>
        <v>41</v>
      </c>
      <c r="M281" s="166">
        <f t="shared" ref="M281:M296" si="110">ROUND((E281*L281),2)</f>
        <v>343864.54</v>
      </c>
      <c r="N281" s="1023">
        <f t="shared" ref="N281:N318" si="111">IFERROR(ROUND(M281/G281,4),0)</f>
        <v>0.78849999999999998</v>
      </c>
      <c r="O281" s="983">
        <v>436120.88</v>
      </c>
      <c r="P281" s="981">
        <f t="shared" si="105"/>
        <v>0</v>
      </c>
    </row>
    <row r="282" spans="1:16" ht="38.25" outlineLevel="1" x14ac:dyDescent="0.25">
      <c r="A282" s="170" t="s">
        <v>722</v>
      </c>
      <c r="B282" s="170">
        <v>50502</v>
      </c>
      <c r="C282" s="171" t="s">
        <v>706</v>
      </c>
      <c r="D282" s="172" t="s">
        <v>308</v>
      </c>
      <c r="E282" s="173">
        <v>203.2</v>
      </c>
      <c r="F282" s="811">
        <v>1311</v>
      </c>
      <c r="G282" s="175">
        <f t="shared" si="106"/>
        <v>266395.2</v>
      </c>
      <c r="H282" s="167">
        <v>1231.52</v>
      </c>
      <c r="I282" s="168">
        <f t="shared" si="107"/>
        <v>250244.86</v>
      </c>
      <c r="J282" s="167">
        <f>VLOOKUP(A282,'12 - CORPO'!$A:$U,18,FALSE)</f>
        <v>30.599999999999909</v>
      </c>
      <c r="K282" s="169">
        <f t="shared" si="108"/>
        <v>6217.9200000000128</v>
      </c>
      <c r="L282" s="167">
        <f t="shared" si="109"/>
        <v>1262.1199999999999</v>
      </c>
      <c r="M282" s="166">
        <f t="shared" si="110"/>
        <v>256462.78</v>
      </c>
      <c r="N282" s="1023">
        <f t="shared" si="111"/>
        <v>0.9627</v>
      </c>
      <c r="O282" s="983">
        <v>266395.2</v>
      </c>
      <c r="P282" s="981">
        <f t="shared" si="105"/>
        <v>0</v>
      </c>
    </row>
    <row r="283" spans="1:16" outlineLevel="1" x14ac:dyDescent="0.25">
      <c r="A283" s="170" t="s">
        <v>723</v>
      </c>
      <c r="B283" s="170" t="s">
        <v>724</v>
      </c>
      <c r="C283" s="171" t="s">
        <v>707</v>
      </c>
      <c r="D283" s="172" t="s">
        <v>700</v>
      </c>
      <c r="E283" s="173">
        <v>163.18</v>
      </c>
      <c r="F283" s="811">
        <v>5755</v>
      </c>
      <c r="G283" s="175">
        <f t="shared" si="106"/>
        <v>939100.9</v>
      </c>
      <c r="H283" s="167">
        <v>2966</v>
      </c>
      <c r="I283" s="168">
        <f t="shared" si="107"/>
        <v>483991.88</v>
      </c>
      <c r="J283" s="167">
        <f>VLOOKUP(A283,'12 - CORPO'!$A:$U,18,FALSE)</f>
        <v>44</v>
      </c>
      <c r="K283" s="169">
        <f t="shared" si="108"/>
        <v>7179.9199999999837</v>
      </c>
      <c r="L283" s="167">
        <f t="shared" si="109"/>
        <v>3010</v>
      </c>
      <c r="M283" s="166">
        <f t="shared" si="110"/>
        <v>491171.8</v>
      </c>
      <c r="N283" s="1023">
        <f t="shared" si="111"/>
        <v>0.52300000000000002</v>
      </c>
      <c r="O283" s="983">
        <v>939100.9</v>
      </c>
      <c r="P283" s="981">
        <f t="shared" si="105"/>
        <v>0</v>
      </c>
    </row>
    <row r="284" spans="1:16" ht="25.5" outlineLevel="1" x14ac:dyDescent="0.25">
      <c r="A284" s="170" t="s">
        <v>725</v>
      </c>
      <c r="B284" s="170">
        <v>5914351</v>
      </c>
      <c r="C284" s="171" t="s">
        <v>708</v>
      </c>
      <c r="D284" s="172" t="s">
        <v>347</v>
      </c>
      <c r="E284" s="173">
        <v>1.86</v>
      </c>
      <c r="F284" s="811">
        <v>278392.76</v>
      </c>
      <c r="G284" s="175">
        <f>TRUNC(F284*E284,2)+0.01</f>
        <v>517810.54000000004</v>
      </c>
      <c r="H284" s="167">
        <v>186502.22</v>
      </c>
      <c r="I284" s="168">
        <f t="shared" si="107"/>
        <v>346894.13</v>
      </c>
      <c r="J284" s="167">
        <f>VLOOKUP(A284,'12 - CORPO'!$A:$U,18,FALSE)</f>
        <v>11600.333000000013</v>
      </c>
      <c r="K284" s="169">
        <f t="shared" si="108"/>
        <v>21576.619999999995</v>
      </c>
      <c r="L284" s="167">
        <f t="shared" si="109"/>
        <v>198102.55300000001</v>
      </c>
      <c r="M284" s="166">
        <f t="shared" si="110"/>
        <v>368470.75</v>
      </c>
      <c r="N284" s="1023">
        <f t="shared" si="111"/>
        <v>0.71160000000000001</v>
      </c>
      <c r="O284" s="983">
        <v>517810.53</v>
      </c>
      <c r="P284" s="981">
        <f t="shared" si="105"/>
        <v>1.0000000009313226E-2</v>
      </c>
    </row>
    <row r="285" spans="1:16" outlineLevel="1" x14ac:dyDescent="0.25">
      <c r="A285" s="170" t="s">
        <v>726</v>
      </c>
      <c r="B285" s="170">
        <v>2003985</v>
      </c>
      <c r="C285" s="171" t="s">
        <v>709</v>
      </c>
      <c r="D285" s="172" t="s">
        <v>701</v>
      </c>
      <c r="E285" s="173">
        <v>313.35000000000002</v>
      </c>
      <c r="F285" s="811">
        <v>1655.5</v>
      </c>
      <c r="G285" s="175">
        <f>TRUNC(F285*E285,2)+0.01</f>
        <v>518750.93</v>
      </c>
      <c r="H285" s="167">
        <v>1557.5</v>
      </c>
      <c r="I285" s="168">
        <f t="shared" si="107"/>
        <v>488042.63</v>
      </c>
      <c r="J285" s="167">
        <f>VLOOKUP(A285,'12 - CORPO'!$A:$U,18,FALSE)</f>
        <v>40</v>
      </c>
      <c r="K285" s="169">
        <f t="shared" si="108"/>
        <v>12534</v>
      </c>
      <c r="L285" s="167">
        <f t="shared" si="109"/>
        <v>1597.5</v>
      </c>
      <c r="M285" s="166">
        <f t="shared" si="110"/>
        <v>500576.63</v>
      </c>
      <c r="N285" s="1023">
        <f t="shared" si="111"/>
        <v>0.96499999999999997</v>
      </c>
      <c r="O285" s="983">
        <v>518750.93</v>
      </c>
      <c r="P285" s="981">
        <f t="shared" si="105"/>
        <v>0</v>
      </c>
    </row>
    <row r="286" spans="1:16" ht="25.5" outlineLevel="1" x14ac:dyDescent="0.25">
      <c r="A286" s="170" t="s">
        <v>727</v>
      </c>
      <c r="B286" s="170" t="s">
        <v>728</v>
      </c>
      <c r="C286" s="171" t="s">
        <v>710</v>
      </c>
      <c r="D286" s="172" t="s">
        <v>313</v>
      </c>
      <c r="E286" s="173">
        <v>17304.849999999999</v>
      </c>
      <c r="F286" s="811">
        <v>13</v>
      </c>
      <c r="G286" s="175">
        <f t="shared" si="106"/>
        <v>224963.05</v>
      </c>
      <c r="H286" s="167">
        <v>6</v>
      </c>
      <c r="I286" s="168">
        <f t="shared" si="107"/>
        <v>103829.1</v>
      </c>
      <c r="J286" s="167">
        <f>VLOOKUP(A286,'12 - CORPO'!$A:$U,18,FALSE)</f>
        <v>0</v>
      </c>
      <c r="K286" s="169">
        <f t="shared" si="108"/>
        <v>0</v>
      </c>
      <c r="L286" s="167">
        <f t="shared" si="109"/>
        <v>6</v>
      </c>
      <c r="M286" s="166">
        <f t="shared" si="110"/>
        <v>103829.1</v>
      </c>
      <c r="N286" s="1023">
        <f t="shared" si="111"/>
        <v>0.46150000000000002</v>
      </c>
      <c r="O286" s="983">
        <v>224963.05</v>
      </c>
      <c r="P286" s="981">
        <f t="shared" si="105"/>
        <v>0</v>
      </c>
    </row>
    <row r="287" spans="1:16" ht="38.25" outlineLevel="1" x14ac:dyDescent="0.25">
      <c r="A287" s="170" t="s">
        <v>729</v>
      </c>
      <c r="B287" s="170">
        <v>20356</v>
      </c>
      <c r="C287" s="171" t="s">
        <v>711</v>
      </c>
      <c r="D287" s="172" t="s">
        <v>313</v>
      </c>
      <c r="E287" s="173">
        <v>560.4</v>
      </c>
      <c r="F287" s="811">
        <v>63</v>
      </c>
      <c r="G287" s="175">
        <f t="shared" si="106"/>
        <v>35305.199999999997</v>
      </c>
      <c r="H287" s="167">
        <v>46</v>
      </c>
      <c r="I287" s="168">
        <f t="shared" si="107"/>
        <v>25778.400000000001</v>
      </c>
      <c r="J287" s="167">
        <f>VLOOKUP(A287,'12 - CORPO'!$A:$U,18,FALSE)</f>
        <v>2</v>
      </c>
      <c r="K287" s="169">
        <f t="shared" si="108"/>
        <v>1120.7999999999993</v>
      </c>
      <c r="L287" s="167">
        <f t="shared" si="109"/>
        <v>48</v>
      </c>
      <c r="M287" s="166">
        <f t="shared" si="110"/>
        <v>26899.200000000001</v>
      </c>
      <c r="N287" s="1023">
        <f t="shared" si="111"/>
        <v>0.76190000000000002</v>
      </c>
      <c r="O287" s="983">
        <v>35305.199999999997</v>
      </c>
      <c r="P287" s="981">
        <f t="shared" si="105"/>
        <v>0</v>
      </c>
    </row>
    <row r="288" spans="1:16" outlineLevel="1" x14ac:dyDescent="0.25">
      <c r="A288" s="170" t="s">
        <v>730</v>
      </c>
      <c r="B288" s="170">
        <v>7010100210</v>
      </c>
      <c r="C288" s="171" t="s">
        <v>712</v>
      </c>
      <c r="D288" s="172" t="s">
        <v>305</v>
      </c>
      <c r="E288" s="173">
        <v>1756.31</v>
      </c>
      <c r="F288" s="811">
        <v>62</v>
      </c>
      <c r="G288" s="175">
        <f t="shared" si="106"/>
        <v>108891.22</v>
      </c>
      <c r="H288" s="167">
        <v>48</v>
      </c>
      <c r="I288" s="168">
        <f t="shared" si="107"/>
        <v>84302.88</v>
      </c>
      <c r="J288" s="167">
        <f>VLOOKUP(A288,'12 - CORPO'!$A:$U,18,FALSE)</f>
        <v>2</v>
      </c>
      <c r="K288" s="169">
        <f t="shared" si="108"/>
        <v>3512.6199999999953</v>
      </c>
      <c r="L288" s="167">
        <f t="shared" si="109"/>
        <v>50</v>
      </c>
      <c r="M288" s="166">
        <f t="shared" si="110"/>
        <v>87815.5</v>
      </c>
      <c r="N288" s="1023">
        <f t="shared" si="111"/>
        <v>0.80649999999999999</v>
      </c>
      <c r="O288" s="983">
        <v>108891.22</v>
      </c>
      <c r="P288" s="981">
        <f t="shared" si="105"/>
        <v>0</v>
      </c>
    </row>
    <row r="289" spans="1:17" outlineLevel="1" x14ac:dyDescent="0.25">
      <c r="A289" s="170" t="s">
        <v>731</v>
      </c>
      <c r="B289" s="170">
        <v>41264</v>
      </c>
      <c r="C289" s="171" t="s">
        <v>713</v>
      </c>
      <c r="D289" s="809" t="s">
        <v>702</v>
      </c>
      <c r="E289" s="810">
        <v>527.23</v>
      </c>
      <c r="F289" s="811">
        <v>503.99999999999994</v>
      </c>
      <c r="G289" s="812">
        <f t="shared" si="106"/>
        <v>265723.92</v>
      </c>
      <c r="H289" s="754">
        <v>282.32</v>
      </c>
      <c r="I289" s="813">
        <f t="shared" si="107"/>
        <v>148847.57</v>
      </c>
      <c r="J289" s="754">
        <f>VLOOKUP(A289,'12 - CORPO'!$A:$U,18,FALSE)</f>
        <v>0</v>
      </c>
      <c r="K289" s="169">
        <f t="shared" si="108"/>
        <v>0</v>
      </c>
      <c r="L289" s="754">
        <f t="shared" si="109"/>
        <v>282.32</v>
      </c>
      <c r="M289" s="814">
        <f t="shared" si="110"/>
        <v>148847.57</v>
      </c>
      <c r="N289" s="1023">
        <f t="shared" si="111"/>
        <v>0.56020000000000003</v>
      </c>
      <c r="O289" s="983">
        <v>265723.92</v>
      </c>
      <c r="P289" s="981">
        <f t="shared" si="105"/>
        <v>0</v>
      </c>
    </row>
    <row r="290" spans="1:17" outlineLevel="1" x14ac:dyDescent="0.25">
      <c r="A290" s="170" t="s">
        <v>732</v>
      </c>
      <c r="B290" s="170">
        <v>88326</v>
      </c>
      <c r="C290" s="171" t="s">
        <v>714</v>
      </c>
      <c r="D290" s="172" t="s">
        <v>703</v>
      </c>
      <c r="E290" s="173">
        <v>26.35</v>
      </c>
      <c r="F290" s="811">
        <v>8800</v>
      </c>
      <c r="G290" s="175">
        <f t="shared" si="106"/>
        <v>231880</v>
      </c>
      <c r="H290" s="167">
        <v>7920</v>
      </c>
      <c r="I290" s="168">
        <f t="shared" si="107"/>
        <v>208692</v>
      </c>
      <c r="J290" s="167">
        <f>VLOOKUP(A290,'12 - CORPO'!$A:$U,18,FALSE)</f>
        <v>440</v>
      </c>
      <c r="K290" s="169">
        <f t="shared" si="108"/>
        <v>11594</v>
      </c>
      <c r="L290" s="167">
        <f t="shared" si="109"/>
        <v>8360</v>
      </c>
      <c r="M290" s="166">
        <f t="shared" si="110"/>
        <v>220286</v>
      </c>
      <c r="N290" s="1023">
        <f t="shared" si="111"/>
        <v>0.95</v>
      </c>
      <c r="O290" s="983">
        <v>231880</v>
      </c>
      <c r="P290" s="981">
        <f t="shared" si="105"/>
        <v>0</v>
      </c>
    </row>
    <row r="291" spans="1:17" ht="25.5" outlineLevel="1" x14ac:dyDescent="0.25">
      <c r="A291" s="170" t="s">
        <v>733</v>
      </c>
      <c r="B291" s="170" t="s">
        <v>734</v>
      </c>
      <c r="C291" s="171" t="s">
        <v>715</v>
      </c>
      <c r="D291" s="172" t="s">
        <v>313</v>
      </c>
      <c r="E291" s="173">
        <v>1577.07</v>
      </c>
      <c r="F291" s="811">
        <v>131</v>
      </c>
      <c r="G291" s="175">
        <f t="shared" si="106"/>
        <v>206596.17</v>
      </c>
      <c r="H291" s="167">
        <v>107</v>
      </c>
      <c r="I291" s="168">
        <f t="shared" si="107"/>
        <v>168746.49</v>
      </c>
      <c r="J291" s="167">
        <f>VLOOKUP(A291,'12 - CORPO'!$A:$U,18,FALSE)</f>
        <v>4</v>
      </c>
      <c r="K291" s="169">
        <f t="shared" si="108"/>
        <v>6308.2799999999988</v>
      </c>
      <c r="L291" s="167">
        <f t="shared" si="109"/>
        <v>111</v>
      </c>
      <c r="M291" s="166">
        <f t="shared" si="110"/>
        <v>175054.77</v>
      </c>
      <c r="N291" s="1023">
        <f t="shared" si="111"/>
        <v>0.84730000000000005</v>
      </c>
      <c r="O291" s="983">
        <v>206596.17</v>
      </c>
      <c r="P291" s="981">
        <f t="shared" si="105"/>
        <v>0</v>
      </c>
    </row>
    <row r="292" spans="1:17" outlineLevel="1" x14ac:dyDescent="0.25">
      <c r="A292" s="170" t="s">
        <v>735</v>
      </c>
      <c r="B292" s="170" t="s">
        <v>736</v>
      </c>
      <c r="C292" s="171" t="s">
        <v>716</v>
      </c>
      <c r="D292" s="172" t="s">
        <v>313</v>
      </c>
      <c r="E292" s="173">
        <v>12230.62</v>
      </c>
      <c r="F292" s="811">
        <v>47</v>
      </c>
      <c r="G292" s="175">
        <f t="shared" si="106"/>
        <v>574839.14</v>
      </c>
      <c r="H292" s="167">
        <v>44</v>
      </c>
      <c r="I292" s="168">
        <f t="shared" si="107"/>
        <v>538147.28</v>
      </c>
      <c r="J292" s="167">
        <f>VLOOKUP(A292,'12 - CORPO'!$A:$U,18,FALSE)</f>
        <v>1</v>
      </c>
      <c r="K292" s="169">
        <f t="shared" si="108"/>
        <v>12230.619999999995</v>
      </c>
      <c r="L292" s="167">
        <f t="shared" si="109"/>
        <v>45</v>
      </c>
      <c r="M292" s="166">
        <f t="shared" si="110"/>
        <v>550377.9</v>
      </c>
      <c r="N292" s="1023">
        <f t="shared" si="111"/>
        <v>0.95740000000000003</v>
      </c>
      <c r="O292" s="983">
        <v>574839.14</v>
      </c>
      <c r="P292" s="981">
        <f t="shared" si="105"/>
        <v>0</v>
      </c>
    </row>
    <row r="293" spans="1:17" ht="25.5" outlineLevel="1" x14ac:dyDescent="0.25">
      <c r="A293" s="170" t="s">
        <v>737</v>
      </c>
      <c r="B293" s="170" t="s">
        <v>738</v>
      </c>
      <c r="C293" s="171" t="s">
        <v>717</v>
      </c>
      <c r="D293" s="172" t="s">
        <v>323</v>
      </c>
      <c r="E293" s="173">
        <v>62.86</v>
      </c>
      <c r="F293" s="811">
        <v>1581.2499999999998</v>
      </c>
      <c r="G293" s="175">
        <f>TRUNC(F293*E293,2)+0.01</f>
        <v>99397.37999999999</v>
      </c>
      <c r="H293" s="167">
        <v>1290.3</v>
      </c>
      <c r="I293" s="168">
        <f t="shared" si="107"/>
        <v>81108.259999999995</v>
      </c>
      <c r="J293" s="167">
        <f>VLOOKUP(A293,'12 - CORPO'!$A:$U,18,FALSE)</f>
        <v>151.79999999999995</v>
      </c>
      <c r="K293" s="169">
        <f t="shared" si="108"/>
        <v>9542.1500000000087</v>
      </c>
      <c r="L293" s="167">
        <f t="shared" si="109"/>
        <v>1442.1</v>
      </c>
      <c r="M293" s="166">
        <f t="shared" si="110"/>
        <v>90650.41</v>
      </c>
      <c r="N293" s="1023">
        <f t="shared" si="111"/>
        <v>0.91200000000000003</v>
      </c>
      <c r="O293" s="983">
        <v>99397.38</v>
      </c>
      <c r="P293" s="981">
        <f t="shared" si="105"/>
        <v>0</v>
      </c>
    </row>
    <row r="294" spans="1:17" ht="25.5" outlineLevel="1" x14ac:dyDescent="0.25">
      <c r="A294" s="170" t="s">
        <v>739</v>
      </c>
      <c r="B294" s="170">
        <v>93598</v>
      </c>
      <c r="C294" s="171" t="s">
        <v>718</v>
      </c>
      <c r="D294" s="809" t="s">
        <v>704</v>
      </c>
      <c r="E294" s="810">
        <v>1.39</v>
      </c>
      <c r="F294" s="811">
        <v>516479.09</v>
      </c>
      <c r="G294" s="812">
        <f t="shared" si="106"/>
        <v>717905.93</v>
      </c>
      <c r="H294" s="754">
        <v>264884.12300000002</v>
      </c>
      <c r="I294" s="813">
        <f t="shared" si="107"/>
        <v>368188.93</v>
      </c>
      <c r="J294" s="754">
        <f>VLOOKUP(A294,'12 - CORPO'!$A:$U,18,FALSE)</f>
        <v>16609.370999999985</v>
      </c>
      <c r="K294" s="169">
        <f t="shared" si="108"/>
        <v>23087.030000000028</v>
      </c>
      <c r="L294" s="754">
        <f t="shared" si="109"/>
        <v>281493.49400000001</v>
      </c>
      <c r="M294" s="814">
        <f t="shared" si="110"/>
        <v>391275.96</v>
      </c>
      <c r="N294" s="1023">
        <f t="shared" si="111"/>
        <v>0.54500000000000004</v>
      </c>
      <c r="O294" s="983">
        <v>717905.94</v>
      </c>
      <c r="P294" s="981">
        <f t="shared" si="105"/>
        <v>-9.9999998928979039E-3</v>
      </c>
    </row>
    <row r="295" spans="1:17" outlineLevel="1" x14ac:dyDescent="0.25">
      <c r="A295" s="170" t="s">
        <v>740</v>
      </c>
      <c r="B295" s="170">
        <v>98535</v>
      </c>
      <c r="C295" s="171" t="s">
        <v>719</v>
      </c>
      <c r="D295" s="172" t="s">
        <v>305</v>
      </c>
      <c r="E295" s="173">
        <v>1192.82</v>
      </c>
      <c r="F295" s="811">
        <v>234</v>
      </c>
      <c r="G295" s="175">
        <f t="shared" si="106"/>
        <v>279119.88</v>
      </c>
      <c r="H295" s="167">
        <v>116</v>
      </c>
      <c r="I295" s="168">
        <f t="shared" si="107"/>
        <v>138367.12</v>
      </c>
      <c r="J295" s="167">
        <f>VLOOKUP(A295,'12 - CORPO'!$A:$U,18,FALSE)</f>
        <v>68</v>
      </c>
      <c r="K295" s="169">
        <f t="shared" si="108"/>
        <v>81111.760000000009</v>
      </c>
      <c r="L295" s="167">
        <f t="shared" si="109"/>
        <v>184</v>
      </c>
      <c r="M295" s="166">
        <f t="shared" si="110"/>
        <v>219478.88</v>
      </c>
      <c r="N295" s="1023">
        <f t="shared" si="111"/>
        <v>0.7863</v>
      </c>
      <c r="O295" s="983">
        <v>279119.88</v>
      </c>
      <c r="P295" s="981">
        <f t="shared" si="105"/>
        <v>0</v>
      </c>
    </row>
    <row r="296" spans="1:17" ht="38.25" outlineLevel="1" x14ac:dyDescent="0.25">
      <c r="A296" s="170" t="s">
        <v>741</v>
      </c>
      <c r="B296" s="170" t="s">
        <v>742</v>
      </c>
      <c r="C296" s="171" t="s">
        <v>720</v>
      </c>
      <c r="D296" s="172" t="s">
        <v>301</v>
      </c>
      <c r="E296" s="173">
        <v>2577.1</v>
      </c>
      <c r="F296" s="811">
        <v>60</v>
      </c>
      <c r="G296" s="175">
        <f t="shared" si="106"/>
        <v>154626</v>
      </c>
      <c r="H296" s="167">
        <v>60</v>
      </c>
      <c r="I296" s="168">
        <f t="shared" si="107"/>
        <v>154626</v>
      </c>
      <c r="J296" s="167">
        <f>VLOOKUP(A296,'12 - CORPO'!$A:$U,18,FALSE)</f>
        <v>0</v>
      </c>
      <c r="K296" s="169">
        <f t="shared" si="108"/>
        <v>0</v>
      </c>
      <c r="L296" s="167">
        <f t="shared" si="109"/>
        <v>60</v>
      </c>
      <c r="M296" s="166">
        <f t="shared" si="110"/>
        <v>154626</v>
      </c>
      <c r="N296" s="1023">
        <f t="shared" si="111"/>
        <v>1</v>
      </c>
      <c r="O296" s="983">
        <v>154626</v>
      </c>
      <c r="P296" s="981">
        <f t="shared" si="105"/>
        <v>0</v>
      </c>
    </row>
    <row r="297" spans="1:17" ht="25.5" outlineLevel="1" x14ac:dyDescent="0.25">
      <c r="A297" s="170" t="s">
        <v>957</v>
      </c>
      <c r="B297" s="170"/>
      <c r="C297" s="171" t="s">
        <v>964</v>
      </c>
      <c r="D297" s="172" t="s">
        <v>323</v>
      </c>
      <c r="E297" s="173">
        <v>113.62</v>
      </c>
      <c r="F297" s="811">
        <v>27645.58</v>
      </c>
      <c r="G297" s="175">
        <f>TRUNC(F297*E297,2)+0.01</f>
        <v>3141090.8</v>
      </c>
      <c r="H297" s="167">
        <v>19214.87</v>
      </c>
      <c r="I297" s="168">
        <f>ROUND((E297*H297),2)</f>
        <v>2183193.5299999998</v>
      </c>
      <c r="J297" s="167">
        <f>VLOOKUP(A297,'12 - CORPO'!$A:$U,18,FALSE)</f>
        <v>1890.7870000000003</v>
      </c>
      <c r="K297" s="169">
        <f>M297-I297</f>
        <v>214831.2200000002</v>
      </c>
      <c r="L297" s="167">
        <f>(H297+J297)</f>
        <v>21105.656999999999</v>
      </c>
      <c r="M297" s="166">
        <f>ROUND((E297*L297),2)</f>
        <v>2398024.75</v>
      </c>
      <c r="N297" s="1023">
        <f t="shared" si="111"/>
        <v>0.76339999999999997</v>
      </c>
      <c r="O297" s="983">
        <v>3141090.8</v>
      </c>
      <c r="P297" s="981">
        <f t="shared" si="105"/>
        <v>0</v>
      </c>
    </row>
    <row r="298" spans="1:17" ht="25.5" outlineLevel="1" x14ac:dyDescent="0.25">
      <c r="A298" s="170" t="s">
        <v>958</v>
      </c>
      <c r="B298" s="170"/>
      <c r="C298" s="171" t="s">
        <v>965</v>
      </c>
      <c r="D298" s="172" t="s">
        <v>323</v>
      </c>
      <c r="E298" s="810">
        <v>36.520000000000003</v>
      </c>
      <c r="F298" s="811">
        <v>10839.03</v>
      </c>
      <c r="G298" s="175">
        <f>TRUNC(F298*E298,2)</f>
        <v>395841.37</v>
      </c>
      <c r="H298" s="167">
        <v>7669.71</v>
      </c>
      <c r="I298" s="168">
        <f t="shared" ref="I298:I316" si="112">ROUND((E298*H298),2)</f>
        <v>280097.81</v>
      </c>
      <c r="J298" s="167">
        <f>VLOOKUP(A298,'12 - CORPO'!$A:$U,18,FALSE)</f>
        <v>1981.3039999999992</v>
      </c>
      <c r="K298" s="169">
        <f t="shared" ref="K298:K303" si="113">M298-I298</f>
        <v>72357.22000000003</v>
      </c>
      <c r="L298" s="167">
        <f t="shared" ref="L298:L303" si="114">(H298+J298)</f>
        <v>9651.0139999999992</v>
      </c>
      <c r="M298" s="166">
        <f t="shared" ref="M298:M303" si="115">ROUND((E298*L298),2)</f>
        <v>352455.03</v>
      </c>
      <c r="N298" s="1023">
        <f t="shared" si="111"/>
        <v>0.89039999999999997</v>
      </c>
      <c r="O298" s="983">
        <v>397467.23</v>
      </c>
      <c r="P298" s="981">
        <f>G298-O298</f>
        <v>-1625.859999999986</v>
      </c>
      <c r="Q298" s="802"/>
    </row>
    <row r="299" spans="1:17" ht="25.5" outlineLevel="1" x14ac:dyDescent="0.25">
      <c r="A299" s="170" t="s">
        <v>959</v>
      </c>
      <c r="B299" s="170"/>
      <c r="C299" s="171" t="s">
        <v>966</v>
      </c>
      <c r="D299" s="172" t="s">
        <v>308</v>
      </c>
      <c r="E299" s="173">
        <v>105.49</v>
      </c>
      <c r="F299" s="811">
        <v>3114</v>
      </c>
      <c r="G299" s="175">
        <f t="shared" ref="G299:G316" si="116">TRUNC(F299*E299,2)</f>
        <v>328495.86</v>
      </c>
      <c r="H299" s="167">
        <v>974</v>
      </c>
      <c r="I299" s="168">
        <f t="shared" si="112"/>
        <v>102747.26</v>
      </c>
      <c r="J299" s="167">
        <f>VLOOKUP(A299,'12 - CORPO'!$A:$U,18,FALSE)</f>
        <v>0</v>
      </c>
      <c r="K299" s="169">
        <f t="shared" si="113"/>
        <v>0</v>
      </c>
      <c r="L299" s="167">
        <f t="shared" si="114"/>
        <v>974</v>
      </c>
      <c r="M299" s="166">
        <f t="shared" si="115"/>
        <v>102747.26</v>
      </c>
      <c r="N299" s="1023">
        <f t="shared" si="111"/>
        <v>0.31280000000000002</v>
      </c>
      <c r="O299" s="983">
        <v>328495.86</v>
      </c>
      <c r="P299" s="981">
        <f t="shared" si="105"/>
        <v>0</v>
      </c>
    </row>
    <row r="300" spans="1:17" ht="25.5" outlineLevel="1" x14ac:dyDescent="0.25">
      <c r="A300" s="170" t="s">
        <v>960</v>
      </c>
      <c r="B300" s="170"/>
      <c r="C300" s="171" t="s">
        <v>967</v>
      </c>
      <c r="D300" s="172" t="s">
        <v>323</v>
      </c>
      <c r="E300" s="173">
        <v>37.42</v>
      </c>
      <c r="F300" s="811">
        <v>15780.59</v>
      </c>
      <c r="G300" s="175">
        <f>TRUNC(F300*E300,2)+0.01</f>
        <v>590509.68000000005</v>
      </c>
      <c r="H300" s="167">
        <v>9607.4344999999994</v>
      </c>
      <c r="I300" s="168">
        <f t="shared" si="112"/>
        <v>359510.2</v>
      </c>
      <c r="J300" s="167">
        <f>VLOOKUP(A300,'12 - CORPO'!$A:$U,18,FALSE)</f>
        <v>945.39350000000013</v>
      </c>
      <c r="K300" s="169">
        <f t="shared" si="113"/>
        <v>35376.619999999995</v>
      </c>
      <c r="L300" s="167">
        <f t="shared" si="114"/>
        <v>10552.828</v>
      </c>
      <c r="M300" s="166">
        <f t="shared" si="115"/>
        <v>394886.82</v>
      </c>
      <c r="N300" s="1023">
        <f t="shared" si="111"/>
        <v>0.66869999999999996</v>
      </c>
      <c r="O300" s="983">
        <v>590509.68000000005</v>
      </c>
      <c r="P300" s="981">
        <f t="shared" si="105"/>
        <v>0</v>
      </c>
    </row>
    <row r="301" spans="1:17" outlineLevel="1" x14ac:dyDescent="0.25">
      <c r="A301" s="170" t="s">
        <v>961</v>
      </c>
      <c r="B301" s="170"/>
      <c r="C301" s="171" t="s">
        <v>968</v>
      </c>
      <c r="D301" s="172" t="s">
        <v>486</v>
      </c>
      <c r="E301" s="173">
        <v>1502.04</v>
      </c>
      <c r="F301" s="811">
        <v>52</v>
      </c>
      <c r="G301" s="175">
        <f t="shared" si="116"/>
        <v>78106.080000000002</v>
      </c>
      <c r="H301" s="167">
        <v>32</v>
      </c>
      <c r="I301" s="168">
        <f t="shared" si="112"/>
        <v>48065.279999999999</v>
      </c>
      <c r="J301" s="167">
        <f>VLOOKUP(A301,'12 - CORPO'!$A:$U,18,FALSE)</f>
        <v>0</v>
      </c>
      <c r="K301" s="169">
        <f t="shared" si="113"/>
        <v>0</v>
      </c>
      <c r="L301" s="167">
        <f t="shared" si="114"/>
        <v>32</v>
      </c>
      <c r="M301" s="166">
        <f t="shared" si="115"/>
        <v>48065.279999999999</v>
      </c>
      <c r="N301" s="1023">
        <f t="shared" si="111"/>
        <v>0.61539999999999995</v>
      </c>
      <c r="O301" s="983">
        <v>78106.080000000002</v>
      </c>
      <c r="P301" s="981">
        <f t="shared" si="105"/>
        <v>0</v>
      </c>
    </row>
    <row r="302" spans="1:17" outlineLevel="1" x14ac:dyDescent="0.25">
      <c r="A302" s="170" t="s">
        <v>962</v>
      </c>
      <c r="B302" s="170"/>
      <c r="C302" s="171" t="s">
        <v>969</v>
      </c>
      <c r="D302" s="172" t="s">
        <v>323</v>
      </c>
      <c r="E302" s="173">
        <v>108.58</v>
      </c>
      <c r="F302" s="811">
        <v>885.5</v>
      </c>
      <c r="G302" s="175">
        <f t="shared" si="116"/>
        <v>96147.59</v>
      </c>
      <c r="H302" s="167">
        <v>243.5</v>
      </c>
      <c r="I302" s="168">
        <f t="shared" si="112"/>
        <v>26439.23</v>
      </c>
      <c r="J302" s="167">
        <f>VLOOKUP(A302,'12 - CORPO'!$A:$U,18,FALSE)</f>
        <v>0</v>
      </c>
      <c r="K302" s="169">
        <f t="shared" si="113"/>
        <v>0</v>
      </c>
      <c r="L302" s="167">
        <f t="shared" si="114"/>
        <v>243.5</v>
      </c>
      <c r="M302" s="166">
        <f t="shared" si="115"/>
        <v>26439.23</v>
      </c>
      <c r="N302" s="1023">
        <f t="shared" si="111"/>
        <v>0.27500000000000002</v>
      </c>
      <c r="O302" s="983">
        <v>96147.59</v>
      </c>
      <c r="P302" s="981">
        <f t="shared" si="105"/>
        <v>0</v>
      </c>
    </row>
    <row r="303" spans="1:17" ht="25.5" outlineLevel="1" x14ac:dyDescent="0.25">
      <c r="A303" s="170" t="s">
        <v>963</v>
      </c>
      <c r="B303" s="170"/>
      <c r="C303" s="171" t="s">
        <v>970</v>
      </c>
      <c r="D303" s="172" t="s">
        <v>308</v>
      </c>
      <c r="E303" s="173">
        <v>13.25</v>
      </c>
      <c r="F303" s="811">
        <v>2060</v>
      </c>
      <c r="G303" s="175">
        <f t="shared" si="116"/>
        <v>27295</v>
      </c>
      <c r="H303" s="167">
        <v>974</v>
      </c>
      <c r="I303" s="168">
        <f t="shared" si="112"/>
        <v>12905.5</v>
      </c>
      <c r="J303" s="167">
        <f>VLOOKUP(A303,'12 - CORPO'!$A:$U,18,FALSE)</f>
        <v>0</v>
      </c>
      <c r="K303" s="169">
        <f t="shared" si="113"/>
        <v>0</v>
      </c>
      <c r="L303" s="167">
        <f t="shared" si="114"/>
        <v>974</v>
      </c>
      <c r="M303" s="166">
        <f t="shared" si="115"/>
        <v>12905.5</v>
      </c>
      <c r="N303" s="1023">
        <f t="shared" si="111"/>
        <v>0.4728</v>
      </c>
      <c r="O303" s="983">
        <v>27295</v>
      </c>
      <c r="P303" s="981">
        <f t="shared" si="105"/>
        <v>0</v>
      </c>
    </row>
    <row r="304" spans="1:17" ht="51" outlineLevel="1" x14ac:dyDescent="0.25">
      <c r="A304" s="170" t="s">
        <v>1142</v>
      </c>
      <c r="B304" s="170"/>
      <c r="C304" s="171" t="s">
        <v>1149</v>
      </c>
      <c r="D304" s="172" t="s">
        <v>323</v>
      </c>
      <c r="E304" s="173">
        <v>21.32</v>
      </c>
      <c r="F304" s="811">
        <v>9235.2000000000007</v>
      </c>
      <c r="G304" s="175">
        <f t="shared" si="116"/>
        <v>196894.46</v>
      </c>
      <c r="H304" s="167">
        <v>5261.2449999999999</v>
      </c>
      <c r="I304" s="168">
        <f t="shared" si="112"/>
        <v>112169.74</v>
      </c>
      <c r="J304" s="167">
        <f>VLOOKUP(A304,'12 - CORPO'!$A:$U,18,FALSE)</f>
        <v>662.13200000000052</v>
      </c>
      <c r="K304" s="169">
        <f t="shared" ref="K304:K316" si="117">M304-I304</f>
        <v>14116.659999999989</v>
      </c>
      <c r="L304" s="167">
        <f t="shared" ref="L304:L305" si="118">(H304+J304)</f>
        <v>5923.3770000000004</v>
      </c>
      <c r="M304" s="166">
        <f t="shared" ref="M304:M305" si="119">ROUND((E304*L304),2)</f>
        <v>126286.39999999999</v>
      </c>
      <c r="N304" s="1023">
        <f t="shared" si="111"/>
        <v>0.64139999999999997</v>
      </c>
      <c r="O304" s="983">
        <v>196894.46</v>
      </c>
      <c r="P304" s="981">
        <f t="shared" si="105"/>
        <v>0</v>
      </c>
    </row>
    <row r="305" spans="1:16" ht="25.5" outlineLevel="1" x14ac:dyDescent="0.25">
      <c r="A305" s="170" t="s">
        <v>1143</v>
      </c>
      <c r="B305" s="170"/>
      <c r="C305" s="171" t="s">
        <v>1150</v>
      </c>
      <c r="D305" s="172" t="s">
        <v>323</v>
      </c>
      <c r="E305" s="173">
        <v>10.87</v>
      </c>
      <c r="F305" s="811">
        <v>9235.2000000000007</v>
      </c>
      <c r="G305" s="175">
        <f t="shared" si="116"/>
        <v>100386.62</v>
      </c>
      <c r="H305" s="167">
        <v>5261.2449999999999</v>
      </c>
      <c r="I305" s="168">
        <f t="shared" si="112"/>
        <v>57189.73</v>
      </c>
      <c r="J305" s="167">
        <f>VLOOKUP(A305,'12 - CORPO'!$A:$U,18,FALSE)</f>
        <v>662.13200000000052</v>
      </c>
      <c r="K305" s="169">
        <f t="shared" si="117"/>
        <v>7197.3799999999974</v>
      </c>
      <c r="L305" s="167">
        <f t="shared" si="118"/>
        <v>5923.3770000000004</v>
      </c>
      <c r="M305" s="166">
        <f t="shared" si="119"/>
        <v>64387.11</v>
      </c>
      <c r="N305" s="1023">
        <f t="shared" si="111"/>
        <v>0.64139999999999997</v>
      </c>
      <c r="O305" s="983">
        <v>100386.62</v>
      </c>
      <c r="P305" s="981">
        <f t="shared" si="105"/>
        <v>0</v>
      </c>
    </row>
    <row r="306" spans="1:16" outlineLevel="1" x14ac:dyDescent="0.25">
      <c r="A306" s="170" t="s">
        <v>1144</v>
      </c>
      <c r="B306" s="170"/>
      <c r="C306" s="171" t="s">
        <v>1151</v>
      </c>
      <c r="D306" s="172" t="s">
        <v>313</v>
      </c>
      <c r="E306" s="173">
        <v>11495.03</v>
      </c>
      <c r="F306" s="811">
        <v>32</v>
      </c>
      <c r="G306" s="175">
        <f t="shared" si="116"/>
        <v>367840.96</v>
      </c>
      <c r="H306" s="167">
        <v>21</v>
      </c>
      <c r="I306" s="168">
        <f t="shared" si="112"/>
        <v>241395.63</v>
      </c>
      <c r="J306" s="167">
        <f>VLOOKUP(A306,'12 - CORPO'!$A:$U,18,FALSE)</f>
        <v>2</v>
      </c>
      <c r="K306" s="169">
        <f t="shared" si="117"/>
        <v>22990.059999999998</v>
      </c>
      <c r="L306" s="167">
        <f t="shared" ref="L306:L316" si="120">(H306+J306)</f>
        <v>23</v>
      </c>
      <c r="M306" s="166">
        <f t="shared" ref="M306:M316" si="121">ROUND((E306*L306),2)</f>
        <v>264385.69</v>
      </c>
      <c r="N306" s="1023">
        <f t="shared" si="111"/>
        <v>0.71879999999999999</v>
      </c>
      <c r="O306" s="983">
        <v>367840.96</v>
      </c>
      <c r="P306" s="981">
        <f t="shared" si="105"/>
        <v>0</v>
      </c>
    </row>
    <row r="307" spans="1:16" outlineLevel="1" x14ac:dyDescent="0.25">
      <c r="A307" s="170" t="s">
        <v>1145</v>
      </c>
      <c r="B307" s="170"/>
      <c r="C307" s="171" t="s">
        <v>1152</v>
      </c>
      <c r="D307" s="172" t="s">
        <v>305</v>
      </c>
      <c r="E307" s="173">
        <v>65478.8</v>
      </c>
      <c r="F307" s="811">
        <v>1</v>
      </c>
      <c r="G307" s="175">
        <f t="shared" si="116"/>
        <v>65478.8</v>
      </c>
      <c r="H307" s="167">
        <v>1</v>
      </c>
      <c r="I307" s="168">
        <f t="shared" si="112"/>
        <v>65478.8</v>
      </c>
      <c r="J307" s="167">
        <f>VLOOKUP(A307,'12 - CORPO'!$A:$U,18,FALSE)</f>
        <v>0</v>
      </c>
      <c r="K307" s="169">
        <f t="shared" si="117"/>
        <v>0</v>
      </c>
      <c r="L307" s="167">
        <f t="shared" si="120"/>
        <v>1</v>
      </c>
      <c r="M307" s="166">
        <f t="shared" si="121"/>
        <v>65478.8</v>
      </c>
      <c r="N307" s="1023">
        <f t="shared" si="111"/>
        <v>1</v>
      </c>
      <c r="O307" s="983">
        <v>65478.8</v>
      </c>
      <c r="P307" s="981">
        <f t="shared" si="105"/>
        <v>0</v>
      </c>
    </row>
    <row r="308" spans="1:16" ht="25.5" outlineLevel="1" x14ac:dyDescent="0.25">
      <c r="A308" s="170" t="s">
        <v>1146</v>
      </c>
      <c r="B308" s="170"/>
      <c r="C308" s="171" t="s">
        <v>1153</v>
      </c>
      <c r="D308" s="172" t="s">
        <v>301</v>
      </c>
      <c r="E308" s="173">
        <v>5974.91</v>
      </c>
      <c r="F308" s="811">
        <v>48</v>
      </c>
      <c r="G308" s="175">
        <f t="shared" si="116"/>
        <v>286795.68</v>
      </c>
      <c r="H308" s="167">
        <v>0</v>
      </c>
      <c r="I308" s="168">
        <f t="shared" si="112"/>
        <v>0</v>
      </c>
      <c r="J308" s="167">
        <f>VLOOKUP(A308,'12 - CORPO'!$A:$U,18,FALSE)</f>
        <v>0</v>
      </c>
      <c r="K308" s="169">
        <f t="shared" si="117"/>
        <v>0</v>
      </c>
      <c r="L308" s="167">
        <f t="shared" si="120"/>
        <v>0</v>
      </c>
      <c r="M308" s="166">
        <f t="shared" si="121"/>
        <v>0</v>
      </c>
      <c r="N308" s="1023">
        <f t="shared" si="111"/>
        <v>0</v>
      </c>
      <c r="O308" s="983">
        <v>286795.68</v>
      </c>
      <c r="P308" s="981">
        <f t="shared" si="105"/>
        <v>0</v>
      </c>
    </row>
    <row r="309" spans="1:16" outlineLevel="1" x14ac:dyDescent="0.25">
      <c r="A309" s="170" t="s">
        <v>1147</v>
      </c>
      <c r="B309" s="170"/>
      <c r="C309" s="171" t="s">
        <v>1154</v>
      </c>
      <c r="D309" s="172" t="s">
        <v>700</v>
      </c>
      <c r="E309" s="173">
        <v>40.619999999999997</v>
      </c>
      <c r="F309" s="811">
        <v>1440</v>
      </c>
      <c r="G309" s="175">
        <f t="shared" si="116"/>
        <v>58492.800000000003</v>
      </c>
      <c r="H309" s="167">
        <v>0</v>
      </c>
      <c r="I309" s="168">
        <f t="shared" si="112"/>
        <v>0</v>
      </c>
      <c r="J309" s="167">
        <f>VLOOKUP(A309,'12 - CORPO'!$A:$U,18,FALSE)</f>
        <v>0</v>
      </c>
      <c r="K309" s="169">
        <f t="shared" si="117"/>
        <v>0</v>
      </c>
      <c r="L309" s="167">
        <f t="shared" si="120"/>
        <v>0</v>
      </c>
      <c r="M309" s="166">
        <f t="shared" si="121"/>
        <v>0</v>
      </c>
      <c r="N309" s="1023">
        <f t="shared" si="111"/>
        <v>0</v>
      </c>
      <c r="O309" s="983">
        <v>58492.800000000003</v>
      </c>
      <c r="P309" s="981">
        <f t="shared" si="105"/>
        <v>0</v>
      </c>
    </row>
    <row r="310" spans="1:16" outlineLevel="1" x14ac:dyDescent="0.25">
      <c r="A310" s="170" t="s">
        <v>1148</v>
      </c>
      <c r="B310" s="170"/>
      <c r="C310" s="171" t="s">
        <v>1155</v>
      </c>
      <c r="D310" s="172" t="s">
        <v>301</v>
      </c>
      <c r="E310" s="173">
        <v>1091.1300000000001</v>
      </c>
      <c r="F310" s="811">
        <v>60</v>
      </c>
      <c r="G310" s="175">
        <f t="shared" si="116"/>
        <v>65467.8</v>
      </c>
      <c r="H310" s="167">
        <v>60</v>
      </c>
      <c r="I310" s="168">
        <f t="shared" si="112"/>
        <v>65467.8</v>
      </c>
      <c r="J310" s="167">
        <f>VLOOKUP(A310,'12 - CORPO'!$A:$U,18,FALSE)</f>
        <v>0</v>
      </c>
      <c r="K310" s="169">
        <f t="shared" si="117"/>
        <v>0</v>
      </c>
      <c r="L310" s="167">
        <f t="shared" si="120"/>
        <v>60</v>
      </c>
      <c r="M310" s="166">
        <f t="shared" si="121"/>
        <v>65467.8</v>
      </c>
      <c r="N310" s="1023">
        <f t="shared" si="111"/>
        <v>1</v>
      </c>
      <c r="O310" s="983">
        <v>65467.8</v>
      </c>
      <c r="P310" s="981">
        <f t="shared" si="105"/>
        <v>0</v>
      </c>
    </row>
    <row r="311" spans="1:16" outlineLevel="1" x14ac:dyDescent="0.25">
      <c r="A311" s="170" t="s">
        <v>1336</v>
      </c>
      <c r="B311" s="170"/>
      <c r="C311" s="171" t="s">
        <v>1342</v>
      </c>
      <c r="D311" s="172" t="s">
        <v>313</v>
      </c>
      <c r="E311" s="173">
        <v>3619</v>
      </c>
      <c r="F311" s="811">
        <v>11</v>
      </c>
      <c r="G311" s="175">
        <f t="shared" si="116"/>
        <v>39809</v>
      </c>
      <c r="H311" s="167">
        <v>0</v>
      </c>
      <c r="I311" s="168">
        <f t="shared" si="112"/>
        <v>0</v>
      </c>
      <c r="J311" s="167">
        <f>VLOOKUP(A311,'12 - CORPO'!$A:$U,18,FALSE)</f>
        <v>8</v>
      </c>
      <c r="K311" s="169">
        <f t="shared" si="117"/>
        <v>28952</v>
      </c>
      <c r="L311" s="167">
        <f t="shared" si="120"/>
        <v>8</v>
      </c>
      <c r="M311" s="166">
        <f t="shared" si="121"/>
        <v>28952</v>
      </c>
      <c r="N311" s="1023">
        <f t="shared" si="111"/>
        <v>0.72729999999999995</v>
      </c>
      <c r="O311" s="983">
        <v>39809</v>
      </c>
      <c r="P311" s="981">
        <f t="shared" si="105"/>
        <v>0</v>
      </c>
    </row>
    <row r="312" spans="1:16" ht="25.5" outlineLevel="1" x14ac:dyDescent="0.25">
      <c r="A312" s="170" t="s">
        <v>1337</v>
      </c>
      <c r="B312" s="170"/>
      <c r="C312" s="171" t="s">
        <v>1343</v>
      </c>
      <c r="D312" s="172" t="s">
        <v>301</v>
      </c>
      <c r="E312" s="173">
        <v>3372.05</v>
      </c>
      <c r="F312" s="811">
        <v>6</v>
      </c>
      <c r="G312" s="175">
        <f t="shared" si="116"/>
        <v>20232.3</v>
      </c>
      <c r="H312" s="167">
        <v>0</v>
      </c>
      <c r="I312" s="168">
        <f t="shared" si="112"/>
        <v>0</v>
      </c>
      <c r="J312" s="167">
        <f>VLOOKUP(A312,'12 - CORPO'!$A:$U,18,FALSE)</f>
        <v>6</v>
      </c>
      <c r="K312" s="169">
        <f t="shared" si="117"/>
        <v>20232.3</v>
      </c>
      <c r="L312" s="167">
        <f t="shared" si="120"/>
        <v>6</v>
      </c>
      <c r="M312" s="166">
        <f t="shared" si="121"/>
        <v>20232.3</v>
      </c>
      <c r="N312" s="1023">
        <f t="shared" si="111"/>
        <v>1</v>
      </c>
      <c r="O312" s="983">
        <v>20232.3</v>
      </c>
      <c r="P312" s="981">
        <f t="shared" si="105"/>
        <v>0</v>
      </c>
    </row>
    <row r="313" spans="1:16" ht="25.5" outlineLevel="1" x14ac:dyDescent="0.25">
      <c r="A313" s="170" t="s">
        <v>1338</v>
      </c>
      <c r="B313" s="170"/>
      <c r="C313" s="171" t="s">
        <v>1344</v>
      </c>
      <c r="D313" s="172" t="s">
        <v>301</v>
      </c>
      <c r="E313" s="173">
        <v>999.38</v>
      </c>
      <c r="F313" s="811">
        <v>36</v>
      </c>
      <c r="G313" s="175">
        <f t="shared" si="116"/>
        <v>35977.68</v>
      </c>
      <c r="H313" s="167">
        <v>0</v>
      </c>
      <c r="I313" s="168">
        <f t="shared" si="112"/>
        <v>0</v>
      </c>
      <c r="J313" s="167">
        <f>VLOOKUP(A313,'12 - CORPO'!$A:$U,18,FALSE)</f>
        <v>0</v>
      </c>
      <c r="K313" s="169">
        <f t="shared" si="117"/>
        <v>0</v>
      </c>
      <c r="L313" s="167">
        <f t="shared" si="120"/>
        <v>0</v>
      </c>
      <c r="M313" s="166">
        <f t="shared" si="121"/>
        <v>0</v>
      </c>
      <c r="N313" s="1023">
        <f t="shared" si="111"/>
        <v>0</v>
      </c>
      <c r="O313" s="983">
        <v>35977.68</v>
      </c>
      <c r="P313" s="981">
        <f t="shared" si="105"/>
        <v>0</v>
      </c>
    </row>
    <row r="314" spans="1:16" outlineLevel="1" x14ac:dyDescent="0.25">
      <c r="A314" s="170" t="s">
        <v>1339</v>
      </c>
      <c r="B314" s="170"/>
      <c r="C314" s="171" t="s">
        <v>1345</v>
      </c>
      <c r="D314" s="172" t="s">
        <v>301</v>
      </c>
      <c r="E314" s="173">
        <v>752.64</v>
      </c>
      <c r="F314" s="811">
        <v>800</v>
      </c>
      <c r="G314" s="175">
        <f t="shared" si="116"/>
        <v>602112</v>
      </c>
      <c r="H314" s="167">
        <v>0</v>
      </c>
      <c r="I314" s="168">
        <f t="shared" si="112"/>
        <v>0</v>
      </c>
      <c r="J314" s="167">
        <f>VLOOKUP(A314,'12 - CORPO'!$A:$U,18,FALSE)</f>
        <v>0</v>
      </c>
      <c r="K314" s="169">
        <f t="shared" si="117"/>
        <v>0</v>
      </c>
      <c r="L314" s="167">
        <f t="shared" si="120"/>
        <v>0</v>
      </c>
      <c r="M314" s="166">
        <f t="shared" si="121"/>
        <v>0</v>
      </c>
      <c r="N314" s="1023">
        <f t="shared" si="111"/>
        <v>0</v>
      </c>
      <c r="O314" s="983">
        <v>602112</v>
      </c>
      <c r="P314" s="981">
        <f t="shared" si="105"/>
        <v>0</v>
      </c>
    </row>
    <row r="315" spans="1:16" ht="25.5" outlineLevel="1" x14ac:dyDescent="0.25">
      <c r="A315" s="170" t="s">
        <v>1340</v>
      </c>
      <c r="B315" s="170"/>
      <c r="C315" s="171" t="s">
        <v>1346</v>
      </c>
      <c r="D315" s="172" t="s">
        <v>351</v>
      </c>
      <c r="E315" s="173">
        <v>0.42</v>
      </c>
      <c r="F315" s="811">
        <v>2188345.9900000002</v>
      </c>
      <c r="G315" s="175">
        <f t="shared" si="116"/>
        <v>919105.31</v>
      </c>
      <c r="H315" s="167">
        <v>0</v>
      </c>
      <c r="I315" s="168">
        <f t="shared" si="112"/>
        <v>0</v>
      </c>
      <c r="J315" s="167">
        <f>VLOOKUP(A315,'12 - CORPO'!$A:$U,18,FALSE)</f>
        <v>1306374.8119999999</v>
      </c>
      <c r="K315" s="169">
        <f t="shared" si="117"/>
        <v>548677.42000000004</v>
      </c>
      <c r="L315" s="167">
        <f t="shared" si="120"/>
        <v>1306374.8119999999</v>
      </c>
      <c r="M315" s="166">
        <f t="shared" si="121"/>
        <v>548677.42000000004</v>
      </c>
      <c r="N315" s="1023">
        <f t="shared" si="111"/>
        <v>0.59699999999999998</v>
      </c>
      <c r="O315" s="983">
        <v>919105.32</v>
      </c>
      <c r="P315" s="981">
        <f t="shared" si="105"/>
        <v>-9.9999998928979039E-3</v>
      </c>
    </row>
    <row r="316" spans="1:16" outlineLevel="1" x14ac:dyDescent="0.25">
      <c r="A316" s="170" t="s">
        <v>1341</v>
      </c>
      <c r="B316" s="170"/>
      <c r="C316" s="171" t="s">
        <v>1347</v>
      </c>
      <c r="D316" s="172" t="s">
        <v>301</v>
      </c>
      <c r="E316" s="173">
        <v>817.32</v>
      </c>
      <c r="F316" s="811">
        <v>84</v>
      </c>
      <c r="G316" s="175">
        <f t="shared" si="116"/>
        <v>68654.880000000005</v>
      </c>
      <c r="H316" s="167">
        <v>0</v>
      </c>
      <c r="I316" s="168">
        <f t="shared" si="112"/>
        <v>0</v>
      </c>
      <c r="J316" s="167">
        <f>VLOOKUP(A316,'12 - CORPO'!$A:$U,18,FALSE)</f>
        <v>0</v>
      </c>
      <c r="K316" s="169">
        <f t="shared" si="117"/>
        <v>0</v>
      </c>
      <c r="L316" s="167">
        <f t="shared" si="120"/>
        <v>0</v>
      </c>
      <c r="M316" s="166">
        <f t="shared" si="121"/>
        <v>0</v>
      </c>
      <c r="N316" s="1023">
        <f t="shared" si="111"/>
        <v>0</v>
      </c>
      <c r="O316" s="983">
        <v>68654.880000000005</v>
      </c>
      <c r="P316" s="981">
        <f t="shared" si="105"/>
        <v>0</v>
      </c>
    </row>
    <row r="317" spans="1:16" outlineLevel="1" x14ac:dyDescent="0.25">
      <c r="A317" s="216"/>
      <c r="B317" s="217"/>
      <c r="C317" s="218" t="s">
        <v>697</v>
      </c>
      <c r="D317" s="219"/>
      <c r="E317" s="220"/>
      <c r="F317" s="221"/>
      <c r="G317" s="194">
        <f>SUBTOTAL(9,G281:G316)</f>
        <v>13062161.010000004</v>
      </c>
      <c r="H317" s="222"/>
      <c r="I317" s="194">
        <f>SUBTOTAL(9,I281:I316)</f>
        <v>7471558.7000000002</v>
      </c>
      <c r="J317" s="222"/>
      <c r="K317" s="194">
        <f>SUBTOTAL(9,K281:K316)</f>
        <v>1177520.4800000004</v>
      </c>
      <c r="L317" s="222"/>
      <c r="M317" s="195">
        <f>SUBTOTAL(9,M281:M316)</f>
        <v>8649079.1800000016</v>
      </c>
      <c r="N317" s="108"/>
      <c r="O317" s="983"/>
      <c r="P317" s="981">
        <f>SUM(P17:P316)</f>
        <v>-1556.7999999997514</v>
      </c>
    </row>
    <row r="318" spans="1:16" x14ac:dyDescent="0.25">
      <c r="A318" s="1306" t="s">
        <v>471</v>
      </c>
      <c r="B318" s="1307"/>
      <c r="C318" s="1307"/>
      <c r="D318" s="1308"/>
      <c r="E318" s="223"/>
      <c r="F318" s="224"/>
      <c r="G318" s="1177">
        <f>SUBTOTAL(9,G17:G317)+O320</f>
        <v>55268715.600000016</v>
      </c>
      <c r="H318" s="226"/>
      <c r="I318" s="225">
        <f>SUBTOTAL(9,I17:I317)</f>
        <v>36269165.539999999</v>
      </c>
      <c r="J318" s="227"/>
      <c r="K318" s="225">
        <f>K317+K278+K257+K159+K108+K31</f>
        <v>2407836.6199999996</v>
      </c>
      <c r="L318" s="228"/>
      <c r="M318" s="225">
        <f>SUBTOTAL(9,M17:M317)</f>
        <v>38677002.159999989</v>
      </c>
      <c r="N318" s="1074">
        <f t="shared" si="111"/>
        <v>0.69979999999999998</v>
      </c>
      <c r="O318" s="988"/>
      <c r="P318" s="981"/>
    </row>
    <row r="319" spans="1:16" x14ac:dyDescent="0.25">
      <c r="A319" s="229"/>
      <c r="B319" s="230"/>
      <c r="C319" s="230"/>
      <c r="D319" s="230"/>
      <c r="E319" s="230"/>
      <c r="F319" s="231"/>
      <c r="G319" s="1179"/>
      <c r="H319" s="233"/>
      <c r="I319" s="234"/>
      <c r="J319" s="106"/>
      <c r="K319" s="235"/>
      <c r="L319" s="235"/>
      <c r="M319" s="236"/>
      <c r="N319" s="237"/>
      <c r="O319" s="983"/>
      <c r="P319" s="109"/>
    </row>
    <row r="320" spans="1:16" x14ac:dyDescent="0.25">
      <c r="A320" s="229"/>
      <c r="B320" s="230"/>
      <c r="C320" s="238"/>
      <c r="D320" s="230"/>
      <c r="E320" s="239"/>
      <c r="F320" s="231"/>
      <c r="G320" s="1180"/>
      <c r="H320" s="240"/>
      <c r="I320" s="241"/>
      <c r="J320" s="106"/>
      <c r="K320" s="106"/>
      <c r="L320" s="235"/>
      <c r="M320" s="242"/>
      <c r="N320" s="108">
        <f>4*30</f>
        <v>120</v>
      </c>
      <c r="O320" s="983">
        <v>1522.88</v>
      </c>
      <c r="P320" s="109"/>
    </row>
    <row r="321" spans="1:16" ht="15.75" x14ac:dyDescent="0.25">
      <c r="A321" s="229"/>
      <c r="B321" s="230"/>
      <c r="C321" s="238"/>
      <c r="D321" s="230"/>
      <c r="E321" s="239"/>
      <c r="F321" s="231"/>
      <c r="G321" s="1176"/>
      <c r="H321" s="240"/>
      <c r="I321" s="232"/>
      <c r="J321" s="106"/>
      <c r="K321" s="106"/>
      <c r="L321" s="235"/>
      <c r="M321" s="242"/>
      <c r="N321" s="108">
        <f>4*30</f>
        <v>120</v>
      </c>
      <c r="O321" s="983"/>
      <c r="P321" s="109"/>
    </row>
    <row r="322" spans="1:16" ht="15.75" x14ac:dyDescent="0.25">
      <c r="A322" s="100"/>
      <c r="B322" s="101"/>
      <c r="C322" s="243"/>
      <c r="D322" s="244"/>
      <c r="E322" s="239"/>
      <c r="F322" s="231"/>
      <c r="G322" s="1178"/>
      <c r="H322" s="104"/>
      <c r="I322" s="105"/>
      <c r="J322" s="106"/>
      <c r="K322" s="107"/>
      <c r="L322" s="107"/>
      <c r="M322" s="105"/>
      <c r="N322" s="108"/>
      <c r="O322" s="983"/>
      <c r="P322" s="109"/>
    </row>
    <row r="323" spans="1:16" x14ac:dyDescent="0.25">
      <c r="I323" s="105"/>
    </row>
    <row r="324" spans="1:16" x14ac:dyDescent="0.25">
      <c r="I324" s="975"/>
      <c r="L324" s="235">
        <f>ROUNDUP((K324/30)*5,0)*30</f>
        <v>0</v>
      </c>
      <c r="N324" s="108">
        <f>3*30</f>
        <v>90</v>
      </c>
    </row>
    <row r="325" spans="1:16" x14ac:dyDescent="0.25">
      <c r="I325" s="802"/>
    </row>
    <row r="327" spans="1:16" x14ac:dyDescent="0.25">
      <c r="L327" s="235">
        <f>ROUNDUP((K327/30)*5,0)*30</f>
        <v>0</v>
      </c>
      <c r="N327" s="108">
        <f>4*30</f>
        <v>120</v>
      </c>
    </row>
    <row r="496" spans="12:12" x14ac:dyDescent="0.25">
      <c r="L496">
        <v>2965.56</v>
      </c>
    </row>
  </sheetData>
  <autoFilter ref="A14:P321"/>
  <mergeCells count="19">
    <mergeCell ref="A2:M5"/>
    <mergeCell ref="A6:C6"/>
    <mergeCell ref="D6:H6"/>
    <mergeCell ref="I6:M6"/>
    <mergeCell ref="A7:B7"/>
    <mergeCell ref="J7:M7"/>
    <mergeCell ref="L13:M13"/>
    <mergeCell ref="C31:F31"/>
    <mergeCell ref="A318:D318"/>
    <mergeCell ref="A8:B8"/>
    <mergeCell ref="A9:B9"/>
    <mergeCell ref="A10:B10"/>
    <mergeCell ref="A12:M12"/>
    <mergeCell ref="A13:B13"/>
    <mergeCell ref="C13:C14"/>
    <mergeCell ref="D13:D14"/>
    <mergeCell ref="E13:G13"/>
    <mergeCell ref="H13:I13"/>
    <mergeCell ref="J13:K13"/>
  </mergeCells>
  <conditionalFormatting sqref="N17:N23">
    <cfRule type="cellIs" dxfId="683" priority="100" operator="lessThan">
      <formula>1</formula>
    </cfRule>
    <cfRule type="cellIs" dxfId="682" priority="101" operator="greaterThan">
      <formula>1</formula>
    </cfRule>
    <cfRule type="cellIs" dxfId="681" priority="102" operator="equal">
      <formula>1</formula>
    </cfRule>
  </conditionalFormatting>
  <conditionalFormatting sqref="N25:N30">
    <cfRule type="cellIs" dxfId="680" priority="97" operator="lessThan">
      <formula>1</formula>
    </cfRule>
    <cfRule type="cellIs" dxfId="679" priority="98" operator="greaterThan">
      <formula>1</formula>
    </cfRule>
    <cfRule type="cellIs" dxfId="678" priority="99" operator="equal">
      <formula>1</formula>
    </cfRule>
  </conditionalFormatting>
  <conditionalFormatting sqref="N34:N47">
    <cfRule type="cellIs" dxfId="677" priority="94" operator="lessThan">
      <formula>1</formula>
    </cfRule>
    <cfRule type="cellIs" dxfId="676" priority="95" operator="greaterThan">
      <formula>1</formula>
    </cfRule>
    <cfRule type="cellIs" dxfId="675" priority="96" operator="equal">
      <formula>1</formula>
    </cfRule>
  </conditionalFormatting>
  <conditionalFormatting sqref="N49:N55">
    <cfRule type="cellIs" dxfId="674" priority="91" operator="lessThan">
      <formula>1</formula>
    </cfRule>
    <cfRule type="cellIs" dxfId="673" priority="92" operator="greaterThan">
      <formula>1</formula>
    </cfRule>
    <cfRule type="cellIs" dxfId="672" priority="93" operator="equal">
      <formula>1</formula>
    </cfRule>
  </conditionalFormatting>
  <conditionalFormatting sqref="N57">
    <cfRule type="cellIs" dxfId="671" priority="88" operator="lessThan">
      <formula>1</formula>
    </cfRule>
    <cfRule type="cellIs" dxfId="670" priority="89" operator="greaterThan">
      <formula>1</formula>
    </cfRule>
    <cfRule type="cellIs" dxfId="669" priority="90" operator="equal">
      <formula>1</formula>
    </cfRule>
  </conditionalFormatting>
  <conditionalFormatting sqref="N59:N76">
    <cfRule type="cellIs" dxfId="668" priority="85" operator="lessThan">
      <formula>1</formula>
    </cfRule>
    <cfRule type="cellIs" dxfId="667" priority="86" operator="greaterThan">
      <formula>1</formula>
    </cfRule>
    <cfRule type="cellIs" dxfId="666" priority="87" operator="equal">
      <formula>1</formula>
    </cfRule>
  </conditionalFormatting>
  <conditionalFormatting sqref="N78:N79">
    <cfRule type="cellIs" dxfId="665" priority="82" operator="lessThan">
      <formula>1</formula>
    </cfRule>
    <cfRule type="cellIs" dxfId="664" priority="83" operator="greaterThan">
      <formula>1</formula>
    </cfRule>
    <cfRule type="cellIs" dxfId="663" priority="84" operator="equal">
      <formula>1</formula>
    </cfRule>
  </conditionalFormatting>
  <conditionalFormatting sqref="N82:N83">
    <cfRule type="cellIs" dxfId="662" priority="79" operator="lessThan">
      <formula>1</formula>
    </cfRule>
    <cfRule type="cellIs" dxfId="661" priority="80" operator="greaterThan">
      <formula>1</formula>
    </cfRule>
    <cfRule type="cellIs" dxfId="660" priority="81" operator="equal">
      <formula>1</formula>
    </cfRule>
  </conditionalFormatting>
  <conditionalFormatting sqref="N85:N97">
    <cfRule type="cellIs" dxfId="659" priority="76" operator="lessThan">
      <formula>1</formula>
    </cfRule>
    <cfRule type="cellIs" dxfId="658" priority="77" operator="greaterThan">
      <formula>1</formula>
    </cfRule>
    <cfRule type="cellIs" dxfId="657" priority="78" operator="equal">
      <formula>1</formula>
    </cfRule>
  </conditionalFormatting>
  <conditionalFormatting sqref="N99">
    <cfRule type="cellIs" dxfId="656" priority="73" operator="lessThan">
      <formula>1</formula>
    </cfRule>
    <cfRule type="cellIs" dxfId="655" priority="74" operator="greaterThan">
      <formula>1</formula>
    </cfRule>
    <cfRule type="cellIs" dxfId="654" priority="75" operator="equal">
      <formula>1</formula>
    </cfRule>
  </conditionalFormatting>
  <conditionalFormatting sqref="N101:N103">
    <cfRule type="cellIs" dxfId="653" priority="70" operator="lessThan">
      <formula>1</formula>
    </cfRule>
    <cfRule type="cellIs" dxfId="652" priority="71" operator="greaterThan">
      <formula>1</formula>
    </cfRule>
    <cfRule type="cellIs" dxfId="651" priority="72" operator="equal">
      <formula>1</formula>
    </cfRule>
  </conditionalFormatting>
  <conditionalFormatting sqref="N104">
    <cfRule type="cellIs" dxfId="650" priority="67" operator="lessThan">
      <formula>1</formula>
    </cfRule>
    <cfRule type="cellIs" dxfId="649" priority="68" operator="greaterThan">
      <formula>1</formula>
    </cfRule>
    <cfRule type="cellIs" dxfId="648" priority="69" operator="equal">
      <formula>1</formula>
    </cfRule>
  </conditionalFormatting>
  <conditionalFormatting sqref="N105:N107">
    <cfRule type="cellIs" dxfId="647" priority="64" operator="lessThan">
      <formula>1</formula>
    </cfRule>
    <cfRule type="cellIs" dxfId="646" priority="65" operator="greaterThan">
      <formula>1</formula>
    </cfRule>
    <cfRule type="cellIs" dxfId="645" priority="66" operator="equal">
      <formula>1</formula>
    </cfRule>
  </conditionalFormatting>
  <conditionalFormatting sqref="N111:N116">
    <cfRule type="cellIs" dxfId="644" priority="61" operator="lessThan">
      <formula>1</formula>
    </cfRule>
    <cfRule type="cellIs" dxfId="643" priority="62" operator="greaterThan">
      <formula>1</formula>
    </cfRule>
    <cfRule type="cellIs" dxfId="642" priority="63" operator="equal">
      <formula>1</formula>
    </cfRule>
  </conditionalFormatting>
  <conditionalFormatting sqref="N118:N128">
    <cfRule type="cellIs" dxfId="641" priority="58" operator="lessThan">
      <formula>1</formula>
    </cfRule>
    <cfRule type="cellIs" dxfId="640" priority="59" operator="greaterThan">
      <formula>1</formula>
    </cfRule>
    <cfRule type="cellIs" dxfId="639" priority="60" operator="equal">
      <formula>1</formula>
    </cfRule>
  </conditionalFormatting>
  <conditionalFormatting sqref="N130">
    <cfRule type="cellIs" dxfId="638" priority="55" operator="lessThan">
      <formula>1</formula>
    </cfRule>
    <cfRule type="cellIs" dxfId="637" priority="56" operator="greaterThan">
      <formula>1</formula>
    </cfRule>
    <cfRule type="cellIs" dxfId="636" priority="57" operator="equal">
      <formula>1</formula>
    </cfRule>
  </conditionalFormatting>
  <conditionalFormatting sqref="N133">
    <cfRule type="cellIs" dxfId="635" priority="52" operator="lessThan">
      <formula>1</formula>
    </cfRule>
    <cfRule type="cellIs" dxfId="634" priority="53" operator="greaterThan">
      <formula>1</formula>
    </cfRule>
    <cfRule type="cellIs" dxfId="633" priority="54" operator="equal">
      <formula>1</formula>
    </cfRule>
  </conditionalFormatting>
  <conditionalFormatting sqref="N134">
    <cfRule type="cellIs" dxfId="632" priority="49" operator="lessThan">
      <formula>1</formula>
    </cfRule>
    <cfRule type="cellIs" dxfId="631" priority="50" operator="greaterThan">
      <formula>1</formula>
    </cfRule>
    <cfRule type="cellIs" dxfId="630" priority="51" operator="equal">
      <formula>1</formula>
    </cfRule>
  </conditionalFormatting>
  <conditionalFormatting sqref="N136:N148">
    <cfRule type="cellIs" dxfId="629" priority="46" operator="lessThan">
      <formula>1</formula>
    </cfRule>
    <cfRule type="cellIs" dxfId="628" priority="47" operator="greaterThan">
      <formula>1</formula>
    </cfRule>
    <cfRule type="cellIs" dxfId="627" priority="48" operator="equal">
      <formula>1</formula>
    </cfRule>
  </conditionalFormatting>
  <conditionalFormatting sqref="N150">
    <cfRule type="cellIs" dxfId="626" priority="43" operator="lessThan">
      <formula>1</formula>
    </cfRule>
    <cfRule type="cellIs" dxfId="625" priority="44" operator="greaterThan">
      <formula>1</formula>
    </cfRule>
    <cfRule type="cellIs" dxfId="624" priority="45" operator="equal">
      <formula>1</formula>
    </cfRule>
  </conditionalFormatting>
  <conditionalFormatting sqref="N152:N154">
    <cfRule type="cellIs" dxfId="623" priority="40" operator="lessThan">
      <formula>1</formula>
    </cfRule>
    <cfRule type="cellIs" dxfId="622" priority="41" operator="greaterThan">
      <formula>1</formula>
    </cfRule>
    <cfRule type="cellIs" dxfId="621" priority="42" operator="equal">
      <formula>1</formula>
    </cfRule>
  </conditionalFormatting>
  <conditionalFormatting sqref="N156:N158">
    <cfRule type="cellIs" dxfId="620" priority="37" operator="lessThan">
      <formula>1</formula>
    </cfRule>
    <cfRule type="cellIs" dxfId="619" priority="38" operator="greaterThan">
      <formula>1</formula>
    </cfRule>
    <cfRule type="cellIs" dxfId="618" priority="39" operator="equal">
      <formula>1</formula>
    </cfRule>
  </conditionalFormatting>
  <conditionalFormatting sqref="N162:N174">
    <cfRule type="cellIs" dxfId="617" priority="34" operator="lessThan">
      <formula>1</formula>
    </cfRule>
    <cfRule type="cellIs" dxfId="616" priority="35" operator="greaterThan">
      <formula>1</formula>
    </cfRule>
    <cfRule type="cellIs" dxfId="615" priority="36" operator="equal">
      <formula>1</formula>
    </cfRule>
  </conditionalFormatting>
  <conditionalFormatting sqref="N176:N187">
    <cfRule type="cellIs" dxfId="614" priority="31" operator="lessThan">
      <formula>1</formula>
    </cfRule>
    <cfRule type="cellIs" dxfId="613" priority="32" operator="greaterThan">
      <formula>1</formula>
    </cfRule>
    <cfRule type="cellIs" dxfId="612" priority="33" operator="equal">
      <formula>1</formula>
    </cfRule>
  </conditionalFormatting>
  <conditionalFormatting sqref="N189:N200">
    <cfRule type="cellIs" dxfId="611" priority="28" operator="lessThan">
      <formula>1</formula>
    </cfRule>
    <cfRule type="cellIs" dxfId="610" priority="29" operator="greaterThan">
      <formula>1</formula>
    </cfRule>
    <cfRule type="cellIs" dxfId="609" priority="30" operator="equal">
      <formula>1</formula>
    </cfRule>
  </conditionalFormatting>
  <conditionalFormatting sqref="N202:N214">
    <cfRule type="cellIs" dxfId="608" priority="25" operator="lessThan">
      <formula>1</formula>
    </cfRule>
    <cfRule type="cellIs" dxfId="607" priority="26" operator="greaterThan">
      <formula>1</formula>
    </cfRule>
    <cfRule type="cellIs" dxfId="606" priority="27" operator="equal">
      <formula>1</formula>
    </cfRule>
  </conditionalFormatting>
  <conditionalFormatting sqref="N216:N228">
    <cfRule type="cellIs" dxfId="605" priority="22" operator="lessThan">
      <formula>1</formula>
    </cfRule>
    <cfRule type="cellIs" dxfId="604" priority="23" operator="greaterThan">
      <formula>1</formula>
    </cfRule>
    <cfRule type="cellIs" dxfId="603" priority="24" operator="equal">
      <formula>1</formula>
    </cfRule>
  </conditionalFormatting>
  <conditionalFormatting sqref="N230:N242">
    <cfRule type="cellIs" dxfId="602" priority="19" operator="lessThan">
      <formula>1</formula>
    </cfRule>
    <cfRule type="cellIs" dxfId="601" priority="20" operator="greaterThan">
      <formula>1</formula>
    </cfRule>
    <cfRule type="cellIs" dxfId="600" priority="21" operator="equal">
      <formula>1</formula>
    </cfRule>
  </conditionalFormatting>
  <conditionalFormatting sqref="N244:N256">
    <cfRule type="cellIs" dxfId="599" priority="16" operator="lessThan">
      <formula>1</formula>
    </cfRule>
    <cfRule type="cellIs" dxfId="598" priority="17" operator="greaterThan">
      <formula>1</formula>
    </cfRule>
    <cfRule type="cellIs" dxfId="597" priority="18" operator="equal">
      <formula>1</formula>
    </cfRule>
  </conditionalFormatting>
  <conditionalFormatting sqref="N260:N265">
    <cfRule type="cellIs" dxfId="596" priority="13" operator="lessThan">
      <formula>1</formula>
    </cfRule>
    <cfRule type="cellIs" dxfId="595" priority="14" operator="greaterThan">
      <formula>1</formula>
    </cfRule>
    <cfRule type="cellIs" dxfId="594" priority="15" operator="equal">
      <formula>1</formula>
    </cfRule>
  </conditionalFormatting>
  <conditionalFormatting sqref="N267:N274">
    <cfRule type="cellIs" dxfId="593" priority="10" operator="lessThan">
      <formula>1</formula>
    </cfRule>
    <cfRule type="cellIs" dxfId="592" priority="11" operator="greaterThan">
      <formula>1</formula>
    </cfRule>
    <cfRule type="cellIs" dxfId="591" priority="12" operator="equal">
      <formula>1</formula>
    </cfRule>
  </conditionalFormatting>
  <conditionalFormatting sqref="N276:N277">
    <cfRule type="cellIs" dxfId="590" priority="7" operator="lessThan">
      <formula>1</formula>
    </cfRule>
    <cfRule type="cellIs" dxfId="589" priority="8" operator="greaterThan">
      <formula>1</formula>
    </cfRule>
    <cfRule type="cellIs" dxfId="588" priority="9" operator="equal">
      <formula>1</formula>
    </cfRule>
  </conditionalFormatting>
  <conditionalFormatting sqref="N281:N316">
    <cfRule type="cellIs" dxfId="587" priority="4" operator="lessThan">
      <formula>1</formula>
    </cfRule>
    <cfRule type="cellIs" dxfId="586" priority="5" operator="greaterThan">
      <formula>1</formula>
    </cfRule>
    <cfRule type="cellIs" dxfId="585" priority="6" operator="equal">
      <formula>1</formula>
    </cfRule>
  </conditionalFormatting>
  <conditionalFormatting sqref="N318">
    <cfRule type="cellIs" dxfId="584" priority="1" operator="lessThan">
      <formula>1</formula>
    </cfRule>
    <cfRule type="cellIs" dxfId="583" priority="2" operator="greaterThan">
      <formula>1</formula>
    </cfRule>
    <cfRule type="cellIs" dxfId="582" priority="3" operator="equal">
      <formula>1</formula>
    </cfRule>
  </conditionalFormatting>
  <printOptions horizontalCentered="1"/>
  <pageMargins left="0.59055118110236227" right="0.39370078740157483" top="0.39370078740157483" bottom="0.39370078740157483" header="0.11811023622047245" footer="0.11811023622047245"/>
  <pageSetup paperSize="9" scale="51" firstPageNumber="34"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50"/>
    <pageSetUpPr fitToPage="1"/>
  </sheetPr>
  <dimension ref="A1:AV5557"/>
  <sheetViews>
    <sheetView view="pageBreakPreview" topLeftCell="A4805" zoomScale="60" zoomScaleNormal="57" workbookViewId="0">
      <selection activeCell="C5000" sqref="C5000"/>
    </sheetView>
  </sheetViews>
  <sheetFormatPr defaultColWidth="9.140625" defaultRowHeight="14.25" x14ac:dyDescent="0.25"/>
  <cols>
    <col min="1" max="1" width="9.28515625" style="276" customWidth="1"/>
    <col min="2" max="2" width="17.28515625" style="635" customWidth="1"/>
    <col min="3" max="3" width="87.85546875" style="636" customWidth="1"/>
    <col min="4" max="4" width="10.7109375" style="637" customWidth="1"/>
    <col min="5" max="5" width="3.7109375" style="628" customWidth="1"/>
    <col min="6" max="6" width="10.7109375" style="629" customWidth="1"/>
    <col min="7" max="7" width="10.7109375" style="637" customWidth="1"/>
    <col min="8" max="8" width="3.7109375" style="287" customWidth="1"/>
    <col min="9" max="9" width="10.7109375" style="629" customWidth="1"/>
    <col min="10" max="10" width="15.7109375" style="638" customWidth="1"/>
    <col min="11" max="12" width="15.7109375" style="639" customWidth="1"/>
    <col min="13" max="13" width="15.7109375" style="638" customWidth="1"/>
    <col min="14" max="14" width="15.7109375" style="640" customWidth="1"/>
    <col min="15" max="15" width="15.7109375" style="641" customWidth="1"/>
    <col min="16" max="16" width="15.7109375" style="287" customWidth="1"/>
    <col min="17" max="17" width="15.7109375" style="632" customWidth="1"/>
    <col min="18" max="18" width="20.28515625" style="642" customWidth="1"/>
    <col min="19" max="19" width="9.28515625" style="634" bestFit="1" customWidth="1"/>
    <col min="20" max="20" width="15.7109375" style="287" customWidth="1"/>
    <col min="21" max="21" width="41.28515625" style="628" customWidth="1"/>
    <col min="22" max="22" width="14.85546875" style="614" bestFit="1" customWidth="1"/>
    <col min="23" max="23" width="2.42578125" style="287" bestFit="1" customWidth="1"/>
    <col min="24" max="24" width="6.85546875" style="287" bestFit="1" customWidth="1"/>
    <col min="25" max="25" width="20.140625" style="287" bestFit="1" customWidth="1"/>
    <col min="26" max="26" width="9" style="287" customWidth="1"/>
    <col min="27" max="27" width="5.42578125" style="287" customWidth="1"/>
    <col min="28" max="44" width="9.140625" style="287" customWidth="1"/>
    <col min="45" max="45" width="11.5703125" style="287" customWidth="1"/>
    <col min="46" max="46" width="18.85546875" style="287" bestFit="1" customWidth="1"/>
    <col min="47" max="47" width="17" style="287" customWidth="1"/>
    <col min="48" max="48" width="13.28515625" style="287" customWidth="1"/>
    <col min="49" max="49" width="24.28515625" style="287" customWidth="1"/>
    <col min="50" max="50" width="19" style="287" bestFit="1" customWidth="1"/>
    <col min="51" max="51" width="27.85546875" style="287" customWidth="1"/>
    <col min="52" max="52" width="14.28515625" style="287" customWidth="1"/>
    <col min="53" max="234" width="9.140625" style="287" customWidth="1"/>
    <col min="235" max="235" width="13.42578125" style="287" customWidth="1"/>
    <col min="236" max="236" width="55.5703125" style="287" customWidth="1"/>
    <col min="237" max="237" width="7.7109375" style="287" customWidth="1"/>
    <col min="238" max="238" width="1.5703125" style="287" customWidth="1"/>
    <col min="239" max="239" width="7.28515625" style="287" customWidth="1"/>
    <col min="240" max="240" width="7.7109375" style="287" customWidth="1"/>
    <col min="241" max="241" width="1.5703125" style="287" customWidth="1"/>
    <col min="242" max="242" width="7.28515625" style="287" customWidth="1"/>
    <col min="243" max="243" width="4.7109375" style="287" customWidth="1"/>
    <col min="244" max="244" width="13.85546875" style="287" customWidth="1"/>
    <col min="245" max="246" width="13.140625" style="287" customWidth="1"/>
    <col min="247" max="247" width="12.7109375" style="287" customWidth="1"/>
    <col min="248" max="248" width="6.85546875" style="287" customWidth="1"/>
    <col min="249" max="16384" width="9.140625" style="287"/>
  </cols>
  <sheetData>
    <row r="1" spans="1:48" s="111" customFormat="1" ht="12.75" x14ac:dyDescent="0.2">
      <c r="A1" s="248"/>
      <c r="B1" s="1455" t="s">
        <v>1138</v>
      </c>
      <c r="C1" s="1456"/>
      <c r="D1" s="1456"/>
      <c r="E1" s="1456"/>
      <c r="F1" s="1456"/>
      <c r="G1" s="1456"/>
      <c r="H1" s="1456"/>
      <c r="I1" s="1456"/>
      <c r="J1" s="1456"/>
      <c r="K1" s="1456"/>
      <c r="L1" s="1456"/>
      <c r="M1" s="1456"/>
      <c r="N1" s="1456"/>
      <c r="O1" s="1456"/>
      <c r="P1" s="1456"/>
      <c r="Q1" s="1456"/>
      <c r="R1" s="1456"/>
      <c r="S1" s="1456"/>
      <c r="T1" s="1456"/>
      <c r="U1" s="1457"/>
      <c r="V1" s="249"/>
      <c r="W1" s="250"/>
      <c r="X1" s="250"/>
      <c r="Y1" s="250"/>
      <c r="Z1" s="250"/>
    </row>
    <row r="2" spans="1:48" s="111" customFormat="1" ht="12.75" x14ac:dyDescent="0.2">
      <c r="A2" s="248"/>
      <c r="B2" s="1458"/>
      <c r="C2" s="1459"/>
      <c r="D2" s="1459"/>
      <c r="E2" s="1459"/>
      <c r="F2" s="1459"/>
      <c r="G2" s="1459"/>
      <c r="H2" s="1459"/>
      <c r="I2" s="1459"/>
      <c r="J2" s="1459"/>
      <c r="K2" s="1459"/>
      <c r="L2" s="1459"/>
      <c r="M2" s="1459"/>
      <c r="N2" s="1459"/>
      <c r="O2" s="1459"/>
      <c r="P2" s="1459"/>
      <c r="Q2" s="1459"/>
      <c r="R2" s="1459"/>
      <c r="S2" s="1459"/>
      <c r="T2" s="1459"/>
      <c r="U2" s="1460"/>
      <c r="V2" s="249"/>
      <c r="W2" s="250"/>
      <c r="X2" s="250"/>
      <c r="Y2" s="250"/>
      <c r="Z2" s="250"/>
    </row>
    <row r="3" spans="1:48" s="111" customFormat="1" ht="12.75" x14ac:dyDescent="0.2">
      <c r="A3" s="248"/>
      <c r="B3" s="1458"/>
      <c r="C3" s="1459"/>
      <c r="D3" s="1459"/>
      <c r="E3" s="1459"/>
      <c r="F3" s="1459"/>
      <c r="G3" s="1459"/>
      <c r="H3" s="1459"/>
      <c r="I3" s="1459"/>
      <c r="J3" s="1459"/>
      <c r="K3" s="1459"/>
      <c r="L3" s="1459"/>
      <c r="M3" s="1459"/>
      <c r="N3" s="1459"/>
      <c r="O3" s="1459"/>
      <c r="P3" s="1459"/>
      <c r="Q3" s="1459"/>
      <c r="R3" s="1459"/>
      <c r="S3" s="1459"/>
      <c r="T3" s="1459"/>
      <c r="U3" s="1460"/>
      <c r="V3" s="249"/>
      <c r="W3" s="250"/>
      <c r="X3" s="250"/>
      <c r="Y3" s="250"/>
      <c r="Z3" s="250"/>
    </row>
    <row r="4" spans="1:48" s="111" customFormat="1" ht="12.75" x14ac:dyDescent="0.2">
      <c r="A4" s="248"/>
      <c r="B4" s="1461"/>
      <c r="C4" s="1462"/>
      <c r="D4" s="1462"/>
      <c r="E4" s="1462"/>
      <c r="F4" s="1462"/>
      <c r="G4" s="1462"/>
      <c r="H4" s="1462"/>
      <c r="I4" s="1462"/>
      <c r="J4" s="1462"/>
      <c r="K4" s="1462"/>
      <c r="L4" s="1462"/>
      <c r="M4" s="1462"/>
      <c r="N4" s="1462"/>
      <c r="O4" s="1462"/>
      <c r="P4" s="1462"/>
      <c r="Q4" s="1462"/>
      <c r="R4" s="1462"/>
      <c r="S4" s="1462"/>
      <c r="T4" s="1462"/>
      <c r="U4" s="1463"/>
      <c r="V4" s="249"/>
      <c r="W4" s="250"/>
      <c r="X4" s="250"/>
      <c r="Y4" s="250"/>
      <c r="Z4" s="250"/>
    </row>
    <row r="5" spans="1:48" s="111" customFormat="1" ht="12.75" x14ac:dyDescent="0.2">
      <c r="A5" s="248"/>
      <c r="B5" s="1325" t="s">
        <v>272</v>
      </c>
      <c r="C5" s="1326"/>
      <c r="D5" s="1327"/>
      <c r="E5" s="1325" t="s">
        <v>273</v>
      </c>
      <c r="F5" s="1326"/>
      <c r="G5" s="1326"/>
      <c r="H5" s="1326"/>
      <c r="I5" s="1326"/>
      <c r="J5" s="1326"/>
      <c r="K5" s="1326"/>
      <c r="L5" s="1326"/>
      <c r="M5" s="1326"/>
      <c r="N5" s="1327"/>
      <c r="O5" s="1325" t="s">
        <v>274</v>
      </c>
      <c r="P5" s="1326"/>
      <c r="Q5" s="1326"/>
      <c r="R5" s="1326"/>
      <c r="S5" s="1326"/>
      <c r="T5" s="1326"/>
      <c r="U5" s="1327"/>
      <c r="V5" s="249"/>
      <c r="W5" s="250"/>
      <c r="X5" s="250"/>
      <c r="Y5" s="250"/>
      <c r="Z5" s="250"/>
    </row>
    <row r="6" spans="1:48" s="111" customFormat="1" ht="15.75" customHeight="1" x14ac:dyDescent="0.25">
      <c r="A6" s="248"/>
      <c r="B6" s="251" t="s">
        <v>275</v>
      </c>
      <c r="C6" s="1464" t="str">
        <f>'11 - FINANCEIRO'!C7</f>
        <v>Canal Guaranhus no Município de Vila Velha/ES</v>
      </c>
      <c r="D6" s="1465"/>
      <c r="E6" s="1466" t="s">
        <v>472</v>
      </c>
      <c r="F6" s="1467"/>
      <c r="G6" s="1467"/>
      <c r="H6" s="1467"/>
      <c r="I6" s="1467"/>
      <c r="J6" s="1467"/>
      <c r="K6" s="1467"/>
      <c r="L6" s="1467"/>
      <c r="M6" s="252"/>
      <c r="N6" s="125"/>
      <c r="O6" s="253" t="s">
        <v>277</v>
      </c>
      <c r="P6" s="254"/>
      <c r="Q6" s="1468"/>
      <c r="R6" s="1469"/>
      <c r="S6" s="1469"/>
      <c r="T6" s="1469"/>
      <c r="U6" s="255"/>
      <c r="V6" s="249"/>
      <c r="W6" s="250"/>
      <c r="X6" s="250"/>
      <c r="Y6" s="250"/>
      <c r="Z6" s="250"/>
      <c r="AU6" s="256"/>
      <c r="AV6" s="257"/>
    </row>
    <row r="7" spans="1:48" s="111" customFormat="1" ht="15" x14ac:dyDescent="0.25">
      <c r="A7" s="248"/>
      <c r="B7" s="258" t="s">
        <v>278</v>
      </c>
      <c r="C7" s="1473" t="str">
        <f>'11 - FINANCEIRO'!C8</f>
        <v>Construção de Drenagem e Urbanização do Canal Guaranhuns</v>
      </c>
      <c r="D7" s="1474"/>
      <c r="E7" s="1309" t="s">
        <v>473</v>
      </c>
      <c r="F7" s="1475"/>
      <c r="G7" s="1475"/>
      <c r="H7" s="1475"/>
      <c r="I7" s="1475"/>
      <c r="J7" s="1475"/>
      <c r="K7" s="1475"/>
      <c r="L7" s="1475"/>
      <c r="M7" s="257"/>
      <c r="N7" s="125"/>
      <c r="O7" s="253" t="s">
        <v>280</v>
      </c>
      <c r="P7" s="254"/>
      <c r="Q7" s="259" t="s">
        <v>281</v>
      </c>
      <c r="R7" s="260"/>
      <c r="U7" s="255"/>
      <c r="V7" s="249"/>
      <c r="W7" s="250"/>
      <c r="X7" s="250"/>
      <c r="Y7" s="250"/>
      <c r="Z7" s="250"/>
      <c r="AU7" s="261"/>
      <c r="AV7" s="257"/>
    </row>
    <row r="8" spans="1:48" s="111" customFormat="1" ht="15" x14ac:dyDescent="0.25">
      <c r="A8" s="248"/>
      <c r="B8" s="258" t="s">
        <v>282</v>
      </c>
      <c r="C8" s="1476">
        <f>'11 - FINANCEIRO'!C9</f>
        <v>44</v>
      </c>
      <c r="D8" s="1477"/>
      <c r="E8" s="1309" t="s">
        <v>474</v>
      </c>
      <c r="F8" s="1475"/>
      <c r="G8" s="1475"/>
      <c r="H8" s="1475"/>
      <c r="I8" s="1475"/>
      <c r="J8" s="1475"/>
      <c r="K8" s="1475"/>
      <c r="L8" s="1475"/>
      <c r="M8" s="120"/>
      <c r="N8" s="125"/>
      <c r="O8" s="253" t="s">
        <v>283</v>
      </c>
      <c r="P8" s="254"/>
      <c r="Q8" s="127">
        <v>44231</v>
      </c>
      <c r="R8" s="260"/>
      <c r="U8" s="255"/>
      <c r="V8" s="249"/>
      <c r="W8" s="250"/>
      <c r="X8" s="250"/>
      <c r="Y8" s="250"/>
      <c r="Z8" s="250"/>
      <c r="AU8" s="261"/>
      <c r="AV8" s="120"/>
    </row>
    <row r="9" spans="1:48" s="111" customFormat="1" ht="15" x14ac:dyDescent="0.25">
      <c r="A9" s="248"/>
      <c r="B9" s="258" t="s">
        <v>284</v>
      </c>
      <c r="C9" s="1476" t="str">
        <f>'11 - FINANCEIRO'!C10</f>
        <v>01/04/2026 a 30/04/2026</v>
      </c>
      <c r="D9" s="1477"/>
      <c r="E9" s="1478" t="s">
        <v>475</v>
      </c>
      <c r="F9" s="1479"/>
      <c r="G9" s="1479"/>
      <c r="H9" s="1479"/>
      <c r="I9" s="1479"/>
      <c r="J9" s="1479"/>
      <c r="K9" s="1479"/>
      <c r="L9" s="1479"/>
      <c r="M9" s="120"/>
      <c r="N9" s="125"/>
      <c r="O9" s="253" t="s">
        <v>285</v>
      </c>
      <c r="P9" s="254"/>
      <c r="Q9" s="127">
        <v>44244</v>
      </c>
      <c r="R9" s="260"/>
      <c r="U9" s="255"/>
      <c r="V9" s="249"/>
      <c r="W9" s="250"/>
      <c r="X9" s="250"/>
      <c r="Y9" s="250"/>
      <c r="Z9" s="250"/>
    </row>
    <row r="10" spans="1:48" s="111" customFormat="1" ht="15" x14ac:dyDescent="0.2">
      <c r="A10" s="248"/>
      <c r="B10" s="262"/>
      <c r="C10" s="136"/>
      <c r="D10" s="263"/>
      <c r="E10" s="264"/>
      <c r="F10" s="134"/>
      <c r="G10" s="136"/>
      <c r="H10" s="136"/>
      <c r="I10" s="136"/>
      <c r="J10" s="265"/>
      <c r="K10" s="266"/>
      <c r="L10" s="267"/>
      <c r="M10" s="268"/>
      <c r="N10" s="139"/>
      <c r="O10" s="269"/>
      <c r="P10" s="269"/>
      <c r="Q10" s="269"/>
      <c r="R10" s="270"/>
      <c r="S10" s="269"/>
      <c r="T10" s="269"/>
      <c r="U10" s="271"/>
      <c r="V10" s="249"/>
      <c r="W10" s="250"/>
      <c r="X10" s="250"/>
      <c r="Y10" s="250"/>
      <c r="Z10" s="250"/>
    </row>
    <row r="11" spans="1:48" s="111" customFormat="1" ht="18" x14ac:dyDescent="0.2">
      <c r="A11" s="248"/>
      <c r="B11" s="1470" t="s">
        <v>476</v>
      </c>
      <c r="C11" s="1471"/>
      <c r="D11" s="1471"/>
      <c r="E11" s="1471"/>
      <c r="F11" s="1471"/>
      <c r="G11" s="1471"/>
      <c r="H11" s="1471"/>
      <c r="I11" s="1471"/>
      <c r="J11" s="1471"/>
      <c r="K11" s="1471"/>
      <c r="L11" s="1471"/>
      <c r="M11" s="1471"/>
      <c r="N11" s="1471"/>
      <c r="O11" s="1471"/>
      <c r="P11" s="1471"/>
      <c r="Q11" s="1471"/>
      <c r="R11" s="1471"/>
      <c r="S11" s="1471"/>
      <c r="T11" s="1471"/>
      <c r="U11" s="1472"/>
      <c r="V11" s="249"/>
      <c r="W11" s="250"/>
      <c r="X11" s="250"/>
      <c r="Y11" s="250"/>
      <c r="Z11" s="250"/>
    </row>
    <row r="12" spans="1:48" s="111" customFormat="1" ht="18" x14ac:dyDescent="0.2">
      <c r="A12" s="248"/>
      <c r="B12" s="272"/>
      <c r="C12" s="273"/>
      <c r="D12" s="273"/>
      <c r="E12" s="273"/>
      <c r="F12" s="273"/>
      <c r="G12" s="273"/>
      <c r="H12" s="273"/>
      <c r="I12" s="273"/>
      <c r="J12" s="273"/>
      <c r="K12" s="273"/>
      <c r="L12" s="273"/>
      <c r="M12" s="273"/>
      <c r="N12" s="273"/>
      <c r="O12" s="273"/>
      <c r="P12" s="273"/>
      <c r="Q12" s="273"/>
      <c r="R12" s="274"/>
      <c r="S12" s="273"/>
      <c r="T12" s="273"/>
      <c r="U12" s="275"/>
      <c r="V12" s="249"/>
      <c r="W12" s="250"/>
      <c r="X12" s="250"/>
      <c r="Y12" s="250"/>
      <c r="Z12" s="250"/>
    </row>
    <row r="13" spans="1:48" ht="15.75" x14ac:dyDescent="0.25">
      <c r="B13" s="277" t="str">
        <f>LEFT(A22,3)</f>
        <v>1.0</v>
      </c>
      <c r="C13" s="278" t="str">
        <f>VLOOKUP(LEFT(A22,3),'11 - FINANCEIRO'!_xlnm.Print_Area,2,FALSE)</f>
        <v xml:space="preserve">Administração e Canteiro </v>
      </c>
      <c r="D13" s="278"/>
      <c r="E13" s="279"/>
      <c r="F13" s="278"/>
      <c r="G13" s="280"/>
      <c r="H13" s="281"/>
      <c r="I13" s="281"/>
      <c r="J13" s="281"/>
      <c r="K13" s="281"/>
      <c r="L13" s="281"/>
      <c r="M13" s="282"/>
      <c r="N13" s="283"/>
      <c r="O13" s="281"/>
      <c r="P13" s="281"/>
      <c r="Q13" s="281"/>
      <c r="R13" s="284"/>
      <c r="S13" s="281"/>
      <c r="T13" s="281"/>
      <c r="U13" s="285"/>
      <c r="V13" s="286">
        <f ca="1">SUM(V14:V352)</f>
        <v>5809.7679999999973</v>
      </c>
      <c r="W13" s="256">
        <f t="shared" ref="W13:W86" ca="1" si="0">IF(LEFT(_xlfn.FORMULATEXT(V13),3)="=SO",1,IF(COUNTA(A13:U13)=0,0,2))</f>
        <v>1</v>
      </c>
      <c r="X13" s="256">
        <f t="shared" ref="X13:X86" ca="1" si="1">IF(COUNTA(OFFSET(A12,1,0))-COUNTA(A12)=-1,0,1)</f>
        <v>1</v>
      </c>
    </row>
    <row r="14" spans="1:48" ht="15.75" x14ac:dyDescent="0.25">
      <c r="B14" s="277" t="str">
        <f>LEFT(A23,3)</f>
        <v>1.1</v>
      </c>
      <c r="C14" s="278" t="str">
        <f>VLOOKUP(LEFT(A23,3),'11 - FINANCEIRO'!_xlnm.Print_Area,2,FALSE)</f>
        <v>Implantação do Canteiro de Obras</v>
      </c>
      <c r="D14" s="278"/>
      <c r="E14" s="279"/>
      <c r="F14" s="278"/>
      <c r="G14" s="280"/>
      <c r="H14" s="281"/>
      <c r="I14" s="281"/>
      <c r="J14" s="281"/>
      <c r="K14" s="281"/>
      <c r="L14" s="281"/>
      <c r="M14" s="282"/>
      <c r="N14" s="283"/>
      <c r="O14" s="281"/>
      <c r="P14" s="281"/>
      <c r="Q14" s="281"/>
      <c r="R14" s="284"/>
      <c r="S14" s="281"/>
      <c r="T14" s="281"/>
      <c r="U14" s="285"/>
      <c r="V14" s="286">
        <f ca="1">SUM(V15:V94)</f>
        <v>1839.8839999999973</v>
      </c>
      <c r="W14" s="256">
        <f t="shared" ca="1" si="0"/>
        <v>1</v>
      </c>
      <c r="X14" s="256">
        <f t="shared" ca="1" si="1"/>
        <v>1</v>
      </c>
    </row>
    <row r="15" spans="1:48" s="293" customFormat="1" ht="15.75" hidden="1" x14ac:dyDescent="0.25">
      <c r="A15" s="288"/>
      <c r="B15" s="1374" t="str">
        <f>VLOOKUP(A23,'11 - FINANCEIRO'!A:M,1,FALSE)</f>
        <v>1.1.1</v>
      </c>
      <c r="C15" s="1376" t="str">
        <f>VLOOKUP(A23,'11 - FINANCEIRO'!_xlnm.Print_Area,3,FALSE)</f>
        <v>Rede De Água Com Padrão De Entrada D'Água Diâm. 3/4", Conf. Espec. Cesan, Incl. Tubos E Conexões Para Alimentação, Distribuição, Extravasor E Limpeza, Cons. O Padrão A 25M, Conf. Projeto (1 Utilização)</v>
      </c>
      <c r="D15" s="1378" t="s">
        <v>477</v>
      </c>
      <c r="E15" s="1379"/>
      <c r="F15" s="1379"/>
      <c r="G15" s="1379"/>
      <c r="H15" s="1379"/>
      <c r="I15" s="1380"/>
      <c r="J15" s="1338" t="s">
        <v>478</v>
      </c>
      <c r="K15" s="1338" t="s">
        <v>479</v>
      </c>
      <c r="L15" s="1338" t="s">
        <v>480</v>
      </c>
      <c r="M15" s="1338" t="s">
        <v>481</v>
      </c>
      <c r="N15" s="1338" t="s">
        <v>482</v>
      </c>
      <c r="O15" s="1338" t="s">
        <v>483</v>
      </c>
      <c r="P15" s="290" t="s">
        <v>484</v>
      </c>
      <c r="Q15" s="1338" t="s">
        <v>485</v>
      </c>
      <c r="R15" s="1336" t="s">
        <v>296</v>
      </c>
      <c r="S15" s="1338" t="s">
        <v>486</v>
      </c>
      <c r="T15" s="1338" t="s">
        <v>487</v>
      </c>
      <c r="U15" s="1340" t="s">
        <v>488</v>
      </c>
      <c r="V15" s="291">
        <f ca="1">IF(OFFSET(V15,1,1)=1,OFFSET(V15,0,-4),OFFSET(V15,1,0))</f>
        <v>0</v>
      </c>
      <c r="W15" s="256">
        <f t="shared" ca="1" si="0"/>
        <v>2</v>
      </c>
      <c r="X15" s="256">
        <f t="shared" ca="1" si="1"/>
        <v>1</v>
      </c>
      <c r="Y15" s="256"/>
      <c r="Z15" s="256"/>
      <c r="AA15" s="292"/>
      <c r="AB15" s="292"/>
      <c r="AC15" s="292"/>
    </row>
    <row r="16" spans="1:48" s="293" customFormat="1" ht="15.75" hidden="1" x14ac:dyDescent="0.2">
      <c r="A16" s="288"/>
      <c r="B16" s="1375"/>
      <c r="C16" s="1377" t="e">
        <f>VLOOKUP(LEFT(#REF!,5),'11 - FINANCEIRO'!_xlnm.Print_Area,2,FALSE)</f>
        <v>#REF!</v>
      </c>
      <c r="D16" s="1342" t="s">
        <v>489</v>
      </c>
      <c r="E16" s="1343"/>
      <c r="F16" s="1344"/>
      <c r="G16" s="1345" t="s">
        <v>490</v>
      </c>
      <c r="H16" s="1346"/>
      <c r="I16" s="1347"/>
      <c r="J16" s="1339"/>
      <c r="K16" s="1339"/>
      <c r="L16" s="1339"/>
      <c r="M16" s="1339"/>
      <c r="N16" s="1339"/>
      <c r="O16" s="1339"/>
      <c r="P16" s="295" t="s">
        <v>491</v>
      </c>
      <c r="Q16" s="1339"/>
      <c r="R16" s="1337"/>
      <c r="S16" s="1339"/>
      <c r="T16" s="1339"/>
      <c r="U16" s="1341"/>
      <c r="V16" s="291">
        <f t="shared" ref="V16:V88" ca="1" si="2">IF(OFFSET(V16,1,1)=1,OFFSET(V16,0,-4),OFFSET(V16,1,0))</f>
        <v>0</v>
      </c>
      <c r="W16" s="256">
        <f t="shared" ca="1" si="0"/>
        <v>2</v>
      </c>
      <c r="X16" s="256">
        <f t="shared" ca="1" si="1"/>
        <v>1</v>
      </c>
      <c r="Y16" s="256"/>
      <c r="Z16" s="256"/>
      <c r="AA16" s="292"/>
      <c r="AB16" s="292"/>
      <c r="AC16" s="292"/>
    </row>
    <row r="17" spans="1:29" s="293" customFormat="1" ht="15.75" hidden="1" x14ac:dyDescent="0.2">
      <c r="A17" s="288"/>
      <c r="B17" s="296"/>
      <c r="C17" s="297" t="s">
        <v>310</v>
      </c>
      <c r="D17" s="298"/>
      <c r="E17" s="299"/>
      <c r="F17" s="300"/>
      <c r="G17" s="301"/>
      <c r="H17" s="302"/>
      <c r="I17" s="303"/>
      <c r="J17" s="304"/>
      <c r="K17" s="305">
        <v>25</v>
      </c>
      <c r="L17" s="304"/>
      <c r="M17" s="300"/>
      <c r="N17" s="299"/>
      <c r="O17" s="298"/>
      <c r="P17" s="306"/>
      <c r="Q17" s="300"/>
      <c r="R17" s="307">
        <f>K17</f>
        <v>25</v>
      </c>
      <c r="S17" s="308" t="str">
        <f>S21</f>
        <v>m</v>
      </c>
      <c r="T17" s="309">
        <v>1</v>
      </c>
      <c r="U17" s="310"/>
      <c r="V17" s="291">
        <f t="shared" ca="1" si="2"/>
        <v>0</v>
      </c>
      <c r="W17" s="256">
        <f t="shared" ca="1" si="0"/>
        <v>2</v>
      </c>
      <c r="X17" s="256">
        <f t="shared" ca="1" si="1"/>
        <v>1</v>
      </c>
      <c r="Y17" s="256"/>
      <c r="Z17" s="256"/>
      <c r="AA17" s="292"/>
      <c r="AB17" s="292"/>
      <c r="AC17" s="292"/>
    </row>
    <row r="18" spans="1:29" s="293" customFormat="1" ht="15.75" hidden="1" x14ac:dyDescent="0.2">
      <c r="A18" s="288"/>
      <c r="B18" s="311"/>
      <c r="C18" s="312"/>
      <c r="D18" s="313"/>
      <c r="E18" s="314"/>
      <c r="F18" s="315"/>
      <c r="G18" s="316"/>
      <c r="H18" s="316"/>
      <c r="I18" s="316"/>
      <c r="J18" s="317"/>
      <c r="K18" s="317"/>
      <c r="L18" s="317"/>
      <c r="M18" s="317"/>
      <c r="N18" s="317"/>
      <c r="O18" s="317"/>
      <c r="P18" s="318"/>
      <c r="Q18" s="317"/>
      <c r="R18" s="319"/>
      <c r="S18" s="317"/>
      <c r="T18" s="320"/>
      <c r="U18" s="321"/>
      <c r="V18" s="291">
        <f t="shared" ca="1" si="2"/>
        <v>0</v>
      </c>
      <c r="W18" s="256">
        <f t="shared" ca="1" si="0"/>
        <v>0</v>
      </c>
      <c r="X18" s="256">
        <f t="shared" ca="1" si="1"/>
        <v>1</v>
      </c>
      <c r="Y18" s="256"/>
      <c r="Z18" s="256"/>
      <c r="AA18" s="292"/>
      <c r="AB18" s="292"/>
      <c r="AC18" s="292"/>
    </row>
    <row r="19" spans="1:29" s="337" customFormat="1" ht="15" hidden="1" x14ac:dyDescent="0.2">
      <c r="A19" s="288"/>
      <c r="B19" s="322"/>
      <c r="C19" s="323"/>
      <c r="D19" s="324"/>
      <c r="E19" s="325"/>
      <c r="F19" s="326"/>
      <c r="G19" s="324"/>
      <c r="H19" s="325"/>
      <c r="I19" s="326"/>
      <c r="J19" s="317"/>
      <c r="K19" s="327"/>
      <c r="L19" s="328"/>
      <c r="M19" s="329"/>
      <c r="N19" s="330"/>
      <c r="O19" s="331"/>
      <c r="P19" s="328"/>
      <c r="Q19" s="332"/>
      <c r="R19" s="333"/>
      <c r="S19" s="334"/>
      <c r="T19" s="320"/>
      <c r="U19" s="335"/>
      <c r="V19" s="291">
        <f t="shared" ca="1" si="2"/>
        <v>0</v>
      </c>
      <c r="W19" s="256">
        <f t="shared" ca="1" si="0"/>
        <v>0</v>
      </c>
      <c r="X19" s="256">
        <f t="shared" ca="1" si="1"/>
        <v>1</v>
      </c>
      <c r="Y19" s="336"/>
      <c r="Z19" s="336"/>
    </row>
    <row r="20" spans="1:29" s="337" customFormat="1" ht="15" hidden="1" x14ac:dyDescent="0.2">
      <c r="A20" s="288"/>
      <c r="B20" s="338"/>
      <c r="C20" s="339"/>
      <c r="D20" s="340"/>
      <c r="E20" s="341"/>
      <c r="F20" s="342"/>
      <c r="G20" s="340"/>
      <c r="H20" s="341"/>
      <c r="I20" s="342"/>
      <c r="J20" s="343"/>
      <c r="K20" s="344"/>
      <c r="L20" s="345"/>
      <c r="M20" s="346"/>
      <c r="N20" s="347"/>
      <c r="O20" s="348"/>
      <c r="P20" s="345"/>
      <c r="Q20" s="349"/>
      <c r="R20" s="350"/>
      <c r="S20" s="351"/>
      <c r="T20" s="352"/>
      <c r="U20" s="353"/>
      <c r="V20" s="291">
        <f t="shared" ca="1" si="2"/>
        <v>0</v>
      </c>
      <c r="W20" s="256">
        <f t="shared" ca="1" si="0"/>
        <v>0</v>
      </c>
      <c r="X20" s="256">
        <f t="shared" ca="1" si="1"/>
        <v>1</v>
      </c>
      <c r="Y20" s="336"/>
      <c r="Z20" s="336"/>
    </row>
    <row r="21" spans="1:29" s="111" customFormat="1" ht="15.75" hidden="1" x14ac:dyDescent="0.2">
      <c r="A21" s="288"/>
      <c r="B21" s="354"/>
      <c r="C21" s="355"/>
      <c r="D21" s="1354" t="s">
        <v>492</v>
      </c>
      <c r="E21" s="1355"/>
      <c r="F21" s="1355"/>
      <c r="G21" s="1355"/>
      <c r="H21" s="1355"/>
      <c r="I21" s="1356"/>
      <c r="J21" s="1357">
        <f>VLOOKUP(A23,'11 - FINANCEIRO'!_xlnm.Print_Area,6,FALSE)</f>
        <v>25</v>
      </c>
      <c r="K21" s="1358"/>
      <c r="L21" s="356" t="str">
        <f>VLOOKUP(A23,'11 - FINANCEIRO'!_xlnm.Print_Area,4,FALSE)</f>
        <v>m</v>
      </c>
      <c r="M21" s="1359" t="s">
        <v>493</v>
      </c>
      <c r="N21" s="1360"/>
      <c r="O21" s="1360"/>
      <c r="P21" s="1360"/>
      <c r="Q21" s="1361"/>
      <c r="R21" s="357">
        <f>TRUNC(SUM(R17:R20),3)</f>
        <v>25</v>
      </c>
      <c r="S21" s="358" t="str">
        <f>L21</f>
        <v>m</v>
      </c>
      <c r="T21" s="359"/>
      <c r="U21" s="360"/>
      <c r="V21" s="291">
        <f t="shared" ca="1" si="2"/>
        <v>0</v>
      </c>
      <c r="W21" s="256">
        <f t="shared" ca="1" si="0"/>
        <v>2</v>
      </c>
      <c r="X21" s="256">
        <f t="shared" ca="1" si="1"/>
        <v>1</v>
      </c>
      <c r="Y21" s="250"/>
      <c r="Z21" s="250"/>
    </row>
    <row r="22" spans="1:29" s="111" customFormat="1" ht="15.75" hidden="1" x14ac:dyDescent="0.2">
      <c r="A22" s="288" t="s">
        <v>8</v>
      </c>
      <c r="B22" s="354"/>
      <c r="C22" s="361"/>
      <c r="D22" s="1362" t="s">
        <v>494</v>
      </c>
      <c r="E22" s="1363"/>
      <c r="F22" s="1363"/>
      <c r="G22" s="1363"/>
      <c r="H22" s="1363"/>
      <c r="I22" s="1364"/>
      <c r="J22" s="1365">
        <f>R21/J21</f>
        <v>1</v>
      </c>
      <c r="K22" s="1366"/>
      <c r="L22" s="1369"/>
      <c r="M22" s="1371" t="s">
        <v>495</v>
      </c>
      <c r="N22" s="1372"/>
      <c r="O22" s="1372"/>
      <c r="P22" s="1372"/>
      <c r="Q22" s="1373"/>
      <c r="R22" s="362">
        <f>VLOOKUP(A23,'11 - FINANCEIRO'!_xlnm.Print_Area,8,FALSE)</f>
        <v>25</v>
      </c>
      <c r="S22" s="363" t="str">
        <f>L21</f>
        <v>m</v>
      </c>
      <c r="T22" s="359"/>
      <c r="U22" s="360"/>
      <c r="V22" s="291">
        <f t="shared" ca="1" si="2"/>
        <v>0</v>
      </c>
      <c r="W22" s="256">
        <f t="shared" ca="1" si="0"/>
        <v>2</v>
      </c>
      <c r="X22" s="256">
        <f t="shared" ca="1" si="1"/>
        <v>1</v>
      </c>
      <c r="Y22" s="250"/>
      <c r="Z22" s="250"/>
    </row>
    <row r="23" spans="1:29" s="111" customFormat="1" ht="15.75" hidden="1" x14ac:dyDescent="0.2">
      <c r="A23" s="288" t="s">
        <v>11</v>
      </c>
      <c r="B23" s="364"/>
      <c r="C23" s="365"/>
      <c r="D23" s="1354"/>
      <c r="E23" s="1355"/>
      <c r="F23" s="1355"/>
      <c r="G23" s="1355"/>
      <c r="H23" s="1355"/>
      <c r="I23" s="1356"/>
      <c r="J23" s="1367"/>
      <c r="K23" s="1368"/>
      <c r="L23" s="1370"/>
      <c r="M23" s="1371" t="s">
        <v>496</v>
      </c>
      <c r="N23" s="1372"/>
      <c r="O23" s="1372"/>
      <c r="P23" s="1372"/>
      <c r="Q23" s="1373"/>
      <c r="R23" s="362">
        <f>R21-R22</f>
        <v>0</v>
      </c>
      <c r="S23" s="363" t="str">
        <f>L21</f>
        <v>m</v>
      </c>
      <c r="T23" s="366"/>
      <c r="U23" s="367"/>
      <c r="V23" s="291">
        <f t="shared" ca="1" si="2"/>
        <v>0</v>
      </c>
      <c r="W23" s="256">
        <f t="shared" ca="1" si="0"/>
        <v>2</v>
      </c>
      <c r="X23" s="256">
        <f t="shared" ca="1" si="1"/>
        <v>1</v>
      </c>
      <c r="Y23" s="287"/>
      <c r="Z23" s="287"/>
    </row>
    <row r="24" spans="1:29" s="111" customFormat="1" ht="15.75" hidden="1" x14ac:dyDescent="0.2">
      <c r="A24" s="288"/>
      <c r="B24" s="368"/>
      <c r="C24" s="365"/>
      <c r="D24" s="369"/>
      <c r="E24" s="370"/>
      <c r="F24" s="369"/>
      <c r="G24" s="369"/>
      <c r="H24" s="369"/>
      <c r="I24" s="369"/>
      <c r="J24" s="371"/>
      <c r="K24" s="372"/>
      <c r="L24" s="373"/>
      <c r="M24" s="374"/>
      <c r="N24" s="374"/>
      <c r="O24" s="374"/>
      <c r="P24" s="374"/>
      <c r="Q24" s="374"/>
      <c r="R24" s="375"/>
      <c r="S24" s="376"/>
      <c r="T24" s="377"/>
      <c r="U24" s="378"/>
      <c r="V24" s="379">
        <f ca="1">SUM(V15:V23)</f>
        <v>0</v>
      </c>
      <c r="W24" s="256">
        <f t="shared" ca="1" si="0"/>
        <v>1</v>
      </c>
      <c r="X24" s="256">
        <f t="shared" ca="1" si="1"/>
        <v>0</v>
      </c>
      <c r="Y24" s="287"/>
      <c r="Z24" s="287"/>
    </row>
    <row r="25" spans="1:29" s="293" customFormat="1" ht="15.75" hidden="1" x14ac:dyDescent="0.25">
      <c r="A25" s="288"/>
      <c r="B25" s="1374" t="str">
        <f>VLOOKUP(A33,'11 - FINANCEIRO'!_xlnm.Print_Area,1,FALSE)</f>
        <v>1.1.2</v>
      </c>
      <c r="C25" s="1376" t="str">
        <f>VLOOKUP(A33,'11 - FINANCEIRO'!_xlnm.Print_Area,3,FALSE)</f>
        <v>Rede De Esgoto, Contendo Fossa E Filtro, Inclusive Tubos E Conexões De Ligação Entre Caixas, Considerando Distância De 25M, Conforme Projeto (1 Utilização)</v>
      </c>
      <c r="D25" s="1378" t="s">
        <v>477</v>
      </c>
      <c r="E25" s="1379"/>
      <c r="F25" s="1379"/>
      <c r="G25" s="1379"/>
      <c r="H25" s="1379"/>
      <c r="I25" s="1380"/>
      <c r="J25" s="1338" t="s">
        <v>478</v>
      </c>
      <c r="K25" s="1338" t="s">
        <v>479</v>
      </c>
      <c r="L25" s="1338" t="s">
        <v>480</v>
      </c>
      <c r="M25" s="1338" t="s">
        <v>481</v>
      </c>
      <c r="N25" s="1338" t="s">
        <v>482</v>
      </c>
      <c r="O25" s="1338" t="s">
        <v>483</v>
      </c>
      <c r="P25" s="290" t="s">
        <v>484</v>
      </c>
      <c r="Q25" s="1338" t="s">
        <v>485</v>
      </c>
      <c r="R25" s="1336" t="s">
        <v>296</v>
      </c>
      <c r="S25" s="1338" t="s">
        <v>486</v>
      </c>
      <c r="T25" s="1338" t="s">
        <v>487</v>
      </c>
      <c r="U25" s="1340" t="s">
        <v>488</v>
      </c>
      <c r="V25" s="291">
        <f t="shared" ca="1" si="2"/>
        <v>0</v>
      </c>
      <c r="W25" s="256">
        <f t="shared" ca="1" si="0"/>
        <v>2</v>
      </c>
      <c r="X25" s="256">
        <f t="shared" ca="1" si="1"/>
        <v>1</v>
      </c>
      <c r="Y25" s="256"/>
      <c r="Z25" s="256"/>
      <c r="AA25" s="292"/>
      <c r="AB25" s="292"/>
      <c r="AC25" s="292"/>
    </row>
    <row r="26" spans="1:29" s="293" customFormat="1" ht="15.75" hidden="1" x14ac:dyDescent="0.2">
      <c r="A26" s="288"/>
      <c r="B26" s="1375" t="e">
        <f>LEFT(#REF!,5)</f>
        <v>#REF!</v>
      </c>
      <c r="C26" s="1377" t="e">
        <f>VLOOKUP(LEFT(#REF!,5),'11 - FINANCEIRO'!_xlnm.Print_Area,2,FALSE)</f>
        <v>#REF!</v>
      </c>
      <c r="D26" s="1342" t="s">
        <v>489</v>
      </c>
      <c r="E26" s="1343"/>
      <c r="F26" s="1344"/>
      <c r="G26" s="1345" t="s">
        <v>490</v>
      </c>
      <c r="H26" s="1346"/>
      <c r="I26" s="1347"/>
      <c r="J26" s="1339"/>
      <c r="K26" s="1339"/>
      <c r="L26" s="1339"/>
      <c r="M26" s="1339"/>
      <c r="N26" s="1339"/>
      <c r="O26" s="1339"/>
      <c r="P26" s="295" t="s">
        <v>491</v>
      </c>
      <c r="Q26" s="1339"/>
      <c r="R26" s="1337"/>
      <c r="S26" s="1339"/>
      <c r="T26" s="1339"/>
      <c r="U26" s="1341"/>
      <c r="V26" s="291">
        <f t="shared" ca="1" si="2"/>
        <v>0</v>
      </c>
      <c r="W26" s="256">
        <f t="shared" ca="1" si="0"/>
        <v>2</v>
      </c>
      <c r="X26" s="256">
        <f t="shared" ca="1" si="1"/>
        <v>1</v>
      </c>
      <c r="Y26" s="256"/>
      <c r="Z26" s="256"/>
      <c r="AA26" s="292"/>
      <c r="AB26" s="292"/>
      <c r="AC26" s="292"/>
    </row>
    <row r="27" spans="1:29" s="293" customFormat="1" ht="15.75" hidden="1" x14ac:dyDescent="0.2">
      <c r="A27" s="288"/>
      <c r="B27" s="296"/>
      <c r="C27" s="297" t="s">
        <v>310</v>
      </c>
      <c r="D27" s="298"/>
      <c r="E27" s="299"/>
      <c r="F27" s="300"/>
      <c r="G27" s="301"/>
      <c r="H27" s="302"/>
      <c r="I27" s="303"/>
      <c r="J27" s="304"/>
      <c r="K27" s="305">
        <v>25</v>
      </c>
      <c r="L27" s="304"/>
      <c r="M27" s="304"/>
      <c r="N27" s="304"/>
      <c r="O27" s="304"/>
      <c r="P27" s="306"/>
      <c r="Q27" s="304"/>
      <c r="R27" s="307">
        <f>K27</f>
        <v>25</v>
      </c>
      <c r="S27" s="308" t="str">
        <f>S31</f>
        <v>m</v>
      </c>
      <c r="T27" s="309">
        <v>1</v>
      </c>
      <c r="U27" s="310"/>
      <c r="V27" s="291">
        <f t="shared" ca="1" si="2"/>
        <v>0</v>
      </c>
      <c r="W27" s="256">
        <f t="shared" ca="1" si="0"/>
        <v>2</v>
      </c>
      <c r="X27" s="256">
        <f t="shared" ca="1" si="1"/>
        <v>1</v>
      </c>
      <c r="Y27" s="256"/>
      <c r="Z27" s="256"/>
      <c r="AA27" s="292"/>
      <c r="AB27" s="292"/>
      <c r="AC27" s="292"/>
    </row>
    <row r="28" spans="1:29" s="293" customFormat="1" ht="15.75" hidden="1" x14ac:dyDescent="0.2">
      <c r="A28" s="288"/>
      <c r="B28" s="311"/>
      <c r="C28" s="312"/>
      <c r="D28" s="313"/>
      <c r="E28" s="314"/>
      <c r="F28" s="315"/>
      <c r="G28" s="380"/>
      <c r="H28" s="316"/>
      <c r="I28" s="381"/>
      <c r="J28" s="317"/>
      <c r="K28" s="317"/>
      <c r="L28" s="317"/>
      <c r="M28" s="315"/>
      <c r="N28" s="314"/>
      <c r="O28" s="313"/>
      <c r="P28" s="318"/>
      <c r="Q28" s="315"/>
      <c r="R28" s="319"/>
      <c r="S28" s="317"/>
      <c r="T28" s="320"/>
      <c r="U28" s="321"/>
      <c r="V28" s="291">
        <f t="shared" ca="1" si="2"/>
        <v>0</v>
      </c>
      <c r="W28" s="256">
        <f t="shared" ca="1" si="0"/>
        <v>0</v>
      </c>
      <c r="X28" s="256">
        <f t="shared" ca="1" si="1"/>
        <v>1</v>
      </c>
      <c r="Y28" s="256"/>
      <c r="Z28" s="256"/>
      <c r="AA28" s="292"/>
      <c r="AB28" s="292"/>
      <c r="AC28" s="292"/>
    </row>
    <row r="29" spans="1:29" s="337" customFormat="1" ht="15" hidden="1" x14ac:dyDescent="0.2">
      <c r="A29" s="288"/>
      <c r="B29" s="322"/>
      <c r="C29" s="382"/>
      <c r="D29" s="324"/>
      <c r="E29" s="325"/>
      <c r="F29" s="326"/>
      <c r="G29" s="324"/>
      <c r="H29" s="325"/>
      <c r="I29" s="326"/>
      <c r="J29" s="317"/>
      <c r="K29" s="328"/>
      <c r="L29" s="328"/>
      <c r="M29" s="328"/>
      <c r="N29" s="328"/>
      <c r="O29" s="334"/>
      <c r="P29" s="328"/>
      <c r="Q29" s="334"/>
      <c r="R29" s="333"/>
      <c r="S29" s="331"/>
      <c r="T29" s="320"/>
      <c r="U29" s="335"/>
      <c r="V29" s="291">
        <f t="shared" ca="1" si="2"/>
        <v>0</v>
      </c>
      <c r="W29" s="256">
        <f t="shared" ca="1" si="0"/>
        <v>0</v>
      </c>
      <c r="X29" s="256">
        <f t="shared" ca="1" si="1"/>
        <v>1</v>
      </c>
      <c r="Y29" s="336"/>
      <c r="Z29" s="336"/>
    </row>
    <row r="30" spans="1:29" s="337" customFormat="1" ht="15" hidden="1" x14ac:dyDescent="0.2">
      <c r="A30" s="288"/>
      <c r="B30" s="338"/>
      <c r="C30" s="339"/>
      <c r="D30" s="340"/>
      <c r="E30" s="341"/>
      <c r="F30" s="342"/>
      <c r="G30" s="340"/>
      <c r="H30" s="341"/>
      <c r="I30" s="342"/>
      <c r="J30" s="343"/>
      <c r="K30" s="344"/>
      <c r="L30" s="345"/>
      <c r="M30" s="346"/>
      <c r="N30" s="347"/>
      <c r="O30" s="348"/>
      <c r="P30" s="345"/>
      <c r="Q30" s="349"/>
      <c r="R30" s="350"/>
      <c r="S30" s="351"/>
      <c r="T30" s="352"/>
      <c r="U30" s="353"/>
      <c r="V30" s="291">
        <f t="shared" ca="1" si="2"/>
        <v>0</v>
      </c>
      <c r="W30" s="256">
        <f t="shared" ca="1" si="0"/>
        <v>0</v>
      </c>
      <c r="X30" s="256">
        <f t="shared" ca="1" si="1"/>
        <v>1</v>
      </c>
      <c r="Y30" s="336"/>
      <c r="Z30" s="336"/>
    </row>
    <row r="31" spans="1:29" s="111" customFormat="1" ht="15.75" hidden="1" x14ac:dyDescent="0.2">
      <c r="A31" s="288"/>
      <c r="B31" s="354"/>
      <c r="C31" s="355"/>
      <c r="D31" s="1354" t="s">
        <v>492</v>
      </c>
      <c r="E31" s="1355"/>
      <c r="F31" s="1355"/>
      <c r="G31" s="1355"/>
      <c r="H31" s="1355"/>
      <c r="I31" s="1356"/>
      <c r="J31" s="1357">
        <f>VLOOKUP(A33,'11 - FINANCEIRO'!_xlnm.Print_Area,6,FALSE)</f>
        <v>25</v>
      </c>
      <c r="K31" s="1358"/>
      <c r="L31" s="356" t="str">
        <f>VLOOKUP(A33,'11 - FINANCEIRO'!_xlnm.Print_Area,4,FALSE)</f>
        <v>m</v>
      </c>
      <c r="M31" s="1359" t="s">
        <v>493</v>
      </c>
      <c r="N31" s="1360"/>
      <c r="O31" s="1360"/>
      <c r="P31" s="1360"/>
      <c r="Q31" s="1361"/>
      <c r="R31" s="357">
        <f>TRUNC(SUM(R27:R30),3)</f>
        <v>25</v>
      </c>
      <c r="S31" s="358" t="str">
        <f>L31</f>
        <v>m</v>
      </c>
      <c r="T31" s="359"/>
      <c r="U31" s="360"/>
      <c r="V31" s="291">
        <f t="shared" ca="1" si="2"/>
        <v>0</v>
      </c>
      <c r="W31" s="256">
        <f t="shared" ca="1" si="0"/>
        <v>2</v>
      </c>
      <c r="X31" s="256">
        <f t="shared" ca="1" si="1"/>
        <v>1</v>
      </c>
      <c r="Y31" s="250"/>
      <c r="Z31" s="250"/>
    </row>
    <row r="32" spans="1:29" s="111" customFormat="1" ht="15.75" hidden="1" x14ac:dyDescent="0.2">
      <c r="A32" s="288"/>
      <c r="B32" s="354"/>
      <c r="C32" s="361"/>
      <c r="D32" s="1362" t="s">
        <v>494</v>
      </c>
      <c r="E32" s="1363"/>
      <c r="F32" s="1363"/>
      <c r="G32" s="1363"/>
      <c r="H32" s="1363"/>
      <c r="I32" s="1364"/>
      <c r="J32" s="1365">
        <f>R31/J31</f>
        <v>1</v>
      </c>
      <c r="K32" s="1366"/>
      <c r="L32" s="1369"/>
      <c r="M32" s="1371" t="s">
        <v>495</v>
      </c>
      <c r="N32" s="1372"/>
      <c r="O32" s="1372"/>
      <c r="P32" s="1372"/>
      <c r="Q32" s="1373"/>
      <c r="R32" s="362">
        <f>VLOOKUP(A33,'11 - FINANCEIRO'!_xlnm.Print_Area,8,FALSE)</f>
        <v>25</v>
      </c>
      <c r="S32" s="363" t="str">
        <f>L31</f>
        <v>m</v>
      </c>
      <c r="T32" s="359"/>
      <c r="U32" s="360"/>
      <c r="V32" s="291">
        <f t="shared" ca="1" si="2"/>
        <v>0</v>
      </c>
      <c r="W32" s="256">
        <f t="shared" ca="1" si="0"/>
        <v>2</v>
      </c>
      <c r="X32" s="256">
        <f t="shared" ca="1" si="1"/>
        <v>1</v>
      </c>
      <c r="Y32" s="250"/>
      <c r="Z32" s="250"/>
    </row>
    <row r="33" spans="1:29" s="111" customFormat="1" ht="15.75" hidden="1" x14ac:dyDescent="0.2">
      <c r="A33" s="288" t="s">
        <v>12</v>
      </c>
      <c r="B33" s="364"/>
      <c r="C33" s="365"/>
      <c r="D33" s="1354"/>
      <c r="E33" s="1355"/>
      <c r="F33" s="1355"/>
      <c r="G33" s="1355"/>
      <c r="H33" s="1355"/>
      <c r="I33" s="1356"/>
      <c r="J33" s="1367"/>
      <c r="K33" s="1368"/>
      <c r="L33" s="1370"/>
      <c r="M33" s="1371" t="s">
        <v>496</v>
      </c>
      <c r="N33" s="1372"/>
      <c r="O33" s="1372"/>
      <c r="P33" s="1372"/>
      <c r="Q33" s="1373"/>
      <c r="R33" s="362">
        <f>R31-R32</f>
        <v>0</v>
      </c>
      <c r="S33" s="363" t="str">
        <f>L31</f>
        <v>m</v>
      </c>
      <c r="T33" s="366"/>
      <c r="U33" s="367"/>
      <c r="V33" s="291">
        <f t="shared" ca="1" si="2"/>
        <v>0</v>
      </c>
      <c r="W33" s="256">
        <f t="shared" ca="1" si="0"/>
        <v>2</v>
      </c>
      <c r="X33" s="256">
        <f t="shared" ca="1" si="1"/>
        <v>1</v>
      </c>
      <c r="Y33" s="250"/>
      <c r="Z33" s="250"/>
    </row>
    <row r="34" spans="1:29" s="111" customFormat="1" ht="15.75" hidden="1" x14ac:dyDescent="0.2">
      <c r="A34" s="288"/>
      <c r="B34" s="368"/>
      <c r="C34" s="365"/>
      <c r="D34" s="369"/>
      <c r="E34" s="370"/>
      <c r="F34" s="369"/>
      <c r="G34" s="369"/>
      <c r="H34" s="369"/>
      <c r="I34" s="369"/>
      <c r="J34" s="371"/>
      <c r="K34" s="372"/>
      <c r="L34" s="373"/>
      <c r="M34" s="374"/>
      <c r="N34" s="374"/>
      <c r="O34" s="374"/>
      <c r="P34" s="374"/>
      <c r="Q34" s="374"/>
      <c r="R34" s="375"/>
      <c r="S34" s="376"/>
      <c r="T34" s="377"/>
      <c r="U34" s="378"/>
      <c r="V34" s="379">
        <f ca="1">SUM(V25:V33)</f>
        <v>0</v>
      </c>
      <c r="W34" s="256">
        <f t="shared" ca="1" si="0"/>
        <v>1</v>
      </c>
      <c r="X34" s="256">
        <f t="shared" ca="1" si="1"/>
        <v>0</v>
      </c>
      <c r="Y34" s="250"/>
      <c r="Z34" s="250"/>
    </row>
    <row r="35" spans="1:29" s="293" customFormat="1" ht="15.75" hidden="1" x14ac:dyDescent="0.25">
      <c r="A35" s="288"/>
      <c r="B35" s="1374" t="str">
        <f>VLOOKUP(A43,'11 - FINANCEIRO'!_xlnm.Print_Area,1,FALSE)</f>
        <v>1.1.3</v>
      </c>
      <c r="C35" s="1376" t="str">
        <f>VLOOKUP(A43,'11 - FINANCEIRO'!_xlnm.Print_Area,3,FALSE)</f>
        <v>Rede De Luz, Incl. Padrão Entrada De Energia Trifás., Cabo De Ligação Até Barracões, Quadro De Distrib., Disj. E Chave De Força (Quando Necessário), Cons. 20M Entre Padrão Entrada E Qdg, Conf. Projeto (1 Utilização)</v>
      </c>
      <c r="D35" s="1378" t="s">
        <v>477</v>
      </c>
      <c r="E35" s="1379"/>
      <c r="F35" s="1379"/>
      <c r="G35" s="1379"/>
      <c r="H35" s="1379"/>
      <c r="I35" s="1380"/>
      <c r="J35" s="1338" t="s">
        <v>478</v>
      </c>
      <c r="K35" s="1338" t="s">
        <v>479</v>
      </c>
      <c r="L35" s="1338" t="s">
        <v>480</v>
      </c>
      <c r="M35" s="1338" t="s">
        <v>481</v>
      </c>
      <c r="N35" s="1338" t="s">
        <v>482</v>
      </c>
      <c r="O35" s="1338" t="s">
        <v>483</v>
      </c>
      <c r="P35" s="290" t="s">
        <v>484</v>
      </c>
      <c r="Q35" s="1338" t="s">
        <v>485</v>
      </c>
      <c r="R35" s="1336" t="s">
        <v>296</v>
      </c>
      <c r="S35" s="1338" t="s">
        <v>486</v>
      </c>
      <c r="T35" s="1338" t="s">
        <v>487</v>
      </c>
      <c r="U35" s="1340" t="s">
        <v>488</v>
      </c>
      <c r="V35" s="291">
        <f t="shared" ca="1" si="2"/>
        <v>0</v>
      </c>
      <c r="W35" s="256">
        <f t="shared" ca="1" si="0"/>
        <v>2</v>
      </c>
      <c r="X35" s="256">
        <f t="shared" ca="1" si="1"/>
        <v>1</v>
      </c>
      <c r="Y35" s="256"/>
      <c r="Z35" s="256"/>
      <c r="AA35" s="292"/>
      <c r="AB35" s="292"/>
      <c r="AC35" s="292"/>
    </row>
    <row r="36" spans="1:29" s="293" customFormat="1" ht="15.75" hidden="1" x14ac:dyDescent="0.2">
      <c r="A36" s="288"/>
      <c r="B36" s="1375" t="e">
        <f>LEFT(#REF!,5)</f>
        <v>#REF!</v>
      </c>
      <c r="C36" s="1377" t="e">
        <f>VLOOKUP(LEFT(#REF!,5),'11 - FINANCEIRO'!_xlnm.Print_Area,2,FALSE)</f>
        <v>#REF!</v>
      </c>
      <c r="D36" s="1342" t="s">
        <v>489</v>
      </c>
      <c r="E36" s="1343"/>
      <c r="F36" s="1344"/>
      <c r="G36" s="1345" t="s">
        <v>490</v>
      </c>
      <c r="H36" s="1346"/>
      <c r="I36" s="1347"/>
      <c r="J36" s="1339"/>
      <c r="K36" s="1339"/>
      <c r="L36" s="1339"/>
      <c r="M36" s="1339"/>
      <c r="N36" s="1339"/>
      <c r="O36" s="1339"/>
      <c r="P36" s="295" t="s">
        <v>491</v>
      </c>
      <c r="Q36" s="1339"/>
      <c r="R36" s="1337"/>
      <c r="S36" s="1339"/>
      <c r="T36" s="1339"/>
      <c r="U36" s="1341"/>
      <c r="V36" s="291">
        <f t="shared" ca="1" si="2"/>
        <v>0</v>
      </c>
      <c r="W36" s="256">
        <f t="shared" ca="1" si="0"/>
        <v>2</v>
      </c>
      <c r="X36" s="256">
        <f t="shared" ca="1" si="1"/>
        <v>1</v>
      </c>
      <c r="Y36" s="256"/>
      <c r="Z36" s="256"/>
      <c r="AA36" s="292"/>
      <c r="AB36" s="292"/>
      <c r="AC36" s="292"/>
    </row>
    <row r="37" spans="1:29" s="293" customFormat="1" ht="15.75" hidden="1" x14ac:dyDescent="0.2">
      <c r="A37" s="288"/>
      <c r="B37" s="296"/>
      <c r="C37" s="297" t="s">
        <v>310</v>
      </c>
      <c r="D37" s="298"/>
      <c r="E37" s="299"/>
      <c r="F37" s="300"/>
      <c r="G37" s="301"/>
      <c r="H37" s="302"/>
      <c r="I37" s="303"/>
      <c r="J37" s="304"/>
      <c r="K37" s="305">
        <v>20</v>
      </c>
      <c r="L37" s="304"/>
      <c r="M37" s="304"/>
      <c r="N37" s="304"/>
      <c r="O37" s="304"/>
      <c r="P37" s="306"/>
      <c r="Q37" s="304"/>
      <c r="R37" s="307">
        <f>K37</f>
        <v>20</v>
      </c>
      <c r="S37" s="308" t="str">
        <f>S41</f>
        <v>m</v>
      </c>
      <c r="T37" s="309">
        <v>1</v>
      </c>
      <c r="U37" s="310"/>
      <c r="V37" s="291">
        <f t="shared" ca="1" si="2"/>
        <v>0</v>
      </c>
      <c r="W37" s="256">
        <f t="shared" ca="1" si="0"/>
        <v>2</v>
      </c>
      <c r="X37" s="256">
        <f t="shared" ca="1" si="1"/>
        <v>1</v>
      </c>
      <c r="Y37" s="256"/>
      <c r="Z37" s="256"/>
      <c r="AA37" s="292"/>
      <c r="AB37" s="292"/>
      <c r="AC37" s="292"/>
    </row>
    <row r="38" spans="1:29" s="293" customFormat="1" ht="15.75" hidden="1" x14ac:dyDescent="0.2">
      <c r="A38" s="288"/>
      <c r="B38" s="311"/>
      <c r="C38" s="312"/>
      <c r="D38" s="313"/>
      <c r="E38" s="314"/>
      <c r="F38" s="315"/>
      <c r="G38" s="380"/>
      <c r="H38" s="316"/>
      <c r="I38" s="381"/>
      <c r="J38" s="317"/>
      <c r="K38" s="317"/>
      <c r="L38" s="317"/>
      <c r="M38" s="315"/>
      <c r="N38" s="314"/>
      <c r="O38" s="313"/>
      <c r="P38" s="318"/>
      <c r="Q38" s="315"/>
      <c r="R38" s="319"/>
      <c r="S38" s="317"/>
      <c r="T38" s="320"/>
      <c r="U38" s="321"/>
      <c r="V38" s="291">
        <f t="shared" ca="1" si="2"/>
        <v>0</v>
      </c>
      <c r="W38" s="256">
        <f t="shared" ca="1" si="0"/>
        <v>0</v>
      </c>
      <c r="X38" s="256">
        <f t="shared" ca="1" si="1"/>
        <v>1</v>
      </c>
      <c r="Y38" s="256"/>
      <c r="Z38" s="256"/>
      <c r="AA38" s="292"/>
      <c r="AB38" s="292"/>
      <c r="AC38" s="292"/>
    </row>
    <row r="39" spans="1:29" s="337" customFormat="1" ht="15" hidden="1" x14ac:dyDescent="0.2">
      <c r="A39" s="288"/>
      <c r="B39" s="322"/>
      <c r="C39" s="382"/>
      <c r="D39" s="324"/>
      <c r="E39" s="325"/>
      <c r="F39" s="326"/>
      <c r="G39" s="324"/>
      <c r="H39" s="325"/>
      <c r="I39" s="326"/>
      <c r="J39" s="317"/>
      <c r="K39" s="328"/>
      <c r="L39" s="328"/>
      <c r="M39" s="328"/>
      <c r="N39" s="328"/>
      <c r="O39" s="334"/>
      <c r="P39" s="328"/>
      <c r="Q39" s="334"/>
      <c r="R39" s="333"/>
      <c r="S39" s="331"/>
      <c r="T39" s="320"/>
      <c r="U39" s="335"/>
      <c r="V39" s="291">
        <f t="shared" ca="1" si="2"/>
        <v>0</v>
      </c>
      <c r="W39" s="256">
        <f t="shared" ca="1" si="0"/>
        <v>0</v>
      </c>
      <c r="X39" s="256">
        <f t="shared" ca="1" si="1"/>
        <v>1</v>
      </c>
      <c r="Y39" s="336"/>
      <c r="Z39" s="336"/>
    </row>
    <row r="40" spans="1:29" s="337" customFormat="1" ht="15" hidden="1" x14ac:dyDescent="0.2">
      <c r="A40" s="288"/>
      <c r="B40" s="338"/>
      <c r="C40" s="339"/>
      <c r="D40" s="340"/>
      <c r="E40" s="341"/>
      <c r="F40" s="342"/>
      <c r="G40" s="340"/>
      <c r="H40" s="341"/>
      <c r="I40" s="342"/>
      <c r="J40" s="343"/>
      <c r="K40" s="344"/>
      <c r="L40" s="345"/>
      <c r="M40" s="346"/>
      <c r="N40" s="347"/>
      <c r="O40" s="348"/>
      <c r="P40" s="345"/>
      <c r="Q40" s="349"/>
      <c r="R40" s="350"/>
      <c r="S40" s="351"/>
      <c r="T40" s="352"/>
      <c r="U40" s="353"/>
      <c r="V40" s="291">
        <f t="shared" ca="1" si="2"/>
        <v>0</v>
      </c>
      <c r="W40" s="256">
        <f t="shared" ca="1" si="0"/>
        <v>0</v>
      </c>
      <c r="X40" s="256">
        <f t="shared" ca="1" si="1"/>
        <v>1</v>
      </c>
      <c r="Y40" s="336"/>
      <c r="Z40" s="336"/>
    </row>
    <row r="41" spans="1:29" s="111" customFormat="1" ht="15.75" hidden="1" x14ac:dyDescent="0.2">
      <c r="A41" s="288"/>
      <c r="B41" s="354"/>
      <c r="C41" s="355"/>
      <c r="D41" s="1354" t="s">
        <v>492</v>
      </c>
      <c r="E41" s="1355"/>
      <c r="F41" s="1355"/>
      <c r="G41" s="1355"/>
      <c r="H41" s="1355"/>
      <c r="I41" s="1356"/>
      <c r="J41" s="1357">
        <f>VLOOKUP(A43,'11 - FINANCEIRO'!_xlnm.Print_Area,6,FALSE)</f>
        <v>20</v>
      </c>
      <c r="K41" s="1358"/>
      <c r="L41" s="356" t="str">
        <f>VLOOKUP(A43,'11 - FINANCEIRO'!_xlnm.Print_Area,4,FALSE)</f>
        <v>m</v>
      </c>
      <c r="M41" s="1359" t="s">
        <v>493</v>
      </c>
      <c r="N41" s="1360"/>
      <c r="O41" s="1360"/>
      <c r="P41" s="1360"/>
      <c r="Q41" s="1361"/>
      <c r="R41" s="357">
        <f>TRUNC(SUM(R37:R40),3)</f>
        <v>20</v>
      </c>
      <c r="S41" s="358" t="str">
        <f>L41</f>
        <v>m</v>
      </c>
      <c r="T41" s="359"/>
      <c r="U41" s="360"/>
      <c r="V41" s="291">
        <f t="shared" ca="1" si="2"/>
        <v>0</v>
      </c>
      <c r="W41" s="256">
        <f t="shared" ca="1" si="0"/>
        <v>2</v>
      </c>
      <c r="X41" s="256">
        <f t="shared" ca="1" si="1"/>
        <v>1</v>
      </c>
      <c r="Y41" s="250"/>
      <c r="Z41" s="250"/>
    </row>
    <row r="42" spans="1:29" s="111" customFormat="1" ht="15.75" hidden="1" x14ac:dyDescent="0.2">
      <c r="A42" s="288"/>
      <c r="B42" s="354"/>
      <c r="C42" s="361"/>
      <c r="D42" s="1362" t="s">
        <v>494</v>
      </c>
      <c r="E42" s="1363"/>
      <c r="F42" s="1363"/>
      <c r="G42" s="1363"/>
      <c r="H42" s="1363"/>
      <c r="I42" s="1364"/>
      <c r="J42" s="1365">
        <f>R41/J41</f>
        <v>1</v>
      </c>
      <c r="K42" s="1366"/>
      <c r="L42" s="1369"/>
      <c r="M42" s="1371" t="s">
        <v>495</v>
      </c>
      <c r="N42" s="1372"/>
      <c r="O42" s="1372"/>
      <c r="P42" s="1372"/>
      <c r="Q42" s="1373"/>
      <c r="R42" s="362">
        <f>VLOOKUP(A43,'11 - FINANCEIRO'!_xlnm.Print_Area,8,FALSE)</f>
        <v>20</v>
      </c>
      <c r="S42" s="363" t="str">
        <f>L41</f>
        <v>m</v>
      </c>
      <c r="T42" s="359"/>
      <c r="U42" s="360"/>
      <c r="V42" s="291">
        <f t="shared" ca="1" si="2"/>
        <v>0</v>
      </c>
      <c r="W42" s="256">
        <f t="shared" ca="1" si="0"/>
        <v>2</v>
      </c>
      <c r="X42" s="256">
        <f t="shared" ca="1" si="1"/>
        <v>1</v>
      </c>
      <c r="Y42" s="250"/>
      <c r="Z42" s="250"/>
    </row>
    <row r="43" spans="1:29" s="111" customFormat="1" ht="15.75" hidden="1" x14ac:dyDescent="0.2">
      <c r="A43" s="288" t="s">
        <v>13</v>
      </c>
      <c r="B43" s="364"/>
      <c r="C43" s="365"/>
      <c r="D43" s="1354"/>
      <c r="E43" s="1355"/>
      <c r="F43" s="1355"/>
      <c r="G43" s="1355"/>
      <c r="H43" s="1355"/>
      <c r="I43" s="1356"/>
      <c r="J43" s="1367"/>
      <c r="K43" s="1368"/>
      <c r="L43" s="1370"/>
      <c r="M43" s="1371" t="s">
        <v>496</v>
      </c>
      <c r="N43" s="1372"/>
      <c r="O43" s="1372"/>
      <c r="P43" s="1372"/>
      <c r="Q43" s="1373"/>
      <c r="R43" s="362">
        <f>R41-R42</f>
        <v>0</v>
      </c>
      <c r="S43" s="363" t="str">
        <f>L41</f>
        <v>m</v>
      </c>
      <c r="T43" s="366"/>
      <c r="U43" s="367"/>
      <c r="V43" s="291">
        <f t="shared" ca="1" si="2"/>
        <v>0</v>
      </c>
      <c r="W43" s="256">
        <f t="shared" ca="1" si="0"/>
        <v>2</v>
      </c>
      <c r="X43" s="256">
        <f t="shared" ca="1" si="1"/>
        <v>1</v>
      </c>
      <c r="Y43" s="250"/>
      <c r="Z43" s="250"/>
    </row>
    <row r="44" spans="1:29" s="111" customFormat="1" ht="15.75" hidden="1" x14ac:dyDescent="0.2">
      <c r="A44" s="288"/>
      <c r="B44" s="368"/>
      <c r="C44" s="365"/>
      <c r="D44" s="369"/>
      <c r="E44" s="370"/>
      <c r="F44" s="369"/>
      <c r="G44" s="369"/>
      <c r="H44" s="369"/>
      <c r="I44" s="369"/>
      <c r="J44" s="371"/>
      <c r="K44" s="372"/>
      <c r="L44" s="373"/>
      <c r="M44" s="374"/>
      <c r="N44" s="374"/>
      <c r="O44" s="374"/>
      <c r="P44" s="374"/>
      <c r="Q44" s="374"/>
      <c r="R44" s="375"/>
      <c r="S44" s="376"/>
      <c r="T44" s="377"/>
      <c r="U44" s="378"/>
      <c r="V44" s="379">
        <f ca="1">SUM(V35:V43)</f>
        <v>0</v>
      </c>
      <c r="W44" s="256">
        <f t="shared" ca="1" si="0"/>
        <v>1</v>
      </c>
      <c r="X44" s="256">
        <f t="shared" ca="1" si="1"/>
        <v>0</v>
      </c>
      <c r="Y44" s="250"/>
      <c r="Z44" s="250"/>
    </row>
    <row r="45" spans="1:29" s="293" customFormat="1" ht="15.75" hidden="1" x14ac:dyDescent="0.25">
      <c r="A45" s="288"/>
      <c r="B45" s="1374" t="str">
        <f>VLOOKUP(A53,'11 - FINANCEIRO'!_xlnm.Print_Area,1,FALSE)</f>
        <v>1.1.4</v>
      </c>
      <c r="C45" s="1376" t="str">
        <f>VLOOKUP(A53,'11 - FINANCEIRO'!_xlnm.Print_Area,3,FALSE)</f>
        <v>Reservatório De Poliestileno De 1000 L, Incl. Suporte Em Madeira De 7X12Cm E 8X7Cm, Elevado De 4M, Conf. Projeto (1 Utilização)</v>
      </c>
      <c r="D45" s="1378" t="s">
        <v>477</v>
      </c>
      <c r="E45" s="1379"/>
      <c r="F45" s="1379"/>
      <c r="G45" s="1379"/>
      <c r="H45" s="1379"/>
      <c r="I45" s="1380"/>
      <c r="J45" s="1338" t="s">
        <v>478</v>
      </c>
      <c r="K45" s="1338" t="s">
        <v>479</v>
      </c>
      <c r="L45" s="1338" t="s">
        <v>480</v>
      </c>
      <c r="M45" s="1338" t="s">
        <v>481</v>
      </c>
      <c r="N45" s="1338" t="s">
        <v>482</v>
      </c>
      <c r="O45" s="1338" t="s">
        <v>483</v>
      </c>
      <c r="P45" s="290" t="s">
        <v>484</v>
      </c>
      <c r="Q45" s="1338" t="s">
        <v>296</v>
      </c>
      <c r="R45" s="1336" t="s">
        <v>296</v>
      </c>
      <c r="S45" s="1338" t="s">
        <v>486</v>
      </c>
      <c r="T45" s="1338" t="s">
        <v>487</v>
      </c>
      <c r="U45" s="1340" t="s">
        <v>488</v>
      </c>
      <c r="V45" s="291">
        <f t="shared" ca="1" si="2"/>
        <v>0</v>
      </c>
      <c r="W45" s="256">
        <f t="shared" ca="1" si="0"/>
        <v>2</v>
      </c>
      <c r="X45" s="256">
        <f t="shared" ca="1" si="1"/>
        <v>1</v>
      </c>
      <c r="Y45" s="256"/>
      <c r="Z45" s="256"/>
      <c r="AA45" s="292"/>
      <c r="AB45" s="292"/>
      <c r="AC45" s="292"/>
    </row>
    <row r="46" spans="1:29" s="293" customFormat="1" ht="15.75" hidden="1" x14ac:dyDescent="0.2">
      <c r="A46" s="288"/>
      <c r="B46" s="1375" t="e">
        <f>LEFT(#REF!,5)</f>
        <v>#REF!</v>
      </c>
      <c r="C46" s="1377" t="e">
        <f>VLOOKUP(LEFT(#REF!,5),'11 - FINANCEIRO'!_xlnm.Print_Area,2,FALSE)</f>
        <v>#REF!</v>
      </c>
      <c r="D46" s="1342" t="s">
        <v>489</v>
      </c>
      <c r="E46" s="1343"/>
      <c r="F46" s="1344"/>
      <c r="G46" s="1345" t="s">
        <v>490</v>
      </c>
      <c r="H46" s="1346"/>
      <c r="I46" s="1347"/>
      <c r="J46" s="1339"/>
      <c r="K46" s="1339"/>
      <c r="L46" s="1339"/>
      <c r="M46" s="1339"/>
      <c r="N46" s="1339"/>
      <c r="O46" s="1339"/>
      <c r="P46" s="295" t="s">
        <v>491</v>
      </c>
      <c r="Q46" s="1339"/>
      <c r="R46" s="1337"/>
      <c r="S46" s="1339"/>
      <c r="T46" s="1339"/>
      <c r="U46" s="1341"/>
      <c r="V46" s="291">
        <f t="shared" ca="1" si="2"/>
        <v>0</v>
      </c>
      <c r="W46" s="256">
        <f t="shared" ca="1" si="0"/>
        <v>2</v>
      </c>
      <c r="X46" s="256">
        <f t="shared" ca="1" si="1"/>
        <v>1</v>
      </c>
      <c r="Y46" s="256"/>
      <c r="Z46" s="256"/>
      <c r="AA46" s="292"/>
      <c r="AB46" s="292"/>
      <c r="AC46" s="292"/>
    </row>
    <row r="47" spans="1:29" s="293" customFormat="1" ht="15.75" hidden="1" x14ac:dyDescent="0.2">
      <c r="A47" s="288"/>
      <c r="B47" s="296"/>
      <c r="C47" s="297" t="s">
        <v>310</v>
      </c>
      <c r="D47" s="298"/>
      <c r="E47" s="299"/>
      <c r="F47" s="300"/>
      <c r="G47" s="301"/>
      <c r="H47" s="302"/>
      <c r="I47" s="303"/>
      <c r="J47" s="304"/>
      <c r="K47" s="304"/>
      <c r="L47" s="304"/>
      <c r="M47" s="304"/>
      <c r="N47" s="304"/>
      <c r="O47" s="304"/>
      <c r="P47" s="306"/>
      <c r="Q47" s="304">
        <v>1</v>
      </c>
      <c r="R47" s="307">
        <f>Q47</f>
        <v>1</v>
      </c>
      <c r="S47" s="308" t="str">
        <f>S51</f>
        <v>und</v>
      </c>
      <c r="T47" s="309">
        <v>1</v>
      </c>
      <c r="U47" s="310"/>
      <c r="V47" s="291">
        <f t="shared" ca="1" si="2"/>
        <v>0</v>
      </c>
      <c r="W47" s="256">
        <f t="shared" ca="1" si="0"/>
        <v>2</v>
      </c>
      <c r="X47" s="256">
        <f t="shared" ca="1" si="1"/>
        <v>1</v>
      </c>
      <c r="Y47" s="256"/>
      <c r="Z47" s="256"/>
      <c r="AA47" s="292"/>
      <c r="AB47" s="292"/>
      <c r="AC47" s="292"/>
    </row>
    <row r="48" spans="1:29" s="293" customFormat="1" ht="15.75" hidden="1" x14ac:dyDescent="0.2">
      <c r="A48" s="288"/>
      <c r="B48" s="311"/>
      <c r="C48" s="312"/>
      <c r="D48" s="313"/>
      <c r="E48" s="314"/>
      <c r="F48" s="315"/>
      <c r="G48" s="380"/>
      <c r="H48" s="316"/>
      <c r="I48" s="381"/>
      <c r="J48" s="317"/>
      <c r="K48" s="313"/>
      <c r="L48" s="317"/>
      <c r="M48" s="315"/>
      <c r="N48" s="314"/>
      <c r="O48" s="313"/>
      <c r="P48" s="318"/>
      <c r="Q48" s="315"/>
      <c r="R48" s="319"/>
      <c r="S48" s="317"/>
      <c r="T48" s="320"/>
      <c r="U48" s="321"/>
      <c r="V48" s="291">
        <f t="shared" ca="1" si="2"/>
        <v>0</v>
      </c>
      <c r="W48" s="256">
        <f t="shared" ca="1" si="0"/>
        <v>0</v>
      </c>
      <c r="X48" s="256">
        <f t="shared" ca="1" si="1"/>
        <v>1</v>
      </c>
      <c r="Y48" s="256"/>
      <c r="Z48" s="256"/>
      <c r="AA48" s="292"/>
      <c r="AB48" s="292"/>
      <c r="AC48" s="292"/>
    </row>
    <row r="49" spans="1:29" s="337" customFormat="1" ht="15" hidden="1" x14ac:dyDescent="0.2">
      <c r="A49" s="288"/>
      <c r="B49" s="322"/>
      <c r="C49" s="382"/>
      <c r="D49" s="324"/>
      <c r="E49" s="325"/>
      <c r="F49" s="326"/>
      <c r="G49" s="324"/>
      <c r="H49" s="325"/>
      <c r="I49" s="326"/>
      <c r="J49" s="317"/>
      <c r="K49" s="328"/>
      <c r="L49" s="328"/>
      <c r="M49" s="328"/>
      <c r="N49" s="328"/>
      <c r="O49" s="334"/>
      <c r="P49" s="328"/>
      <c r="Q49" s="334"/>
      <c r="R49" s="333"/>
      <c r="S49" s="331"/>
      <c r="T49" s="320"/>
      <c r="U49" s="335"/>
      <c r="V49" s="291">
        <f t="shared" ca="1" si="2"/>
        <v>0</v>
      </c>
      <c r="W49" s="256">
        <f t="shared" ca="1" si="0"/>
        <v>0</v>
      </c>
      <c r="X49" s="256">
        <f t="shared" ca="1" si="1"/>
        <v>1</v>
      </c>
      <c r="Y49" s="336"/>
      <c r="Z49" s="336"/>
    </row>
    <row r="50" spans="1:29" s="337" customFormat="1" ht="15" hidden="1" x14ac:dyDescent="0.2">
      <c r="A50" s="288"/>
      <c r="B50" s="338"/>
      <c r="C50" s="339"/>
      <c r="D50" s="340"/>
      <c r="E50" s="341"/>
      <c r="F50" s="342"/>
      <c r="G50" s="340"/>
      <c r="H50" s="341"/>
      <c r="I50" s="342"/>
      <c r="J50" s="343"/>
      <c r="K50" s="344"/>
      <c r="L50" s="345"/>
      <c r="M50" s="346"/>
      <c r="N50" s="347"/>
      <c r="O50" s="348"/>
      <c r="P50" s="345"/>
      <c r="Q50" s="349"/>
      <c r="R50" s="350"/>
      <c r="S50" s="351"/>
      <c r="T50" s="352"/>
      <c r="U50" s="353"/>
      <c r="V50" s="291">
        <f t="shared" ca="1" si="2"/>
        <v>0</v>
      </c>
      <c r="W50" s="256">
        <f t="shared" ca="1" si="0"/>
        <v>0</v>
      </c>
      <c r="X50" s="256">
        <f t="shared" ca="1" si="1"/>
        <v>1</v>
      </c>
      <c r="Y50" s="336"/>
      <c r="Z50" s="336"/>
    </row>
    <row r="51" spans="1:29" s="111" customFormat="1" ht="15.75" hidden="1" x14ac:dyDescent="0.2">
      <c r="A51" s="288"/>
      <c r="B51" s="354"/>
      <c r="C51" s="355"/>
      <c r="D51" s="1354" t="s">
        <v>492</v>
      </c>
      <c r="E51" s="1355"/>
      <c r="F51" s="1355"/>
      <c r="G51" s="1355"/>
      <c r="H51" s="1355"/>
      <c r="I51" s="1356"/>
      <c r="J51" s="1357">
        <f>VLOOKUP(A53,'11 - FINANCEIRO'!_xlnm.Print_Area,6,FALSE)</f>
        <v>1</v>
      </c>
      <c r="K51" s="1358"/>
      <c r="L51" s="356" t="str">
        <f>VLOOKUP(A53,'11 - FINANCEIRO'!_xlnm.Print_Area,4,FALSE)</f>
        <v>und</v>
      </c>
      <c r="M51" s="1359" t="s">
        <v>493</v>
      </c>
      <c r="N51" s="1360"/>
      <c r="O51" s="1360"/>
      <c r="P51" s="1360"/>
      <c r="Q51" s="1361"/>
      <c r="R51" s="357">
        <f>TRUNC(SUM(R47:R50),3)</f>
        <v>1</v>
      </c>
      <c r="S51" s="358" t="str">
        <f>L51</f>
        <v>und</v>
      </c>
      <c r="T51" s="359"/>
      <c r="U51" s="360"/>
      <c r="V51" s="291">
        <f t="shared" ca="1" si="2"/>
        <v>0</v>
      </c>
      <c r="W51" s="256">
        <f t="shared" ca="1" si="0"/>
        <v>2</v>
      </c>
      <c r="X51" s="256">
        <f t="shared" ca="1" si="1"/>
        <v>1</v>
      </c>
      <c r="Y51" s="250"/>
      <c r="Z51" s="250"/>
    </row>
    <row r="52" spans="1:29" s="111" customFormat="1" ht="15.75" hidden="1" x14ac:dyDescent="0.2">
      <c r="A52" s="288"/>
      <c r="B52" s="354"/>
      <c r="C52" s="361"/>
      <c r="D52" s="1362" t="s">
        <v>494</v>
      </c>
      <c r="E52" s="1363"/>
      <c r="F52" s="1363"/>
      <c r="G52" s="1363"/>
      <c r="H52" s="1363"/>
      <c r="I52" s="1364"/>
      <c r="J52" s="1365">
        <f>R51/J51</f>
        <v>1</v>
      </c>
      <c r="K52" s="1366"/>
      <c r="L52" s="1369"/>
      <c r="M52" s="1371" t="s">
        <v>495</v>
      </c>
      <c r="N52" s="1372"/>
      <c r="O52" s="1372"/>
      <c r="P52" s="1372"/>
      <c r="Q52" s="1373"/>
      <c r="R52" s="362">
        <f>VLOOKUP(A53,'11 - FINANCEIRO'!_xlnm.Print_Area,8,FALSE)</f>
        <v>1</v>
      </c>
      <c r="S52" s="363" t="str">
        <f>L51</f>
        <v>und</v>
      </c>
      <c r="T52" s="359"/>
      <c r="U52" s="360"/>
      <c r="V52" s="291">
        <f t="shared" ca="1" si="2"/>
        <v>0</v>
      </c>
      <c r="W52" s="256">
        <f t="shared" ca="1" si="0"/>
        <v>2</v>
      </c>
      <c r="X52" s="256">
        <f t="shared" ca="1" si="1"/>
        <v>1</v>
      </c>
      <c r="Y52" s="250"/>
      <c r="Z52" s="250"/>
    </row>
    <row r="53" spans="1:29" s="111" customFormat="1" ht="15.75" hidden="1" x14ac:dyDescent="0.2">
      <c r="A53" s="288" t="s">
        <v>14</v>
      </c>
      <c r="B53" s="364"/>
      <c r="C53" s="365"/>
      <c r="D53" s="1354"/>
      <c r="E53" s="1355"/>
      <c r="F53" s="1355"/>
      <c r="G53" s="1355"/>
      <c r="H53" s="1355"/>
      <c r="I53" s="1356"/>
      <c r="J53" s="1367"/>
      <c r="K53" s="1368"/>
      <c r="L53" s="1370"/>
      <c r="M53" s="1371" t="s">
        <v>496</v>
      </c>
      <c r="N53" s="1372"/>
      <c r="O53" s="1372"/>
      <c r="P53" s="1372"/>
      <c r="Q53" s="1373"/>
      <c r="R53" s="362">
        <f>R51-R52</f>
        <v>0</v>
      </c>
      <c r="S53" s="363" t="str">
        <f>L51</f>
        <v>und</v>
      </c>
      <c r="T53" s="366"/>
      <c r="U53" s="367"/>
      <c r="V53" s="291">
        <f t="shared" ca="1" si="2"/>
        <v>0</v>
      </c>
      <c r="W53" s="256">
        <f t="shared" ca="1" si="0"/>
        <v>2</v>
      </c>
      <c r="X53" s="256">
        <f t="shared" ca="1" si="1"/>
        <v>1</v>
      </c>
      <c r="Y53" s="250"/>
      <c r="Z53" s="250"/>
    </row>
    <row r="54" spans="1:29" s="111" customFormat="1" ht="15.75" hidden="1" x14ac:dyDescent="0.2">
      <c r="A54" s="288"/>
      <c r="B54" s="368"/>
      <c r="C54" s="365"/>
      <c r="D54" s="369"/>
      <c r="E54" s="370"/>
      <c r="F54" s="369"/>
      <c r="G54" s="369"/>
      <c r="H54" s="369"/>
      <c r="I54" s="369"/>
      <c r="J54" s="371"/>
      <c r="K54" s="372"/>
      <c r="L54" s="373"/>
      <c r="M54" s="374"/>
      <c r="N54" s="374"/>
      <c r="O54" s="374"/>
      <c r="P54" s="374"/>
      <c r="Q54" s="374"/>
      <c r="R54" s="375"/>
      <c r="S54" s="376"/>
      <c r="T54" s="377"/>
      <c r="U54" s="378"/>
      <c r="V54" s="379">
        <f ca="1">SUM(V45:V53)</f>
        <v>0</v>
      </c>
      <c r="W54" s="256">
        <f t="shared" ca="1" si="0"/>
        <v>1</v>
      </c>
      <c r="X54" s="256">
        <f t="shared" ca="1" si="1"/>
        <v>0</v>
      </c>
      <c r="Y54" s="250"/>
      <c r="Z54" s="250"/>
    </row>
    <row r="55" spans="1:29" s="293" customFormat="1" ht="15.75" x14ac:dyDescent="0.25">
      <c r="A55" s="288"/>
      <c r="B55" s="1374" t="str">
        <f>VLOOKUP(A73,'11 - FINANCEIRO'!_xlnm.Print_Area,1,FALSE)</f>
        <v>1.1.5</v>
      </c>
      <c r="C55" s="1376" t="str">
        <f>VLOOKUP(A73,'11 - FINANCEIRO'!_xlnm.Print_Area,3,FALSE)</f>
        <v>Tapume Telha Metálica Ondulada Em Aço Galvalume 0,50Mm Branca H=2,20M, Incl. Montagem Estr. Mad. 8"X8", C/Adesivo "Der-Es" 60X60Cm A Cada 10M, Incl. Faixas Pint. Esmalte Sint. Cores Azul C/ H=30Cm E Rosa C/ H=10Cm (Reaproveitamento 2X)</v>
      </c>
      <c r="D55" s="1378" t="s">
        <v>477</v>
      </c>
      <c r="E55" s="1379"/>
      <c r="F55" s="1379"/>
      <c r="G55" s="1379"/>
      <c r="H55" s="1379"/>
      <c r="I55" s="1380"/>
      <c r="J55" s="1338" t="s">
        <v>478</v>
      </c>
      <c r="K55" s="1338" t="s">
        <v>479</v>
      </c>
      <c r="L55" s="1338" t="s">
        <v>480</v>
      </c>
      <c r="M55" s="1338" t="s">
        <v>1141</v>
      </c>
      <c r="N55" s="1338" t="s">
        <v>482</v>
      </c>
      <c r="O55" s="1338" t="s">
        <v>483</v>
      </c>
      <c r="P55" s="290" t="s">
        <v>484</v>
      </c>
      <c r="Q55" s="1338" t="s">
        <v>485</v>
      </c>
      <c r="R55" s="1336" t="s">
        <v>296</v>
      </c>
      <c r="S55" s="1338" t="s">
        <v>486</v>
      </c>
      <c r="T55" s="1338" t="s">
        <v>487</v>
      </c>
      <c r="U55" s="1340" t="s">
        <v>488</v>
      </c>
      <c r="V55" s="291">
        <f t="shared" ca="1" si="2"/>
        <v>48.41799999999995</v>
      </c>
      <c r="W55" s="256">
        <f t="shared" ca="1" si="0"/>
        <v>2</v>
      </c>
      <c r="X55" s="256">
        <f t="shared" ca="1" si="1"/>
        <v>1</v>
      </c>
      <c r="Y55" s="256"/>
      <c r="Z55" s="256"/>
      <c r="AA55" s="292"/>
      <c r="AB55" s="292"/>
      <c r="AC55" s="292"/>
    </row>
    <row r="56" spans="1:29" s="293" customFormat="1" ht="15.75" x14ac:dyDescent="0.2">
      <c r="A56" s="288"/>
      <c r="B56" s="1375" t="e">
        <f>LEFT(#REF!,5)</f>
        <v>#REF!</v>
      </c>
      <c r="C56" s="1377" t="e">
        <f>VLOOKUP(LEFT(#REF!,5),'11 - FINANCEIRO'!_xlnm.Print_Area,2,FALSE)</f>
        <v>#REF!</v>
      </c>
      <c r="D56" s="1342" t="s">
        <v>489</v>
      </c>
      <c r="E56" s="1343"/>
      <c r="F56" s="1344"/>
      <c r="G56" s="1345" t="s">
        <v>490</v>
      </c>
      <c r="H56" s="1346"/>
      <c r="I56" s="1347"/>
      <c r="J56" s="1339"/>
      <c r="K56" s="1339"/>
      <c r="L56" s="1339"/>
      <c r="M56" s="1339"/>
      <c r="N56" s="1339"/>
      <c r="O56" s="1339"/>
      <c r="P56" s="295" t="s">
        <v>491</v>
      </c>
      <c r="Q56" s="1339"/>
      <c r="R56" s="1337"/>
      <c r="S56" s="1339"/>
      <c r="T56" s="1339"/>
      <c r="U56" s="1341"/>
      <c r="V56" s="291">
        <f t="shared" ca="1" si="2"/>
        <v>48.41799999999995</v>
      </c>
      <c r="W56" s="256">
        <f t="shared" ca="1" si="0"/>
        <v>2</v>
      </c>
      <c r="X56" s="256">
        <f t="shared" ca="1" si="1"/>
        <v>1</v>
      </c>
      <c r="Y56" s="256"/>
      <c r="Z56" s="256"/>
      <c r="AA56" s="292"/>
      <c r="AB56" s="292"/>
      <c r="AC56" s="292"/>
    </row>
    <row r="57" spans="1:29" s="293" customFormat="1" ht="15.75" x14ac:dyDescent="0.2">
      <c r="A57" s="288"/>
      <c r="B57" s="296"/>
      <c r="C57" s="297" t="s">
        <v>310</v>
      </c>
      <c r="D57" s="298"/>
      <c r="E57" s="299"/>
      <c r="F57" s="300"/>
      <c r="G57" s="301"/>
      <c r="H57" s="302"/>
      <c r="I57" s="303"/>
      <c r="J57" s="304"/>
      <c r="K57" s="304">
        <v>172.35</v>
      </c>
      <c r="L57" s="304"/>
      <c r="M57" s="304"/>
      <c r="N57" s="304"/>
      <c r="O57" s="304"/>
      <c r="P57" s="306"/>
      <c r="Q57" s="304"/>
      <c r="R57" s="307">
        <f>K57</f>
        <v>172.35</v>
      </c>
      <c r="S57" s="308" t="str">
        <f>S71</f>
        <v>m</v>
      </c>
      <c r="T57" s="309">
        <v>1</v>
      </c>
      <c r="U57" s="383" t="s">
        <v>497</v>
      </c>
      <c r="V57" s="291">
        <f t="shared" ca="1" si="2"/>
        <v>48.41799999999995</v>
      </c>
      <c r="W57" s="256">
        <f t="shared" ca="1" si="0"/>
        <v>2</v>
      </c>
      <c r="X57" s="256">
        <f t="shared" ca="1" si="1"/>
        <v>1</v>
      </c>
      <c r="Y57" s="256"/>
      <c r="Z57" s="256"/>
      <c r="AA57" s="292"/>
      <c r="AB57" s="292"/>
      <c r="AC57" s="292"/>
    </row>
    <row r="58" spans="1:29" s="293" customFormat="1" ht="15.75" x14ac:dyDescent="0.2">
      <c r="A58" s="288"/>
      <c r="B58" s="311"/>
      <c r="C58" s="312" t="s">
        <v>671</v>
      </c>
      <c r="D58" s="313"/>
      <c r="E58" s="314"/>
      <c r="F58" s="315"/>
      <c r="G58" s="380"/>
      <c r="H58" s="316"/>
      <c r="I58" s="381"/>
      <c r="J58" s="317"/>
      <c r="K58" s="313">
        <f>15+20</f>
        <v>35</v>
      </c>
      <c r="L58" s="317"/>
      <c r="M58" s="315"/>
      <c r="N58" s="314"/>
      <c r="O58" s="313"/>
      <c r="P58" s="318"/>
      <c r="Q58" s="315"/>
      <c r="R58" s="319">
        <f>K58</f>
        <v>35</v>
      </c>
      <c r="S58" s="317" t="s">
        <v>301</v>
      </c>
      <c r="T58" s="320">
        <v>18</v>
      </c>
      <c r="U58" s="321"/>
      <c r="V58" s="291">
        <f t="shared" ca="1" si="2"/>
        <v>48.41799999999995</v>
      </c>
      <c r="W58" s="256">
        <f t="shared" ca="1" si="0"/>
        <v>2</v>
      </c>
      <c r="X58" s="256">
        <f t="shared" ca="1" si="1"/>
        <v>1</v>
      </c>
      <c r="Y58" s="256"/>
      <c r="Z58" s="256"/>
      <c r="AA58" s="292"/>
      <c r="AB58" s="292"/>
      <c r="AC58" s="292"/>
    </row>
    <row r="59" spans="1:29" s="293" customFormat="1" ht="15.75" x14ac:dyDescent="0.2">
      <c r="A59" s="288"/>
      <c r="B59" s="311"/>
      <c r="C59" s="312"/>
      <c r="D59" s="313"/>
      <c r="E59" s="314"/>
      <c r="F59" s="315"/>
      <c r="G59" s="380"/>
      <c r="H59" s="316"/>
      <c r="I59" s="381"/>
      <c r="J59" s="317"/>
      <c r="K59" s="313"/>
      <c r="L59" s="317"/>
      <c r="M59" s="315"/>
      <c r="N59" s="314"/>
      <c r="O59" s="313"/>
      <c r="P59" s="318"/>
      <c r="Q59" s="315"/>
      <c r="R59" s="319"/>
      <c r="S59" s="313"/>
      <c r="T59" s="320"/>
      <c r="U59" s="321"/>
      <c r="V59" s="291">
        <f t="shared" ca="1" si="2"/>
        <v>48.41799999999995</v>
      </c>
      <c r="W59" s="256">
        <f t="shared" ref="W59:W63" ca="1" si="3">IF(LEFT(_xlfn.FORMULATEXT(V59),3)="=SO",1,IF(COUNTA(A59:U59)=0,0,2))</f>
        <v>0</v>
      </c>
      <c r="X59" s="256">
        <f t="shared" ref="X59:X63" ca="1" si="4">IF(COUNTA(OFFSET(A58,1,0))-COUNTA(A58)=-1,0,1)</f>
        <v>1</v>
      </c>
      <c r="Y59" s="256"/>
      <c r="Z59" s="256"/>
      <c r="AA59" s="292"/>
      <c r="AB59" s="292"/>
      <c r="AC59" s="292"/>
    </row>
    <row r="60" spans="1:29" s="293" customFormat="1" ht="15.75" x14ac:dyDescent="0.2">
      <c r="A60" s="288"/>
      <c r="B60" s="311"/>
      <c r="C60" s="312" t="s">
        <v>1131</v>
      </c>
      <c r="D60" s="313"/>
      <c r="E60" s="314"/>
      <c r="F60" s="315"/>
      <c r="G60" s="380"/>
      <c r="H60" s="316"/>
      <c r="I60" s="381"/>
      <c r="J60" s="317"/>
      <c r="K60" s="313">
        <v>15</v>
      </c>
      <c r="L60" s="317"/>
      <c r="M60" s="315"/>
      <c r="N60" s="314"/>
      <c r="O60" s="313"/>
      <c r="P60" s="318"/>
      <c r="Q60" s="315"/>
      <c r="R60" s="319">
        <f>K60</f>
        <v>15</v>
      </c>
      <c r="S60" s="313" t="s">
        <v>301</v>
      </c>
      <c r="T60" s="320">
        <v>34</v>
      </c>
      <c r="U60" s="321"/>
      <c r="V60" s="291">
        <f t="shared" ca="1" si="2"/>
        <v>48.41799999999995</v>
      </c>
      <c r="W60" s="256">
        <f t="shared" ca="1" si="3"/>
        <v>2</v>
      </c>
      <c r="X60" s="256">
        <f t="shared" ca="1" si="4"/>
        <v>1</v>
      </c>
      <c r="Y60" s="256"/>
      <c r="Z60" s="256"/>
      <c r="AA60" s="292"/>
      <c r="AB60" s="292"/>
      <c r="AC60" s="292"/>
    </row>
    <row r="61" spans="1:29" s="293" customFormat="1" ht="15.75" x14ac:dyDescent="0.2">
      <c r="A61" s="288"/>
      <c r="B61" s="311"/>
      <c r="C61" s="382" t="s">
        <v>1132</v>
      </c>
      <c r="D61" s="324"/>
      <c r="E61" s="325"/>
      <c r="F61" s="326"/>
      <c r="G61" s="324"/>
      <c r="H61" s="325"/>
      <c r="I61" s="326"/>
      <c r="J61" s="317"/>
      <c r="K61" s="313">
        <v>6</v>
      </c>
      <c r="L61" s="317"/>
      <c r="M61" s="315"/>
      <c r="N61" s="328"/>
      <c r="O61" s="334"/>
      <c r="P61" s="328"/>
      <c r="Q61" s="334"/>
      <c r="R61" s="319">
        <f t="shared" ref="R61:R64" si="5">K61</f>
        <v>6</v>
      </c>
      <c r="S61" s="331" t="s">
        <v>301</v>
      </c>
      <c r="T61" s="320">
        <v>34</v>
      </c>
      <c r="U61" s="321"/>
      <c r="V61" s="291">
        <f t="shared" ca="1" si="2"/>
        <v>48.41799999999995</v>
      </c>
      <c r="W61" s="256">
        <f t="shared" ca="1" si="3"/>
        <v>2</v>
      </c>
      <c r="X61" s="256">
        <f t="shared" ca="1" si="4"/>
        <v>1</v>
      </c>
      <c r="Y61" s="256"/>
      <c r="Z61" s="256"/>
      <c r="AA61" s="292"/>
      <c r="AB61" s="292"/>
      <c r="AC61" s="292"/>
    </row>
    <row r="62" spans="1:29" s="293" customFormat="1" ht="15.75" x14ac:dyDescent="0.2">
      <c r="A62" s="288"/>
      <c r="B62" s="311"/>
      <c r="C62" s="382" t="s">
        <v>1133</v>
      </c>
      <c r="D62" s="324"/>
      <c r="E62" s="325"/>
      <c r="F62" s="326"/>
      <c r="G62" s="324"/>
      <c r="H62" s="325"/>
      <c r="I62" s="326"/>
      <c r="J62" s="317"/>
      <c r="K62" s="313">
        <v>4.5</v>
      </c>
      <c r="L62" s="317"/>
      <c r="M62" s="315"/>
      <c r="N62" s="328"/>
      <c r="O62" s="334"/>
      <c r="P62" s="328"/>
      <c r="Q62" s="334"/>
      <c r="R62" s="319">
        <f t="shared" si="5"/>
        <v>4.5</v>
      </c>
      <c r="S62" s="331" t="s">
        <v>301</v>
      </c>
      <c r="T62" s="320">
        <v>34</v>
      </c>
      <c r="U62" s="321"/>
      <c r="V62" s="291">
        <f t="shared" ca="1" si="2"/>
        <v>48.41799999999995</v>
      </c>
      <c r="W62" s="256">
        <f t="shared" ca="1" si="3"/>
        <v>2</v>
      </c>
      <c r="X62" s="256">
        <f t="shared" ca="1" si="4"/>
        <v>1</v>
      </c>
      <c r="Y62" s="256"/>
      <c r="Z62" s="256"/>
      <c r="AA62" s="292"/>
      <c r="AB62" s="292"/>
      <c r="AC62" s="292"/>
    </row>
    <row r="63" spans="1:29" s="293" customFormat="1" ht="15.75" x14ac:dyDescent="0.2">
      <c r="A63" s="288"/>
      <c r="B63" s="311"/>
      <c r="C63" s="382" t="s">
        <v>1134</v>
      </c>
      <c r="D63" s="324"/>
      <c r="E63" s="325"/>
      <c r="F63" s="326"/>
      <c r="G63" s="324"/>
      <c r="H63" s="325"/>
      <c r="I63" s="326"/>
      <c r="J63" s="317"/>
      <c r="K63" s="313">
        <v>15</v>
      </c>
      <c r="L63" s="317"/>
      <c r="M63" s="315"/>
      <c r="N63" s="328"/>
      <c r="O63" s="334"/>
      <c r="P63" s="328"/>
      <c r="Q63" s="334"/>
      <c r="R63" s="319">
        <f t="shared" si="5"/>
        <v>15</v>
      </c>
      <c r="S63" s="331" t="s">
        <v>301</v>
      </c>
      <c r="T63" s="320">
        <v>34</v>
      </c>
      <c r="U63" s="321"/>
      <c r="V63" s="291">
        <f t="shared" ca="1" si="2"/>
        <v>48.41799999999995</v>
      </c>
      <c r="W63" s="256">
        <f t="shared" ca="1" si="3"/>
        <v>2</v>
      </c>
      <c r="X63" s="256">
        <f t="shared" ca="1" si="4"/>
        <v>1</v>
      </c>
      <c r="Y63" s="256"/>
      <c r="Z63" s="256"/>
      <c r="AA63" s="292"/>
      <c r="AB63" s="292"/>
      <c r="AC63" s="292"/>
    </row>
    <row r="64" spans="1:29" s="293" customFormat="1" ht="15.75" x14ac:dyDescent="0.2">
      <c r="A64" s="288"/>
      <c r="B64" s="311"/>
      <c r="C64" s="382" t="s">
        <v>1135</v>
      </c>
      <c r="D64" s="324"/>
      <c r="E64" s="325"/>
      <c r="F64" s="326"/>
      <c r="G64" s="324"/>
      <c r="H64" s="325"/>
      <c r="I64" s="326"/>
      <c r="J64" s="317"/>
      <c r="K64" s="976">
        <v>16.555</v>
      </c>
      <c r="L64" s="317"/>
      <c r="M64" s="315"/>
      <c r="N64" s="328"/>
      <c r="O64" s="334"/>
      <c r="P64" s="328"/>
      <c r="Q64" s="334"/>
      <c r="R64" s="319">
        <f t="shared" si="5"/>
        <v>16.555</v>
      </c>
      <c r="S64" s="331" t="s">
        <v>301</v>
      </c>
      <c r="T64" s="320">
        <v>34</v>
      </c>
      <c r="U64" s="321"/>
      <c r="V64" s="291">
        <f t="shared" ca="1" si="2"/>
        <v>48.41799999999995</v>
      </c>
      <c r="W64" s="256">
        <f t="shared" ref="W64:W71" ca="1" si="6">IF(LEFT(_xlfn.FORMULATEXT(V64),3)="=SO",1,IF(COUNTA(A64:U64)=0,0,2))</f>
        <v>2</v>
      </c>
      <c r="X64" s="256">
        <f t="shared" ref="X64:X71" ca="1" si="7">IF(COUNTA(OFFSET(A63,1,0))-COUNTA(A63)=-1,0,1)</f>
        <v>1</v>
      </c>
      <c r="Y64" s="256"/>
      <c r="Z64" s="256"/>
      <c r="AA64" s="292"/>
      <c r="AB64" s="292"/>
      <c r="AC64" s="292"/>
    </row>
    <row r="65" spans="1:29" s="293" customFormat="1" ht="15.75" x14ac:dyDescent="0.2">
      <c r="A65" s="288"/>
      <c r="B65" s="562"/>
      <c r="C65" s="382" t="s">
        <v>1348</v>
      </c>
      <c r="D65" s="324"/>
      <c r="E65" s="325"/>
      <c r="F65" s="326"/>
      <c r="G65" s="324"/>
      <c r="H65" s="325"/>
      <c r="I65" s="326"/>
      <c r="J65" s="317"/>
      <c r="K65" s="976">
        <v>12</v>
      </c>
      <c r="L65" s="317"/>
      <c r="M65" s="315"/>
      <c r="N65" s="328"/>
      <c r="O65" s="334"/>
      <c r="P65" s="328"/>
      <c r="Q65" s="334"/>
      <c r="R65" s="319">
        <f>K65</f>
        <v>12</v>
      </c>
      <c r="S65" s="331" t="s">
        <v>301</v>
      </c>
      <c r="T65" s="320">
        <v>44</v>
      </c>
      <c r="U65" s="568"/>
      <c r="V65" s="291">
        <f t="shared" ca="1" si="2"/>
        <v>48.41799999999995</v>
      </c>
      <c r="W65" s="256">
        <f t="shared" ca="1" si="6"/>
        <v>2</v>
      </c>
      <c r="X65" s="256">
        <f t="shared" ca="1" si="7"/>
        <v>1</v>
      </c>
      <c r="Y65" s="256"/>
      <c r="Z65" s="256"/>
      <c r="AA65" s="292"/>
      <c r="AB65" s="292"/>
      <c r="AC65" s="292"/>
    </row>
    <row r="66" spans="1:29" s="293" customFormat="1" ht="15.75" x14ac:dyDescent="0.2">
      <c r="A66" s="288"/>
      <c r="B66" s="562"/>
      <c r="C66" s="382" t="s">
        <v>1349</v>
      </c>
      <c r="D66" s="324"/>
      <c r="E66" s="325"/>
      <c r="F66" s="326"/>
      <c r="G66" s="324"/>
      <c r="H66" s="325"/>
      <c r="I66" s="326"/>
      <c r="J66" s="317"/>
      <c r="K66" s="976">
        <v>12</v>
      </c>
      <c r="L66" s="317"/>
      <c r="M66" s="315"/>
      <c r="N66" s="328"/>
      <c r="O66" s="334"/>
      <c r="P66" s="328"/>
      <c r="Q66" s="334"/>
      <c r="R66" s="319">
        <f t="shared" ref="R66:R67" si="8">K66</f>
        <v>12</v>
      </c>
      <c r="S66" s="331" t="s">
        <v>301</v>
      </c>
      <c r="T66" s="320">
        <v>44</v>
      </c>
      <c r="U66" s="568"/>
      <c r="V66" s="291">
        <f t="shared" ca="1" si="2"/>
        <v>48.41799999999995</v>
      </c>
      <c r="W66" s="256">
        <f t="shared" ca="1" si="6"/>
        <v>2</v>
      </c>
      <c r="X66" s="256">
        <f t="shared" ca="1" si="7"/>
        <v>1</v>
      </c>
      <c r="Y66" s="256"/>
      <c r="Z66" s="256"/>
      <c r="AA66" s="292"/>
      <c r="AB66" s="292"/>
      <c r="AC66" s="292"/>
    </row>
    <row r="67" spans="1:29" s="293" customFormat="1" ht="15.75" x14ac:dyDescent="0.2">
      <c r="A67" s="288"/>
      <c r="B67" s="562"/>
      <c r="C67" s="382" t="s">
        <v>1350</v>
      </c>
      <c r="D67" s="324"/>
      <c r="E67" s="325"/>
      <c r="F67" s="326"/>
      <c r="G67" s="324"/>
      <c r="H67" s="325"/>
      <c r="I67" s="326"/>
      <c r="J67" s="317"/>
      <c r="K67" s="976">
        <v>110</v>
      </c>
      <c r="L67" s="317"/>
      <c r="M67" s="315"/>
      <c r="N67" s="328"/>
      <c r="O67" s="334"/>
      <c r="P67" s="328"/>
      <c r="Q67" s="334"/>
      <c r="R67" s="319">
        <f t="shared" si="8"/>
        <v>110</v>
      </c>
      <c r="S67" s="331" t="s">
        <v>301</v>
      </c>
      <c r="T67" s="320">
        <v>44</v>
      </c>
      <c r="U67" s="568"/>
      <c r="V67" s="291">
        <f t="shared" ca="1" si="2"/>
        <v>48.41799999999995</v>
      </c>
      <c r="W67" s="256">
        <f t="shared" ca="1" si="6"/>
        <v>2</v>
      </c>
      <c r="X67" s="256">
        <f t="shared" ca="1" si="7"/>
        <v>1</v>
      </c>
      <c r="Y67" s="256"/>
      <c r="Z67" s="256"/>
      <c r="AA67" s="292"/>
      <c r="AB67" s="292"/>
      <c r="AC67" s="292"/>
    </row>
    <row r="68" spans="1:29" s="293" customFormat="1" ht="15.75" x14ac:dyDescent="0.2">
      <c r="A68" s="288"/>
      <c r="B68" s="562"/>
      <c r="C68" s="1108"/>
      <c r="D68" s="819"/>
      <c r="E68" s="820"/>
      <c r="F68" s="822"/>
      <c r="G68" s="819"/>
      <c r="H68" s="820"/>
      <c r="I68" s="822"/>
      <c r="J68" s="1109"/>
      <c r="K68" s="1184"/>
      <c r="L68" s="1109"/>
      <c r="M68" s="752"/>
      <c r="N68" s="761"/>
      <c r="O68" s="505"/>
      <c r="P68" s="501"/>
      <c r="Q68" s="739"/>
      <c r="R68" s="558"/>
      <c r="S68" s="505"/>
      <c r="T68" s="506"/>
      <c r="U68" s="568"/>
      <c r="V68" s="291">
        <f t="shared" ca="1" si="2"/>
        <v>48.41799999999995</v>
      </c>
      <c r="W68" s="256">
        <f t="shared" ca="1" si="6"/>
        <v>0</v>
      </c>
      <c r="X68" s="256">
        <f t="shared" ca="1" si="7"/>
        <v>1</v>
      </c>
      <c r="Y68" s="256"/>
      <c r="Z68" s="256"/>
      <c r="AA68" s="292"/>
      <c r="AB68" s="292"/>
      <c r="AC68" s="292"/>
    </row>
    <row r="69" spans="1:29" s="293" customFormat="1" ht="15.75" x14ac:dyDescent="0.2">
      <c r="A69" s="288"/>
      <c r="B69" s="562"/>
      <c r="C69" s="1108"/>
      <c r="D69" s="819"/>
      <c r="E69" s="820"/>
      <c r="F69" s="822"/>
      <c r="G69" s="819"/>
      <c r="H69" s="820"/>
      <c r="I69" s="822"/>
      <c r="J69" s="1109"/>
      <c r="K69" s="1184"/>
      <c r="L69" s="1109"/>
      <c r="M69" s="752"/>
      <c r="N69" s="761"/>
      <c r="O69" s="505"/>
      <c r="P69" s="501"/>
      <c r="Q69" s="739"/>
      <c r="R69" s="558"/>
      <c r="S69" s="505"/>
      <c r="T69" s="506"/>
      <c r="U69" s="568"/>
      <c r="V69" s="291">
        <f t="shared" ca="1" si="2"/>
        <v>48.41799999999995</v>
      </c>
      <c r="W69" s="256">
        <f t="shared" ca="1" si="6"/>
        <v>0</v>
      </c>
      <c r="X69" s="256">
        <f t="shared" ca="1" si="7"/>
        <v>1</v>
      </c>
      <c r="Y69" s="256"/>
      <c r="Z69" s="256"/>
      <c r="AA69" s="292"/>
      <c r="AB69" s="292"/>
      <c r="AC69" s="292"/>
    </row>
    <row r="70" spans="1:29" s="337" customFormat="1" ht="15" x14ac:dyDescent="0.2">
      <c r="A70" s="288"/>
      <c r="B70" s="338"/>
      <c r="C70" s="339"/>
      <c r="D70" s="340"/>
      <c r="E70" s="341"/>
      <c r="F70" s="342"/>
      <c r="G70" s="340"/>
      <c r="H70" s="341"/>
      <c r="I70" s="342"/>
      <c r="J70" s="343"/>
      <c r="K70" s="344"/>
      <c r="L70" s="345"/>
      <c r="M70" s="346"/>
      <c r="N70" s="347"/>
      <c r="O70" s="348"/>
      <c r="P70" s="345"/>
      <c r="Q70" s="349"/>
      <c r="R70" s="350"/>
      <c r="S70" s="351"/>
      <c r="T70" s="352"/>
      <c r="U70" s="353"/>
      <c r="V70" s="291">
        <f t="shared" ca="1" si="2"/>
        <v>48.41799999999995</v>
      </c>
      <c r="W70" s="256">
        <f t="shared" ca="1" si="6"/>
        <v>0</v>
      </c>
      <c r="X70" s="256">
        <f t="shared" ca="1" si="7"/>
        <v>1</v>
      </c>
      <c r="Y70" s="336"/>
      <c r="Z70" s="336"/>
    </row>
    <row r="71" spans="1:29" s="111" customFormat="1" ht="15.75" x14ac:dyDescent="0.2">
      <c r="A71" s="288"/>
      <c r="B71" s="354"/>
      <c r="C71" s="355"/>
      <c r="D71" s="1354" t="s">
        <v>492</v>
      </c>
      <c r="E71" s="1355"/>
      <c r="F71" s="1355"/>
      <c r="G71" s="1355"/>
      <c r="H71" s="1355"/>
      <c r="I71" s="1356"/>
      <c r="J71" s="1357">
        <f>VLOOKUP(A73,'11 - FINANCEIRO'!_xlnm.Print_Area,6,FALSE)</f>
        <v>608.41</v>
      </c>
      <c r="K71" s="1358"/>
      <c r="L71" s="356" t="str">
        <f>VLOOKUP(A73,'11 - FINANCEIRO'!_xlnm.Print_Area,4,FALSE)</f>
        <v>m</v>
      </c>
      <c r="M71" s="1359" t="s">
        <v>493</v>
      </c>
      <c r="N71" s="1360"/>
      <c r="O71" s="1360"/>
      <c r="P71" s="1360"/>
      <c r="Q71" s="1361"/>
      <c r="R71" s="357">
        <f>TRUNC(SUM(R57:R70),3)</f>
        <v>398.40499999999997</v>
      </c>
      <c r="S71" s="358" t="str">
        <f>L71</f>
        <v>m</v>
      </c>
      <c r="T71" s="1449"/>
      <c r="U71" s="1450"/>
      <c r="V71" s="291">
        <f t="shared" ca="1" si="2"/>
        <v>48.41799999999995</v>
      </c>
      <c r="W71" s="256">
        <f t="shared" ca="1" si="6"/>
        <v>2</v>
      </c>
      <c r="X71" s="256">
        <f t="shared" ca="1" si="7"/>
        <v>1</v>
      </c>
      <c r="Y71" s="250"/>
      <c r="Z71" s="250"/>
    </row>
    <row r="72" spans="1:29" s="111" customFormat="1" ht="15.75" x14ac:dyDescent="0.2">
      <c r="A72" s="288"/>
      <c r="B72" s="354"/>
      <c r="C72" s="361"/>
      <c r="D72" s="1362" t="s">
        <v>494</v>
      </c>
      <c r="E72" s="1363"/>
      <c r="F72" s="1363"/>
      <c r="G72" s="1363"/>
      <c r="H72" s="1363"/>
      <c r="I72" s="1364"/>
      <c r="J72" s="1365">
        <f>R71/J71</f>
        <v>0.65482980227149457</v>
      </c>
      <c r="K72" s="1366"/>
      <c r="L72" s="1369"/>
      <c r="M72" s="1371" t="s">
        <v>495</v>
      </c>
      <c r="N72" s="1372"/>
      <c r="O72" s="1372"/>
      <c r="P72" s="1372"/>
      <c r="Q72" s="1373"/>
      <c r="R72" s="362">
        <f>VLOOKUP(A73,'11 - FINANCEIRO'!_xlnm.Print_Area,8,FALSE)</f>
        <v>349.98700000000002</v>
      </c>
      <c r="S72" s="363" t="str">
        <f>L71</f>
        <v>m</v>
      </c>
      <c r="T72" s="1451"/>
      <c r="U72" s="1452"/>
      <c r="V72" s="291">
        <f t="shared" ca="1" si="2"/>
        <v>48.41799999999995</v>
      </c>
      <c r="W72" s="256">
        <f t="shared" ca="1" si="0"/>
        <v>2</v>
      </c>
      <c r="X72" s="256">
        <f t="shared" ca="1" si="1"/>
        <v>1</v>
      </c>
      <c r="Y72" s="250"/>
      <c r="Z72" s="250"/>
    </row>
    <row r="73" spans="1:29" s="111" customFormat="1" ht="15.75" x14ac:dyDescent="0.2">
      <c r="A73" s="288" t="s">
        <v>15</v>
      </c>
      <c r="B73" s="364"/>
      <c r="C73" s="365"/>
      <c r="D73" s="1354"/>
      <c r="E73" s="1355"/>
      <c r="F73" s="1355"/>
      <c r="G73" s="1355"/>
      <c r="H73" s="1355"/>
      <c r="I73" s="1356"/>
      <c r="J73" s="1367"/>
      <c r="K73" s="1368"/>
      <c r="L73" s="1370"/>
      <c r="M73" s="1371" t="s">
        <v>496</v>
      </c>
      <c r="N73" s="1372"/>
      <c r="O73" s="1372"/>
      <c r="P73" s="1372"/>
      <c r="Q73" s="1373"/>
      <c r="R73" s="362">
        <f>R71-R72</f>
        <v>48.41799999999995</v>
      </c>
      <c r="S73" s="363" t="str">
        <f>L71</f>
        <v>m</v>
      </c>
      <c r="T73" s="1453"/>
      <c r="U73" s="1454"/>
      <c r="V73" s="291">
        <f t="shared" ca="1" si="2"/>
        <v>48.41799999999995</v>
      </c>
      <c r="W73" s="256">
        <f t="shared" ca="1" si="0"/>
        <v>2</v>
      </c>
      <c r="X73" s="256">
        <f t="shared" ca="1" si="1"/>
        <v>1</v>
      </c>
      <c r="Y73" s="250"/>
      <c r="Z73" s="250"/>
    </row>
    <row r="74" spans="1:29" s="111" customFormat="1" ht="15.75" x14ac:dyDescent="0.2">
      <c r="A74" s="288"/>
      <c r="B74" s="368"/>
      <c r="C74" s="365"/>
      <c r="D74" s="369"/>
      <c r="E74" s="370"/>
      <c r="F74" s="369"/>
      <c r="G74" s="369"/>
      <c r="H74" s="369"/>
      <c r="I74" s="369"/>
      <c r="J74" s="371"/>
      <c r="K74" s="372"/>
      <c r="L74" s="373"/>
      <c r="M74" s="374"/>
      <c r="N74" s="374"/>
      <c r="O74" s="374"/>
      <c r="P74" s="374"/>
      <c r="Q74" s="374"/>
      <c r="R74" s="375"/>
      <c r="S74" s="376"/>
      <c r="T74" s="377"/>
      <c r="U74" s="378"/>
      <c r="V74" s="379">
        <f ca="1">SUM(V55:V73)</f>
        <v>919.94199999999864</v>
      </c>
      <c r="W74" s="256">
        <f t="shared" ca="1" si="0"/>
        <v>1</v>
      </c>
      <c r="X74" s="256">
        <f t="shared" ca="1" si="1"/>
        <v>0</v>
      </c>
      <c r="Y74" s="250"/>
      <c r="Z74" s="250"/>
    </row>
    <row r="75" spans="1:29" s="293" customFormat="1" ht="15.75" hidden="1" x14ac:dyDescent="0.25">
      <c r="A75" s="288"/>
      <c r="B75" s="1374" t="str">
        <f>VLOOKUP(A83,'11 - FINANCEIRO'!_xlnm.Print_Area,1,FALSE)</f>
        <v>1.1.6</v>
      </c>
      <c r="C75" s="1376" t="str">
        <f>VLOOKUP(A83,'11 - FINANCEIRO'!_xlnm.Print_Area,3,FALSE)</f>
        <v>Placa De Obra Nas Dimensões De 2.0 X 4.0 M, Padrão Iopes</v>
      </c>
      <c r="D75" s="1378" t="s">
        <v>477</v>
      </c>
      <c r="E75" s="1379"/>
      <c r="F75" s="1379"/>
      <c r="G75" s="1379"/>
      <c r="H75" s="1379"/>
      <c r="I75" s="1380"/>
      <c r="J75" s="1338" t="s">
        <v>296</v>
      </c>
      <c r="K75" s="1338" t="s">
        <v>479</v>
      </c>
      <c r="L75" s="1338" t="s">
        <v>480</v>
      </c>
      <c r="M75" s="1338" t="s">
        <v>481</v>
      </c>
      <c r="N75" s="1338" t="s">
        <v>482</v>
      </c>
      <c r="O75" s="1338" t="s">
        <v>483</v>
      </c>
      <c r="P75" s="290" t="s">
        <v>484</v>
      </c>
      <c r="Q75" s="1338" t="s">
        <v>485</v>
      </c>
      <c r="R75" s="1336" t="s">
        <v>296</v>
      </c>
      <c r="S75" s="1338" t="s">
        <v>486</v>
      </c>
      <c r="T75" s="1338" t="s">
        <v>487</v>
      </c>
      <c r="U75" s="1340" t="s">
        <v>488</v>
      </c>
      <c r="V75" s="291">
        <f t="shared" ca="1" si="2"/>
        <v>0</v>
      </c>
      <c r="W75" s="256">
        <f t="shared" ca="1" si="0"/>
        <v>2</v>
      </c>
      <c r="X75" s="256">
        <f t="shared" ca="1" si="1"/>
        <v>1</v>
      </c>
      <c r="Y75" s="256"/>
      <c r="Z75" s="256"/>
      <c r="AA75" s="292"/>
      <c r="AB75" s="292"/>
      <c r="AC75" s="292"/>
    </row>
    <row r="76" spans="1:29" s="293" customFormat="1" ht="15.75" hidden="1" x14ac:dyDescent="0.2">
      <c r="A76" s="288"/>
      <c r="B76" s="1375" t="e">
        <f>LEFT(#REF!,5)</f>
        <v>#REF!</v>
      </c>
      <c r="C76" s="1377" t="e">
        <f>VLOOKUP(LEFT(#REF!,5),'11 - FINANCEIRO'!_xlnm.Print_Area,2,FALSE)</f>
        <v>#REF!</v>
      </c>
      <c r="D76" s="1342" t="s">
        <v>489</v>
      </c>
      <c r="E76" s="1343"/>
      <c r="F76" s="1344"/>
      <c r="G76" s="1345" t="s">
        <v>490</v>
      </c>
      <c r="H76" s="1346"/>
      <c r="I76" s="1347"/>
      <c r="J76" s="1339"/>
      <c r="K76" s="1339"/>
      <c r="L76" s="1339"/>
      <c r="M76" s="1339"/>
      <c r="N76" s="1339"/>
      <c r="O76" s="1339"/>
      <c r="P76" s="295" t="s">
        <v>491</v>
      </c>
      <c r="Q76" s="1339"/>
      <c r="R76" s="1337"/>
      <c r="S76" s="1339"/>
      <c r="T76" s="1339"/>
      <c r="U76" s="1341"/>
      <c r="V76" s="291">
        <f t="shared" ca="1" si="2"/>
        <v>0</v>
      </c>
      <c r="W76" s="256">
        <f t="shared" ca="1" si="0"/>
        <v>2</v>
      </c>
      <c r="X76" s="256">
        <f t="shared" ca="1" si="1"/>
        <v>1</v>
      </c>
      <c r="Y76" s="256"/>
      <c r="Z76" s="256"/>
      <c r="AA76" s="292"/>
      <c r="AB76" s="292"/>
      <c r="AC76" s="292"/>
    </row>
    <row r="77" spans="1:29" s="293" customFormat="1" ht="15.75" hidden="1" x14ac:dyDescent="0.2">
      <c r="A77" s="288"/>
      <c r="B77" s="296"/>
      <c r="C77" s="297" t="s">
        <v>498</v>
      </c>
      <c r="D77" s="298"/>
      <c r="E77" s="299"/>
      <c r="F77" s="300"/>
      <c r="G77" s="301"/>
      <c r="H77" s="302"/>
      <c r="I77" s="303"/>
      <c r="J77" s="304"/>
      <c r="K77" s="384">
        <v>4</v>
      </c>
      <c r="L77" s="384"/>
      <c r="M77" s="384">
        <v>2</v>
      </c>
      <c r="N77" s="384">
        <f>K77*M77</f>
        <v>8</v>
      </c>
      <c r="O77" s="304"/>
      <c r="P77" s="306"/>
      <c r="Q77" s="304"/>
      <c r="R77" s="307">
        <f>N77</f>
        <v>8</v>
      </c>
      <c r="S77" s="308" t="str">
        <f>S81</f>
        <v>m²</v>
      </c>
      <c r="T77" s="309">
        <v>1</v>
      </c>
      <c r="U77" s="310"/>
      <c r="V77" s="291">
        <f t="shared" ca="1" si="2"/>
        <v>0</v>
      </c>
      <c r="W77" s="256">
        <f t="shared" ca="1" si="0"/>
        <v>2</v>
      </c>
      <c r="X77" s="256">
        <f t="shared" ca="1" si="1"/>
        <v>1</v>
      </c>
      <c r="Y77" s="256"/>
      <c r="Z77" s="256"/>
      <c r="AA77" s="292"/>
      <c r="AB77" s="292"/>
      <c r="AC77" s="292"/>
    </row>
    <row r="78" spans="1:29" s="293" customFormat="1" ht="15.75" hidden="1" x14ac:dyDescent="0.2">
      <c r="A78" s="288"/>
      <c r="B78" s="311"/>
      <c r="C78" s="312"/>
      <c r="D78" s="313"/>
      <c r="E78" s="314"/>
      <c r="F78" s="315"/>
      <c r="G78" s="380"/>
      <c r="H78" s="316"/>
      <c r="I78" s="381"/>
      <c r="J78" s="317"/>
      <c r="K78" s="313"/>
      <c r="L78" s="317"/>
      <c r="M78" s="315"/>
      <c r="N78" s="314"/>
      <c r="O78" s="313"/>
      <c r="P78" s="318"/>
      <c r="Q78" s="315"/>
      <c r="R78" s="319"/>
      <c r="S78" s="317"/>
      <c r="T78" s="320"/>
      <c r="U78" s="321"/>
      <c r="V78" s="291">
        <f t="shared" ca="1" si="2"/>
        <v>0</v>
      </c>
      <c r="W78" s="256">
        <f t="shared" ca="1" si="0"/>
        <v>0</v>
      </c>
      <c r="X78" s="256">
        <f t="shared" ca="1" si="1"/>
        <v>1</v>
      </c>
      <c r="Y78" s="256"/>
      <c r="Z78" s="256"/>
      <c r="AA78" s="292"/>
      <c r="AB78" s="292"/>
      <c r="AC78" s="292"/>
    </row>
    <row r="79" spans="1:29" s="337" customFormat="1" ht="15" hidden="1" x14ac:dyDescent="0.2">
      <c r="A79" s="288"/>
      <c r="B79" s="322"/>
      <c r="C79" s="382"/>
      <c r="D79" s="324"/>
      <c r="E79" s="325"/>
      <c r="F79" s="326"/>
      <c r="G79" s="324"/>
      <c r="H79" s="325"/>
      <c r="I79" s="326"/>
      <c r="J79" s="317"/>
      <c r="K79" s="328"/>
      <c r="L79" s="328"/>
      <c r="M79" s="328"/>
      <c r="N79" s="328"/>
      <c r="O79" s="334"/>
      <c r="P79" s="328"/>
      <c r="Q79" s="334"/>
      <c r="R79" s="333"/>
      <c r="S79" s="331"/>
      <c r="T79" s="320"/>
      <c r="U79" s="335"/>
      <c r="V79" s="291">
        <f t="shared" ca="1" si="2"/>
        <v>0</v>
      </c>
      <c r="W79" s="256">
        <f t="shared" ca="1" si="0"/>
        <v>0</v>
      </c>
      <c r="X79" s="256">
        <f t="shared" ca="1" si="1"/>
        <v>1</v>
      </c>
      <c r="Y79" s="336"/>
      <c r="Z79" s="336"/>
    </row>
    <row r="80" spans="1:29" s="337" customFormat="1" ht="15" hidden="1" x14ac:dyDescent="0.2">
      <c r="A80" s="288"/>
      <c r="B80" s="338"/>
      <c r="C80" s="339"/>
      <c r="D80" s="340"/>
      <c r="E80" s="341"/>
      <c r="F80" s="342"/>
      <c r="G80" s="340"/>
      <c r="H80" s="341"/>
      <c r="I80" s="342"/>
      <c r="J80" s="343"/>
      <c r="K80" s="344"/>
      <c r="L80" s="345"/>
      <c r="M80" s="346"/>
      <c r="N80" s="347"/>
      <c r="O80" s="348"/>
      <c r="P80" s="345"/>
      <c r="Q80" s="349"/>
      <c r="R80" s="350"/>
      <c r="S80" s="351"/>
      <c r="T80" s="352"/>
      <c r="U80" s="353"/>
      <c r="V80" s="291">
        <f t="shared" ca="1" si="2"/>
        <v>0</v>
      </c>
      <c r="W80" s="256">
        <f t="shared" ca="1" si="0"/>
        <v>0</v>
      </c>
      <c r="X80" s="256">
        <f t="shared" ca="1" si="1"/>
        <v>1</v>
      </c>
      <c r="Y80" s="336"/>
      <c r="Z80" s="336"/>
    </row>
    <row r="81" spans="1:29" s="111" customFormat="1" ht="15.75" hidden="1" x14ac:dyDescent="0.2">
      <c r="A81" s="288"/>
      <c r="B81" s="354"/>
      <c r="C81" s="355"/>
      <c r="D81" s="1354" t="s">
        <v>492</v>
      </c>
      <c r="E81" s="1355"/>
      <c r="F81" s="1355"/>
      <c r="G81" s="1355"/>
      <c r="H81" s="1355"/>
      <c r="I81" s="1356"/>
      <c r="J81" s="1357">
        <f>VLOOKUP(A83,'11 - FINANCEIRO'!_xlnm.Print_Area,6,FALSE)</f>
        <v>8</v>
      </c>
      <c r="K81" s="1358"/>
      <c r="L81" s="356" t="str">
        <f>VLOOKUP(A83,'11 - FINANCEIRO'!_xlnm.Print_Area,4,FALSE)</f>
        <v>m²</v>
      </c>
      <c r="M81" s="1359" t="s">
        <v>493</v>
      </c>
      <c r="N81" s="1360"/>
      <c r="O81" s="1360"/>
      <c r="P81" s="1360"/>
      <c r="Q81" s="1361"/>
      <c r="R81" s="357">
        <f>TRUNC(SUM(R77:R80),3)</f>
        <v>8</v>
      </c>
      <c r="S81" s="358" t="str">
        <f>L81</f>
        <v>m²</v>
      </c>
      <c r="T81" s="359"/>
      <c r="U81" s="360"/>
      <c r="V81" s="291">
        <f t="shared" ca="1" si="2"/>
        <v>0</v>
      </c>
      <c r="W81" s="256">
        <f t="shared" ca="1" si="0"/>
        <v>2</v>
      </c>
      <c r="X81" s="256">
        <f t="shared" ca="1" si="1"/>
        <v>1</v>
      </c>
      <c r="Y81" s="250"/>
      <c r="Z81" s="250"/>
    </row>
    <row r="82" spans="1:29" s="111" customFormat="1" ht="15.75" hidden="1" x14ac:dyDescent="0.2">
      <c r="A82" s="288"/>
      <c r="B82" s="354"/>
      <c r="C82" s="361"/>
      <c r="D82" s="1362" t="s">
        <v>494</v>
      </c>
      <c r="E82" s="1363"/>
      <c r="F82" s="1363"/>
      <c r="G82" s="1363"/>
      <c r="H82" s="1363"/>
      <c r="I82" s="1364"/>
      <c r="J82" s="1365">
        <f>R81/J81</f>
        <v>1</v>
      </c>
      <c r="K82" s="1366"/>
      <c r="L82" s="1369"/>
      <c r="M82" s="1371" t="s">
        <v>495</v>
      </c>
      <c r="N82" s="1372"/>
      <c r="O82" s="1372"/>
      <c r="P82" s="1372"/>
      <c r="Q82" s="1373"/>
      <c r="R82" s="362">
        <f>VLOOKUP(A83,'11 - FINANCEIRO'!_xlnm.Print_Area,8,FALSE)</f>
        <v>8</v>
      </c>
      <c r="S82" s="363" t="str">
        <f>L81</f>
        <v>m²</v>
      </c>
      <c r="T82" s="359"/>
      <c r="U82" s="360"/>
      <c r="V82" s="291">
        <f t="shared" ca="1" si="2"/>
        <v>0</v>
      </c>
      <c r="W82" s="256">
        <f t="shared" ca="1" si="0"/>
        <v>2</v>
      </c>
      <c r="X82" s="256">
        <f t="shared" ca="1" si="1"/>
        <v>1</v>
      </c>
      <c r="Y82" s="250"/>
      <c r="Z82" s="250"/>
    </row>
    <row r="83" spans="1:29" s="111" customFormat="1" ht="15.75" hidden="1" x14ac:dyDescent="0.2">
      <c r="A83" s="288" t="s">
        <v>16</v>
      </c>
      <c r="B83" s="364"/>
      <c r="C83" s="365"/>
      <c r="D83" s="1354"/>
      <c r="E83" s="1355"/>
      <c r="F83" s="1355"/>
      <c r="G83" s="1355"/>
      <c r="H83" s="1355"/>
      <c r="I83" s="1356"/>
      <c r="J83" s="1367"/>
      <c r="K83" s="1368"/>
      <c r="L83" s="1370"/>
      <c r="M83" s="1371" t="s">
        <v>496</v>
      </c>
      <c r="N83" s="1372"/>
      <c r="O83" s="1372"/>
      <c r="P83" s="1372"/>
      <c r="Q83" s="1373"/>
      <c r="R83" s="362">
        <f>R81-R82</f>
        <v>0</v>
      </c>
      <c r="S83" s="363" t="str">
        <f>L81</f>
        <v>m²</v>
      </c>
      <c r="T83" s="366"/>
      <c r="U83" s="367"/>
      <c r="V83" s="291">
        <f t="shared" ca="1" si="2"/>
        <v>0</v>
      </c>
      <c r="W83" s="256">
        <f t="shared" ca="1" si="0"/>
        <v>2</v>
      </c>
      <c r="X83" s="256">
        <f t="shared" ca="1" si="1"/>
        <v>1</v>
      </c>
      <c r="Y83" s="250"/>
      <c r="Z83" s="250"/>
    </row>
    <row r="84" spans="1:29" s="111" customFormat="1" ht="15.75" hidden="1" x14ac:dyDescent="0.2">
      <c r="A84" s="288"/>
      <c r="B84" s="368"/>
      <c r="C84" s="365"/>
      <c r="D84" s="369"/>
      <c r="E84" s="370"/>
      <c r="F84" s="369"/>
      <c r="G84" s="369"/>
      <c r="H84" s="369"/>
      <c r="I84" s="369"/>
      <c r="J84" s="371"/>
      <c r="K84" s="372"/>
      <c r="L84" s="373"/>
      <c r="M84" s="374"/>
      <c r="N84" s="374"/>
      <c r="O84" s="374"/>
      <c r="P84" s="374"/>
      <c r="Q84" s="374"/>
      <c r="R84" s="375"/>
      <c r="S84" s="376"/>
      <c r="T84" s="377"/>
      <c r="U84" s="378"/>
      <c r="V84" s="379">
        <f ca="1">SUM(V75:V83)</f>
        <v>0</v>
      </c>
      <c r="W84" s="256">
        <f t="shared" ca="1" si="0"/>
        <v>1</v>
      </c>
      <c r="X84" s="256">
        <f t="shared" ca="1" si="1"/>
        <v>0</v>
      </c>
      <c r="Y84" s="250"/>
      <c r="Z84" s="250"/>
    </row>
    <row r="85" spans="1:29" s="293" customFormat="1" ht="15.75" hidden="1" x14ac:dyDescent="0.25">
      <c r="A85" s="288"/>
      <c r="B85" s="1374" t="str">
        <f>VLOOKUP(A93,'11 - FINANCEIRO'!_xlnm.Print_Area,1,FALSE)</f>
        <v>1.1.7</v>
      </c>
      <c r="C85" s="1376" t="str">
        <f>VLOOKUP(A93,'11 - FINANCEIRO'!_xlnm.Print_Area,3,FALSE)</f>
        <v>Placa Para Inauguração De Obra Em Alumínio Polido E=4Mm, Dimensões 40 X 50 Cm, Gravação Em Baixo Relevo, Inclusive Pintura E Fixação</v>
      </c>
      <c r="D85" s="1378" t="s">
        <v>477</v>
      </c>
      <c r="E85" s="1379"/>
      <c r="F85" s="1379"/>
      <c r="G85" s="1379"/>
      <c r="H85" s="1379"/>
      <c r="I85" s="1380"/>
      <c r="J85" s="1338" t="s">
        <v>478</v>
      </c>
      <c r="K85" s="1338" t="s">
        <v>479</v>
      </c>
      <c r="L85" s="1338" t="s">
        <v>480</v>
      </c>
      <c r="M85" s="1338" t="s">
        <v>481</v>
      </c>
      <c r="N85" s="1338" t="s">
        <v>482</v>
      </c>
      <c r="O85" s="1338" t="s">
        <v>483</v>
      </c>
      <c r="P85" s="290" t="s">
        <v>484</v>
      </c>
      <c r="Q85" s="1338" t="s">
        <v>485</v>
      </c>
      <c r="R85" s="1336" t="s">
        <v>296</v>
      </c>
      <c r="S85" s="1338" t="s">
        <v>486</v>
      </c>
      <c r="T85" s="1338" t="s">
        <v>487</v>
      </c>
      <c r="U85" s="1340" t="s">
        <v>488</v>
      </c>
      <c r="V85" s="291">
        <f t="shared" ca="1" si="2"/>
        <v>0</v>
      </c>
      <c r="W85" s="256">
        <f t="shared" ca="1" si="0"/>
        <v>2</v>
      </c>
      <c r="X85" s="256">
        <f t="shared" ca="1" si="1"/>
        <v>1</v>
      </c>
      <c r="Y85" s="256"/>
      <c r="Z85" s="256"/>
      <c r="AA85" s="292"/>
      <c r="AB85" s="292"/>
      <c r="AC85" s="292"/>
    </row>
    <row r="86" spans="1:29" s="293" customFormat="1" ht="15.75" hidden="1" x14ac:dyDescent="0.2">
      <c r="A86" s="288"/>
      <c r="B86" s="1375" t="e">
        <f>LEFT(#REF!,5)</f>
        <v>#REF!</v>
      </c>
      <c r="C86" s="1377" t="e">
        <f>VLOOKUP(LEFT(#REF!,5),'11 - FINANCEIRO'!_xlnm.Print_Area,2,FALSE)</f>
        <v>#REF!</v>
      </c>
      <c r="D86" s="1342" t="s">
        <v>489</v>
      </c>
      <c r="E86" s="1343"/>
      <c r="F86" s="1344"/>
      <c r="G86" s="1345" t="s">
        <v>490</v>
      </c>
      <c r="H86" s="1346"/>
      <c r="I86" s="1347"/>
      <c r="J86" s="1339"/>
      <c r="K86" s="1339"/>
      <c r="L86" s="1339"/>
      <c r="M86" s="1339"/>
      <c r="N86" s="1339"/>
      <c r="O86" s="1339"/>
      <c r="P86" s="295" t="s">
        <v>491</v>
      </c>
      <c r="Q86" s="1339"/>
      <c r="R86" s="1337"/>
      <c r="S86" s="1339"/>
      <c r="T86" s="1339"/>
      <c r="U86" s="1341"/>
      <c r="V86" s="291">
        <f t="shared" ca="1" si="2"/>
        <v>0</v>
      </c>
      <c r="W86" s="256">
        <f t="shared" ca="1" si="0"/>
        <v>2</v>
      </c>
      <c r="X86" s="256">
        <f t="shared" ca="1" si="1"/>
        <v>1</v>
      </c>
      <c r="Y86" s="256"/>
      <c r="Z86" s="256"/>
      <c r="AA86" s="292"/>
      <c r="AB86" s="292"/>
      <c r="AC86" s="292"/>
    </row>
    <row r="87" spans="1:29" s="293" customFormat="1" ht="15.75" hidden="1" x14ac:dyDescent="0.2">
      <c r="A87" s="288"/>
      <c r="B87" s="296"/>
      <c r="C87" s="297"/>
      <c r="D87" s="298"/>
      <c r="E87" s="299"/>
      <c r="F87" s="300"/>
      <c r="G87" s="301"/>
      <c r="H87" s="302"/>
      <c r="I87" s="303"/>
      <c r="J87" s="304"/>
      <c r="K87" s="304"/>
      <c r="L87" s="304"/>
      <c r="M87" s="304"/>
      <c r="N87" s="304"/>
      <c r="O87" s="304"/>
      <c r="P87" s="306"/>
      <c r="Q87" s="304"/>
      <c r="R87" s="307"/>
      <c r="S87" s="304"/>
      <c r="T87" s="309"/>
      <c r="U87" s="310"/>
      <c r="V87" s="291">
        <f t="shared" ca="1" si="2"/>
        <v>0</v>
      </c>
      <c r="W87" s="256">
        <f t="shared" ref="W87:W228" ca="1" si="9">IF(LEFT(_xlfn.FORMULATEXT(V87),3)="=SO",1,IF(COUNTA(A87:U87)=0,0,2))</f>
        <v>0</v>
      </c>
      <c r="X87" s="256">
        <f t="shared" ref="X87:X115" ca="1" si="10">IF(COUNTA(OFFSET(A86,1,0))-COUNTA(A86)=-1,0,1)</f>
        <v>1</v>
      </c>
      <c r="Y87" s="256"/>
      <c r="Z87" s="256"/>
      <c r="AA87" s="292"/>
      <c r="AB87" s="292"/>
      <c r="AC87" s="292"/>
    </row>
    <row r="88" spans="1:29" s="293" customFormat="1" ht="15.75" hidden="1" x14ac:dyDescent="0.2">
      <c r="A88" s="288"/>
      <c r="B88" s="311"/>
      <c r="C88" s="312"/>
      <c r="D88" s="313"/>
      <c r="E88" s="314"/>
      <c r="F88" s="315"/>
      <c r="G88" s="380"/>
      <c r="H88" s="316"/>
      <c r="I88" s="381"/>
      <c r="J88" s="317"/>
      <c r="K88" s="313"/>
      <c r="L88" s="317"/>
      <c r="M88" s="315"/>
      <c r="N88" s="314"/>
      <c r="O88" s="313"/>
      <c r="P88" s="318"/>
      <c r="Q88" s="315"/>
      <c r="R88" s="319"/>
      <c r="S88" s="317"/>
      <c r="T88" s="320"/>
      <c r="U88" s="321"/>
      <c r="V88" s="291">
        <f t="shared" ca="1" si="2"/>
        <v>0</v>
      </c>
      <c r="W88" s="256">
        <f t="shared" ca="1" si="9"/>
        <v>0</v>
      </c>
      <c r="X88" s="256">
        <f t="shared" ca="1" si="10"/>
        <v>1</v>
      </c>
      <c r="Y88" s="256"/>
      <c r="Z88" s="256"/>
      <c r="AA88" s="292"/>
      <c r="AB88" s="292"/>
      <c r="AC88" s="292"/>
    </row>
    <row r="89" spans="1:29" s="337" customFormat="1" ht="15" hidden="1" x14ac:dyDescent="0.2">
      <c r="A89" s="288"/>
      <c r="B89" s="322"/>
      <c r="C89" s="382"/>
      <c r="D89" s="324"/>
      <c r="E89" s="325"/>
      <c r="F89" s="326"/>
      <c r="G89" s="324"/>
      <c r="H89" s="325"/>
      <c r="I89" s="326"/>
      <c r="J89" s="317"/>
      <c r="K89" s="328"/>
      <c r="L89" s="328"/>
      <c r="M89" s="328"/>
      <c r="N89" s="328"/>
      <c r="O89" s="334"/>
      <c r="P89" s="328"/>
      <c r="Q89" s="334"/>
      <c r="R89" s="333"/>
      <c r="S89" s="331"/>
      <c r="T89" s="320"/>
      <c r="U89" s="335"/>
      <c r="V89" s="291">
        <f ca="1">IF(OFFSET(V89,1,1)=1,OFFSET(V89,0,-4),OFFSET(V89,1,0))</f>
        <v>0</v>
      </c>
      <c r="W89" s="256">
        <f t="shared" ca="1" si="9"/>
        <v>0</v>
      </c>
      <c r="X89" s="256">
        <f t="shared" ca="1" si="10"/>
        <v>1</v>
      </c>
      <c r="Y89" s="336"/>
      <c r="Z89" s="336"/>
    </row>
    <row r="90" spans="1:29" s="337" customFormat="1" ht="15" hidden="1" x14ac:dyDescent="0.2">
      <c r="A90" s="288"/>
      <c r="B90" s="338"/>
      <c r="C90" s="339"/>
      <c r="D90" s="340"/>
      <c r="E90" s="341"/>
      <c r="F90" s="342"/>
      <c r="G90" s="340"/>
      <c r="H90" s="341"/>
      <c r="I90" s="342"/>
      <c r="J90" s="343"/>
      <c r="K90" s="344"/>
      <c r="L90" s="345"/>
      <c r="M90" s="346"/>
      <c r="N90" s="347"/>
      <c r="O90" s="348"/>
      <c r="P90" s="345"/>
      <c r="Q90" s="349"/>
      <c r="R90" s="350"/>
      <c r="S90" s="351"/>
      <c r="T90" s="352"/>
      <c r="U90" s="353"/>
      <c r="V90" s="291">
        <f ca="1">IF(OFFSET(V90,1,1)=1,OFFSET(V90,0,-4),OFFSET(V90,1,0))</f>
        <v>0</v>
      </c>
      <c r="W90" s="256">
        <f t="shared" ca="1" si="9"/>
        <v>0</v>
      </c>
      <c r="X90" s="256">
        <f t="shared" ca="1" si="10"/>
        <v>1</v>
      </c>
      <c r="Y90" s="336"/>
      <c r="Z90" s="336"/>
    </row>
    <row r="91" spans="1:29" s="111" customFormat="1" ht="15.75" hidden="1" x14ac:dyDescent="0.2">
      <c r="A91" s="288"/>
      <c r="B91" s="354"/>
      <c r="C91" s="355"/>
      <c r="D91" s="1354" t="s">
        <v>492</v>
      </c>
      <c r="E91" s="1355"/>
      <c r="F91" s="1355"/>
      <c r="G91" s="1355"/>
      <c r="H91" s="1355"/>
      <c r="I91" s="1356"/>
      <c r="J91" s="1357">
        <f>VLOOKUP(A93,'11 - FINANCEIRO'!_xlnm.Print_Area,6,FALSE)</f>
        <v>1</v>
      </c>
      <c r="K91" s="1358"/>
      <c r="L91" s="356" t="str">
        <f>VLOOKUP(A93,'11 - FINANCEIRO'!_xlnm.Print_Area,4,FALSE)</f>
        <v>und</v>
      </c>
      <c r="M91" s="1359" t="s">
        <v>493</v>
      </c>
      <c r="N91" s="1360"/>
      <c r="O91" s="1360"/>
      <c r="P91" s="1360"/>
      <c r="Q91" s="1361"/>
      <c r="R91" s="357">
        <f>TRUNC(SUM(R87:R90),3)</f>
        <v>0</v>
      </c>
      <c r="S91" s="358" t="str">
        <f>L91</f>
        <v>und</v>
      </c>
      <c r="T91" s="359"/>
      <c r="U91" s="360"/>
      <c r="V91" s="291">
        <f ca="1">IF(OFFSET(V91,1,1)=1,OFFSET(V91,0,-4),OFFSET(V91,1,0))</f>
        <v>0</v>
      </c>
      <c r="W91" s="256">
        <f t="shared" ca="1" si="9"/>
        <v>2</v>
      </c>
      <c r="X91" s="256">
        <f t="shared" ca="1" si="10"/>
        <v>1</v>
      </c>
      <c r="Y91" s="250"/>
      <c r="Z91" s="250"/>
    </row>
    <row r="92" spans="1:29" s="111" customFormat="1" ht="15.75" hidden="1" x14ac:dyDescent="0.2">
      <c r="A92" s="288"/>
      <c r="B92" s="354"/>
      <c r="C92" s="361"/>
      <c r="D92" s="1362" t="s">
        <v>494</v>
      </c>
      <c r="E92" s="1363"/>
      <c r="F92" s="1363"/>
      <c r="G92" s="1363"/>
      <c r="H92" s="1363"/>
      <c r="I92" s="1364"/>
      <c r="J92" s="1365">
        <f>R91/J91</f>
        <v>0</v>
      </c>
      <c r="K92" s="1366"/>
      <c r="L92" s="1369"/>
      <c r="M92" s="1371" t="s">
        <v>495</v>
      </c>
      <c r="N92" s="1372"/>
      <c r="O92" s="1372"/>
      <c r="P92" s="1372"/>
      <c r="Q92" s="1373"/>
      <c r="R92" s="362">
        <f>VLOOKUP(A93,'11 - FINANCEIRO'!_xlnm.Print_Area,8,FALSE)</f>
        <v>0</v>
      </c>
      <c r="S92" s="363" t="str">
        <f>L91</f>
        <v>und</v>
      </c>
      <c r="T92" s="359"/>
      <c r="U92" s="360"/>
      <c r="V92" s="291">
        <f ca="1">IF(OFFSET(V92,1,1)=1,OFFSET(V92,0,-4),OFFSET(V92,1,0))</f>
        <v>0</v>
      </c>
      <c r="W92" s="256">
        <f t="shared" ca="1" si="9"/>
        <v>2</v>
      </c>
      <c r="X92" s="256">
        <f t="shared" ca="1" si="10"/>
        <v>1</v>
      </c>
      <c r="Y92" s="250"/>
      <c r="Z92" s="250"/>
    </row>
    <row r="93" spans="1:29" s="111" customFormat="1" ht="15.75" hidden="1" x14ac:dyDescent="0.2">
      <c r="A93" s="288" t="s">
        <v>17</v>
      </c>
      <c r="B93" s="364"/>
      <c r="C93" s="365"/>
      <c r="D93" s="1354"/>
      <c r="E93" s="1355"/>
      <c r="F93" s="1355"/>
      <c r="G93" s="1355"/>
      <c r="H93" s="1355"/>
      <c r="I93" s="1356"/>
      <c r="J93" s="1367"/>
      <c r="K93" s="1368"/>
      <c r="L93" s="1370"/>
      <c r="M93" s="1371" t="s">
        <v>496</v>
      </c>
      <c r="N93" s="1372"/>
      <c r="O93" s="1372"/>
      <c r="P93" s="1372"/>
      <c r="Q93" s="1373"/>
      <c r="R93" s="362">
        <f>R91-R92</f>
        <v>0</v>
      </c>
      <c r="S93" s="363" t="str">
        <f>L91</f>
        <v>und</v>
      </c>
      <c r="T93" s="366"/>
      <c r="U93" s="367"/>
      <c r="V93" s="291">
        <f ca="1">IF(OFFSET(V93,1,1)=1,OFFSET(V93,0,-4),OFFSET(V93,1,0))</f>
        <v>0</v>
      </c>
      <c r="W93" s="256">
        <f t="shared" ca="1" si="9"/>
        <v>2</v>
      </c>
      <c r="X93" s="256">
        <f t="shared" ca="1" si="10"/>
        <v>1</v>
      </c>
      <c r="Y93" s="250"/>
      <c r="Z93" s="250"/>
    </row>
    <row r="94" spans="1:29" s="111" customFormat="1" ht="15.75" hidden="1" x14ac:dyDescent="0.2">
      <c r="A94" s="288"/>
      <c r="B94" s="368"/>
      <c r="C94" s="365"/>
      <c r="D94" s="369"/>
      <c r="E94" s="370"/>
      <c r="F94" s="369"/>
      <c r="G94" s="369"/>
      <c r="H94" s="369"/>
      <c r="I94" s="369"/>
      <c r="J94" s="371"/>
      <c r="K94" s="372"/>
      <c r="L94" s="373"/>
      <c r="M94" s="374"/>
      <c r="N94" s="374"/>
      <c r="O94" s="374"/>
      <c r="P94" s="374"/>
      <c r="Q94" s="374"/>
      <c r="R94" s="375"/>
      <c r="S94" s="376"/>
      <c r="T94" s="377"/>
      <c r="U94" s="378"/>
      <c r="V94" s="379">
        <f ca="1">SUM(V85:V93)</f>
        <v>0</v>
      </c>
      <c r="W94" s="256">
        <f t="shared" ca="1" si="9"/>
        <v>1</v>
      </c>
      <c r="X94" s="256">
        <f t="shared" ca="1" si="10"/>
        <v>0</v>
      </c>
      <c r="Y94" s="250"/>
      <c r="Z94" s="250"/>
    </row>
    <row r="95" spans="1:29" s="395" customFormat="1" ht="15.75" x14ac:dyDescent="0.25">
      <c r="A95" s="276"/>
      <c r="B95" s="385" t="str">
        <f>LEFT(A103,5)</f>
        <v>1.2</v>
      </c>
      <c r="C95" s="386" t="str">
        <f>VLOOKUP(LEFT(A103,5),'11 - FINANCEIRO'!_xlnm.Print_Area,2,FALSE)</f>
        <v>Canteiro de Obras</v>
      </c>
      <c r="D95" s="386"/>
      <c r="E95" s="387"/>
      <c r="F95" s="386"/>
      <c r="G95" s="1395"/>
      <c r="H95" s="1395"/>
      <c r="I95" s="1395"/>
      <c r="J95" s="1395"/>
      <c r="K95" s="1395"/>
      <c r="L95" s="1395"/>
      <c r="M95" s="389"/>
      <c r="N95" s="390"/>
      <c r="O95" s="1418"/>
      <c r="P95" s="1418"/>
      <c r="Q95" s="1418"/>
      <c r="R95" s="1418"/>
      <c r="S95" s="392"/>
      <c r="T95" s="393"/>
      <c r="U95" s="394"/>
      <c r="V95" s="286">
        <f ca="1">SUM(V96:V352)</f>
        <v>1065</v>
      </c>
      <c r="W95" s="256">
        <f t="shared" ca="1" si="9"/>
        <v>1</v>
      </c>
      <c r="X95" s="256">
        <f t="shared" ca="1" si="10"/>
        <v>1</v>
      </c>
    </row>
    <row r="96" spans="1:29" s="293" customFormat="1" ht="15.75" hidden="1" x14ac:dyDescent="0.25">
      <c r="A96" s="288"/>
      <c r="B96" s="1374" t="str">
        <f>VLOOKUP(A104,'11 - FINANCEIRO'!_xlnm.Print_Area,1,FALSE)</f>
        <v>1.2.1</v>
      </c>
      <c r="C96" s="1376" t="str">
        <f>VLOOKUP(A104,'11 - FINANCEIRO'!_xlnm.Print_Area,3,FALSE)</f>
        <v>Mobilização E Desmobilização De Conteiner Locado Para Barracão De Obra</v>
      </c>
      <c r="D96" s="1378" t="s">
        <v>477</v>
      </c>
      <c r="E96" s="1379"/>
      <c r="F96" s="1379"/>
      <c r="G96" s="1379"/>
      <c r="H96" s="1379"/>
      <c r="I96" s="1380"/>
      <c r="J96" s="1338" t="s">
        <v>478</v>
      </c>
      <c r="K96" s="1338" t="s">
        <v>479</v>
      </c>
      <c r="L96" s="1338" t="s">
        <v>480</v>
      </c>
      <c r="M96" s="1338" t="s">
        <v>481</v>
      </c>
      <c r="N96" s="1338" t="s">
        <v>482</v>
      </c>
      <c r="O96" s="1338" t="s">
        <v>483</v>
      </c>
      <c r="P96" s="290" t="s">
        <v>484</v>
      </c>
      <c r="Q96" s="1338" t="s">
        <v>485</v>
      </c>
      <c r="R96" s="1336" t="s">
        <v>296</v>
      </c>
      <c r="S96" s="1338" t="s">
        <v>486</v>
      </c>
      <c r="T96" s="1338" t="s">
        <v>487</v>
      </c>
      <c r="U96" s="1340" t="s">
        <v>488</v>
      </c>
      <c r="V96" s="291">
        <f t="shared" ref="V96:V104" ca="1" si="11">IF(OFFSET(V96,1,1)=1,OFFSET(V96,0,-4),OFFSET(V96,1,0))</f>
        <v>0</v>
      </c>
      <c r="W96" s="256">
        <f t="shared" ca="1" si="9"/>
        <v>2</v>
      </c>
      <c r="X96" s="256">
        <f t="shared" ca="1" si="10"/>
        <v>1</v>
      </c>
      <c r="Y96" s="256"/>
      <c r="Z96" s="256"/>
      <c r="AA96" s="292"/>
      <c r="AB96" s="292"/>
      <c r="AC96" s="292"/>
    </row>
    <row r="97" spans="1:29" s="293" customFormat="1" ht="15.75" hidden="1" x14ac:dyDescent="0.2">
      <c r="A97" s="288"/>
      <c r="B97" s="1375" t="e">
        <f>LEFT(#REF!,5)</f>
        <v>#REF!</v>
      </c>
      <c r="C97" s="1377" t="e">
        <f>VLOOKUP(LEFT(#REF!,5),'11 - FINANCEIRO'!_xlnm.Print_Area,2,FALSE)</f>
        <v>#REF!</v>
      </c>
      <c r="D97" s="1342" t="s">
        <v>489</v>
      </c>
      <c r="E97" s="1343"/>
      <c r="F97" s="1344"/>
      <c r="G97" s="1345" t="s">
        <v>490</v>
      </c>
      <c r="H97" s="1346"/>
      <c r="I97" s="1347"/>
      <c r="J97" s="1339"/>
      <c r="K97" s="1339"/>
      <c r="L97" s="1339"/>
      <c r="M97" s="1339"/>
      <c r="N97" s="1339"/>
      <c r="O97" s="1339"/>
      <c r="P97" s="295" t="s">
        <v>491</v>
      </c>
      <c r="Q97" s="1339"/>
      <c r="R97" s="1337"/>
      <c r="S97" s="1339"/>
      <c r="T97" s="1339"/>
      <c r="U97" s="1341"/>
      <c r="V97" s="291">
        <f t="shared" ca="1" si="11"/>
        <v>0</v>
      </c>
      <c r="W97" s="256">
        <f t="shared" ca="1" si="9"/>
        <v>2</v>
      </c>
      <c r="X97" s="256">
        <f t="shared" ca="1" si="10"/>
        <v>1</v>
      </c>
      <c r="Y97" s="256"/>
      <c r="Z97" s="256"/>
      <c r="AA97" s="292"/>
      <c r="AB97" s="292"/>
      <c r="AC97" s="292"/>
    </row>
    <row r="98" spans="1:29" s="293" customFormat="1" ht="15.75" hidden="1" x14ac:dyDescent="0.2">
      <c r="A98" s="288"/>
      <c r="B98" s="296"/>
      <c r="C98" s="297" t="s">
        <v>499</v>
      </c>
      <c r="D98" s="298"/>
      <c r="E98" s="299"/>
      <c r="F98" s="300"/>
      <c r="G98" s="301"/>
      <c r="H98" s="302"/>
      <c r="I98" s="303"/>
      <c r="J98" s="304"/>
      <c r="K98" s="304"/>
      <c r="L98" s="304"/>
      <c r="M98" s="304"/>
      <c r="N98" s="304"/>
      <c r="O98" s="304"/>
      <c r="P98" s="306"/>
      <c r="Q98" s="304"/>
      <c r="R98" s="307">
        <v>2.5</v>
      </c>
      <c r="S98" s="308" t="str">
        <f>S102</f>
        <v>und</v>
      </c>
      <c r="T98" s="309">
        <v>2</v>
      </c>
      <c r="U98" s="310"/>
      <c r="V98" s="291">
        <f t="shared" ca="1" si="11"/>
        <v>0</v>
      </c>
      <c r="W98" s="256">
        <f t="shared" ca="1" si="9"/>
        <v>2</v>
      </c>
      <c r="X98" s="256">
        <f t="shared" ca="1" si="10"/>
        <v>1</v>
      </c>
      <c r="Y98" s="256"/>
      <c r="Z98" s="256"/>
      <c r="AA98" s="292"/>
      <c r="AB98" s="292"/>
      <c r="AC98" s="292"/>
    </row>
    <row r="99" spans="1:29" s="293" customFormat="1" ht="15.75" hidden="1" x14ac:dyDescent="0.2">
      <c r="A99" s="288"/>
      <c r="B99" s="311"/>
      <c r="C99" s="312" t="s">
        <v>672</v>
      </c>
      <c r="D99" s="313"/>
      <c r="E99" s="314"/>
      <c r="F99" s="315"/>
      <c r="G99" s="380"/>
      <c r="H99" s="316"/>
      <c r="I99" s="381"/>
      <c r="J99" s="317"/>
      <c r="K99" s="313"/>
      <c r="L99" s="317"/>
      <c r="M99" s="315"/>
      <c r="N99" s="314"/>
      <c r="O99" s="313"/>
      <c r="P99" s="318"/>
      <c r="Q99" s="315"/>
      <c r="R99" s="319">
        <v>2.5</v>
      </c>
      <c r="S99" s="317" t="s">
        <v>305</v>
      </c>
      <c r="T99" s="320">
        <v>18</v>
      </c>
      <c r="U99" s="321"/>
      <c r="V99" s="291">
        <f t="shared" ca="1" si="11"/>
        <v>0</v>
      </c>
      <c r="W99" s="256">
        <f t="shared" ca="1" si="9"/>
        <v>2</v>
      </c>
      <c r="X99" s="256">
        <f t="shared" ca="1" si="10"/>
        <v>1</v>
      </c>
      <c r="Y99" s="256"/>
      <c r="Z99" s="256"/>
      <c r="AA99" s="292"/>
      <c r="AB99" s="292"/>
      <c r="AC99" s="292"/>
    </row>
    <row r="100" spans="1:29" s="337" customFormat="1" ht="15" hidden="1" x14ac:dyDescent="0.2">
      <c r="A100" s="288"/>
      <c r="B100" s="322"/>
      <c r="C100" s="382"/>
      <c r="D100" s="324"/>
      <c r="E100" s="325"/>
      <c r="F100" s="326"/>
      <c r="G100" s="324"/>
      <c r="H100" s="325"/>
      <c r="I100" s="326"/>
      <c r="J100" s="317"/>
      <c r="K100" s="328"/>
      <c r="L100" s="328"/>
      <c r="M100" s="328"/>
      <c r="N100" s="328"/>
      <c r="O100" s="334"/>
      <c r="P100" s="328"/>
      <c r="Q100" s="334"/>
      <c r="R100" s="333"/>
      <c r="S100" s="331"/>
      <c r="T100" s="320"/>
      <c r="U100" s="335"/>
      <c r="V100" s="291">
        <f t="shared" ca="1" si="11"/>
        <v>0</v>
      </c>
      <c r="W100" s="256">
        <f t="shared" ca="1" si="9"/>
        <v>0</v>
      </c>
      <c r="X100" s="256">
        <f t="shared" ca="1" si="10"/>
        <v>1</v>
      </c>
      <c r="Y100" s="336"/>
      <c r="Z100" s="336"/>
    </row>
    <row r="101" spans="1:29" s="337" customFormat="1" ht="15" hidden="1" x14ac:dyDescent="0.2">
      <c r="A101" s="288"/>
      <c r="B101" s="338"/>
      <c r="C101" s="339"/>
      <c r="D101" s="340"/>
      <c r="E101" s="341"/>
      <c r="F101" s="342"/>
      <c r="G101" s="340"/>
      <c r="H101" s="341"/>
      <c r="I101" s="342"/>
      <c r="J101" s="343"/>
      <c r="K101" s="344"/>
      <c r="L101" s="345"/>
      <c r="M101" s="346"/>
      <c r="N101" s="347"/>
      <c r="O101" s="348"/>
      <c r="P101" s="345"/>
      <c r="Q101" s="349"/>
      <c r="R101" s="350"/>
      <c r="S101" s="351"/>
      <c r="T101" s="352"/>
      <c r="U101" s="353"/>
      <c r="V101" s="291">
        <f t="shared" ca="1" si="11"/>
        <v>0</v>
      </c>
      <c r="W101" s="256">
        <f t="shared" ca="1" si="9"/>
        <v>0</v>
      </c>
      <c r="X101" s="256">
        <f t="shared" ca="1" si="10"/>
        <v>1</v>
      </c>
      <c r="Y101" s="336"/>
      <c r="Z101" s="336"/>
    </row>
    <row r="102" spans="1:29" s="111" customFormat="1" ht="15.75" hidden="1" x14ac:dyDescent="0.2">
      <c r="A102" s="288"/>
      <c r="B102" s="354"/>
      <c r="C102" s="355"/>
      <c r="D102" s="1354" t="s">
        <v>492</v>
      </c>
      <c r="E102" s="1355"/>
      <c r="F102" s="1355"/>
      <c r="G102" s="1355"/>
      <c r="H102" s="1355"/>
      <c r="I102" s="1356"/>
      <c r="J102" s="1357">
        <f>VLOOKUP(A104,'11 - FINANCEIRO'!_xlnm.Print_Area,6,FALSE)</f>
        <v>8</v>
      </c>
      <c r="K102" s="1358"/>
      <c r="L102" s="356" t="str">
        <f>VLOOKUP(A104,'11 - FINANCEIRO'!_xlnm.Print_Area,4,FALSE)</f>
        <v>und</v>
      </c>
      <c r="M102" s="1359" t="s">
        <v>493</v>
      </c>
      <c r="N102" s="1360"/>
      <c r="O102" s="1360"/>
      <c r="P102" s="1360"/>
      <c r="Q102" s="1361"/>
      <c r="R102" s="357">
        <f>TRUNC(SUM(R98:R101),3)</f>
        <v>5</v>
      </c>
      <c r="S102" s="358" t="str">
        <f>L102</f>
        <v>und</v>
      </c>
      <c r="T102" s="359"/>
      <c r="U102" s="360"/>
      <c r="V102" s="291">
        <f t="shared" ca="1" si="11"/>
        <v>0</v>
      </c>
      <c r="W102" s="256">
        <f t="shared" ca="1" si="9"/>
        <v>2</v>
      </c>
      <c r="X102" s="256">
        <f t="shared" ca="1" si="10"/>
        <v>1</v>
      </c>
      <c r="Y102" s="250"/>
      <c r="Z102" s="250"/>
    </row>
    <row r="103" spans="1:29" s="111" customFormat="1" ht="15.75" hidden="1" x14ac:dyDescent="0.2">
      <c r="A103" s="288" t="s">
        <v>18</v>
      </c>
      <c r="B103" s="354"/>
      <c r="C103" s="361"/>
      <c r="D103" s="1362" t="s">
        <v>494</v>
      </c>
      <c r="E103" s="1363"/>
      <c r="F103" s="1363"/>
      <c r="G103" s="1363"/>
      <c r="H103" s="1363"/>
      <c r="I103" s="1364"/>
      <c r="J103" s="1365">
        <f>R102/J102</f>
        <v>0.625</v>
      </c>
      <c r="K103" s="1366"/>
      <c r="L103" s="1369"/>
      <c r="M103" s="1371" t="s">
        <v>495</v>
      </c>
      <c r="N103" s="1372"/>
      <c r="O103" s="1372"/>
      <c r="P103" s="1372"/>
      <c r="Q103" s="1373"/>
      <c r="R103" s="362">
        <f>VLOOKUP(A104,'11 - FINANCEIRO'!_xlnm.Print_Area,8,FALSE)</f>
        <v>5</v>
      </c>
      <c r="S103" s="363" t="str">
        <f>L102</f>
        <v>und</v>
      </c>
      <c r="T103" s="359"/>
      <c r="U103" s="360"/>
      <c r="V103" s="291">
        <f t="shared" ca="1" si="11"/>
        <v>0</v>
      </c>
      <c r="W103" s="256">
        <f t="shared" ca="1" si="9"/>
        <v>2</v>
      </c>
      <c r="X103" s="256">
        <f t="shared" ca="1" si="10"/>
        <v>1</v>
      </c>
      <c r="Y103" s="250"/>
      <c r="Z103" s="250"/>
    </row>
    <row r="104" spans="1:29" s="111" customFormat="1" ht="15.75" hidden="1" x14ac:dyDescent="0.2">
      <c r="A104" s="288" t="s">
        <v>19</v>
      </c>
      <c r="B104" s="364"/>
      <c r="C104" s="365"/>
      <c r="D104" s="1354"/>
      <c r="E104" s="1355"/>
      <c r="F104" s="1355"/>
      <c r="G104" s="1355"/>
      <c r="H104" s="1355"/>
      <c r="I104" s="1356"/>
      <c r="J104" s="1367"/>
      <c r="K104" s="1368"/>
      <c r="L104" s="1370"/>
      <c r="M104" s="1371" t="s">
        <v>496</v>
      </c>
      <c r="N104" s="1372"/>
      <c r="O104" s="1372"/>
      <c r="P104" s="1372"/>
      <c r="Q104" s="1373"/>
      <c r="R104" s="362">
        <f>R102-R103</f>
        <v>0</v>
      </c>
      <c r="S104" s="363" t="str">
        <f>L102</f>
        <v>und</v>
      </c>
      <c r="T104" s="366"/>
      <c r="U104" s="367"/>
      <c r="V104" s="291">
        <f t="shared" ca="1" si="11"/>
        <v>0</v>
      </c>
      <c r="W104" s="256">
        <f t="shared" ca="1" si="9"/>
        <v>2</v>
      </c>
      <c r="X104" s="256">
        <f t="shared" ca="1" si="10"/>
        <v>1</v>
      </c>
      <c r="Y104" s="250"/>
      <c r="Z104" s="250"/>
    </row>
    <row r="105" spans="1:29" s="111" customFormat="1" ht="15.75" hidden="1" x14ac:dyDescent="0.2">
      <c r="A105" s="288"/>
      <c r="B105" s="368"/>
      <c r="C105" s="365"/>
      <c r="D105" s="369"/>
      <c r="E105" s="370"/>
      <c r="F105" s="369"/>
      <c r="G105" s="369"/>
      <c r="H105" s="369"/>
      <c r="I105" s="369"/>
      <c r="J105" s="371"/>
      <c r="K105" s="372"/>
      <c r="L105" s="373"/>
      <c r="M105" s="374"/>
      <c r="N105" s="374"/>
      <c r="O105" s="374"/>
      <c r="P105" s="374"/>
      <c r="Q105" s="374"/>
      <c r="R105" s="375"/>
      <c r="S105" s="376"/>
      <c r="T105" s="377"/>
      <c r="U105" s="378"/>
      <c r="V105" s="379">
        <f ca="1">SUM(V96:V104)</f>
        <v>0</v>
      </c>
      <c r="W105" s="256">
        <f t="shared" ca="1" si="9"/>
        <v>1</v>
      </c>
      <c r="X105" s="256">
        <f t="shared" ca="1" si="10"/>
        <v>0</v>
      </c>
      <c r="Y105" s="250"/>
      <c r="Z105" s="250"/>
    </row>
    <row r="106" spans="1:29" s="293" customFormat="1" ht="35.1" customHeight="1" x14ac:dyDescent="0.2">
      <c r="A106" s="288"/>
      <c r="B106" s="1374" t="str">
        <f>VLOOKUP(A156,'11 - FINANCEIRO'!_xlnm.Print_Area,1,FALSE)</f>
        <v>1.2.2</v>
      </c>
      <c r="C106" s="1376" t="str">
        <f>VLOOKUP(A156,'11 - FINANCEIRO'!_xlnm.Print_Area,3,FALSE)</f>
        <v>Aluguel Mensal Container Para Refeitorio, Incl. Porta, 2 Janelas, Abert P/ Ar Cond., 2 Pt Iluminação, 2 Tomadas Elét. E 1 Tomada Telef. Isolamento Térmico (Paredes E Teto), Piso Em Comp. Naval Pintado, Cert. Nr18, Incl. Laudo Descontaminação.</v>
      </c>
      <c r="D106" s="1378" t="s">
        <v>500</v>
      </c>
      <c r="E106" s="1379"/>
      <c r="F106" s="1379"/>
      <c r="G106" s="1379"/>
      <c r="H106" s="1379"/>
      <c r="I106" s="1380"/>
      <c r="J106" s="1338" t="s">
        <v>501</v>
      </c>
      <c r="K106" s="1338" t="s">
        <v>479</v>
      </c>
      <c r="L106" s="1338" t="s">
        <v>480</v>
      </c>
      <c r="M106" s="1338" t="s">
        <v>481</v>
      </c>
      <c r="N106" s="1338" t="s">
        <v>482</v>
      </c>
      <c r="O106" s="1338" t="s">
        <v>483</v>
      </c>
      <c r="P106" s="1338" t="s">
        <v>502</v>
      </c>
      <c r="Q106" s="1338" t="s">
        <v>296</v>
      </c>
      <c r="R106" s="1336" t="s">
        <v>296</v>
      </c>
      <c r="S106" s="1338" t="s">
        <v>486</v>
      </c>
      <c r="T106" s="1338" t="s">
        <v>487</v>
      </c>
      <c r="U106" s="1340" t="s">
        <v>488</v>
      </c>
      <c r="V106" s="291">
        <f t="shared" ref="V106:V156" ca="1" si="12">IF(OFFSET(V106,1,1)=1,OFFSET(V106,0,-4),OFFSET(V106,1,0))</f>
        <v>1</v>
      </c>
      <c r="W106" s="256">
        <f t="shared" ca="1" si="9"/>
        <v>2</v>
      </c>
      <c r="X106" s="256">
        <f t="shared" ca="1" si="10"/>
        <v>1</v>
      </c>
      <c r="Y106" s="256"/>
      <c r="Z106" s="256"/>
      <c r="AA106" s="292"/>
      <c r="AB106" s="292"/>
      <c r="AC106" s="292"/>
    </row>
    <row r="107" spans="1:29" s="293" customFormat="1" ht="35.1" customHeight="1" x14ac:dyDescent="0.2">
      <c r="A107" s="288"/>
      <c r="B107" s="1375"/>
      <c r="C107" s="1377"/>
      <c r="D107" s="1342" t="s">
        <v>489</v>
      </c>
      <c r="E107" s="1343"/>
      <c r="F107" s="1344"/>
      <c r="G107" s="1345" t="s">
        <v>490</v>
      </c>
      <c r="H107" s="1346"/>
      <c r="I107" s="1347"/>
      <c r="J107" s="1339"/>
      <c r="K107" s="1339"/>
      <c r="L107" s="1339"/>
      <c r="M107" s="1339"/>
      <c r="N107" s="1339"/>
      <c r="O107" s="1339"/>
      <c r="P107" s="1339"/>
      <c r="Q107" s="1339"/>
      <c r="R107" s="1337"/>
      <c r="S107" s="1339"/>
      <c r="T107" s="1339"/>
      <c r="U107" s="1341"/>
      <c r="V107" s="291">
        <f t="shared" ca="1" si="12"/>
        <v>1</v>
      </c>
      <c r="W107" s="256">
        <f t="shared" ca="1" si="9"/>
        <v>2</v>
      </c>
      <c r="X107" s="256">
        <f t="shared" ca="1" si="10"/>
        <v>1</v>
      </c>
      <c r="Y107" s="256"/>
      <c r="Z107" s="256"/>
      <c r="AA107" s="292"/>
      <c r="AB107" s="292"/>
      <c r="AC107" s="292"/>
    </row>
    <row r="108" spans="1:29" s="293" customFormat="1" ht="15.75" x14ac:dyDescent="0.2">
      <c r="A108" s="288"/>
      <c r="B108" s="296"/>
      <c r="C108" s="396" t="s">
        <v>503</v>
      </c>
      <c r="D108" s="1381">
        <v>44776</v>
      </c>
      <c r="E108" s="1382"/>
      <c r="F108" s="1383"/>
      <c r="G108" s="1381">
        <v>44804</v>
      </c>
      <c r="H108" s="1382"/>
      <c r="I108" s="1383"/>
      <c r="J108" s="304">
        <f t="shared" ref="J108:J114" si="13">G108-D108+1</f>
        <v>29</v>
      </c>
      <c r="K108" s="304"/>
      <c r="L108" s="304"/>
      <c r="M108" s="304"/>
      <c r="N108" s="304"/>
      <c r="O108" s="304"/>
      <c r="P108" s="306"/>
      <c r="Q108" s="304"/>
      <c r="R108" s="307">
        <v>1</v>
      </c>
      <c r="S108" s="308" t="str">
        <f t="shared" ref="S108:S115" si="14">$S$154</f>
        <v>mês</v>
      </c>
      <c r="T108" s="309">
        <v>1</v>
      </c>
      <c r="U108" s="310"/>
      <c r="V108" s="291">
        <f t="shared" ca="1" si="12"/>
        <v>1</v>
      </c>
      <c r="W108" s="256">
        <f t="shared" ca="1" si="9"/>
        <v>2</v>
      </c>
      <c r="X108" s="256">
        <f t="shared" ca="1" si="10"/>
        <v>1</v>
      </c>
      <c r="Y108" s="256"/>
      <c r="Z108" s="256"/>
      <c r="AA108" s="292"/>
      <c r="AB108" s="292"/>
      <c r="AC108" s="292"/>
    </row>
    <row r="109" spans="1:29" s="293" customFormat="1" ht="15.75" x14ac:dyDescent="0.2">
      <c r="A109" s="288"/>
      <c r="B109" s="311"/>
      <c r="C109" s="397" t="s">
        <v>504</v>
      </c>
      <c r="D109" s="1333">
        <v>44805</v>
      </c>
      <c r="E109" s="1334"/>
      <c r="F109" s="1335"/>
      <c r="G109" s="1333">
        <v>44836</v>
      </c>
      <c r="H109" s="1334"/>
      <c r="I109" s="1335"/>
      <c r="J109" s="317">
        <f t="shared" si="13"/>
        <v>32</v>
      </c>
      <c r="K109" s="313"/>
      <c r="L109" s="317"/>
      <c r="M109" s="315"/>
      <c r="N109" s="314"/>
      <c r="O109" s="313"/>
      <c r="P109" s="318"/>
      <c r="Q109" s="315"/>
      <c r="R109" s="319">
        <v>1</v>
      </c>
      <c r="S109" s="398" t="str">
        <f t="shared" si="14"/>
        <v>mês</v>
      </c>
      <c r="T109" s="320">
        <v>2</v>
      </c>
      <c r="U109" s="321"/>
      <c r="V109" s="291">
        <f t="shared" ca="1" si="12"/>
        <v>1</v>
      </c>
      <c r="W109" s="256">
        <f t="shared" ca="1" si="9"/>
        <v>2</v>
      </c>
      <c r="X109" s="256">
        <f t="shared" ca="1" si="10"/>
        <v>1</v>
      </c>
      <c r="Y109" s="256"/>
      <c r="Z109" s="256"/>
      <c r="AA109" s="292"/>
      <c r="AB109" s="292"/>
      <c r="AC109" s="292"/>
    </row>
    <row r="110" spans="1:29" s="293" customFormat="1" ht="15.75" x14ac:dyDescent="0.2">
      <c r="A110" s="288"/>
      <c r="B110" s="311"/>
      <c r="C110" s="397" t="s">
        <v>505</v>
      </c>
      <c r="D110" s="1333">
        <v>44837</v>
      </c>
      <c r="E110" s="1334"/>
      <c r="F110" s="1335"/>
      <c r="G110" s="1333">
        <v>44865</v>
      </c>
      <c r="H110" s="1334"/>
      <c r="I110" s="1335"/>
      <c r="J110" s="317">
        <f t="shared" si="13"/>
        <v>29</v>
      </c>
      <c r="K110" s="313"/>
      <c r="L110" s="317"/>
      <c r="M110" s="315"/>
      <c r="N110" s="314"/>
      <c r="O110" s="313"/>
      <c r="P110" s="318"/>
      <c r="Q110" s="315"/>
      <c r="R110" s="319">
        <v>1</v>
      </c>
      <c r="S110" s="398" t="str">
        <f t="shared" si="14"/>
        <v>mês</v>
      </c>
      <c r="T110" s="320">
        <v>3</v>
      </c>
      <c r="U110" s="321"/>
      <c r="V110" s="291">
        <f t="shared" ca="1" si="12"/>
        <v>1</v>
      </c>
      <c r="W110" s="256">
        <f t="shared" ca="1" si="9"/>
        <v>2</v>
      </c>
      <c r="X110" s="256">
        <f t="shared" ca="1" si="10"/>
        <v>1</v>
      </c>
      <c r="Y110" s="256"/>
      <c r="Z110" s="256"/>
      <c r="AA110" s="292"/>
      <c r="AB110" s="292"/>
      <c r="AC110" s="292"/>
    </row>
    <row r="111" spans="1:29" s="292" customFormat="1" ht="15" x14ac:dyDescent="0.2">
      <c r="A111" s="399"/>
      <c r="B111" s="322"/>
      <c r="C111" s="397" t="s">
        <v>506</v>
      </c>
      <c r="D111" s="1333">
        <v>44866</v>
      </c>
      <c r="E111" s="1334"/>
      <c r="F111" s="1335"/>
      <c r="G111" s="1333">
        <v>44890</v>
      </c>
      <c r="H111" s="1334"/>
      <c r="I111" s="1335"/>
      <c r="J111" s="317">
        <f t="shared" si="13"/>
        <v>25</v>
      </c>
      <c r="K111" s="328"/>
      <c r="L111" s="328"/>
      <c r="M111" s="328"/>
      <c r="N111" s="328"/>
      <c r="O111" s="334"/>
      <c r="P111" s="328"/>
      <c r="Q111" s="334"/>
      <c r="R111" s="333">
        <v>1</v>
      </c>
      <c r="S111" s="331" t="str">
        <f t="shared" si="14"/>
        <v>mês</v>
      </c>
      <c r="T111" s="320">
        <v>4</v>
      </c>
      <c r="U111" s="335"/>
      <c r="V111" s="291">
        <f t="shared" ca="1" si="12"/>
        <v>1</v>
      </c>
      <c r="W111" s="256">
        <f t="shared" ca="1" si="9"/>
        <v>2</v>
      </c>
      <c r="X111" s="256">
        <f t="shared" ca="1" si="10"/>
        <v>1</v>
      </c>
      <c r="Y111" s="256"/>
      <c r="Z111" s="256"/>
    </row>
    <row r="112" spans="1:29" s="292" customFormat="1" ht="15" x14ac:dyDescent="0.2">
      <c r="A112" s="399"/>
      <c r="B112" s="322"/>
      <c r="C112" s="397" t="s">
        <v>507</v>
      </c>
      <c r="D112" s="1333">
        <f>G111+1</f>
        <v>44891</v>
      </c>
      <c r="E112" s="1334"/>
      <c r="F112" s="1335"/>
      <c r="G112" s="1333">
        <v>44926</v>
      </c>
      <c r="H112" s="1334"/>
      <c r="I112" s="1335"/>
      <c r="J112" s="317">
        <f t="shared" si="13"/>
        <v>36</v>
      </c>
      <c r="K112" s="328"/>
      <c r="L112" s="328"/>
      <c r="M112" s="328"/>
      <c r="N112" s="328"/>
      <c r="O112" s="334"/>
      <c r="P112" s="328"/>
      <c r="Q112" s="334"/>
      <c r="R112" s="333">
        <v>1</v>
      </c>
      <c r="S112" s="331" t="str">
        <f t="shared" si="14"/>
        <v>mês</v>
      </c>
      <c r="T112" s="320">
        <v>5</v>
      </c>
      <c r="U112" s="335"/>
      <c r="V112" s="291">
        <f t="shared" ca="1" si="12"/>
        <v>1</v>
      </c>
      <c r="W112" s="256">
        <f t="shared" ca="1" si="9"/>
        <v>2</v>
      </c>
      <c r="X112" s="256">
        <f t="shared" ca="1" si="10"/>
        <v>1</v>
      </c>
      <c r="Y112" s="256"/>
      <c r="Z112" s="256"/>
    </row>
    <row r="113" spans="1:29" s="337" customFormat="1" ht="15" x14ac:dyDescent="0.2">
      <c r="A113" s="288"/>
      <c r="B113" s="322"/>
      <c r="C113" s="397" t="s">
        <v>508</v>
      </c>
      <c r="D113" s="1333">
        <v>44927</v>
      </c>
      <c r="E113" s="1334"/>
      <c r="F113" s="1335"/>
      <c r="G113" s="1333">
        <v>44957</v>
      </c>
      <c r="H113" s="1334"/>
      <c r="I113" s="1335"/>
      <c r="J113" s="317">
        <f t="shared" si="13"/>
        <v>31</v>
      </c>
      <c r="K113" s="327"/>
      <c r="L113" s="328"/>
      <c r="M113" s="329"/>
      <c r="N113" s="330"/>
      <c r="O113" s="331"/>
      <c r="P113" s="328"/>
      <c r="Q113" s="332"/>
      <c r="R113" s="333">
        <v>1</v>
      </c>
      <c r="S113" s="331" t="str">
        <f t="shared" si="14"/>
        <v>mês</v>
      </c>
      <c r="T113" s="320">
        <v>6</v>
      </c>
      <c r="U113" s="335"/>
      <c r="V113" s="291">
        <f t="shared" ca="1" si="12"/>
        <v>1</v>
      </c>
      <c r="W113" s="256">
        <f t="shared" ca="1" si="9"/>
        <v>2</v>
      </c>
      <c r="X113" s="256">
        <f t="shared" ca="1" si="10"/>
        <v>1</v>
      </c>
      <c r="Y113" s="336"/>
      <c r="Z113" s="336"/>
    </row>
    <row r="114" spans="1:29" s="337" customFormat="1" ht="15" x14ac:dyDescent="0.2">
      <c r="A114" s="288"/>
      <c r="B114" s="322"/>
      <c r="C114" s="397" t="s">
        <v>509</v>
      </c>
      <c r="D114" s="1333">
        <v>44958</v>
      </c>
      <c r="E114" s="1334"/>
      <c r="F114" s="1335"/>
      <c r="G114" s="1333">
        <v>44985</v>
      </c>
      <c r="H114" s="1334"/>
      <c r="I114" s="1335"/>
      <c r="J114" s="317">
        <f t="shared" si="13"/>
        <v>28</v>
      </c>
      <c r="K114" s="327"/>
      <c r="L114" s="328"/>
      <c r="M114" s="329"/>
      <c r="N114" s="330"/>
      <c r="O114" s="331"/>
      <c r="P114" s="328"/>
      <c r="Q114" s="332"/>
      <c r="R114" s="333">
        <v>1</v>
      </c>
      <c r="S114" s="331" t="str">
        <f t="shared" si="14"/>
        <v>mês</v>
      </c>
      <c r="T114" s="320">
        <v>7</v>
      </c>
      <c r="U114" s="335"/>
      <c r="V114" s="291">
        <f t="shared" ca="1" si="12"/>
        <v>1</v>
      </c>
      <c r="W114" s="256">
        <f t="shared" ca="1" si="9"/>
        <v>2</v>
      </c>
      <c r="X114" s="256">
        <f t="shared" ca="1" si="10"/>
        <v>1</v>
      </c>
      <c r="Y114" s="336"/>
      <c r="Z114" s="336"/>
    </row>
    <row r="115" spans="1:29" s="337" customFormat="1" ht="15" x14ac:dyDescent="0.2">
      <c r="A115" s="288"/>
      <c r="B115" s="322"/>
      <c r="C115" s="397" t="s">
        <v>510</v>
      </c>
      <c r="D115" s="1333">
        <v>44986</v>
      </c>
      <c r="E115" s="1334"/>
      <c r="F115" s="1335"/>
      <c r="G115" s="1333">
        <v>45016</v>
      </c>
      <c r="H115" s="1334"/>
      <c r="I115" s="1335"/>
      <c r="J115" s="317">
        <f t="shared" ref="J115:J126" si="15">G115-D115+1</f>
        <v>31</v>
      </c>
      <c r="K115" s="327"/>
      <c r="L115" s="328"/>
      <c r="M115" s="329"/>
      <c r="N115" s="330"/>
      <c r="O115" s="331"/>
      <c r="P115" s="328"/>
      <c r="Q115" s="332"/>
      <c r="R115" s="333">
        <v>1</v>
      </c>
      <c r="S115" s="331" t="str">
        <f t="shared" si="14"/>
        <v>mês</v>
      </c>
      <c r="T115" s="320">
        <v>8</v>
      </c>
      <c r="U115" s="335"/>
      <c r="V115" s="291">
        <f t="shared" ca="1" si="12"/>
        <v>1</v>
      </c>
      <c r="W115" s="256">
        <f t="shared" ca="1" si="9"/>
        <v>2</v>
      </c>
      <c r="X115" s="256">
        <f t="shared" ca="1" si="10"/>
        <v>1</v>
      </c>
      <c r="Y115" s="336"/>
      <c r="Z115" s="336"/>
    </row>
    <row r="116" spans="1:29" s="337" customFormat="1" ht="15" x14ac:dyDescent="0.2">
      <c r="A116" s="288"/>
      <c r="B116" s="322"/>
      <c r="C116" s="397" t="s">
        <v>511</v>
      </c>
      <c r="D116" s="1333">
        <v>45017</v>
      </c>
      <c r="E116" s="1334"/>
      <c r="F116" s="1335"/>
      <c r="G116" s="1333">
        <v>45046</v>
      </c>
      <c r="H116" s="1334"/>
      <c r="I116" s="1335"/>
      <c r="J116" s="317">
        <f t="shared" si="15"/>
        <v>30</v>
      </c>
      <c r="K116" s="327"/>
      <c r="L116" s="328"/>
      <c r="M116" s="329"/>
      <c r="N116" s="330"/>
      <c r="O116" s="331"/>
      <c r="P116" s="328"/>
      <c r="Q116" s="332"/>
      <c r="R116" s="333">
        <v>1</v>
      </c>
      <c r="S116" s="331" t="str">
        <f t="shared" ref="S116:S143" si="16">$S$154</f>
        <v>mês</v>
      </c>
      <c r="T116" s="320">
        <v>9</v>
      </c>
      <c r="U116" s="335"/>
      <c r="V116" s="291">
        <f t="shared" ca="1" si="12"/>
        <v>1</v>
      </c>
      <c r="W116" s="256">
        <f t="shared" ref="W116:W126" ca="1" si="17">IF(LEFT(_xlfn.FORMULATEXT(V116),3)="=SO",1,IF(COUNTA(A116:U116)=0,0,2))</f>
        <v>2</v>
      </c>
      <c r="X116" s="256">
        <f t="shared" ref="X116:X121" ca="1" si="18">IF(COUNTA(OFFSET(A115,1,0))-COUNTA(A115)=-1,0,1)</f>
        <v>1</v>
      </c>
      <c r="Y116" s="336"/>
      <c r="Z116" s="336"/>
    </row>
    <row r="117" spans="1:29" s="337" customFormat="1" ht="15" x14ac:dyDescent="0.2">
      <c r="A117" s="288"/>
      <c r="B117" s="322"/>
      <c r="C117" s="397" t="s">
        <v>690</v>
      </c>
      <c r="D117" s="1333">
        <v>45047</v>
      </c>
      <c r="E117" s="1334"/>
      <c r="F117" s="1335"/>
      <c r="G117" s="1333">
        <v>45077</v>
      </c>
      <c r="H117" s="1334"/>
      <c r="I117" s="1335"/>
      <c r="J117" s="317">
        <f t="shared" si="15"/>
        <v>31</v>
      </c>
      <c r="K117" s="327"/>
      <c r="L117" s="328"/>
      <c r="M117" s="329"/>
      <c r="N117" s="330"/>
      <c r="O117" s="331"/>
      <c r="P117" s="328"/>
      <c r="Q117" s="332"/>
      <c r="R117" s="333">
        <v>1</v>
      </c>
      <c r="S117" s="331" t="str">
        <f t="shared" si="16"/>
        <v>mês</v>
      </c>
      <c r="T117" s="320">
        <v>19</v>
      </c>
      <c r="U117" s="335"/>
      <c r="V117" s="291">
        <f t="shared" ca="1" si="12"/>
        <v>1</v>
      </c>
      <c r="W117" s="256">
        <f t="shared" ca="1" si="17"/>
        <v>2</v>
      </c>
      <c r="X117" s="256">
        <f t="shared" ca="1" si="18"/>
        <v>1</v>
      </c>
      <c r="Y117" s="336"/>
      <c r="Z117" s="336"/>
    </row>
    <row r="118" spans="1:29" s="337" customFormat="1" ht="15" x14ac:dyDescent="0.2">
      <c r="A118" s="288"/>
      <c r="B118" s="322"/>
      <c r="C118" s="397" t="s">
        <v>691</v>
      </c>
      <c r="D118" s="1333">
        <v>45078</v>
      </c>
      <c r="E118" s="1334"/>
      <c r="F118" s="1335"/>
      <c r="G118" s="1333">
        <v>45107</v>
      </c>
      <c r="H118" s="1334"/>
      <c r="I118" s="1335"/>
      <c r="J118" s="317">
        <f t="shared" si="15"/>
        <v>30</v>
      </c>
      <c r="K118" s="327"/>
      <c r="L118" s="328"/>
      <c r="M118" s="329"/>
      <c r="N118" s="330"/>
      <c r="O118" s="331"/>
      <c r="P118" s="328"/>
      <c r="Q118" s="332"/>
      <c r="R118" s="333">
        <v>1</v>
      </c>
      <c r="S118" s="331" t="str">
        <f t="shared" si="16"/>
        <v>mês</v>
      </c>
      <c r="T118" s="320">
        <v>19</v>
      </c>
      <c r="U118" s="335"/>
      <c r="V118" s="291">
        <f t="shared" ca="1" si="12"/>
        <v>1</v>
      </c>
      <c r="W118" s="256">
        <f t="shared" ca="1" si="17"/>
        <v>2</v>
      </c>
      <c r="X118" s="256">
        <f t="shared" ca="1" si="18"/>
        <v>1</v>
      </c>
      <c r="Y118" s="336"/>
      <c r="Z118" s="336"/>
    </row>
    <row r="119" spans="1:29" s="337" customFormat="1" ht="15" x14ac:dyDescent="0.2">
      <c r="A119" s="288"/>
      <c r="B119" s="322"/>
      <c r="C119" s="397" t="s">
        <v>692</v>
      </c>
      <c r="D119" s="1333">
        <v>45108</v>
      </c>
      <c r="E119" s="1334"/>
      <c r="F119" s="1335"/>
      <c r="G119" s="1333">
        <v>45138</v>
      </c>
      <c r="H119" s="1334"/>
      <c r="I119" s="1335"/>
      <c r="J119" s="317">
        <f t="shared" si="15"/>
        <v>31</v>
      </c>
      <c r="K119" s="327"/>
      <c r="L119" s="328"/>
      <c r="M119" s="329"/>
      <c r="N119" s="330"/>
      <c r="O119" s="331"/>
      <c r="P119" s="328"/>
      <c r="Q119" s="332"/>
      <c r="R119" s="333">
        <v>1</v>
      </c>
      <c r="S119" s="331" t="str">
        <f t="shared" si="16"/>
        <v>mês</v>
      </c>
      <c r="T119" s="320">
        <v>19</v>
      </c>
      <c r="U119" s="335"/>
      <c r="V119" s="291">
        <f t="shared" ca="1" si="12"/>
        <v>1</v>
      </c>
      <c r="W119" s="256">
        <f t="shared" ca="1" si="17"/>
        <v>2</v>
      </c>
      <c r="X119" s="256">
        <f t="shared" ca="1" si="18"/>
        <v>1</v>
      </c>
      <c r="Y119" s="336"/>
      <c r="Z119" s="336"/>
    </row>
    <row r="120" spans="1:29" s="337" customFormat="1" ht="15" x14ac:dyDescent="0.2">
      <c r="A120" s="288"/>
      <c r="B120" s="322"/>
      <c r="C120" s="397" t="s">
        <v>503</v>
      </c>
      <c r="D120" s="1333">
        <v>45139</v>
      </c>
      <c r="E120" s="1334"/>
      <c r="F120" s="1335"/>
      <c r="G120" s="1333">
        <v>45169</v>
      </c>
      <c r="H120" s="1334"/>
      <c r="I120" s="1335"/>
      <c r="J120" s="317">
        <f t="shared" si="15"/>
        <v>31</v>
      </c>
      <c r="K120" s="327"/>
      <c r="L120" s="328"/>
      <c r="M120" s="329"/>
      <c r="N120" s="330"/>
      <c r="O120" s="331"/>
      <c r="P120" s="328"/>
      <c r="Q120" s="332"/>
      <c r="R120" s="333">
        <v>1</v>
      </c>
      <c r="S120" s="331" t="str">
        <f t="shared" si="16"/>
        <v>mês</v>
      </c>
      <c r="T120" s="320">
        <v>19</v>
      </c>
      <c r="U120" s="335"/>
      <c r="V120" s="291">
        <f t="shared" ca="1" si="12"/>
        <v>1</v>
      </c>
      <c r="W120" s="256">
        <f t="shared" ca="1" si="17"/>
        <v>2</v>
      </c>
      <c r="X120" s="256">
        <f t="shared" ca="1" si="18"/>
        <v>1</v>
      </c>
      <c r="Y120" s="336"/>
      <c r="Z120" s="336"/>
    </row>
    <row r="121" spans="1:29" s="293" customFormat="1" ht="15.75" x14ac:dyDescent="0.2">
      <c r="A121" s="288"/>
      <c r="B121" s="311"/>
      <c r="C121" s="397" t="s">
        <v>504</v>
      </c>
      <c r="D121" s="1333">
        <v>45170</v>
      </c>
      <c r="E121" s="1334"/>
      <c r="F121" s="1335"/>
      <c r="G121" s="1333">
        <v>45199</v>
      </c>
      <c r="H121" s="1334"/>
      <c r="I121" s="1335"/>
      <c r="J121" s="317">
        <f t="shared" si="15"/>
        <v>30</v>
      </c>
      <c r="K121" s="313"/>
      <c r="L121" s="317"/>
      <c r="M121" s="315"/>
      <c r="N121" s="314"/>
      <c r="O121" s="313"/>
      <c r="P121" s="318"/>
      <c r="Q121" s="315"/>
      <c r="R121" s="319">
        <v>1</v>
      </c>
      <c r="S121" s="398" t="str">
        <f t="shared" si="16"/>
        <v>mês</v>
      </c>
      <c r="T121" s="320">
        <v>19</v>
      </c>
      <c r="U121" s="321"/>
      <c r="V121" s="291">
        <f t="shared" ca="1" si="12"/>
        <v>1</v>
      </c>
      <c r="W121" s="256">
        <f t="shared" ca="1" si="17"/>
        <v>2</v>
      </c>
      <c r="X121" s="256">
        <f t="shared" ca="1" si="18"/>
        <v>1</v>
      </c>
      <c r="Y121" s="256"/>
      <c r="Z121" s="256"/>
      <c r="AA121" s="292"/>
      <c r="AB121" s="292"/>
      <c r="AC121" s="292"/>
    </row>
    <row r="122" spans="1:29" s="293" customFormat="1" ht="15.75" x14ac:dyDescent="0.2">
      <c r="A122" s="288"/>
      <c r="B122" s="311"/>
      <c r="C122" s="397" t="s">
        <v>505</v>
      </c>
      <c r="D122" s="1333">
        <v>45200</v>
      </c>
      <c r="E122" s="1334"/>
      <c r="F122" s="1335"/>
      <c r="G122" s="1333">
        <v>45230</v>
      </c>
      <c r="H122" s="1334"/>
      <c r="I122" s="1335"/>
      <c r="J122" s="317">
        <f t="shared" si="15"/>
        <v>31</v>
      </c>
      <c r="K122" s="313"/>
      <c r="L122" s="317"/>
      <c r="M122" s="315"/>
      <c r="N122" s="314"/>
      <c r="O122" s="313"/>
      <c r="P122" s="318"/>
      <c r="Q122" s="315"/>
      <c r="R122" s="319">
        <v>1</v>
      </c>
      <c r="S122" s="398" t="str">
        <f t="shared" si="16"/>
        <v>mês</v>
      </c>
      <c r="T122" s="320">
        <v>19</v>
      </c>
      <c r="U122" s="321"/>
      <c r="V122" s="291">
        <f t="shared" ca="1" si="12"/>
        <v>1</v>
      </c>
      <c r="W122" s="256">
        <f t="shared" ca="1" si="17"/>
        <v>2</v>
      </c>
      <c r="X122" s="256">
        <f ca="1">IF(COUNTA(OFFSET(#REF!,1,0))-COUNTA(#REF!)=-1,0,1)</f>
        <v>1</v>
      </c>
      <c r="Y122" s="256"/>
      <c r="Z122" s="256"/>
      <c r="AA122" s="292"/>
      <c r="AB122" s="292"/>
      <c r="AC122" s="292"/>
    </row>
    <row r="123" spans="1:29" s="292" customFormat="1" ht="15" x14ac:dyDescent="0.2">
      <c r="A123" s="399"/>
      <c r="B123" s="322"/>
      <c r="C123" s="397" t="s">
        <v>506</v>
      </c>
      <c r="D123" s="1333">
        <v>45231</v>
      </c>
      <c r="E123" s="1334"/>
      <c r="F123" s="1335"/>
      <c r="G123" s="1333">
        <v>45260</v>
      </c>
      <c r="H123" s="1334"/>
      <c r="I123" s="1335"/>
      <c r="J123" s="317">
        <f t="shared" si="15"/>
        <v>30</v>
      </c>
      <c r="K123" s="328"/>
      <c r="L123" s="328"/>
      <c r="M123" s="328"/>
      <c r="N123" s="328"/>
      <c r="O123" s="334"/>
      <c r="P123" s="328"/>
      <c r="Q123" s="334"/>
      <c r="R123" s="333">
        <v>1</v>
      </c>
      <c r="S123" s="331" t="str">
        <f t="shared" si="16"/>
        <v>mês</v>
      </c>
      <c r="T123" s="320">
        <v>19</v>
      </c>
      <c r="U123" s="335"/>
      <c r="V123" s="291">
        <f t="shared" ca="1" si="12"/>
        <v>1</v>
      </c>
      <c r="W123" s="256">
        <f t="shared" ca="1" si="17"/>
        <v>2</v>
      </c>
      <c r="X123" s="256">
        <f t="shared" ref="X123:X128" ca="1" si="19">IF(COUNTA(OFFSET(A122,1,0))-COUNTA(A122)=-1,0,1)</f>
        <v>1</v>
      </c>
      <c r="Y123" s="256"/>
      <c r="Z123" s="256"/>
    </row>
    <row r="124" spans="1:29" s="292" customFormat="1" ht="15" x14ac:dyDescent="0.2">
      <c r="A124" s="399"/>
      <c r="B124" s="322"/>
      <c r="C124" s="397" t="s">
        <v>507</v>
      </c>
      <c r="D124" s="1333">
        <v>45261</v>
      </c>
      <c r="E124" s="1334"/>
      <c r="F124" s="1335"/>
      <c r="G124" s="1333">
        <v>45291</v>
      </c>
      <c r="H124" s="1334"/>
      <c r="I124" s="1335"/>
      <c r="J124" s="317">
        <f t="shared" si="15"/>
        <v>31</v>
      </c>
      <c r="K124" s="328"/>
      <c r="L124" s="328"/>
      <c r="M124" s="328"/>
      <c r="N124" s="328"/>
      <c r="O124" s="334"/>
      <c r="P124" s="328"/>
      <c r="Q124" s="334"/>
      <c r="R124" s="333">
        <v>1</v>
      </c>
      <c r="S124" s="331" t="str">
        <f t="shared" si="16"/>
        <v>mês</v>
      </c>
      <c r="T124" s="320">
        <v>19</v>
      </c>
      <c r="U124" s="335"/>
      <c r="V124" s="291">
        <f t="shared" ca="1" si="12"/>
        <v>1</v>
      </c>
      <c r="W124" s="256">
        <f t="shared" ca="1" si="17"/>
        <v>2</v>
      </c>
      <c r="X124" s="256">
        <f t="shared" ca="1" si="19"/>
        <v>1</v>
      </c>
      <c r="Y124" s="256"/>
      <c r="Z124" s="256"/>
    </row>
    <row r="125" spans="1:29" s="337" customFormat="1" ht="15" x14ac:dyDescent="0.2">
      <c r="A125" s="288"/>
      <c r="B125" s="322"/>
      <c r="C125" s="397" t="s">
        <v>508</v>
      </c>
      <c r="D125" s="1333">
        <v>45292</v>
      </c>
      <c r="E125" s="1334"/>
      <c r="F125" s="1335"/>
      <c r="G125" s="1333">
        <v>45322</v>
      </c>
      <c r="H125" s="1334"/>
      <c r="I125" s="1335"/>
      <c r="J125" s="317">
        <f t="shared" si="15"/>
        <v>31</v>
      </c>
      <c r="K125" s="327"/>
      <c r="L125" s="328"/>
      <c r="M125" s="329"/>
      <c r="N125" s="330"/>
      <c r="O125" s="331"/>
      <c r="P125" s="328"/>
      <c r="Q125" s="332"/>
      <c r="R125" s="333">
        <v>1</v>
      </c>
      <c r="S125" s="331" t="str">
        <f t="shared" si="16"/>
        <v>mês</v>
      </c>
      <c r="T125" s="320">
        <v>19</v>
      </c>
      <c r="U125" s="335"/>
      <c r="V125" s="291">
        <f t="shared" ca="1" si="12"/>
        <v>1</v>
      </c>
      <c r="W125" s="256">
        <f t="shared" ca="1" si="17"/>
        <v>2</v>
      </c>
      <c r="X125" s="256">
        <f t="shared" ca="1" si="19"/>
        <v>1</v>
      </c>
      <c r="Y125" s="336"/>
      <c r="Z125" s="336"/>
    </row>
    <row r="126" spans="1:29" s="337" customFormat="1" ht="15" x14ac:dyDescent="0.2">
      <c r="A126" s="288"/>
      <c r="B126" s="322"/>
      <c r="C126" s="397" t="s">
        <v>509</v>
      </c>
      <c r="D126" s="1333">
        <v>45323</v>
      </c>
      <c r="E126" s="1334"/>
      <c r="F126" s="1335"/>
      <c r="G126" s="1333">
        <v>45351</v>
      </c>
      <c r="H126" s="1334"/>
      <c r="I126" s="1335"/>
      <c r="J126" s="317">
        <f t="shared" si="15"/>
        <v>29</v>
      </c>
      <c r="K126" s="327"/>
      <c r="L126" s="328"/>
      <c r="M126" s="329"/>
      <c r="N126" s="330"/>
      <c r="O126" s="331"/>
      <c r="P126" s="328"/>
      <c r="Q126" s="332"/>
      <c r="R126" s="333">
        <v>1</v>
      </c>
      <c r="S126" s="331" t="str">
        <f t="shared" si="16"/>
        <v>mês</v>
      </c>
      <c r="T126" s="320">
        <v>19</v>
      </c>
      <c r="U126" s="335"/>
      <c r="V126" s="291">
        <f t="shared" ca="1" si="12"/>
        <v>1</v>
      </c>
      <c r="W126" s="256">
        <f t="shared" ca="1" si="17"/>
        <v>2</v>
      </c>
      <c r="X126" s="256">
        <f t="shared" ca="1" si="19"/>
        <v>1</v>
      </c>
      <c r="Y126" s="336"/>
      <c r="Z126" s="336"/>
    </row>
    <row r="127" spans="1:29" s="337" customFormat="1" ht="15" x14ac:dyDescent="0.2">
      <c r="A127" s="288"/>
      <c r="B127" s="322"/>
      <c r="C127" s="397" t="s">
        <v>510</v>
      </c>
      <c r="D127" s="1333">
        <v>45352</v>
      </c>
      <c r="E127" s="1334"/>
      <c r="F127" s="1335"/>
      <c r="G127" s="1333">
        <v>45382</v>
      </c>
      <c r="H127" s="1334"/>
      <c r="I127" s="1335"/>
      <c r="J127" s="317">
        <f t="shared" ref="J127:J132" si="20">G127-D127+1</f>
        <v>31</v>
      </c>
      <c r="K127" s="327"/>
      <c r="L127" s="328"/>
      <c r="M127" s="329"/>
      <c r="N127" s="330"/>
      <c r="O127" s="331"/>
      <c r="P127" s="328"/>
      <c r="Q127" s="332"/>
      <c r="R127" s="333">
        <v>1</v>
      </c>
      <c r="S127" s="331" t="str">
        <f t="shared" si="16"/>
        <v>mês</v>
      </c>
      <c r="T127" s="320">
        <v>20</v>
      </c>
      <c r="U127" s="335"/>
      <c r="V127" s="291">
        <f t="shared" ca="1" si="12"/>
        <v>1</v>
      </c>
      <c r="W127" s="256">
        <f t="shared" ref="W127:W132" ca="1" si="21">IF(LEFT(_xlfn.FORMULATEXT(V127),3)="=SO",1,IF(COUNTA(A127:U127)=0,0,2))</f>
        <v>2</v>
      </c>
      <c r="X127" s="256">
        <f t="shared" ca="1" si="19"/>
        <v>1</v>
      </c>
      <c r="Y127" s="336"/>
      <c r="Z127" s="336"/>
    </row>
    <row r="128" spans="1:29" s="337" customFormat="1" ht="15" x14ac:dyDescent="0.2">
      <c r="A128" s="288"/>
      <c r="B128" s="322"/>
      <c r="C128" s="397" t="s">
        <v>511</v>
      </c>
      <c r="D128" s="1333">
        <v>45383</v>
      </c>
      <c r="E128" s="1334"/>
      <c r="F128" s="1335"/>
      <c r="G128" s="1333">
        <v>45412</v>
      </c>
      <c r="H128" s="1334"/>
      <c r="I128" s="1335"/>
      <c r="J128" s="317">
        <f t="shared" si="20"/>
        <v>30</v>
      </c>
      <c r="K128" s="327"/>
      <c r="L128" s="328"/>
      <c r="M128" s="329"/>
      <c r="N128" s="330"/>
      <c r="O128" s="331"/>
      <c r="P128" s="328"/>
      <c r="Q128" s="332"/>
      <c r="R128" s="333">
        <v>1</v>
      </c>
      <c r="S128" s="331" t="str">
        <f t="shared" si="16"/>
        <v>mês</v>
      </c>
      <c r="T128" s="320">
        <v>21</v>
      </c>
      <c r="U128" s="335"/>
      <c r="V128" s="291">
        <f t="shared" ca="1" si="12"/>
        <v>1</v>
      </c>
      <c r="W128" s="256">
        <f t="shared" ca="1" si="21"/>
        <v>2</v>
      </c>
      <c r="X128" s="256">
        <f t="shared" ca="1" si="19"/>
        <v>1</v>
      </c>
      <c r="Y128" s="336"/>
      <c r="Z128" s="336"/>
    </row>
    <row r="129" spans="1:26" s="337" customFormat="1" ht="15" x14ac:dyDescent="0.2">
      <c r="A129" s="288"/>
      <c r="B129" s="322"/>
      <c r="C129" s="397" t="s">
        <v>690</v>
      </c>
      <c r="D129" s="1333">
        <v>45413</v>
      </c>
      <c r="E129" s="1334"/>
      <c r="F129" s="1335"/>
      <c r="G129" s="1333">
        <v>45443</v>
      </c>
      <c r="H129" s="1334"/>
      <c r="I129" s="1335"/>
      <c r="J129" s="317">
        <f t="shared" si="20"/>
        <v>31</v>
      </c>
      <c r="K129" s="327"/>
      <c r="L129" s="328"/>
      <c r="M129" s="329"/>
      <c r="N129" s="330"/>
      <c r="O129" s="331"/>
      <c r="P129" s="328"/>
      <c r="Q129" s="332"/>
      <c r="R129" s="333">
        <v>1</v>
      </c>
      <c r="S129" s="331" t="str">
        <f>$S$154</f>
        <v>mês</v>
      </c>
      <c r="T129" s="320">
        <v>22</v>
      </c>
      <c r="U129" s="335"/>
      <c r="V129" s="291">
        <f t="shared" ca="1" si="12"/>
        <v>1</v>
      </c>
      <c r="W129" s="256">
        <f t="shared" ca="1" si="21"/>
        <v>2</v>
      </c>
      <c r="X129" s="256">
        <f t="shared" ref="X129:X136" ca="1" si="22">IF(COUNTA(OFFSET(A128,1,0))-COUNTA(A128)=-1,0,1)</f>
        <v>1</v>
      </c>
      <c r="Y129" s="336"/>
      <c r="Z129" s="336"/>
    </row>
    <row r="130" spans="1:26" s="337" customFormat="1" ht="15" x14ac:dyDescent="0.2">
      <c r="A130" s="288"/>
      <c r="B130" s="322"/>
      <c r="C130" s="397" t="s">
        <v>691</v>
      </c>
      <c r="D130" s="1333">
        <v>45444</v>
      </c>
      <c r="E130" s="1334"/>
      <c r="F130" s="1335"/>
      <c r="G130" s="1333">
        <v>45473</v>
      </c>
      <c r="H130" s="1334"/>
      <c r="I130" s="1335"/>
      <c r="J130" s="317">
        <f t="shared" si="20"/>
        <v>30</v>
      </c>
      <c r="K130" s="327"/>
      <c r="L130" s="328"/>
      <c r="M130" s="329"/>
      <c r="N130" s="330"/>
      <c r="O130" s="331"/>
      <c r="P130" s="328"/>
      <c r="Q130" s="332"/>
      <c r="R130" s="333">
        <v>1</v>
      </c>
      <c r="S130" s="331" t="str">
        <f t="shared" si="16"/>
        <v>mês</v>
      </c>
      <c r="T130" s="320">
        <v>23</v>
      </c>
      <c r="U130" s="335"/>
      <c r="V130" s="291">
        <f t="shared" ca="1" si="12"/>
        <v>1</v>
      </c>
      <c r="W130" s="256">
        <f t="shared" ca="1" si="21"/>
        <v>2</v>
      </c>
      <c r="X130" s="256">
        <f t="shared" ca="1" si="22"/>
        <v>1</v>
      </c>
      <c r="Y130" s="336"/>
      <c r="Z130" s="336"/>
    </row>
    <row r="131" spans="1:26" s="337" customFormat="1" ht="15" x14ac:dyDescent="0.2">
      <c r="A131" s="288"/>
      <c r="B131" s="322"/>
      <c r="C131" s="397" t="s">
        <v>692</v>
      </c>
      <c r="D131" s="1333">
        <v>45474</v>
      </c>
      <c r="E131" s="1334"/>
      <c r="F131" s="1335"/>
      <c r="G131" s="1333">
        <v>45504</v>
      </c>
      <c r="H131" s="1334"/>
      <c r="I131" s="1335"/>
      <c r="J131" s="317">
        <f t="shared" si="20"/>
        <v>31</v>
      </c>
      <c r="K131" s="327"/>
      <c r="L131" s="328"/>
      <c r="M131" s="329"/>
      <c r="N131" s="330"/>
      <c r="O131" s="331"/>
      <c r="P131" s="328"/>
      <c r="Q131" s="332"/>
      <c r="R131" s="333">
        <v>1</v>
      </c>
      <c r="S131" s="331" t="str">
        <f t="shared" si="16"/>
        <v>mês</v>
      </c>
      <c r="T131" s="320">
        <v>24</v>
      </c>
      <c r="U131" s="335"/>
      <c r="V131" s="291">
        <f t="shared" ca="1" si="12"/>
        <v>1</v>
      </c>
      <c r="W131" s="256">
        <f t="shared" ca="1" si="21"/>
        <v>2</v>
      </c>
      <c r="X131" s="256">
        <f t="shared" ca="1" si="22"/>
        <v>1</v>
      </c>
      <c r="Y131" s="336"/>
      <c r="Z131" s="336"/>
    </row>
    <row r="132" spans="1:26" s="337" customFormat="1" ht="15" x14ac:dyDescent="0.2">
      <c r="A132" s="288"/>
      <c r="B132" s="322"/>
      <c r="C132" s="397" t="s">
        <v>503</v>
      </c>
      <c r="D132" s="1333">
        <v>45505</v>
      </c>
      <c r="E132" s="1334"/>
      <c r="F132" s="1335"/>
      <c r="G132" s="1333">
        <v>45535</v>
      </c>
      <c r="H132" s="1334"/>
      <c r="I132" s="1335"/>
      <c r="J132" s="317">
        <f t="shared" si="20"/>
        <v>31</v>
      </c>
      <c r="K132" s="327"/>
      <c r="L132" s="328"/>
      <c r="M132" s="329"/>
      <c r="N132" s="330"/>
      <c r="O132" s="331"/>
      <c r="P132" s="328"/>
      <c r="Q132" s="332"/>
      <c r="R132" s="333">
        <v>1</v>
      </c>
      <c r="S132" s="331" t="str">
        <f t="shared" si="16"/>
        <v>mês</v>
      </c>
      <c r="T132" s="320">
        <v>25</v>
      </c>
      <c r="U132" s="335"/>
      <c r="V132" s="291">
        <f t="shared" ca="1" si="12"/>
        <v>1</v>
      </c>
      <c r="W132" s="256">
        <f t="shared" ca="1" si="21"/>
        <v>2</v>
      </c>
      <c r="X132" s="256">
        <f t="shared" ca="1" si="22"/>
        <v>1</v>
      </c>
      <c r="Y132" s="336"/>
      <c r="Z132" s="336"/>
    </row>
    <row r="133" spans="1:26" s="337" customFormat="1" ht="15" x14ac:dyDescent="0.2">
      <c r="A133" s="288"/>
      <c r="B133" s="322"/>
      <c r="C133" s="397" t="s">
        <v>504</v>
      </c>
      <c r="D133" s="1333">
        <v>45536</v>
      </c>
      <c r="E133" s="1334"/>
      <c r="F133" s="1335"/>
      <c r="G133" s="1333">
        <v>45565</v>
      </c>
      <c r="H133" s="1334"/>
      <c r="I133" s="1335"/>
      <c r="J133" s="317">
        <f t="shared" ref="J133:J138" si="23">G133-D133+1</f>
        <v>30</v>
      </c>
      <c r="K133" s="327"/>
      <c r="L133" s="328"/>
      <c r="M133" s="329"/>
      <c r="N133" s="330"/>
      <c r="O133" s="331"/>
      <c r="P133" s="328"/>
      <c r="Q133" s="332"/>
      <c r="R133" s="333">
        <v>1</v>
      </c>
      <c r="S133" s="331" t="str">
        <f t="shared" si="16"/>
        <v>mês</v>
      </c>
      <c r="T133" s="320">
        <v>26</v>
      </c>
      <c r="U133" s="335"/>
      <c r="V133" s="291">
        <f t="shared" ca="1" si="12"/>
        <v>1</v>
      </c>
      <c r="W133" s="256">
        <f t="shared" ref="W133:W138" ca="1" si="24">IF(LEFT(_xlfn.FORMULATEXT(V133),3)="=SO",1,IF(COUNTA(A133:U133)=0,0,2))</f>
        <v>2</v>
      </c>
      <c r="X133" s="256">
        <f t="shared" ca="1" si="22"/>
        <v>1</v>
      </c>
      <c r="Y133" s="336"/>
      <c r="Z133" s="336"/>
    </row>
    <row r="134" spans="1:26" s="337" customFormat="1" ht="15" x14ac:dyDescent="0.2">
      <c r="A134" s="288"/>
      <c r="B134" s="322"/>
      <c r="C134" s="397" t="s">
        <v>505</v>
      </c>
      <c r="D134" s="1333">
        <v>45566</v>
      </c>
      <c r="E134" s="1334"/>
      <c r="F134" s="1335"/>
      <c r="G134" s="1333">
        <v>45596</v>
      </c>
      <c r="H134" s="1334"/>
      <c r="I134" s="1335"/>
      <c r="J134" s="317">
        <f t="shared" si="23"/>
        <v>31</v>
      </c>
      <c r="K134" s="327"/>
      <c r="L134" s="328"/>
      <c r="M134" s="329"/>
      <c r="N134" s="330"/>
      <c r="O134" s="331"/>
      <c r="P134" s="328"/>
      <c r="Q134" s="332"/>
      <c r="R134" s="333">
        <v>1</v>
      </c>
      <c r="S134" s="331" t="str">
        <f t="shared" si="16"/>
        <v>mês</v>
      </c>
      <c r="T134" s="320">
        <v>27</v>
      </c>
      <c r="U134" s="335"/>
      <c r="V134" s="291">
        <f t="shared" ref="V134:V154" ca="1" si="25">IF(OFFSET(V134,1,1)=1,OFFSET(V134,0,-4),OFFSET(V134,1,0))</f>
        <v>1</v>
      </c>
      <c r="W134" s="256">
        <f t="shared" ca="1" si="24"/>
        <v>2</v>
      </c>
      <c r="X134" s="256">
        <f t="shared" ca="1" si="22"/>
        <v>1</v>
      </c>
      <c r="Y134" s="336"/>
      <c r="Z134" s="336"/>
    </row>
    <row r="135" spans="1:26" s="337" customFormat="1" ht="15" x14ac:dyDescent="0.2">
      <c r="A135" s="288"/>
      <c r="B135" s="322"/>
      <c r="C135" s="397" t="s">
        <v>506</v>
      </c>
      <c r="D135" s="1333">
        <v>45597</v>
      </c>
      <c r="E135" s="1334"/>
      <c r="F135" s="1335"/>
      <c r="G135" s="1333">
        <v>45626</v>
      </c>
      <c r="H135" s="1334"/>
      <c r="I135" s="1335"/>
      <c r="J135" s="317">
        <f t="shared" si="23"/>
        <v>30</v>
      </c>
      <c r="K135" s="327"/>
      <c r="L135" s="328"/>
      <c r="M135" s="329"/>
      <c r="N135" s="330"/>
      <c r="O135" s="331"/>
      <c r="P135" s="328"/>
      <c r="Q135" s="332"/>
      <c r="R135" s="333">
        <v>1</v>
      </c>
      <c r="S135" s="331" t="str">
        <f t="shared" si="16"/>
        <v>mês</v>
      </c>
      <c r="T135" s="320">
        <v>28</v>
      </c>
      <c r="U135" s="335"/>
      <c r="V135" s="291">
        <f t="shared" ca="1" si="25"/>
        <v>1</v>
      </c>
      <c r="W135" s="256">
        <f t="shared" ca="1" si="24"/>
        <v>2</v>
      </c>
      <c r="X135" s="256">
        <f t="shared" ca="1" si="22"/>
        <v>1</v>
      </c>
      <c r="Y135" s="336"/>
      <c r="Z135" s="336"/>
    </row>
    <row r="136" spans="1:26" s="337" customFormat="1" ht="15" x14ac:dyDescent="0.2">
      <c r="A136" s="288"/>
      <c r="B136" s="322"/>
      <c r="C136" s="397" t="s">
        <v>507</v>
      </c>
      <c r="D136" s="1333">
        <v>45627</v>
      </c>
      <c r="E136" s="1334"/>
      <c r="F136" s="1335"/>
      <c r="G136" s="1333">
        <v>45657</v>
      </c>
      <c r="H136" s="1334"/>
      <c r="I136" s="1335"/>
      <c r="J136" s="317">
        <f t="shared" si="23"/>
        <v>31</v>
      </c>
      <c r="K136" s="327"/>
      <c r="L136" s="328"/>
      <c r="M136" s="329"/>
      <c r="N136" s="330"/>
      <c r="O136" s="331"/>
      <c r="P136" s="328"/>
      <c r="Q136" s="332"/>
      <c r="R136" s="333">
        <v>1</v>
      </c>
      <c r="S136" s="331" t="str">
        <f t="shared" si="16"/>
        <v>mês</v>
      </c>
      <c r="T136" s="320">
        <v>29</v>
      </c>
      <c r="U136" s="335"/>
      <c r="V136" s="291">
        <f t="shared" ca="1" si="25"/>
        <v>1</v>
      </c>
      <c r="W136" s="256">
        <f t="shared" ca="1" si="24"/>
        <v>2</v>
      </c>
      <c r="X136" s="256">
        <f t="shared" ca="1" si="22"/>
        <v>1</v>
      </c>
      <c r="Y136" s="336"/>
      <c r="Z136" s="336"/>
    </row>
    <row r="137" spans="1:26" s="337" customFormat="1" ht="15" x14ac:dyDescent="0.2">
      <c r="A137" s="288"/>
      <c r="B137" s="322"/>
      <c r="C137" s="397" t="s">
        <v>508</v>
      </c>
      <c r="D137" s="1333">
        <v>45658</v>
      </c>
      <c r="E137" s="1334"/>
      <c r="F137" s="1335"/>
      <c r="G137" s="1333">
        <v>45688</v>
      </c>
      <c r="H137" s="1334"/>
      <c r="I137" s="1335"/>
      <c r="J137" s="317">
        <f t="shared" si="23"/>
        <v>31</v>
      </c>
      <c r="K137" s="327"/>
      <c r="L137" s="328"/>
      <c r="M137" s="329"/>
      <c r="N137" s="330"/>
      <c r="O137" s="331"/>
      <c r="P137" s="328"/>
      <c r="Q137" s="332"/>
      <c r="R137" s="333">
        <v>1</v>
      </c>
      <c r="S137" s="331" t="str">
        <f t="shared" si="16"/>
        <v>mês</v>
      </c>
      <c r="T137" s="320">
        <v>30</v>
      </c>
      <c r="U137" s="335"/>
      <c r="V137" s="291">
        <f t="shared" ca="1" si="25"/>
        <v>1</v>
      </c>
      <c r="W137" s="256">
        <f t="shared" ca="1" si="24"/>
        <v>2</v>
      </c>
      <c r="X137" s="256">
        <f t="shared" ref="X137" ca="1" si="26">IF(COUNTA(OFFSET(A136,1,0))-COUNTA(A136)=-1,0,1)</f>
        <v>1</v>
      </c>
      <c r="Y137" s="336"/>
      <c r="Z137" s="336"/>
    </row>
    <row r="138" spans="1:26" s="337" customFormat="1" ht="15" x14ac:dyDescent="0.2">
      <c r="A138" s="288"/>
      <c r="B138" s="322"/>
      <c r="C138" s="397" t="s">
        <v>509</v>
      </c>
      <c r="D138" s="1333">
        <v>45689</v>
      </c>
      <c r="E138" s="1334"/>
      <c r="F138" s="1335"/>
      <c r="G138" s="1333">
        <v>45716</v>
      </c>
      <c r="H138" s="1334"/>
      <c r="I138" s="1335"/>
      <c r="J138" s="317">
        <f t="shared" si="23"/>
        <v>28</v>
      </c>
      <c r="K138" s="327"/>
      <c r="L138" s="328"/>
      <c r="M138" s="329"/>
      <c r="N138" s="330"/>
      <c r="O138" s="331"/>
      <c r="P138" s="328"/>
      <c r="Q138" s="332"/>
      <c r="R138" s="333">
        <v>1</v>
      </c>
      <c r="S138" s="331" t="str">
        <f t="shared" si="16"/>
        <v>mês</v>
      </c>
      <c r="T138" s="320">
        <v>31</v>
      </c>
      <c r="U138" s="335"/>
      <c r="V138" s="291">
        <f t="shared" ca="1" si="25"/>
        <v>1</v>
      </c>
      <c r="W138" s="256">
        <f t="shared" ca="1" si="24"/>
        <v>2</v>
      </c>
      <c r="X138" s="256">
        <f t="shared" ref="X138" ca="1" si="27">IF(COUNTA(OFFSET(A137,1,0))-COUNTA(A137)=-1,0,1)</f>
        <v>1</v>
      </c>
      <c r="Y138" s="336"/>
      <c r="Z138" s="336"/>
    </row>
    <row r="139" spans="1:26" s="337" customFormat="1" ht="15" x14ac:dyDescent="0.2">
      <c r="A139" s="288"/>
      <c r="B139" s="322"/>
      <c r="C139" s="397" t="s">
        <v>510</v>
      </c>
      <c r="D139" s="1333">
        <v>45717</v>
      </c>
      <c r="E139" s="1334"/>
      <c r="F139" s="1335"/>
      <c r="G139" s="1333">
        <v>45747</v>
      </c>
      <c r="H139" s="1334"/>
      <c r="I139" s="1335"/>
      <c r="J139" s="317">
        <f t="shared" ref="J139" si="28">G139-D139+1</f>
        <v>31</v>
      </c>
      <c r="K139" s="327"/>
      <c r="L139" s="328"/>
      <c r="M139" s="329"/>
      <c r="N139" s="330"/>
      <c r="O139" s="331"/>
      <c r="P139" s="328"/>
      <c r="Q139" s="332"/>
      <c r="R139" s="333">
        <v>1</v>
      </c>
      <c r="S139" s="331" t="str">
        <f t="shared" si="16"/>
        <v>mês</v>
      </c>
      <c r="T139" s="320">
        <v>32</v>
      </c>
      <c r="U139" s="335"/>
      <c r="V139" s="291">
        <f t="shared" ca="1" si="25"/>
        <v>1</v>
      </c>
      <c r="W139" s="256">
        <f t="shared" ref="W139" ca="1" si="29">IF(LEFT(_xlfn.FORMULATEXT(V139),3)="=SO",1,IF(COUNTA(A139:U139)=0,0,2))</f>
        <v>2</v>
      </c>
      <c r="X139" s="256">
        <f t="shared" ref="X139" ca="1" si="30">IF(COUNTA(OFFSET(A138,1,0))-COUNTA(A138)=-1,0,1)</f>
        <v>1</v>
      </c>
      <c r="Y139" s="336"/>
      <c r="Z139" s="336"/>
    </row>
    <row r="140" spans="1:26" s="337" customFormat="1" ht="15" x14ac:dyDescent="0.2">
      <c r="A140" s="288"/>
      <c r="B140" s="322"/>
      <c r="C140" s="397" t="s">
        <v>511</v>
      </c>
      <c r="D140" s="1333">
        <v>45748</v>
      </c>
      <c r="E140" s="1334"/>
      <c r="F140" s="1335"/>
      <c r="G140" s="1333">
        <v>45777</v>
      </c>
      <c r="H140" s="1334"/>
      <c r="I140" s="1335"/>
      <c r="J140" s="317">
        <f t="shared" ref="J140" si="31">G140-D140+1</f>
        <v>30</v>
      </c>
      <c r="K140" s="327"/>
      <c r="L140" s="328"/>
      <c r="M140" s="329"/>
      <c r="N140" s="330"/>
      <c r="O140" s="331"/>
      <c r="P140" s="328"/>
      <c r="Q140" s="332"/>
      <c r="R140" s="333">
        <v>1</v>
      </c>
      <c r="S140" s="331" t="str">
        <f t="shared" si="16"/>
        <v>mês</v>
      </c>
      <c r="T140" s="320">
        <v>33</v>
      </c>
      <c r="U140" s="335"/>
      <c r="V140" s="291">
        <f t="shared" ca="1" si="25"/>
        <v>1</v>
      </c>
      <c r="W140" s="256">
        <f t="shared" ref="W140" ca="1" si="32">IF(LEFT(_xlfn.FORMULATEXT(V140),3)="=SO",1,IF(COUNTA(A140:U140)=0,0,2))</f>
        <v>2</v>
      </c>
      <c r="X140" s="256">
        <f t="shared" ref="X140" ca="1" si="33">IF(COUNTA(OFFSET(A139,1,0))-COUNTA(A139)=-1,0,1)</f>
        <v>1</v>
      </c>
      <c r="Y140" s="336"/>
      <c r="Z140" s="336"/>
    </row>
    <row r="141" spans="1:26" s="337" customFormat="1" ht="15" x14ac:dyDescent="0.2">
      <c r="A141" s="288"/>
      <c r="B141" s="494"/>
      <c r="C141" s="397" t="s">
        <v>690</v>
      </c>
      <c r="D141" s="1333">
        <v>45778</v>
      </c>
      <c r="E141" s="1334"/>
      <c r="F141" s="1335"/>
      <c r="G141" s="1333">
        <v>45808</v>
      </c>
      <c r="H141" s="1334"/>
      <c r="I141" s="1335"/>
      <c r="J141" s="317">
        <f>G141-D141+1</f>
        <v>31</v>
      </c>
      <c r="K141" s="327"/>
      <c r="L141" s="328"/>
      <c r="M141" s="329"/>
      <c r="N141" s="330"/>
      <c r="O141" s="331"/>
      <c r="P141" s="328"/>
      <c r="Q141" s="332"/>
      <c r="R141" s="333">
        <v>1</v>
      </c>
      <c r="S141" s="331" t="str">
        <f t="shared" si="16"/>
        <v>mês</v>
      </c>
      <c r="T141" s="320">
        <v>35</v>
      </c>
      <c r="U141" s="574"/>
      <c r="V141" s="291">
        <f t="shared" ca="1" si="25"/>
        <v>1</v>
      </c>
      <c r="W141" s="256">
        <f t="shared" ref="W141:W144" ca="1" si="34">IF(LEFT(_xlfn.FORMULATEXT(V141),3)="=SO",1,IF(COUNTA(A141:U141)=0,0,2))</f>
        <v>2</v>
      </c>
      <c r="X141" s="256">
        <f t="shared" ref="X141:X144" ca="1" si="35">IF(COUNTA(OFFSET(A140,1,0))-COUNTA(A140)=-1,0,1)</f>
        <v>1</v>
      </c>
      <c r="Y141" s="336"/>
      <c r="Z141" s="336"/>
    </row>
    <row r="142" spans="1:26" s="337" customFormat="1" ht="15" x14ac:dyDescent="0.2">
      <c r="A142" s="288"/>
      <c r="B142" s="494"/>
      <c r="C142" s="397" t="s">
        <v>691</v>
      </c>
      <c r="D142" s="1333">
        <v>45809</v>
      </c>
      <c r="E142" s="1334"/>
      <c r="F142" s="1335"/>
      <c r="G142" s="1333">
        <v>45838</v>
      </c>
      <c r="H142" s="1334"/>
      <c r="I142" s="1335"/>
      <c r="J142" s="317">
        <f>G142-D142+1</f>
        <v>30</v>
      </c>
      <c r="K142" s="327"/>
      <c r="L142" s="328"/>
      <c r="M142" s="329"/>
      <c r="N142" s="330"/>
      <c r="O142" s="331"/>
      <c r="P142" s="328"/>
      <c r="Q142" s="332"/>
      <c r="R142" s="333">
        <v>1</v>
      </c>
      <c r="S142" s="331" t="str">
        <f t="shared" si="16"/>
        <v>mês</v>
      </c>
      <c r="T142" s="320">
        <v>35</v>
      </c>
      <c r="U142" s="574"/>
      <c r="V142" s="291">
        <f t="shared" ca="1" si="25"/>
        <v>1</v>
      </c>
      <c r="W142" s="256">
        <f t="shared" ca="1" si="34"/>
        <v>2</v>
      </c>
      <c r="X142" s="256">
        <f t="shared" ca="1" si="35"/>
        <v>1</v>
      </c>
      <c r="Y142" s="336"/>
      <c r="Z142" s="336"/>
    </row>
    <row r="143" spans="1:26" s="337" customFormat="1" ht="15" x14ac:dyDescent="0.2">
      <c r="A143" s="288"/>
      <c r="B143" s="494"/>
      <c r="C143" s="397" t="s">
        <v>692</v>
      </c>
      <c r="D143" s="1333">
        <v>45839</v>
      </c>
      <c r="E143" s="1334"/>
      <c r="F143" s="1335"/>
      <c r="G143" s="1333">
        <v>45869</v>
      </c>
      <c r="H143" s="1334"/>
      <c r="I143" s="1335"/>
      <c r="J143" s="317">
        <f t="shared" ref="J143:J152" si="36">G143-D143+1</f>
        <v>31</v>
      </c>
      <c r="K143" s="327"/>
      <c r="L143" s="328"/>
      <c r="M143" s="329"/>
      <c r="N143" s="330"/>
      <c r="O143" s="331"/>
      <c r="P143" s="328"/>
      <c r="Q143" s="332"/>
      <c r="R143" s="333">
        <v>1</v>
      </c>
      <c r="S143" s="331" t="str">
        <f t="shared" si="16"/>
        <v>mês</v>
      </c>
      <c r="T143" s="320">
        <v>35</v>
      </c>
      <c r="U143" s="574"/>
      <c r="V143" s="291">
        <f t="shared" ca="1" si="25"/>
        <v>1</v>
      </c>
      <c r="W143" s="256">
        <f t="shared" ca="1" si="34"/>
        <v>2</v>
      </c>
      <c r="X143" s="256">
        <f t="shared" ca="1" si="35"/>
        <v>1</v>
      </c>
      <c r="Y143" s="336"/>
      <c r="Z143" s="336"/>
    </row>
    <row r="144" spans="1:26" s="337" customFormat="1" ht="15" x14ac:dyDescent="0.2">
      <c r="A144" s="288"/>
      <c r="B144" s="494"/>
      <c r="C144" s="397" t="s">
        <v>503</v>
      </c>
      <c r="D144" s="1333">
        <v>45870</v>
      </c>
      <c r="E144" s="1334"/>
      <c r="F144" s="1335"/>
      <c r="G144" s="1333">
        <v>45900</v>
      </c>
      <c r="H144" s="1334"/>
      <c r="I144" s="1335"/>
      <c r="J144" s="317">
        <f t="shared" si="36"/>
        <v>31</v>
      </c>
      <c r="K144" s="327"/>
      <c r="L144" s="328"/>
      <c r="M144" s="329"/>
      <c r="N144" s="330"/>
      <c r="O144" s="331"/>
      <c r="P144" s="328"/>
      <c r="Q144" s="332"/>
      <c r="R144" s="333">
        <v>1</v>
      </c>
      <c r="S144" s="331" t="str">
        <f t="shared" ref="S144:S147" si="37">$S$156</f>
        <v>mês</v>
      </c>
      <c r="T144" s="320">
        <v>36</v>
      </c>
      <c r="U144" s="574"/>
      <c r="V144" s="291">
        <f t="shared" ca="1" si="25"/>
        <v>1</v>
      </c>
      <c r="W144" s="256">
        <f t="shared" ca="1" si="34"/>
        <v>2</v>
      </c>
      <c r="X144" s="256">
        <f t="shared" ca="1" si="35"/>
        <v>1</v>
      </c>
      <c r="Y144" s="336"/>
      <c r="Z144" s="336"/>
    </row>
    <row r="145" spans="1:29" s="337" customFormat="1" ht="15" x14ac:dyDescent="0.2">
      <c r="A145" s="288"/>
      <c r="B145" s="494"/>
      <c r="C145" s="397" t="s">
        <v>504</v>
      </c>
      <c r="D145" s="1333">
        <v>45901</v>
      </c>
      <c r="E145" s="1334"/>
      <c r="F145" s="1335"/>
      <c r="G145" s="1333">
        <v>45930</v>
      </c>
      <c r="H145" s="1334"/>
      <c r="I145" s="1335"/>
      <c r="J145" s="317">
        <f t="shared" si="36"/>
        <v>30</v>
      </c>
      <c r="K145" s="327"/>
      <c r="L145" s="328"/>
      <c r="M145" s="329"/>
      <c r="N145" s="330"/>
      <c r="O145" s="331"/>
      <c r="P145" s="328"/>
      <c r="Q145" s="332"/>
      <c r="R145" s="333">
        <v>1</v>
      </c>
      <c r="S145" s="331" t="str">
        <f t="shared" si="37"/>
        <v>mês</v>
      </c>
      <c r="T145" s="506">
        <v>37</v>
      </c>
      <c r="U145" s="574"/>
      <c r="V145" s="291">
        <f t="shared" ca="1" si="25"/>
        <v>1</v>
      </c>
      <c r="W145" s="256">
        <f t="shared" ref="W145:W148" ca="1" si="38">IF(LEFT(_xlfn.FORMULATEXT(V145),3)="=SO",1,IF(COUNTA(A145:U145)=0,0,2))</f>
        <v>2</v>
      </c>
      <c r="X145" s="256">
        <f t="shared" ref="X145:X148" ca="1" si="39">IF(COUNTA(OFFSET(A144,1,0))-COUNTA(A144)=-1,0,1)</f>
        <v>1</v>
      </c>
      <c r="Y145" s="336"/>
      <c r="Z145" s="336"/>
    </row>
    <row r="146" spans="1:29" s="337" customFormat="1" ht="15" x14ac:dyDescent="0.2">
      <c r="A146" s="288"/>
      <c r="B146" s="494"/>
      <c r="C146" s="397" t="s">
        <v>505</v>
      </c>
      <c r="D146" s="1333">
        <v>45931</v>
      </c>
      <c r="E146" s="1334"/>
      <c r="F146" s="1335"/>
      <c r="G146" s="1333">
        <v>45961</v>
      </c>
      <c r="H146" s="1334"/>
      <c r="I146" s="1335"/>
      <c r="J146" s="317">
        <f t="shared" si="36"/>
        <v>31</v>
      </c>
      <c r="K146" s="327"/>
      <c r="L146" s="328"/>
      <c r="M146" s="329"/>
      <c r="N146" s="330"/>
      <c r="O146" s="331"/>
      <c r="P146" s="328"/>
      <c r="Q146" s="332"/>
      <c r="R146" s="333">
        <v>1</v>
      </c>
      <c r="S146" s="331" t="str">
        <f t="shared" si="37"/>
        <v>mês</v>
      </c>
      <c r="T146" s="320">
        <v>38</v>
      </c>
      <c r="U146" s="574"/>
      <c r="V146" s="291">
        <f t="shared" ca="1" si="25"/>
        <v>1</v>
      </c>
      <c r="W146" s="256">
        <f t="shared" ca="1" si="38"/>
        <v>2</v>
      </c>
      <c r="X146" s="256">
        <f t="shared" ca="1" si="39"/>
        <v>1</v>
      </c>
      <c r="Y146" s="336"/>
      <c r="Z146" s="336"/>
    </row>
    <row r="147" spans="1:29" s="337" customFormat="1" ht="15" x14ac:dyDescent="0.2">
      <c r="A147" s="288"/>
      <c r="B147" s="494"/>
      <c r="C147" s="397" t="s">
        <v>506</v>
      </c>
      <c r="D147" s="1333">
        <v>45962</v>
      </c>
      <c r="E147" s="1334"/>
      <c r="F147" s="1335"/>
      <c r="G147" s="1333">
        <v>45991</v>
      </c>
      <c r="H147" s="1334"/>
      <c r="I147" s="1335"/>
      <c r="J147" s="317">
        <f t="shared" si="36"/>
        <v>30</v>
      </c>
      <c r="K147" s="327"/>
      <c r="L147" s="328"/>
      <c r="M147" s="329"/>
      <c r="N147" s="330"/>
      <c r="O147" s="331"/>
      <c r="P147" s="328"/>
      <c r="Q147" s="332"/>
      <c r="R147" s="333">
        <v>1</v>
      </c>
      <c r="S147" s="331" t="str">
        <f t="shared" si="37"/>
        <v>mês</v>
      </c>
      <c r="T147" s="320">
        <v>39</v>
      </c>
      <c r="U147" s="574"/>
      <c r="V147" s="291">
        <f t="shared" ca="1" si="25"/>
        <v>1</v>
      </c>
      <c r="W147" s="256">
        <f t="shared" ca="1" si="38"/>
        <v>2</v>
      </c>
      <c r="X147" s="256">
        <f t="shared" ca="1" si="39"/>
        <v>1</v>
      </c>
      <c r="Y147" s="336"/>
      <c r="Z147" s="336"/>
    </row>
    <row r="148" spans="1:29" s="337" customFormat="1" ht="15" x14ac:dyDescent="0.2">
      <c r="A148" s="288"/>
      <c r="B148" s="494"/>
      <c r="C148" s="397" t="s">
        <v>1277</v>
      </c>
      <c r="D148" s="1333">
        <v>45992</v>
      </c>
      <c r="E148" s="1334"/>
      <c r="F148" s="1335"/>
      <c r="G148" s="1333">
        <v>46022</v>
      </c>
      <c r="H148" s="1334"/>
      <c r="I148" s="1335"/>
      <c r="J148" s="317">
        <f t="shared" si="36"/>
        <v>31</v>
      </c>
      <c r="K148" s="327"/>
      <c r="L148" s="328"/>
      <c r="M148" s="329"/>
      <c r="N148" s="330"/>
      <c r="O148" s="331"/>
      <c r="P148" s="328"/>
      <c r="Q148" s="332"/>
      <c r="R148" s="333">
        <v>1</v>
      </c>
      <c r="S148" s="331" t="str">
        <f t="shared" ref="S148:S151" si="40">$S$154</f>
        <v>mês</v>
      </c>
      <c r="T148" s="320">
        <v>40</v>
      </c>
      <c r="U148" s="574"/>
      <c r="V148" s="291">
        <f t="shared" ca="1" si="25"/>
        <v>1</v>
      </c>
      <c r="W148" s="256">
        <f t="shared" ca="1" si="38"/>
        <v>2</v>
      </c>
      <c r="X148" s="256">
        <f t="shared" ca="1" si="39"/>
        <v>1</v>
      </c>
      <c r="Y148" s="336"/>
      <c r="Z148" s="336"/>
    </row>
    <row r="149" spans="1:29" s="337" customFormat="1" ht="15" x14ac:dyDescent="0.2">
      <c r="A149" s="288"/>
      <c r="B149" s="494"/>
      <c r="C149" s="397" t="s">
        <v>508</v>
      </c>
      <c r="D149" s="1333">
        <v>46023</v>
      </c>
      <c r="E149" s="1334"/>
      <c r="F149" s="1335"/>
      <c r="G149" s="1333">
        <v>46053</v>
      </c>
      <c r="H149" s="1334"/>
      <c r="I149" s="1335"/>
      <c r="J149" s="317">
        <f t="shared" si="36"/>
        <v>31</v>
      </c>
      <c r="K149" s="327"/>
      <c r="L149" s="328"/>
      <c r="M149" s="329"/>
      <c r="N149" s="330"/>
      <c r="O149" s="331"/>
      <c r="P149" s="328"/>
      <c r="Q149" s="332"/>
      <c r="R149" s="333">
        <v>1</v>
      </c>
      <c r="S149" s="331" t="str">
        <f t="shared" si="40"/>
        <v>mês</v>
      </c>
      <c r="T149" s="320">
        <v>41</v>
      </c>
      <c r="U149" s="574"/>
      <c r="V149" s="291">
        <f t="shared" ca="1" si="25"/>
        <v>1</v>
      </c>
      <c r="W149" s="256">
        <f t="shared" ref="W149:W150" ca="1" si="41">IF(LEFT(_xlfn.FORMULATEXT(V149),3)="=SO",1,IF(COUNTA(A149:U149)=0,0,2))</f>
        <v>2</v>
      </c>
      <c r="X149" s="256">
        <f t="shared" ref="X149:X150" ca="1" si="42">IF(COUNTA(OFFSET(A148,1,0))-COUNTA(A148)=-1,0,1)</f>
        <v>1</v>
      </c>
      <c r="Y149" s="336"/>
      <c r="Z149" s="336"/>
    </row>
    <row r="150" spans="1:29" s="337" customFormat="1" ht="15" x14ac:dyDescent="0.2">
      <c r="A150" s="288"/>
      <c r="B150" s="494"/>
      <c r="C150" s="397" t="s">
        <v>509</v>
      </c>
      <c r="D150" s="1333">
        <v>46054</v>
      </c>
      <c r="E150" s="1334"/>
      <c r="F150" s="1335"/>
      <c r="G150" s="1333">
        <v>46081</v>
      </c>
      <c r="H150" s="1334"/>
      <c r="I150" s="1335"/>
      <c r="J150" s="317">
        <f t="shared" si="36"/>
        <v>28</v>
      </c>
      <c r="K150" s="327"/>
      <c r="L150" s="328"/>
      <c r="M150" s="329"/>
      <c r="N150" s="330"/>
      <c r="O150" s="331"/>
      <c r="P150" s="328"/>
      <c r="Q150" s="332"/>
      <c r="R150" s="333">
        <v>1</v>
      </c>
      <c r="S150" s="331" t="str">
        <f t="shared" si="40"/>
        <v>mês</v>
      </c>
      <c r="T150" s="320">
        <v>42</v>
      </c>
      <c r="U150" s="574"/>
      <c r="V150" s="291">
        <f t="shared" ca="1" si="25"/>
        <v>1</v>
      </c>
      <c r="W150" s="256">
        <f t="shared" ca="1" si="41"/>
        <v>2</v>
      </c>
      <c r="X150" s="256">
        <f t="shared" ca="1" si="42"/>
        <v>1</v>
      </c>
      <c r="Y150" s="336"/>
      <c r="Z150" s="336"/>
    </row>
    <row r="151" spans="1:29" s="337" customFormat="1" ht="15" x14ac:dyDescent="0.2">
      <c r="A151" s="288"/>
      <c r="B151" s="494"/>
      <c r="C151" s="397" t="s">
        <v>510</v>
      </c>
      <c r="D151" s="1333">
        <v>46082</v>
      </c>
      <c r="E151" s="1334"/>
      <c r="F151" s="1335"/>
      <c r="G151" s="1333">
        <v>46112</v>
      </c>
      <c r="H151" s="1334"/>
      <c r="I151" s="1335"/>
      <c r="J151" s="317">
        <f t="shared" si="36"/>
        <v>31</v>
      </c>
      <c r="K151" s="327"/>
      <c r="L151" s="328"/>
      <c r="M151" s="329"/>
      <c r="N151" s="330"/>
      <c r="O151" s="331"/>
      <c r="P151" s="328"/>
      <c r="Q151" s="332"/>
      <c r="R151" s="333">
        <v>1</v>
      </c>
      <c r="S151" s="331" t="str">
        <f t="shared" si="40"/>
        <v>mês</v>
      </c>
      <c r="T151" s="320">
        <v>43</v>
      </c>
      <c r="U151" s="574"/>
      <c r="V151" s="291">
        <f t="shared" ca="1" si="25"/>
        <v>1</v>
      </c>
      <c r="W151" s="256">
        <f t="shared" ref="W151:W154" ca="1" si="43">IF(LEFT(_xlfn.FORMULATEXT(V151),3)="=SO",1,IF(COUNTA(A151:U151)=0,0,2))</f>
        <v>2</v>
      </c>
      <c r="X151" s="256">
        <f t="shared" ref="X151:X153" ca="1" si="44">IF(COUNTA(OFFSET(A150,1,0))-COUNTA(A150)=-1,0,1)</f>
        <v>1</v>
      </c>
      <c r="Y151" s="336"/>
      <c r="Z151" s="336"/>
    </row>
    <row r="152" spans="1:29" s="337" customFormat="1" ht="15" x14ac:dyDescent="0.2">
      <c r="A152" s="288"/>
      <c r="B152" s="494"/>
      <c r="C152" s="397" t="s">
        <v>511</v>
      </c>
      <c r="D152" s="1333">
        <v>46113</v>
      </c>
      <c r="E152" s="1334"/>
      <c r="F152" s="1335"/>
      <c r="G152" s="1333">
        <v>46142</v>
      </c>
      <c r="H152" s="1334"/>
      <c r="I152" s="1335"/>
      <c r="J152" s="317">
        <f t="shared" si="36"/>
        <v>30</v>
      </c>
      <c r="K152" s="327"/>
      <c r="L152" s="328"/>
      <c r="M152" s="329"/>
      <c r="N152" s="330"/>
      <c r="O152" s="331"/>
      <c r="P152" s="328"/>
      <c r="Q152" s="332"/>
      <c r="R152" s="333">
        <v>1</v>
      </c>
      <c r="S152" s="331" t="str">
        <f t="shared" ref="S152" si="45">$S$150</f>
        <v>mês</v>
      </c>
      <c r="T152" s="320">
        <v>44</v>
      </c>
      <c r="U152" s="335"/>
      <c r="V152" s="291">
        <f t="shared" ca="1" si="25"/>
        <v>1</v>
      </c>
      <c r="W152" s="256">
        <f t="shared" ca="1" si="43"/>
        <v>2</v>
      </c>
      <c r="X152" s="256">
        <f t="shared" ca="1" si="44"/>
        <v>1</v>
      </c>
      <c r="Y152" s="336"/>
      <c r="Z152" s="336"/>
    </row>
    <row r="153" spans="1:29" s="337" customFormat="1" ht="15" x14ac:dyDescent="0.2">
      <c r="A153" s="288"/>
      <c r="B153" s="494"/>
      <c r="C153" s="755"/>
      <c r="D153" s="756"/>
      <c r="E153" s="757"/>
      <c r="F153" s="758"/>
      <c r="G153" s="756"/>
      <c r="H153" s="757"/>
      <c r="I153" s="758"/>
      <c r="J153" s="1109"/>
      <c r="K153" s="759"/>
      <c r="L153" s="501"/>
      <c r="M153" s="760"/>
      <c r="N153" s="761"/>
      <c r="O153" s="505"/>
      <c r="P153" s="501"/>
      <c r="Q153" s="739"/>
      <c r="R153" s="1111"/>
      <c r="S153" s="505"/>
      <c r="T153" s="506"/>
      <c r="U153" s="574"/>
      <c r="V153" s="291">
        <f t="shared" ca="1" si="25"/>
        <v>1</v>
      </c>
      <c r="W153" s="256">
        <f t="shared" ca="1" si="43"/>
        <v>0</v>
      </c>
      <c r="X153" s="256">
        <f t="shared" ca="1" si="44"/>
        <v>1</v>
      </c>
      <c r="Y153" s="336"/>
      <c r="Z153" s="336"/>
    </row>
    <row r="154" spans="1:29" s="111" customFormat="1" ht="15.75" x14ac:dyDescent="0.2">
      <c r="A154" s="288"/>
      <c r="B154" s="354"/>
      <c r="C154" s="402"/>
      <c r="D154" s="1354" t="s">
        <v>492</v>
      </c>
      <c r="E154" s="1355"/>
      <c r="F154" s="1355"/>
      <c r="G154" s="1355"/>
      <c r="H154" s="1355"/>
      <c r="I154" s="1356"/>
      <c r="J154" s="1357">
        <f>VLOOKUP(A156,'11 - FINANCEIRO'!_xlnm.Print_Area,6,FALSE)</f>
        <v>47</v>
      </c>
      <c r="K154" s="1358"/>
      <c r="L154" s="356" t="str">
        <f>VLOOKUP(A156,'11 - FINANCEIRO'!_xlnm.Print_Area,4,FALSE)</f>
        <v>mês</v>
      </c>
      <c r="M154" s="1359" t="s">
        <v>493</v>
      </c>
      <c r="N154" s="1360"/>
      <c r="O154" s="1360"/>
      <c r="P154" s="1360"/>
      <c r="Q154" s="1361"/>
      <c r="R154" s="357">
        <f>TRUNC(SUM(R108:R153),3)</f>
        <v>45</v>
      </c>
      <c r="S154" s="358" t="str">
        <f>L154</f>
        <v>mês</v>
      </c>
      <c r="T154" s="359"/>
      <c r="U154" s="360"/>
      <c r="V154" s="291">
        <f t="shared" ca="1" si="25"/>
        <v>1</v>
      </c>
      <c r="W154" s="256">
        <f t="shared" ca="1" si="43"/>
        <v>2</v>
      </c>
      <c r="X154" s="256">
        <f ca="1">IF(COUNTA(OFFSET(#REF!,1,0))-COUNTA(#REF!)=-1,0,1)</f>
        <v>1</v>
      </c>
      <c r="Y154" s="250"/>
      <c r="Z154" s="250"/>
    </row>
    <row r="155" spans="1:29" s="111" customFormat="1" ht="15.75" x14ac:dyDescent="0.2">
      <c r="A155" s="288"/>
      <c r="B155" s="354"/>
      <c r="C155" s="361"/>
      <c r="D155" s="1362" t="s">
        <v>494</v>
      </c>
      <c r="E155" s="1363"/>
      <c r="F155" s="1363"/>
      <c r="G155" s="1363"/>
      <c r="H155" s="1363"/>
      <c r="I155" s="1364"/>
      <c r="J155" s="1365">
        <f>IF(R154&gt;J154,1,R154/J154)</f>
        <v>0.95744680851063835</v>
      </c>
      <c r="K155" s="1366"/>
      <c r="L155" s="1369"/>
      <c r="M155" s="1371" t="s">
        <v>495</v>
      </c>
      <c r="N155" s="1372"/>
      <c r="O155" s="1372"/>
      <c r="P155" s="1372"/>
      <c r="Q155" s="1373"/>
      <c r="R155" s="362">
        <f>VLOOKUP(A156,'11 - FINANCEIRO'!_xlnm.Print_Area,8,FALSE)</f>
        <v>44</v>
      </c>
      <c r="S155" s="363" t="str">
        <f>L154</f>
        <v>mês</v>
      </c>
      <c r="T155" s="359"/>
      <c r="U155" s="829"/>
      <c r="V155" s="291">
        <f t="shared" ca="1" si="12"/>
        <v>1</v>
      </c>
      <c r="W155" s="256">
        <f t="shared" ca="1" si="9"/>
        <v>2</v>
      </c>
      <c r="X155" s="256">
        <f t="shared" ref="X155:X158" ca="1" si="46">IF(COUNTA(OFFSET(A154,1,0))-COUNTA(A154)=-1,0,1)</f>
        <v>1</v>
      </c>
      <c r="Y155" s="250"/>
      <c r="Z155" s="250"/>
    </row>
    <row r="156" spans="1:29" s="111" customFormat="1" ht="15.75" x14ac:dyDescent="0.2">
      <c r="A156" s="288" t="s">
        <v>20</v>
      </c>
      <c r="B156" s="364"/>
      <c r="C156" s="365"/>
      <c r="D156" s="1354"/>
      <c r="E156" s="1355"/>
      <c r="F156" s="1355"/>
      <c r="G156" s="1355"/>
      <c r="H156" s="1355"/>
      <c r="I156" s="1356"/>
      <c r="J156" s="1367"/>
      <c r="K156" s="1368"/>
      <c r="L156" s="1370"/>
      <c r="M156" s="1371" t="s">
        <v>496</v>
      </c>
      <c r="N156" s="1372"/>
      <c r="O156" s="1372"/>
      <c r="P156" s="1372"/>
      <c r="Q156" s="1373"/>
      <c r="R156" s="362">
        <f>R154-R155</f>
        <v>1</v>
      </c>
      <c r="S156" s="363" t="str">
        <f>L154</f>
        <v>mês</v>
      </c>
      <c r="T156" s="366"/>
      <c r="U156" s="367"/>
      <c r="V156" s="291">
        <f t="shared" ca="1" si="12"/>
        <v>1</v>
      </c>
      <c r="W156" s="256">
        <f t="shared" ca="1" si="9"/>
        <v>2</v>
      </c>
      <c r="X156" s="256">
        <f t="shared" ca="1" si="46"/>
        <v>1</v>
      </c>
      <c r="Y156" s="250"/>
      <c r="Z156" s="250"/>
    </row>
    <row r="157" spans="1:29" s="111" customFormat="1" ht="15.75" x14ac:dyDescent="0.2">
      <c r="A157" s="288"/>
      <c r="B157" s="368"/>
      <c r="C157" s="365"/>
      <c r="D157" s="369"/>
      <c r="E157" s="370"/>
      <c r="F157" s="369"/>
      <c r="G157" s="369"/>
      <c r="H157" s="369"/>
      <c r="I157" s="369"/>
      <c r="J157" s="371"/>
      <c r="K157" s="372"/>
      <c r="L157" s="373"/>
      <c r="M157" s="374"/>
      <c r="N157" s="374"/>
      <c r="O157" s="374"/>
      <c r="P157" s="374"/>
      <c r="Q157" s="374"/>
      <c r="R157" s="375"/>
      <c r="S157" s="376"/>
      <c r="T157" s="377"/>
      <c r="U157" s="378"/>
      <c r="V157" s="379">
        <f ca="1">SUM(V106:V156)</f>
        <v>51</v>
      </c>
      <c r="W157" s="256">
        <f t="shared" ca="1" si="9"/>
        <v>1</v>
      </c>
      <c r="X157" s="256">
        <f t="shared" ca="1" si="46"/>
        <v>0</v>
      </c>
      <c r="Y157" s="250"/>
      <c r="Z157" s="250"/>
    </row>
    <row r="158" spans="1:29" s="293" customFormat="1" ht="15.75" customHeight="1" x14ac:dyDescent="0.2">
      <c r="A158" s="288"/>
      <c r="B158" s="1374" t="str">
        <f>VLOOKUP(A217,'11 - FINANCEIRO'!_xlnm.Print_Area,1,FALSE)</f>
        <v>1.2.3</v>
      </c>
      <c r="C158" s="1376" t="str">
        <f>VLOOKUP(A217,'11 - FINANCEIRO'!_xlnm.Print_Area,3,FALSE)</f>
        <v>Aluguel Mensal Container Sanitário, Incl Porta, Básc, 2 Ptos Luz, 1 Pto Aterram., 3Vasos, 3Lavatórios, Calha Mictório, 6 Chuveiros (1 Eletrico), Torn.,Registros, Piso Comp. Naval Pintado, Cert Nr18 E Laudo Descontaminação</v>
      </c>
      <c r="D158" s="1378" t="s">
        <v>500</v>
      </c>
      <c r="E158" s="1379"/>
      <c r="F158" s="1379"/>
      <c r="G158" s="1379"/>
      <c r="H158" s="1379"/>
      <c r="I158" s="1380"/>
      <c r="J158" s="1338" t="s">
        <v>478</v>
      </c>
      <c r="K158" s="1338" t="s">
        <v>479</v>
      </c>
      <c r="L158" s="1338" t="s">
        <v>480</v>
      </c>
      <c r="M158" s="1338" t="s">
        <v>481</v>
      </c>
      <c r="N158" s="1338" t="s">
        <v>482</v>
      </c>
      <c r="O158" s="1338" t="s">
        <v>483</v>
      </c>
      <c r="P158" s="1338" t="s">
        <v>484</v>
      </c>
      <c r="Q158" s="1338" t="s">
        <v>296</v>
      </c>
      <c r="R158" s="1336" t="s">
        <v>296</v>
      </c>
      <c r="S158" s="1338" t="s">
        <v>486</v>
      </c>
      <c r="T158" s="1338" t="s">
        <v>487</v>
      </c>
      <c r="U158" s="1340" t="s">
        <v>488</v>
      </c>
      <c r="V158" s="291">
        <f t="shared" ref="V158:V217" ca="1" si="47">IF(OFFSET(V158,1,1)=1,OFFSET(V158,0,-4),OFFSET(V158,1,0))</f>
        <v>6</v>
      </c>
      <c r="W158" s="256">
        <f t="shared" ca="1" si="9"/>
        <v>2</v>
      </c>
      <c r="X158" s="256">
        <f t="shared" ca="1" si="46"/>
        <v>1</v>
      </c>
      <c r="Y158" s="256"/>
      <c r="Z158" s="256"/>
      <c r="AA158" s="292"/>
      <c r="AB158" s="292"/>
      <c r="AC158" s="292"/>
    </row>
    <row r="159" spans="1:29" s="293" customFormat="1" ht="57.75" customHeight="1" x14ac:dyDescent="0.2">
      <c r="A159" s="288"/>
      <c r="B159" s="1375"/>
      <c r="C159" s="1377"/>
      <c r="D159" s="1342" t="s">
        <v>489</v>
      </c>
      <c r="E159" s="1343"/>
      <c r="F159" s="1344"/>
      <c r="G159" s="1345" t="s">
        <v>490</v>
      </c>
      <c r="H159" s="1346"/>
      <c r="I159" s="1347"/>
      <c r="J159" s="1339"/>
      <c r="K159" s="1339"/>
      <c r="L159" s="1339"/>
      <c r="M159" s="1339"/>
      <c r="N159" s="1339"/>
      <c r="O159" s="1339"/>
      <c r="P159" s="1339" t="s">
        <v>491</v>
      </c>
      <c r="Q159" s="1339"/>
      <c r="R159" s="1337"/>
      <c r="S159" s="1339"/>
      <c r="T159" s="1339"/>
      <c r="U159" s="1341"/>
      <c r="V159" s="291">
        <f t="shared" ca="1" si="47"/>
        <v>6</v>
      </c>
      <c r="W159" s="256">
        <f t="shared" ref="W159:W217" ca="1" si="48">IF(LEFT(_xlfn.FORMULATEXT(V159),3)="=SO",1,IF(COUNTA(A159:U159)=0,0,2))</f>
        <v>2</v>
      </c>
      <c r="X159" s="256">
        <f t="shared" ref="X159:X217" ca="1" si="49">IF(COUNTA(OFFSET(A158,1,0))-COUNTA(A158)=-1,0,1)</f>
        <v>1</v>
      </c>
      <c r="Y159" s="256"/>
      <c r="Z159" s="256"/>
      <c r="AA159" s="292"/>
      <c r="AB159" s="292"/>
      <c r="AC159" s="292"/>
    </row>
    <row r="160" spans="1:29" s="293" customFormat="1" ht="15.75" x14ac:dyDescent="0.2">
      <c r="A160" s="288"/>
      <c r="B160" s="296"/>
      <c r="C160" s="297" t="s">
        <v>503</v>
      </c>
      <c r="D160" s="1381">
        <v>44776</v>
      </c>
      <c r="E160" s="1382"/>
      <c r="F160" s="1383"/>
      <c r="G160" s="1381">
        <v>44804</v>
      </c>
      <c r="H160" s="1382"/>
      <c r="I160" s="1383"/>
      <c r="J160" s="304">
        <f t="shared" ref="J160:J178" si="50">G160-D160+1</f>
        <v>29</v>
      </c>
      <c r="K160" s="304"/>
      <c r="L160" s="304"/>
      <c r="M160" s="304"/>
      <c r="N160" s="304"/>
      <c r="O160" s="304"/>
      <c r="P160" s="306"/>
      <c r="Q160" s="304"/>
      <c r="R160" s="307">
        <v>1</v>
      </c>
      <c r="S160" s="308" t="str">
        <f>S215</f>
        <v>mês</v>
      </c>
      <c r="T160" s="309">
        <v>1</v>
      </c>
      <c r="U160" s="310"/>
      <c r="V160" s="291">
        <f t="shared" ca="1" si="47"/>
        <v>6</v>
      </c>
      <c r="W160" s="256">
        <f t="shared" ca="1" si="48"/>
        <v>2</v>
      </c>
      <c r="X160" s="256">
        <f t="shared" ca="1" si="49"/>
        <v>1</v>
      </c>
      <c r="Y160" s="256"/>
      <c r="Z160" s="256"/>
      <c r="AA160" s="292"/>
      <c r="AB160" s="292"/>
      <c r="AC160" s="292"/>
    </row>
    <row r="161" spans="1:29" s="293" customFormat="1" ht="15.75" x14ac:dyDescent="0.2">
      <c r="A161" s="288"/>
      <c r="B161" s="311"/>
      <c r="C161" s="312" t="s">
        <v>504</v>
      </c>
      <c r="D161" s="1333">
        <v>44805</v>
      </c>
      <c r="E161" s="1334"/>
      <c r="F161" s="1335"/>
      <c r="G161" s="1333">
        <v>44836</v>
      </c>
      <c r="H161" s="1334"/>
      <c r="I161" s="1335"/>
      <c r="J161" s="317">
        <f t="shared" si="50"/>
        <v>32</v>
      </c>
      <c r="K161" s="313"/>
      <c r="L161" s="317"/>
      <c r="M161" s="315"/>
      <c r="N161" s="314"/>
      <c r="O161" s="313"/>
      <c r="P161" s="318"/>
      <c r="Q161" s="315"/>
      <c r="R161" s="319">
        <v>1</v>
      </c>
      <c r="S161" s="398" t="str">
        <f>S215</f>
        <v>mês</v>
      </c>
      <c r="T161" s="320">
        <v>2</v>
      </c>
      <c r="U161" s="321"/>
      <c r="V161" s="291">
        <f t="shared" ca="1" si="47"/>
        <v>6</v>
      </c>
      <c r="W161" s="256">
        <f t="shared" ca="1" si="48"/>
        <v>2</v>
      </c>
      <c r="X161" s="256">
        <f t="shared" ca="1" si="49"/>
        <v>1</v>
      </c>
      <c r="Y161" s="256"/>
      <c r="Z161" s="256"/>
      <c r="AA161" s="292"/>
      <c r="AB161" s="292"/>
      <c r="AC161" s="292"/>
    </row>
    <row r="162" spans="1:29" s="337" customFormat="1" ht="15.75" x14ac:dyDescent="0.2">
      <c r="A162" s="288"/>
      <c r="B162" s="311"/>
      <c r="C162" s="312" t="s">
        <v>505</v>
      </c>
      <c r="D162" s="1333">
        <v>44837</v>
      </c>
      <c r="E162" s="1334"/>
      <c r="F162" s="1335"/>
      <c r="G162" s="1333">
        <v>44865</v>
      </c>
      <c r="H162" s="1334"/>
      <c r="I162" s="1335"/>
      <c r="J162" s="317">
        <f t="shared" si="50"/>
        <v>29</v>
      </c>
      <c r="K162" s="313"/>
      <c r="L162" s="317"/>
      <c r="M162" s="315"/>
      <c r="N162" s="314"/>
      <c r="O162" s="313"/>
      <c r="P162" s="318"/>
      <c r="Q162" s="315"/>
      <c r="R162" s="319">
        <v>1</v>
      </c>
      <c r="S162" s="398" t="str">
        <f>S215</f>
        <v>mês</v>
      </c>
      <c r="T162" s="320">
        <v>3</v>
      </c>
      <c r="U162" s="321"/>
      <c r="V162" s="291">
        <f t="shared" ca="1" si="47"/>
        <v>6</v>
      </c>
      <c r="W162" s="256">
        <f t="shared" ca="1" si="48"/>
        <v>2</v>
      </c>
      <c r="X162" s="256">
        <f t="shared" ca="1" si="49"/>
        <v>1</v>
      </c>
      <c r="Y162" s="336"/>
      <c r="Z162" s="336"/>
    </row>
    <row r="163" spans="1:29" s="405" customFormat="1" ht="15" x14ac:dyDescent="0.2">
      <c r="A163" s="403"/>
      <c r="B163" s="322"/>
      <c r="C163" s="397" t="s">
        <v>506</v>
      </c>
      <c r="D163" s="1333">
        <v>44866</v>
      </c>
      <c r="E163" s="1334"/>
      <c r="F163" s="1335"/>
      <c r="G163" s="1333">
        <v>44890</v>
      </c>
      <c r="H163" s="1334"/>
      <c r="I163" s="1335"/>
      <c r="J163" s="317">
        <f t="shared" si="50"/>
        <v>25</v>
      </c>
      <c r="K163" s="328"/>
      <c r="L163" s="328"/>
      <c r="M163" s="328"/>
      <c r="N163" s="328"/>
      <c r="O163" s="334"/>
      <c r="P163" s="328"/>
      <c r="Q163" s="334"/>
      <c r="R163" s="333">
        <v>1</v>
      </c>
      <c r="S163" s="331" t="s">
        <v>313</v>
      </c>
      <c r="T163" s="320">
        <v>4</v>
      </c>
      <c r="U163" s="335"/>
      <c r="V163" s="291">
        <f t="shared" ca="1" si="47"/>
        <v>6</v>
      </c>
      <c r="W163" s="256">
        <f t="shared" ca="1" si="48"/>
        <v>2</v>
      </c>
      <c r="X163" s="256">
        <f t="shared" ca="1" si="49"/>
        <v>1</v>
      </c>
      <c r="Y163" s="404"/>
      <c r="Z163" s="404"/>
    </row>
    <row r="164" spans="1:29" s="405" customFormat="1" ht="15" x14ac:dyDescent="0.2">
      <c r="A164" s="403"/>
      <c r="B164" s="322"/>
      <c r="C164" s="397" t="s">
        <v>506</v>
      </c>
      <c r="D164" s="1333">
        <f>G163+1</f>
        <v>44891</v>
      </c>
      <c r="E164" s="1334"/>
      <c r="F164" s="1335"/>
      <c r="G164" s="1333">
        <v>44926</v>
      </c>
      <c r="H164" s="1334"/>
      <c r="I164" s="1335"/>
      <c r="J164" s="317">
        <f t="shared" si="50"/>
        <v>36</v>
      </c>
      <c r="K164" s="328"/>
      <c r="L164" s="328"/>
      <c r="M164" s="328"/>
      <c r="N164" s="328"/>
      <c r="O164" s="334"/>
      <c r="P164" s="328"/>
      <c r="Q164" s="334"/>
      <c r="R164" s="333">
        <v>1</v>
      </c>
      <c r="S164" s="331" t="s">
        <v>313</v>
      </c>
      <c r="T164" s="320">
        <v>5</v>
      </c>
      <c r="U164" s="335"/>
      <c r="V164" s="291">
        <f t="shared" ca="1" si="47"/>
        <v>6</v>
      </c>
      <c r="W164" s="256">
        <f t="shared" ca="1" si="48"/>
        <v>2</v>
      </c>
      <c r="X164" s="256">
        <f t="shared" ca="1" si="49"/>
        <v>1</v>
      </c>
      <c r="Y164" s="404"/>
      <c r="Z164" s="404"/>
    </row>
    <row r="165" spans="1:29" s="337" customFormat="1" ht="15" x14ac:dyDescent="0.2">
      <c r="A165" s="288"/>
      <c r="B165" s="322"/>
      <c r="C165" s="397" t="s">
        <v>508</v>
      </c>
      <c r="D165" s="1333">
        <v>44927</v>
      </c>
      <c r="E165" s="1334"/>
      <c r="F165" s="1335"/>
      <c r="G165" s="1333">
        <v>44957</v>
      </c>
      <c r="H165" s="1334"/>
      <c r="I165" s="1335"/>
      <c r="J165" s="317">
        <f t="shared" si="50"/>
        <v>31</v>
      </c>
      <c r="K165" s="327"/>
      <c r="L165" s="328"/>
      <c r="M165" s="329"/>
      <c r="N165" s="330"/>
      <c r="O165" s="331"/>
      <c r="P165" s="328"/>
      <c r="Q165" s="332"/>
      <c r="R165" s="333">
        <v>1</v>
      </c>
      <c r="S165" s="331" t="s">
        <v>313</v>
      </c>
      <c r="T165" s="320">
        <v>6</v>
      </c>
      <c r="U165" s="335"/>
      <c r="V165" s="291">
        <f t="shared" ca="1" si="47"/>
        <v>6</v>
      </c>
      <c r="W165" s="256">
        <f t="shared" ca="1" si="48"/>
        <v>2</v>
      </c>
      <c r="X165" s="256">
        <f t="shared" ca="1" si="49"/>
        <v>1</v>
      </c>
      <c r="Y165" s="336"/>
      <c r="Z165" s="336"/>
    </row>
    <row r="166" spans="1:29" s="337" customFormat="1" ht="15" x14ac:dyDescent="0.2">
      <c r="A166" s="288"/>
      <c r="B166" s="322"/>
      <c r="C166" s="397" t="s">
        <v>509</v>
      </c>
      <c r="D166" s="1333">
        <v>44958</v>
      </c>
      <c r="E166" s="1334"/>
      <c r="F166" s="1335"/>
      <c r="G166" s="1333">
        <v>44985</v>
      </c>
      <c r="H166" s="1334"/>
      <c r="I166" s="1335"/>
      <c r="J166" s="317">
        <f t="shared" si="50"/>
        <v>28</v>
      </c>
      <c r="K166" s="327"/>
      <c r="L166" s="328"/>
      <c r="M166" s="329"/>
      <c r="N166" s="330"/>
      <c r="O166" s="331"/>
      <c r="P166" s="328"/>
      <c r="Q166" s="332"/>
      <c r="R166" s="333">
        <v>1</v>
      </c>
      <c r="S166" s="331" t="str">
        <f t="shared" ref="S166:S172" si="51">$S$154</f>
        <v>mês</v>
      </c>
      <c r="T166" s="320">
        <v>7</v>
      </c>
      <c r="U166" s="335"/>
      <c r="V166" s="291">
        <f t="shared" ca="1" si="47"/>
        <v>6</v>
      </c>
      <c r="W166" s="256">
        <f t="shared" ca="1" si="48"/>
        <v>2</v>
      </c>
      <c r="X166" s="256">
        <f t="shared" ca="1" si="49"/>
        <v>1</v>
      </c>
      <c r="Y166" s="336"/>
      <c r="Z166" s="336"/>
    </row>
    <row r="167" spans="1:29" s="337" customFormat="1" ht="15" x14ac:dyDescent="0.2">
      <c r="A167" s="288"/>
      <c r="B167" s="322"/>
      <c r="C167" s="397" t="s">
        <v>510</v>
      </c>
      <c r="D167" s="1333">
        <v>44986</v>
      </c>
      <c r="E167" s="1334"/>
      <c r="F167" s="1335"/>
      <c r="G167" s="1333">
        <v>45016</v>
      </c>
      <c r="H167" s="1334"/>
      <c r="I167" s="1335"/>
      <c r="J167" s="317">
        <f t="shared" si="50"/>
        <v>31</v>
      </c>
      <c r="K167" s="327"/>
      <c r="L167" s="328"/>
      <c r="M167" s="329"/>
      <c r="N167" s="330"/>
      <c r="O167" s="331"/>
      <c r="P167" s="328"/>
      <c r="Q167" s="332"/>
      <c r="R167" s="333">
        <v>1</v>
      </c>
      <c r="S167" s="331" t="str">
        <f t="shared" si="51"/>
        <v>mês</v>
      </c>
      <c r="T167" s="320">
        <v>8</v>
      </c>
      <c r="U167" s="335"/>
      <c r="V167" s="291">
        <f t="shared" ca="1" si="47"/>
        <v>6</v>
      </c>
      <c r="W167" s="256">
        <f t="shared" ca="1" si="48"/>
        <v>2</v>
      </c>
      <c r="X167" s="256">
        <f t="shared" ca="1" si="49"/>
        <v>1</v>
      </c>
      <c r="Y167" s="336"/>
      <c r="Z167" s="336"/>
    </row>
    <row r="168" spans="1:29" s="337" customFormat="1" ht="15" x14ac:dyDescent="0.2">
      <c r="A168" s="288"/>
      <c r="B168" s="322"/>
      <c r="C168" s="397" t="s">
        <v>511</v>
      </c>
      <c r="D168" s="1333">
        <v>45017</v>
      </c>
      <c r="E168" s="1334"/>
      <c r="F168" s="1335"/>
      <c r="G168" s="1333">
        <v>45046</v>
      </c>
      <c r="H168" s="1334"/>
      <c r="I168" s="1335"/>
      <c r="J168" s="317">
        <f t="shared" si="50"/>
        <v>30</v>
      </c>
      <c r="K168" s="327"/>
      <c r="L168" s="328"/>
      <c r="M168" s="329"/>
      <c r="N168" s="330"/>
      <c r="O168" s="331"/>
      <c r="P168" s="328"/>
      <c r="Q168" s="332"/>
      <c r="R168" s="333">
        <v>1</v>
      </c>
      <c r="S168" s="331" t="str">
        <f t="shared" si="51"/>
        <v>mês</v>
      </c>
      <c r="T168" s="320">
        <v>9</v>
      </c>
      <c r="U168" s="335"/>
      <c r="V168" s="291">
        <f t="shared" ca="1" si="47"/>
        <v>6</v>
      </c>
      <c r="W168" s="256">
        <f t="shared" ca="1" si="48"/>
        <v>2</v>
      </c>
      <c r="X168" s="256">
        <f t="shared" ca="1" si="49"/>
        <v>1</v>
      </c>
      <c r="Y168" s="336"/>
      <c r="Z168" s="336"/>
    </row>
    <row r="169" spans="1:29" s="337" customFormat="1" ht="15" x14ac:dyDescent="0.2">
      <c r="A169" s="288"/>
      <c r="B169" s="322"/>
      <c r="C169" s="397" t="s">
        <v>690</v>
      </c>
      <c r="D169" s="1333">
        <v>45047</v>
      </c>
      <c r="E169" s="1334"/>
      <c r="F169" s="1335"/>
      <c r="G169" s="1333">
        <v>45077</v>
      </c>
      <c r="H169" s="1334"/>
      <c r="I169" s="1335"/>
      <c r="J169" s="317">
        <f t="shared" si="50"/>
        <v>31</v>
      </c>
      <c r="K169" s="327"/>
      <c r="L169" s="328"/>
      <c r="M169" s="329"/>
      <c r="N169" s="330"/>
      <c r="O169" s="331"/>
      <c r="P169" s="328"/>
      <c r="Q169" s="332"/>
      <c r="R169" s="333">
        <v>1</v>
      </c>
      <c r="S169" s="331" t="str">
        <f t="shared" si="51"/>
        <v>mês</v>
      </c>
      <c r="T169" s="320">
        <v>19</v>
      </c>
      <c r="U169" s="335"/>
      <c r="V169" s="291">
        <f t="shared" ca="1" si="47"/>
        <v>6</v>
      </c>
      <c r="W169" s="256">
        <f t="shared" ca="1" si="48"/>
        <v>2</v>
      </c>
      <c r="X169" s="256">
        <f t="shared" ca="1" si="49"/>
        <v>1</v>
      </c>
      <c r="Y169" s="336"/>
      <c r="Z169" s="336"/>
    </row>
    <row r="170" spans="1:29" s="337" customFormat="1" ht="15" x14ac:dyDescent="0.2">
      <c r="A170" s="288"/>
      <c r="B170" s="322"/>
      <c r="C170" s="397" t="s">
        <v>691</v>
      </c>
      <c r="D170" s="1333">
        <v>45078</v>
      </c>
      <c r="E170" s="1334"/>
      <c r="F170" s="1335"/>
      <c r="G170" s="1333">
        <v>45107</v>
      </c>
      <c r="H170" s="1334"/>
      <c r="I170" s="1335"/>
      <c r="J170" s="317">
        <f t="shared" si="50"/>
        <v>30</v>
      </c>
      <c r="K170" s="327"/>
      <c r="L170" s="328"/>
      <c r="M170" s="329"/>
      <c r="N170" s="330"/>
      <c r="O170" s="331"/>
      <c r="P170" s="328"/>
      <c r="Q170" s="332"/>
      <c r="R170" s="333">
        <v>1</v>
      </c>
      <c r="S170" s="331" t="str">
        <f t="shared" si="51"/>
        <v>mês</v>
      </c>
      <c r="T170" s="320">
        <v>19</v>
      </c>
      <c r="U170" s="335"/>
      <c r="V170" s="291">
        <f t="shared" ca="1" si="47"/>
        <v>6</v>
      </c>
      <c r="W170" s="256">
        <f t="shared" ca="1" si="48"/>
        <v>2</v>
      </c>
      <c r="X170" s="256">
        <f t="shared" ca="1" si="49"/>
        <v>1</v>
      </c>
      <c r="Y170" s="336"/>
      <c r="Z170" s="336"/>
    </row>
    <row r="171" spans="1:29" s="337" customFormat="1" ht="15" x14ac:dyDescent="0.2">
      <c r="A171" s="288"/>
      <c r="B171" s="322"/>
      <c r="C171" s="397" t="s">
        <v>692</v>
      </c>
      <c r="D171" s="1333">
        <v>45108</v>
      </c>
      <c r="E171" s="1334"/>
      <c r="F171" s="1335"/>
      <c r="G171" s="1333">
        <v>45138</v>
      </c>
      <c r="H171" s="1334"/>
      <c r="I171" s="1335"/>
      <c r="J171" s="317">
        <f t="shared" si="50"/>
        <v>31</v>
      </c>
      <c r="K171" s="327"/>
      <c r="L171" s="328"/>
      <c r="M171" s="329"/>
      <c r="N171" s="330"/>
      <c r="O171" s="331"/>
      <c r="P171" s="328"/>
      <c r="Q171" s="332"/>
      <c r="R171" s="333">
        <v>1</v>
      </c>
      <c r="S171" s="331" t="str">
        <f t="shared" si="51"/>
        <v>mês</v>
      </c>
      <c r="T171" s="320">
        <v>19</v>
      </c>
      <c r="U171" s="335"/>
      <c r="V171" s="291">
        <f t="shared" ca="1" si="47"/>
        <v>6</v>
      </c>
      <c r="W171" s="256">
        <f t="shared" ca="1" si="48"/>
        <v>2</v>
      </c>
      <c r="X171" s="256">
        <f t="shared" ca="1" si="49"/>
        <v>1</v>
      </c>
      <c r="Y171" s="336"/>
      <c r="Z171" s="336"/>
    </row>
    <row r="172" spans="1:29" s="337" customFormat="1" ht="15" x14ac:dyDescent="0.2">
      <c r="A172" s="288"/>
      <c r="B172" s="322"/>
      <c r="C172" s="397" t="s">
        <v>503</v>
      </c>
      <c r="D172" s="1333">
        <v>45139</v>
      </c>
      <c r="E172" s="1334"/>
      <c r="F172" s="1335"/>
      <c r="G172" s="1333">
        <v>45169</v>
      </c>
      <c r="H172" s="1334"/>
      <c r="I172" s="1335"/>
      <c r="J172" s="317">
        <f t="shared" si="50"/>
        <v>31</v>
      </c>
      <c r="K172" s="327"/>
      <c r="L172" s="328"/>
      <c r="M172" s="329"/>
      <c r="N172" s="330"/>
      <c r="O172" s="331"/>
      <c r="P172" s="328"/>
      <c r="Q172" s="332"/>
      <c r="R172" s="333">
        <v>1</v>
      </c>
      <c r="S172" s="331" t="str">
        <f t="shared" si="51"/>
        <v>mês</v>
      </c>
      <c r="T172" s="320">
        <v>19</v>
      </c>
      <c r="U172" s="335"/>
      <c r="V172" s="291">
        <f t="shared" ca="1" si="47"/>
        <v>6</v>
      </c>
      <c r="W172" s="256">
        <f t="shared" ca="1" si="48"/>
        <v>2</v>
      </c>
      <c r="X172" s="256">
        <f t="shared" ca="1" si="49"/>
        <v>1</v>
      </c>
      <c r="Y172" s="336"/>
      <c r="Z172" s="336"/>
    </row>
    <row r="173" spans="1:29" s="293" customFormat="1" ht="15.75" x14ac:dyDescent="0.2">
      <c r="A173" s="288"/>
      <c r="B173" s="311"/>
      <c r="C173" s="397" t="s">
        <v>504</v>
      </c>
      <c r="D173" s="1333">
        <v>45170</v>
      </c>
      <c r="E173" s="1334"/>
      <c r="F173" s="1335"/>
      <c r="G173" s="1333">
        <v>45199</v>
      </c>
      <c r="H173" s="1334"/>
      <c r="I173" s="1335"/>
      <c r="J173" s="317">
        <f t="shared" si="50"/>
        <v>30</v>
      </c>
      <c r="K173" s="313"/>
      <c r="L173" s="317"/>
      <c r="M173" s="315"/>
      <c r="N173" s="314"/>
      <c r="O173" s="313"/>
      <c r="P173" s="318"/>
      <c r="Q173" s="315"/>
      <c r="R173" s="319">
        <v>1</v>
      </c>
      <c r="S173" s="398" t="str">
        <f t="shared" ref="S173:S195" si="52">$S$154</f>
        <v>mês</v>
      </c>
      <c r="T173" s="320">
        <v>19</v>
      </c>
      <c r="U173" s="321"/>
      <c r="V173" s="291">
        <f t="shared" ca="1" si="47"/>
        <v>6</v>
      </c>
      <c r="W173" s="256">
        <f t="shared" ca="1" si="48"/>
        <v>2</v>
      </c>
      <c r="X173" s="256">
        <f t="shared" ca="1" si="49"/>
        <v>1</v>
      </c>
      <c r="Y173" s="256"/>
      <c r="Z173" s="256"/>
      <c r="AA173" s="292"/>
      <c r="AB173" s="292"/>
      <c r="AC173" s="292"/>
    </row>
    <row r="174" spans="1:29" s="293" customFormat="1" ht="15.75" x14ac:dyDescent="0.2">
      <c r="A174" s="288"/>
      <c r="B174" s="311"/>
      <c r="C174" s="397" t="s">
        <v>505</v>
      </c>
      <c r="D174" s="1333">
        <v>45200</v>
      </c>
      <c r="E174" s="1334"/>
      <c r="F174" s="1335"/>
      <c r="G174" s="1333">
        <v>45230</v>
      </c>
      <c r="H174" s="1334"/>
      <c r="I174" s="1335"/>
      <c r="J174" s="317">
        <f t="shared" si="50"/>
        <v>31</v>
      </c>
      <c r="K174" s="313"/>
      <c r="L174" s="317"/>
      <c r="M174" s="315"/>
      <c r="N174" s="314"/>
      <c r="O174" s="313"/>
      <c r="P174" s="318"/>
      <c r="Q174" s="315"/>
      <c r="R174" s="319">
        <v>1</v>
      </c>
      <c r="S174" s="398" t="str">
        <f t="shared" si="52"/>
        <v>mês</v>
      </c>
      <c r="T174" s="320">
        <v>19</v>
      </c>
      <c r="U174" s="321"/>
      <c r="V174" s="291">
        <f t="shared" ca="1" si="47"/>
        <v>6</v>
      </c>
      <c r="W174" s="256">
        <f t="shared" ca="1" si="48"/>
        <v>2</v>
      </c>
      <c r="X174" s="256">
        <f t="shared" ca="1" si="49"/>
        <v>1</v>
      </c>
      <c r="Y174" s="256"/>
      <c r="Z174" s="256"/>
      <c r="AA174" s="292"/>
      <c r="AB174" s="292"/>
      <c r="AC174" s="292"/>
    </row>
    <row r="175" spans="1:29" s="292" customFormat="1" ht="15" x14ac:dyDescent="0.2">
      <c r="A175" s="399"/>
      <c r="B175" s="322"/>
      <c r="C175" s="397" t="s">
        <v>506</v>
      </c>
      <c r="D175" s="1333">
        <v>45231</v>
      </c>
      <c r="E175" s="1334"/>
      <c r="F175" s="1335"/>
      <c r="G175" s="1333">
        <v>45260</v>
      </c>
      <c r="H175" s="1334"/>
      <c r="I175" s="1335"/>
      <c r="J175" s="317">
        <f t="shared" si="50"/>
        <v>30</v>
      </c>
      <c r="K175" s="328"/>
      <c r="L175" s="328"/>
      <c r="M175" s="328"/>
      <c r="N175" s="328"/>
      <c r="O175" s="334"/>
      <c r="P175" s="328"/>
      <c r="Q175" s="334"/>
      <c r="R175" s="333">
        <v>1</v>
      </c>
      <c r="S175" s="331" t="str">
        <f t="shared" si="52"/>
        <v>mês</v>
      </c>
      <c r="T175" s="320">
        <v>19</v>
      </c>
      <c r="U175" s="335"/>
      <c r="V175" s="291">
        <f t="shared" ca="1" si="47"/>
        <v>6</v>
      </c>
      <c r="W175" s="256">
        <f t="shared" ca="1" si="48"/>
        <v>2</v>
      </c>
      <c r="X175" s="256">
        <f t="shared" ca="1" si="49"/>
        <v>1</v>
      </c>
      <c r="Y175" s="256"/>
      <c r="Z175" s="256"/>
    </row>
    <row r="176" spans="1:29" s="292" customFormat="1" ht="15" x14ac:dyDescent="0.2">
      <c r="A176" s="399"/>
      <c r="B176" s="322"/>
      <c r="C176" s="397" t="s">
        <v>507</v>
      </c>
      <c r="D176" s="1333">
        <v>45261</v>
      </c>
      <c r="E176" s="1334"/>
      <c r="F176" s="1335"/>
      <c r="G176" s="1333">
        <v>45291</v>
      </c>
      <c r="H176" s="1334"/>
      <c r="I176" s="1335"/>
      <c r="J176" s="317">
        <f t="shared" si="50"/>
        <v>31</v>
      </c>
      <c r="K176" s="328"/>
      <c r="L176" s="328"/>
      <c r="M176" s="328"/>
      <c r="N176" s="328"/>
      <c r="O176" s="334"/>
      <c r="P176" s="328"/>
      <c r="Q176" s="334"/>
      <c r="R176" s="333">
        <v>1</v>
      </c>
      <c r="S176" s="331" t="str">
        <f t="shared" si="52"/>
        <v>mês</v>
      </c>
      <c r="T176" s="320">
        <v>19</v>
      </c>
      <c r="U176" s="335"/>
      <c r="V176" s="291">
        <f t="shared" ca="1" si="47"/>
        <v>6</v>
      </c>
      <c r="W176" s="256">
        <f t="shared" ca="1" si="48"/>
        <v>2</v>
      </c>
      <c r="X176" s="256">
        <f t="shared" ca="1" si="49"/>
        <v>1</v>
      </c>
      <c r="Y176" s="256"/>
      <c r="Z176" s="256"/>
    </row>
    <row r="177" spans="1:26" s="337" customFormat="1" ht="15" x14ac:dyDescent="0.2">
      <c r="A177" s="288"/>
      <c r="B177" s="322"/>
      <c r="C177" s="397" t="s">
        <v>508</v>
      </c>
      <c r="D177" s="1333">
        <v>45292</v>
      </c>
      <c r="E177" s="1334"/>
      <c r="F177" s="1335"/>
      <c r="G177" s="1333">
        <v>45322</v>
      </c>
      <c r="H177" s="1334"/>
      <c r="I177" s="1335"/>
      <c r="J177" s="317">
        <f t="shared" si="50"/>
        <v>31</v>
      </c>
      <c r="K177" s="327"/>
      <c r="L177" s="328"/>
      <c r="M177" s="329"/>
      <c r="N177" s="330"/>
      <c r="O177" s="331"/>
      <c r="P177" s="328"/>
      <c r="Q177" s="332"/>
      <c r="R177" s="333">
        <v>1</v>
      </c>
      <c r="S177" s="331" t="str">
        <f t="shared" si="52"/>
        <v>mês</v>
      </c>
      <c r="T177" s="320">
        <v>19</v>
      </c>
      <c r="U177" s="335"/>
      <c r="V177" s="291">
        <f t="shared" ca="1" si="47"/>
        <v>6</v>
      </c>
      <c r="W177" s="256">
        <f t="shared" ca="1" si="48"/>
        <v>2</v>
      </c>
      <c r="X177" s="256">
        <f t="shared" ca="1" si="49"/>
        <v>1</v>
      </c>
      <c r="Y177" s="336"/>
      <c r="Z177" s="336"/>
    </row>
    <row r="178" spans="1:26" s="337" customFormat="1" ht="15" x14ac:dyDescent="0.2">
      <c r="A178" s="288"/>
      <c r="B178" s="322"/>
      <c r="C178" s="397" t="s">
        <v>509</v>
      </c>
      <c r="D178" s="1333">
        <v>45323</v>
      </c>
      <c r="E178" s="1334"/>
      <c r="F178" s="1335"/>
      <c r="G178" s="1333">
        <v>45351</v>
      </c>
      <c r="H178" s="1334"/>
      <c r="I178" s="1335"/>
      <c r="J178" s="317">
        <f t="shared" si="50"/>
        <v>29</v>
      </c>
      <c r="K178" s="327"/>
      <c r="L178" s="328"/>
      <c r="M178" s="329"/>
      <c r="N178" s="330"/>
      <c r="O178" s="331"/>
      <c r="P178" s="328"/>
      <c r="Q178" s="332"/>
      <c r="R178" s="333">
        <v>1</v>
      </c>
      <c r="S178" s="331" t="str">
        <f t="shared" si="52"/>
        <v>mês</v>
      </c>
      <c r="T178" s="320">
        <v>19</v>
      </c>
      <c r="U178" s="335"/>
      <c r="V178" s="291">
        <f t="shared" ca="1" si="47"/>
        <v>6</v>
      </c>
      <c r="W178" s="256">
        <f t="shared" ca="1" si="48"/>
        <v>2</v>
      </c>
      <c r="X178" s="256">
        <f t="shared" ca="1" si="49"/>
        <v>1</v>
      </c>
      <c r="Y178" s="336"/>
      <c r="Z178" s="336"/>
    </row>
    <row r="179" spans="1:26" s="337" customFormat="1" ht="15" x14ac:dyDescent="0.2">
      <c r="A179" s="288"/>
      <c r="B179" s="322"/>
      <c r="C179" s="397" t="s">
        <v>510</v>
      </c>
      <c r="D179" s="1333">
        <v>45352</v>
      </c>
      <c r="E179" s="1334"/>
      <c r="F179" s="1335"/>
      <c r="G179" s="1333">
        <v>45382</v>
      </c>
      <c r="H179" s="1334"/>
      <c r="I179" s="1335"/>
      <c r="J179" s="317">
        <f t="shared" ref="J179:J186" si="53">G179-D179+1</f>
        <v>31</v>
      </c>
      <c r="K179" s="327"/>
      <c r="L179" s="328"/>
      <c r="M179" s="329"/>
      <c r="N179" s="330"/>
      <c r="O179" s="331"/>
      <c r="P179" s="328"/>
      <c r="Q179" s="332"/>
      <c r="R179" s="333">
        <v>1</v>
      </c>
      <c r="S179" s="331" t="str">
        <f t="shared" si="52"/>
        <v>mês</v>
      </c>
      <c r="T179" s="320">
        <v>20</v>
      </c>
      <c r="U179" s="335"/>
      <c r="V179" s="291">
        <f t="shared" ca="1" si="47"/>
        <v>6</v>
      </c>
      <c r="W179" s="256">
        <f t="shared" ca="1" si="48"/>
        <v>2</v>
      </c>
      <c r="X179" s="256">
        <f t="shared" ca="1" si="49"/>
        <v>1</v>
      </c>
      <c r="Y179" s="336"/>
      <c r="Z179" s="336"/>
    </row>
    <row r="180" spans="1:26" s="337" customFormat="1" ht="15" x14ac:dyDescent="0.2">
      <c r="A180" s="288"/>
      <c r="B180" s="322"/>
      <c r="C180" s="397" t="s">
        <v>511</v>
      </c>
      <c r="D180" s="1333">
        <v>45383</v>
      </c>
      <c r="E180" s="1334"/>
      <c r="F180" s="1335"/>
      <c r="G180" s="1333">
        <v>45412</v>
      </c>
      <c r="H180" s="1334"/>
      <c r="I180" s="1335"/>
      <c r="J180" s="317">
        <f t="shared" si="53"/>
        <v>30</v>
      </c>
      <c r="K180" s="327"/>
      <c r="L180" s="328"/>
      <c r="M180" s="329"/>
      <c r="N180" s="330"/>
      <c r="O180" s="331"/>
      <c r="P180" s="328"/>
      <c r="Q180" s="332"/>
      <c r="R180" s="333">
        <v>1</v>
      </c>
      <c r="S180" s="331" t="str">
        <f t="shared" si="52"/>
        <v>mês</v>
      </c>
      <c r="T180" s="320">
        <v>21</v>
      </c>
      <c r="U180" s="335"/>
      <c r="V180" s="291">
        <f t="shared" ca="1" si="47"/>
        <v>6</v>
      </c>
      <c r="W180" s="256">
        <f t="shared" ca="1" si="48"/>
        <v>2</v>
      </c>
      <c r="X180" s="256">
        <f t="shared" ca="1" si="49"/>
        <v>1</v>
      </c>
      <c r="Y180" s="336"/>
      <c r="Z180" s="336"/>
    </row>
    <row r="181" spans="1:26" s="337" customFormat="1" ht="15" x14ac:dyDescent="0.2">
      <c r="A181" s="288"/>
      <c r="B181" s="322"/>
      <c r="C181" s="397" t="s">
        <v>690</v>
      </c>
      <c r="D181" s="1333">
        <v>45413</v>
      </c>
      <c r="E181" s="1334"/>
      <c r="F181" s="1335"/>
      <c r="G181" s="1333">
        <v>45443</v>
      </c>
      <c r="H181" s="1334"/>
      <c r="I181" s="1335"/>
      <c r="J181" s="317">
        <f t="shared" si="53"/>
        <v>31</v>
      </c>
      <c r="K181" s="327"/>
      <c r="L181" s="328"/>
      <c r="M181" s="329"/>
      <c r="N181" s="330"/>
      <c r="O181" s="331"/>
      <c r="P181" s="328"/>
      <c r="Q181" s="332"/>
      <c r="R181" s="333">
        <v>1</v>
      </c>
      <c r="S181" s="331" t="str">
        <f t="shared" si="52"/>
        <v>mês</v>
      </c>
      <c r="T181" s="320">
        <v>22</v>
      </c>
      <c r="U181" s="335"/>
      <c r="V181" s="291">
        <f t="shared" ca="1" si="47"/>
        <v>6</v>
      </c>
      <c r="W181" s="256">
        <f t="shared" ca="1" si="48"/>
        <v>2</v>
      </c>
      <c r="X181" s="256">
        <f t="shared" ca="1" si="49"/>
        <v>1</v>
      </c>
      <c r="Y181" s="336"/>
      <c r="Z181" s="336"/>
    </row>
    <row r="182" spans="1:26" s="337" customFormat="1" ht="15" x14ac:dyDescent="0.2">
      <c r="A182" s="288"/>
      <c r="B182" s="322"/>
      <c r="C182" s="397" t="s">
        <v>691</v>
      </c>
      <c r="D182" s="1333">
        <v>45444</v>
      </c>
      <c r="E182" s="1334"/>
      <c r="F182" s="1335"/>
      <c r="G182" s="1333">
        <v>45473</v>
      </c>
      <c r="H182" s="1334"/>
      <c r="I182" s="1335"/>
      <c r="J182" s="317">
        <f t="shared" si="53"/>
        <v>30</v>
      </c>
      <c r="K182" s="327"/>
      <c r="L182" s="328"/>
      <c r="M182" s="329"/>
      <c r="N182" s="330"/>
      <c r="O182" s="331"/>
      <c r="P182" s="328"/>
      <c r="Q182" s="332"/>
      <c r="R182" s="333">
        <v>1</v>
      </c>
      <c r="S182" s="331" t="str">
        <f t="shared" si="52"/>
        <v>mês</v>
      </c>
      <c r="T182" s="320">
        <v>23</v>
      </c>
      <c r="U182" s="335"/>
      <c r="V182" s="291">
        <f t="shared" ca="1" si="47"/>
        <v>6</v>
      </c>
      <c r="W182" s="256">
        <f t="shared" ca="1" si="48"/>
        <v>2</v>
      </c>
      <c r="X182" s="256">
        <f t="shared" ca="1" si="49"/>
        <v>1</v>
      </c>
      <c r="Y182" s="336"/>
      <c r="Z182" s="336"/>
    </row>
    <row r="183" spans="1:26" s="337" customFormat="1" ht="15" x14ac:dyDescent="0.2">
      <c r="A183" s="288"/>
      <c r="B183" s="322"/>
      <c r="C183" s="397" t="s">
        <v>692</v>
      </c>
      <c r="D183" s="1333">
        <v>45474</v>
      </c>
      <c r="E183" s="1334"/>
      <c r="F183" s="1335"/>
      <c r="G183" s="1333">
        <v>45504</v>
      </c>
      <c r="H183" s="1334"/>
      <c r="I183" s="1335"/>
      <c r="J183" s="317">
        <f t="shared" si="53"/>
        <v>31</v>
      </c>
      <c r="K183" s="327"/>
      <c r="L183" s="328"/>
      <c r="M183" s="329"/>
      <c r="N183" s="330"/>
      <c r="O183" s="331"/>
      <c r="P183" s="328"/>
      <c r="Q183" s="332"/>
      <c r="R183" s="333">
        <v>1</v>
      </c>
      <c r="S183" s="331" t="str">
        <f t="shared" si="52"/>
        <v>mês</v>
      </c>
      <c r="T183" s="320">
        <v>24</v>
      </c>
      <c r="U183" s="335"/>
      <c r="V183" s="291">
        <f t="shared" ca="1" si="47"/>
        <v>6</v>
      </c>
      <c r="W183" s="256">
        <f t="shared" ca="1" si="48"/>
        <v>2</v>
      </c>
      <c r="X183" s="256">
        <f t="shared" ca="1" si="49"/>
        <v>1</v>
      </c>
      <c r="Y183" s="336"/>
      <c r="Z183" s="336"/>
    </row>
    <row r="184" spans="1:26" s="337" customFormat="1" ht="15" x14ac:dyDescent="0.2">
      <c r="A184" s="288"/>
      <c r="B184" s="322"/>
      <c r="C184" s="397" t="s">
        <v>503</v>
      </c>
      <c r="D184" s="1333">
        <v>45505</v>
      </c>
      <c r="E184" s="1334"/>
      <c r="F184" s="1335"/>
      <c r="G184" s="1333">
        <v>45535</v>
      </c>
      <c r="H184" s="1334"/>
      <c r="I184" s="1335"/>
      <c r="J184" s="317">
        <f t="shared" si="53"/>
        <v>31</v>
      </c>
      <c r="K184" s="327"/>
      <c r="L184" s="328"/>
      <c r="M184" s="329"/>
      <c r="N184" s="330"/>
      <c r="O184" s="331"/>
      <c r="P184" s="328"/>
      <c r="Q184" s="332"/>
      <c r="R184" s="333">
        <v>1</v>
      </c>
      <c r="S184" s="331" t="str">
        <f t="shared" si="52"/>
        <v>mês</v>
      </c>
      <c r="T184" s="320">
        <v>25</v>
      </c>
      <c r="U184" s="335"/>
      <c r="V184" s="291">
        <f t="shared" ca="1" si="47"/>
        <v>6</v>
      </c>
      <c r="W184" s="256">
        <f t="shared" ca="1" si="48"/>
        <v>2</v>
      </c>
      <c r="X184" s="256">
        <f t="shared" ca="1" si="49"/>
        <v>1</v>
      </c>
      <c r="Y184" s="336"/>
      <c r="Z184" s="336"/>
    </row>
    <row r="185" spans="1:26" s="337" customFormat="1" ht="15" x14ac:dyDescent="0.2">
      <c r="A185" s="288"/>
      <c r="B185" s="322"/>
      <c r="C185" s="397" t="s">
        <v>504</v>
      </c>
      <c r="D185" s="1333">
        <v>45536</v>
      </c>
      <c r="E185" s="1334"/>
      <c r="F185" s="1335"/>
      <c r="G185" s="1333">
        <v>45565</v>
      </c>
      <c r="H185" s="1334"/>
      <c r="I185" s="1335"/>
      <c r="J185" s="317">
        <f t="shared" si="53"/>
        <v>30</v>
      </c>
      <c r="K185" s="327"/>
      <c r="L185" s="328"/>
      <c r="M185" s="329"/>
      <c r="N185" s="330"/>
      <c r="O185" s="331"/>
      <c r="P185" s="328"/>
      <c r="Q185" s="332"/>
      <c r="R185" s="333">
        <v>1</v>
      </c>
      <c r="S185" s="331" t="str">
        <f t="shared" si="52"/>
        <v>mês</v>
      </c>
      <c r="T185" s="320">
        <v>26</v>
      </c>
      <c r="U185" s="335"/>
      <c r="V185" s="291">
        <f t="shared" ca="1" si="47"/>
        <v>6</v>
      </c>
      <c r="W185" s="256">
        <f t="shared" ca="1" si="48"/>
        <v>2</v>
      </c>
      <c r="X185" s="256">
        <f t="shared" ca="1" si="49"/>
        <v>1</v>
      </c>
      <c r="Y185" s="336"/>
      <c r="Z185" s="336"/>
    </row>
    <row r="186" spans="1:26" s="337" customFormat="1" ht="15" x14ac:dyDescent="0.2">
      <c r="A186" s="288"/>
      <c r="B186" s="322"/>
      <c r="C186" s="397" t="s">
        <v>505</v>
      </c>
      <c r="D186" s="1333">
        <v>45566</v>
      </c>
      <c r="E186" s="1334"/>
      <c r="F186" s="1335"/>
      <c r="G186" s="1333">
        <v>45596</v>
      </c>
      <c r="H186" s="1334"/>
      <c r="I186" s="1335"/>
      <c r="J186" s="317">
        <f t="shared" si="53"/>
        <v>31</v>
      </c>
      <c r="K186" s="327"/>
      <c r="L186" s="328"/>
      <c r="M186" s="329"/>
      <c r="N186" s="330"/>
      <c r="O186" s="331"/>
      <c r="P186" s="328"/>
      <c r="Q186" s="332"/>
      <c r="R186" s="333">
        <v>1</v>
      </c>
      <c r="S186" s="331" t="str">
        <f t="shared" si="52"/>
        <v>mês</v>
      </c>
      <c r="T186" s="320">
        <v>27</v>
      </c>
      <c r="U186" s="335"/>
      <c r="V186" s="291">
        <f t="shared" ca="1" si="47"/>
        <v>6</v>
      </c>
      <c r="W186" s="256">
        <f t="shared" ca="1" si="48"/>
        <v>2</v>
      </c>
      <c r="X186" s="256">
        <f t="shared" ca="1" si="49"/>
        <v>1</v>
      </c>
      <c r="Y186" s="336"/>
      <c r="Z186" s="336"/>
    </row>
    <row r="187" spans="1:26" s="337" customFormat="1" ht="15" x14ac:dyDescent="0.2">
      <c r="A187" s="288"/>
      <c r="B187" s="322"/>
      <c r="C187" s="397" t="s">
        <v>507</v>
      </c>
      <c r="D187" s="1333">
        <v>45627</v>
      </c>
      <c r="E187" s="1334"/>
      <c r="F187" s="1335"/>
      <c r="G187" s="1333">
        <v>45657</v>
      </c>
      <c r="H187" s="1334"/>
      <c r="I187" s="1335"/>
      <c r="J187" s="317">
        <f>G187-D187+1</f>
        <v>31</v>
      </c>
      <c r="K187" s="327"/>
      <c r="L187" s="328"/>
      <c r="M187" s="329"/>
      <c r="N187" s="330"/>
      <c r="O187" s="331"/>
      <c r="P187" s="328"/>
      <c r="Q187" s="332"/>
      <c r="R187" s="333">
        <v>1</v>
      </c>
      <c r="S187" s="331" t="str">
        <f t="shared" si="52"/>
        <v>mês</v>
      </c>
      <c r="T187" s="320">
        <v>29</v>
      </c>
      <c r="U187" s="335"/>
      <c r="V187" s="291">
        <f t="shared" ca="1" si="47"/>
        <v>6</v>
      </c>
      <c r="W187" s="256">
        <f t="shared" ca="1" si="48"/>
        <v>2</v>
      </c>
      <c r="X187" s="256">
        <f t="shared" ca="1" si="49"/>
        <v>1</v>
      </c>
      <c r="Y187" s="336"/>
      <c r="Z187" s="336"/>
    </row>
    <row r="188" spans="1:26" s="337" customFormat="1" ht="15" x14ac:dyDescent="0.2">
      <c r="A188" s="288"/>
      <c r="B188" s="322"/>
      <c r="C188" s="397" t="s">
        <v>506</v>
      </c>
      <c r="D188" s="1333">
        <v>45597</v>
      </c>
      <c r="E188" s="1334"/>
      <c r="F188" s="1335"/>
      <c r="G188" s="1333">
        <v>45626</v>
      </c>
      <c r="H188" s="1334"/>
      <c r="I188" s="1335"/>
      <c r="J188" s="317">
        <f>G188-D188+1</f>
        <v>30</v>
      </c>
      <c r="K188" s="327"/>
      <c r="L188" s="328"/>
      <c r="M188" s="329"/>
      <c r="N188" s="330"/>
      <c r="O188" s="331"/>
      <c r="P188" s="328"/>
      <c r="Q188" s="332"/>
      <c r="R188" s="333">
        <v>1</v>
      </c>
      <c r="S188" s="331" t="str">
        <f t="shared" si="52"/>
        <v>mês</v>
      </c>
      <c r="T188" s="320">
        <v>28</v>
      </c>
      <c r="U188" s="335"/>
      <c r="V188" s="291">
        <f t="shared" ca="1" si="47"/>
        <v>6</v>
      </c>
      <c r="W188" s="256">
        <f t="shared" ca="1" si="48"/>
        <v>2</v>
      </c>
      <c r="X188" s="256">
        <f t="shared" ca="1" si="49"/>
        <v>1</v>
      </c>
      <c r="Y188" s="336"/>
      <c r="Z188" s="336"/>
    </row>
    <row r="189" spans="1:26" s="337" customFormat="1" ht="15" x14ac:dyDescent="0.2">
      <c r="A189" s="288"/>
      <c r="B189" s="322"/>
      <c r="C189" s="397" t="s">
        <v>508</v>
      </c>
      <c r="D189" s="1333">
        <v>45658</v>
      </c>
      <c r="E189" s="1334"/>
      <c r="F189" s="1335"/>
      <c r="G189" s="1333">
        <v>45688</v>
      </c>
      <c r="H189" s="1334"/>
      <c r="I189" s="1335"/>
      <c r="J189" s="317">
        <f>G189-D189+1</f>
        <v>31</v>
      </c>
      <c r="K189" s="327"/>
      <c r="L189" s="328"/>
      <c r="M189" s="329"/>
      <c r="N189" s="330"/>
      <c r="O189" s="331"/>
      <c r="P189" s="328"/>
      <c r="Q189" s="332"/>
      <c r="R189" s="333">
        <v>1</v>
      </c>
      <c r="S189" s="331" t="str">
        <f t="shared" si="52"/>
        <v>mês</v>
      </c>
      <c r="T189" s="320">
        <v>30</v>
      </c>
      <c r="U189" s="335"/>
      <c r="V189" s="291">
        <f t="shared" ca="1" si="47"/>
        <v>6</v>
      </c>
      <c r="W189" s="256">
        <f t="shared" ca="1" si="48"/>
        <v>2</v>
      </c>
      <c r="X189" s="256">
        <f t="shared" ca="1" si="49"/>
        <v>1</v>
      </c>
      <c r="Y189" s="336"/>
      <c r="Z189" s="336"/>
    </row>
    <row r="190" spans="1:26" s="337" customFormat="1" ht="15" x14ac:dyDescent="0.2">
      <c r="A190" s="288"/>
      <c r="B190" s="322"/>
      <c r="C190" s="397" t="s">
        <v>509</v>
      </c>
      <c r="D190" s="1333">
        <v>45689</v>
      </c>
      <c r="E190" s="1334"/>
      <c r="F190" s="1335"/>
      <c r="G190" s="1333">
        <v>45716</v>
      </c>
      <c r="H190" s="1334"/>
      <c r="I190" s="1335"/>
      <c r="J190" s="317">
        <f>G190-D190+1</f>
        <v>28</v>
      </c>
      <c r="K190" s="327"/>
      <c r="L190" s="328"/>
      <c r="M190" s="329"/>
      <c r="N190" s="330"/>
      <c r="O190" s="331"/>
      <c r="P190" s="328"/>
      <c r="Q190" s="332"/>
      <c r="R190" s="333">
        <v>1</v>
      </c>
      <c r="S190" s="331" t="str">
        <f t="shared" si="52"/>
        <v>mês</v>
      </c>
      <c r="T190" s="320">
        <v>31</v>
      </c>
      <c r="U190" s="335"/>
      <c r="V190" s="291">
        <f t="shared" ca="1" si="47"/>
        <v>6</v>
      </c>
      <c r="W190" s="256">
        <f t="shared" ca="1" si="48"/>
        <v>2</v>
      </c>
      <c r="X190" s="256">
        <f t="shared" ca="1" si="49"/>
        <v>1</v>
      </c>
      <c r="Y190" s="336"/>
      <c r="Z190" s="336"/>
    </row>
    <row r="191" spans="1:26" s="337" customFormat="1" ht="15" x14ac:dyDescent="0.2">
      <c r="A191" s="288"/>
      <c r="B191" s="322"/>
      <c r="C191" s="397" t="s">
        <v>510</v>
      </c>
      <c r="D191" s="1333">
        <v>45717</v>
      </c>
      <c r="E191" s="1334"/>
      <c r="F191" s="1335"/>
      <c r="G191" s="1333">
        <v>45747</v>
      </c>
      <c r="H191" s="1334"/>
      <c r="I191" s="1335"/>
      <c r="J191" s="317">
        <f t="shared" ref="J191:J192" si="54">G191-D191+1</f>
        <v>31</v>
      </c>
      <c r="K191" s="327"/>
      <c r="L191" s="328"/>
      <c r="M191" s="329"/>
      <c r="N191" s="330"/>
      <c r="O191" s="331"/>
      <c r="P191" s="328"/>
      <c r="Q191" s="332"/>
      <c r="R191" s="333">
        <v>1</v>
      </c>
      <c r="S191" s="331" t="str">
        <f t="shared" si="52"/>
        <v>mês</v>
      </c>
      <c r="T191" s="320">
        <v>32</v>
      </c>
      <c r="U191" s="335"/>
      <c r="V191" s="291">
        <f t="shared" ca="1" si="47"/>
        <v>6</v>
      </c>
      <c r="W191" s="256">
        <f t="shared" ca="1" si="48"/>
        <v>2</v>
      </c>
      <c r="X191" s="256">
        <f t="shared" ca="1" si="49"/>
        <v>1</v>
      </c>
      <c r="Y191" s="336"/>
      <c r="Z191" s="336"/>
    </row>
    <row r="192" spans="1:26" s="337" customFormat="1" ht="15" x14ac:dyDescent="0.2">
      <c r="A192" s="288"/>
      <c r="B192" s="322"/>
      <c r="C192" s="397" t="s">
        <v>511</v>
      </c>
      <c r="D192" s="1333">
        <v>45748</v>
      </c>
      <c r="E192" s="1334"/>
      <c r="F192" s="1335"/>
      <c r="G192" s="1333">
        <v>45777</v>
      </c>
      <c r="H192" s="1334"/>
      <c r="I192" s="1335"/>
      <c r="J192" s="317">
        <f t="shared" si="54"/>
        <v>30</v>
      </c>
      <c r="K192" s="327"/>
      <c r="L192" s="328"/>
      <c r="M192" s="329"/>
      <c r="N192" s="330"/>
      <c r="O192" s="331"/>
      <c r="P192" s="328"/>
      <c r="Q192" s="332"/>
      <c r="R192" s="333">
        <v>1</v>
      </c>
      <c r="S192" s="331" t="str">
        <f t="shared" si="52"/>
        <v>mês</v>
      </c>
      <c r="T192" s="320">
        <v>33</v>
      </c>
      <c r="U192" s="335"/>
      <c r="V192" s="291">
        <f t="shared" ca="1" si="47"/>
        <v>6</v>
      </c>
      <c r="W192" s="256">
        <f t="shared" ca="1" si="48"/>
        <v>2</v>
      </c>
      <c r="X192" s="256">
        <f t="shared" ca="1" si="49"/>
        <v>1</v>
      </c>
      <c r="Y192" s="336"/>
      <c r="Z192" s="336"/>
    </row>
    <row r="193" spans="1:26" s="337" customFormat="1" ht="15" x14ac:dyDescent="0.2">
      <c r="A193" s="288"/>
      <c r="B193" s="494"/>
      <c r="C193" s="397" t="s">
        <v>690</v>
      </c>
      <c r="D193" s="1333">
        <v>45778</v>
      </c>
      <c r="E193" s="1334"/>
      <c r="F193" s="1335"/>
      <c r="G193" s="1333">
        <v>45808</v>
      </c>
      <c r="H193" s="1334"/>
      <c r="I193" s="1335"/>
      <c r="J193" s="317">
        <f>G193-D193+1</f>
        <v>31</v>
      </c>
      <c r="K193" s="327"/>
      <c r="L193" s="328"/>
      <c r="M193" s="329"/>
      <c r="N193" s="330"/>
      <c r="O193" s="331"/>
      <c r="P193" s="328"/>
      <c r="Q193" s="332"/>
      <c r="R193" s="333">
        <v>1</v>
      </c>
      <c r="S193" s="331" t="str">
        <f t="shared" si="52"/>
        <v>mês</v>
      </c>
      <c r="T193" s="320">
        <v>35</v>
      </c>
      <c r="U193" s="574"/>
      <c r="V193" s="291">
        <f t="shared" ca="1" si="47"/>
        <v>6</v>
      </c>
      <c r="W193" s="256">
        <f t="shared" ca="1" si="48"/>
        <v>2</v>
      </c>
      <c r="X193" s="256">
        <f t="shared" ca="1" si="49"/>
        <v>1</v>
      </c>
      <c r="Y193" s="336"/>
      <c r="Z193" s="336"/>
    </row>
    <row r="194" spans="1:26" s="337" customFormat="1" ht="15" x14ac:dyDescent="0.2">
      <c r="A194" s="288"/>
      <c r="B194" s="494"/>
      <c r="C194" s="397" t="s">
        <v>691</v>
      </c>
      <c r="D194" s="1333">
        <v>45809</v>
      </c>
      <c r="E194" s="1334"/>
      <c r="F194" s="1335"/>
      <c r="G194" s="1333">
        <v>45838</v>
      </c>
      <c r="H194" s="1334"/>
      <c r="I194" s="1335"/>
      <c r="J194" s="317">
        <f>G194-D194+1</f>
        <v>30</v>
      </c>
      <c r="K194" s="327"/>
      <c r="L194" s="328"/>
      <c r="M194" s="329"/>
      <c r="N194" s="330"/>
      <c r="O194" s="331"/>
      <c r="P194" s="328"/>
      <c r="Q194" s="332"/>
      <c r="R194" s="333">
        <v>1</v>
      </c>
      <c r="S194" s="331" t="str">
        <f t="shared" si="52"/>
        <v>mês</v>
      </c>
      <c r="T194" s="320">
        <v>35</v>
      </c>
      <c r="U194" s="574"/>
      <c r="V194" s="291">
        <f t="shared" ca="1" si="47"/>
        <v>6</v>
      </c>
      <c r="W194" s="256">
        <f t="shared" ca="1" si="48"/>
        <v>2</v>
      </c>
      <c r="X194" s="256">
        <f t="shared" ca="1" si="49"/>
        <v>1</v>
      </c>
      <c r="Y194" s="336"/>
      <c r="Z194" s="336"/>
    </row>
    <row r="195" spans="1:26" s="337" customFormat="1" ht="15" x14ac:dyDescent="0.2">
      <c r="A195" s="288"/>
      <c r="B195" s="494"/>
      <c r="C195" s="397" t="s">
        <v>692</v>
      </c>
      <c r="D195" s="1333">
        <v>45839</v>
      </c>
      <c r="E195" s="1334"/>
      <c r="F195" s="1335"/>
      <c r="G195" s="1333">
        <v>45869</v>
      </c>
      <c r="H195" s="1334"/>
      <c r="I195" s="1335"/>
      <c r="J195" s="317">
        <f t="shared" ref="J195:J212" si="55">G195-D195+1</f>
        <v>31</v>
      </c>
      <c r="K195" s="327"/>
      <c r="L195" s="328"/>
      <c r="M195" s="329"/>
      <c r="N195" s="330"/>
      <c r="O195" s="331"/>
      <c r="P195" s="328"/>
      <c r="Q195" s="332"/>
      <c r="R195" s="333">
        <v>1</v>
      </c>
      <c r="S195" s="331" t="str">
        <f t="shared" si="52"/>
        <v>mês</v>
      </c>
      <c r="T195" s="320">
        <v>35</v>
      </c>
      <c r="U195" s="574"/>
      <c r="V195" s="291">
        <f t="shared" ca="1" si="47"/>
        <v>6</v>
      </c>
      <c r="W195" s="256">
        <f t="shared" ca="1" si="48"/>
        <v>2</v>
      </c>
      <c r="X195" s="256">
        <f t="shared" ca="1" si="49"/>
        <v>1</v>
      </c>
      <c r="Y195" s="336"/>
      <c r="Z195" s="336"/>
    </row>
    <row r="196" spans="1:26" s="337" customFormat="1" ht="15" x14ac:dyDescent="0.2">
      <c r="A196" s="288"/>
      <c r="B196" s="494"/>
      <c r="C196" s="397" t="s">
        <v>503</v>
      </c>
      <c r="D196" s="1333">
        <v>45870</v>
      </c>
      <c r="E196" s="1334"/>
      <c r="F196" s="1335"/>
      <c r="G196" s="1333">
        <v>45900</v>
      </c>
      <c r="H196" s="1334"/>
      <c r="I196" s="1335"/>
      <c r="J196" s="317">
        <f t="shared" si="55"/>
        <v>31</v>
      </c>
      <c r="K196" s="327"/>
      <c r="L196" s="328"/>
      <c r="M196" s="329"/>
      <c r="N196" s="330"/>
      <c r="O196" s="331"/>
      <c r="P196" s="328"/>
      <c r="Q196" s="332"/>
      <c r="R196" s="333">
        <v>1</v>
      </c>
      <c r="S196" s="331" t="str">
        <f t="shared" ref="S196:S202" si="56">$S$156</f>
        <v>mês</v>
      </c>
      <c r="T196" s="320">
        <v>36</v>
      </c>
      <c r="U196" s="574"/>
      <c r="V196" s="291">
        <f t="shared" ca="1" si="47"/>
        <v>6</v>
      </c>
      <c r="W196" s="256">
        <f t="shared" ca="1" si="48"/>
        <v>2</v>
      </c>
      <c r="X196" s="256">
        <f t="shared" ca="1" si="49"/>
        <v>1</v>
      </c>
      <c r="Y196" s="336"/>
      <c r="Z196" s="336"/>
    </row>
    <row r="197" spans="1:26" s="337" customFormat="1" ht="15" x14ac:dyDescent="0.2">
      <c r="A197" s="288"/>
      <c r="B197" s="494"/>
      <c r="C197" s="397" t="s">
        <v>1191</v>
      </c>
      <c r="D197" s="1333">
        <v>45901</v>
      </c>
      <c r="E197" s="1334"/>
      <c r="F197" s="1335"/>
      <c r="G197" s="1333">
        <v>45930</v>
      </c>
      <c r="H197" s="1334"/>
      <c r="I197" s="1335"/>
      <c r="J197" s="317">
        <f t="shared" si="55"/>
        <v>30</v>
      </c>
      <c r="K197" s="327"/>
      <c r="L197" s="328"/>
      <c r="M197" s="329"/>
      <c r="N197" s="330"/>
      <c r="O197" s="331"/>
      <c r="P197" s="328"/>
      <c r="Q197" s="332"/>
      <c r="R197" s="333">
        <v>1</v>
      </c>
      <c r="S197" s="331" t="str">
        <f t="shared" si="56"/>
        <v>mês</v>
      </c>
      <c r="T197" s="320">
        <v>37</v>
      </c>
      <c r="U197" s="574"/>
      <c r="V197" s="291">
        <f t="shared" ca="1" si="47"/>
        <v>6</v>
      </c>
      <c r="W197" s="256">
        <f t="shared" ca="1" si="48"/>
        <v>2</v>
      </c>
      <c r="X197" s="256">
        <f t="shared" ca="1" si="49"/>
        <v>1</v>
      </c>
      <c r="Y197" s="336"/>
      <c r="Z197" s="336"/>
    </row>
    <row r="198" spans="1:26" s="337" customFormat="1" ht="15" x14ac:dyDescent="0.2">
      <c r="A198" s="288"/>
      <c r="B198" s="494"/>
      <c r="C198" s="397" t="s">
        <v>1192</v>
      </c>
      <c r="D198" s="1333">
        <v>45901</v>
      </c>
      <c r="E198" s="1334"/>
      <c r="F198" s="1335"/>
      <c r="G198" s="1333">
        <v>45930</v>
      </c>
      <c r="H198" s="1334"/>
      <c r="I198" s="1335"/>
      <c r="J198" s="317">
        <f t="shared" si="55"/>
        <v>30</v>
      </c>
      <c r="K198" s="327"/>
      <c r="L198" s="328"/>
      <c r="M198" s="329"/>
      <c r="N198" s="330"/>
      <c r="O198" s="331"/>
      <c r="P198" s="328"/>
      <c r="Q198" s="332"/>
      <c r="R198" s="333">
        <v>1</v>
      </c>
      <c r="S198" s="331" t="str">
        <f t="shared" si="56"/>
        <v>mês</v>
      </c>
      <c r="T198" s="320">
        <v>37</v>
      </c>
      <c r="U198" s="574" t="s">
        <v>1193</v>
      </c>
      <c r="V198" s="291">
        <f t="shared" ca="1" si="47"/>
        <v>6</v>
      </c>
      <c r="W198" s="256">
        <f t="shared" ca="1" si="48"/>
        <v>2</v>
      </c>
      <c r="X198" s="256">
        <f t="shared" ca="1" si="49"/>
        <v>1</v>
      </c>
      <c r="Y198" s="336"/>
      <c r="Z198" s="336"/>
    </row>
    <row r="199" spans="1:26" s="337" customFormat="1" ht="15" x14ac:dyDescent="0.2">
      <c r="A199" s="288"/>
      <c r="B199" s="494"/>
      <c r="C199" s="397" t="s">
        <v>1225</v>
      </c>
      <c r="D199" s="1333">
        <v>45931</v>
      </c>
      <c r="E199" s="1334"/>
      <c r="F199" s="1335"/>
      <c r="G199" s="1333">
        <v>45961</v>
      </c>
      <c r="H199" s="1334"/>
      <c r="I199" s="1335"/>
      <c r="J199" s="317">
        <f t="shared" si="55"/>
        <v>31</v>
      </c>
      <c r="K199" s="327"/>
      <c r="L199" s="328"/>
      <c r="M199" s="329"/>
      <c r="N199" s="330"/>
      <c r="O199" s="331"/>
      <c r="P199" s="328"/>
      <c r="Q199" s="332"/>
      <c r="R199" s="333">
        <v>1</v>
      </c>
      <c r="S199" s="331" t="str">
        <f t="shared" si="56"/>
        <v>mês</v>
      </c>
      <c r="T199" s="320">
        <v>38</v>
      </c>
      <c r="U199" s="574"/>
      <c r="V199" s="291">
        <f t="shared" ca="1" si="47"/>
        <v>6</v>
      </c>
      <c r="W199" s="256">
        <f t="shared" ca="1" si="48"/>
        <v>2</v>
      </c>
      <c r="X199" s="256">
        <f t="shared" ca="1" si="49"/>
        <v>1</v>
      </c>
      <c r="Y199" s="336"/>
      <c r="Z199" s="336"/>
    </row>
    <row r="200" spans="1:26" s="337" customFormat="1" ht="15" x14ac:dyDescent="0.2">
      <c r="A200" s="288"/>
      <c r="B200" s="494"/>
      <c r="C200" s="397" t="s">
        <v>1226</v>
      </c>
      <c r="D200" s="1333">
        <v>45931</v>
      </c>
      <c r="E200" s="1334"/>
      <c r="F200" s="1335"/>
      <c r="G200" s="1333">
        <v>45961</v>
      </c>
      <c r="H200" s="1334"/>
      <c r="I200" s="1335"/>
      <c r="J200" s="317">
        <f t="shared" si="55"/>
        <v>31</v>
      </c>
      <c r="K200" s="327"/>
      <c r="L200" s="328"/>
      <c r="M200" s="329"/>
      <c r="N200" s="330"/>
      <c r="O200" s="331"/>
      <c r="P200" s="328"/>
      <c r="Q200" s="332"/>
      <c r="R200" s="333">
        <v>1</v>
      </c>
      <c r="S200" s="331" t="str">
        <f t="shared" si="56"/>
        <v>mês</v>
      </c>
      <c r="T200" s="320">
        <v>38</v>
      </c>
      <c r="U200" s="574"/>
      <c r="V200" s="291">
        <f t="shared" ca="1" si="47"/>
        <v>6</v>
      </c>
      <c r="W200" s="256">
        <f t="shared" ca="1" si="48"/>
        <v>2</v>
      </c>
      <c r="X200" s="256">
        <f t="shared" ca="1" si="49"/>
        <v>1</v>
      </c>
      <c r="Y200" s="336"/>
      <c r="Z200" s="336"/>
    </row>
    <row r="201" spans="1:26" s="337" customFormat="1" ht="15" x14ac:dyDescent="0.2">
      <c r="A201" s="288"/>
      <c r="B201" s="494"/>
      <c r="C201" s="397" t="s">
        <v>1236</v>
      </c>
      <c r="D201" s="1333">
        <v>45962</v>
      </c>
      <c r="E201" s="1334"/>
      <c r="F201" s="1335"/>
      <c r="G201" s="1333">
        <v>45991</v>
      </c>
      <c r="H201" s="1334"/>
      <c r="I201" s="1335"/>
      <c r="J201" s="317">
        <f t="shared" si="55"/>
        <v>30</v>
      </c>
      <c r="K201" s="327"/>
      <c r="L201" s="328"/>
      <c r="M201" s="329"/>
      <c r="N201" s="330"/>
      <c r="O201" s="331"/>
      <c r="P201" s="328"/>
      <c r="Q201" s="332"/>
      <c r="R201" s="333">
        <v>1</v>
      </c>
      <c r="S201" s="331" t="str">
        <f t="shared" si="56"/>
        <v>mês</v>
      </c>
      <c r="T201" s="320">
        <v>39</v>
      </c>
      <c r="U201" s="574"/>
      <c r="V201" s="291">
        <f t="shared" ca="1" si="47"/>
        <v>6</v>
      </c>
      <c r="W201" s="256">
        <f t="shared" ca="1" si="48"/>
        <v>2</v>
      </c>
      <c r="X201" s="256">
        <f t="shared" ca="1" si="49"/>
        <v>1</v>
      </c>
      <c r="Y201" s="336"/>
      <c r="Z201" s="336"/>
    </row>
    <row r="202" spans="1:26" s="337" customFormat="1" ht="15" x14ac:dyDescent="0.2">
      <c r="A202" s="288"/>
      <c r="B202" s="494"/>
      <c r="C202" s="397" t="s">
        <v>1237</v>
      </c>
      <c r="D202" s="1333">
        <v>45962</v>
      </c>
      <c r="E202" s="1334"/>
      <c r="F202" s="1335"/>
      <c r="G202" s="1333">
        <v>45991</v>
      </c>
      <c r="H202" s="1334"/>
      <c r="I202" s="1335"/>
      <c r="J202" s="317">
        <f t="shared" si="55"/>
        <v>30</v>
      </c>
      <c r="K202" s="327"/>
      <c r="L202" s="328"/>
      <c r="M202" s="329"/>
      <c r="N202" s="330"/>
      <c r="O202" s="331"/>
      <c r="P202" s="328"/>
      <c r="Q202" s="332"/>
      <c r="R202" s="333">
        <v>1</v>
      </c>
      <c r="S202" s="331" t="str">
        <f t="shared" si="56"/>
        <v>mês</v>
      </c>
      <c r="T202" s="320">
        <v>39</v>
      </c>
      <c r="U202" s="574"/>
      <c r="V202" s="291">
        <f t="shared" ca="1" si="47"/>
        <v>6</v>
      </c>
      <c r="W202" s="256">
        <f t="shared" ca="1" si="48"/>
        <v>2</v>
      </c>
      <c r="X202" s="256">
        <f t="shared" ca="1" si="49"/>
        <v>1</v>
      </c>
      <c r="Y202" s="336"/>
      <c r="Z202" s="336"/>
    </row>
    <row r="203" spans="1:26" s="337" customFormat="1" ht="15" x14ac:dyDescent="0.2">
      <c r="A203" s="288"/>
      <c r="B203" s="494"/>
      <c r="C203" s="397" t="s">
        <v>1278</v>
      </c>
      <c r="D203" s="1333">
        <v>45992</v>
      </c>
      <c r="E203" s="1334"/>
      <c r="F203" s="1335"/>
      <c r="G203" s="1333">
        <v>46022</v>
      </c>
      <c r="H203" s="1334"/>
      <c r="I203" s="1335"/>
      <c r="J203" s="317">
        <f t="shared" si="55"/>
        <v>31</v>
      </c>
      <c r="K203" s="327"/>
      <c r="L203" s="328"/>
      <c r="M203" s="329"/>
      <c r="N203" s="330"/>
      <c r="O203" s="331"/>
      <c r="P203" s="328"/>
      <c r="Q203" s="332"/>
      <c r="R203" s="333">
        <v>1</v>
      </c>
      <c r="S203" s="331" t="str">
        <f t="shared" ref="S203:S204" si="57">$S$154</f>
        <v>mês</v>
      </c>
      <c r="T203" s="320">
        <v>40</v>
      </c>
      <c r="U203" s="574"/>
      <c r="V203" s="291">
        <f t="shared" ca="1" si="47"/>
        <v>6</v>
      </c>
      <c r="W203" s="256">
        <f t="shared" ca="1" si="48"/>
        <v>2</v>
      </c>
      <c r="X203" s="256">
        <f t="shared" ca="1" si="49"/>
        <v>1</v>
      </c>
      <c r="Y203" s="336"/>
      <c r="Z203" s="336"/>
    </row>
    <row r="204" spans="1:26" s="337" customFormat="1" ht="15" x14ac:dyDescent="0.2">
      <c r="A204" s="288"/>
      <c r="B204" s="494"/>
      <c r="C204" s="397" t="s">
        <v>1279</v>
      </c>
      <c r="D204" s="1333">
        <v>45992</v>
      </c>
      <c r="E204" s="1334"/>
      <c r="F204" s="1335"/>
      <c r="G204" s="1333">
        <v>46022</v>
      </c>
      <c r="H204" s="1334"/>
      <c r="I204" s="1335"/>
      <c r="J204" s="317">
        <f t="shared" si="55"/>
        <v>31</v>
      </c>
      <c r="K204" s="327"/>
      <c r="L204" s="328"/>
      <c r="M204" s="329"/>
      <c r="N204" s="330"/>
      <c r="O204" s="331"/>
      <c r="P204" s="328"/>
      <c r="Q204" s="332"/>
      <c r="R204" s="333">
        <v>1</v>
      </c>
      <c r="S204" s="331" t="str">
        <f t="shared" si="57"/>
        <v>mês</v>
      </c>
      <c r="T204" s="320">
        <v>40</v>
      </c>
      <c r="U204" s="574"/>
      <c r="V204" s="291">
        <f t="shared" ca="1" si="47"/>
        <v>6</v>
      </c>
      <c r="W204" s="256">
        <f t="shared" ca="1" si="48"/>
        <v>2</v>
      </c>
      <c r="X204" s="256">
        <f t="shared" ca="1" si="49"/>
        <v>1</v>
      </c>
      <c r="Y204" s="336"/>
      <c r="Z204" s="336"/>
    </row>
    <row r="205" spans="1:26" s="337" customFormat="1" ht="15" x14ac:dyDescent="0.2">
      <c r="A205" s="288"/>
      <c r="B205" s="494"/>
      <c r="C205" s="397" t="s">
        <v>1353</v>
      </c>
      <c r="D205" s="1333">
        <v>46023</v>
      </c>
      <c r="E205" s="1334"/>
      <c r="F205" s="1335"/>
      <c r="G205" s="1333">
        <v>46053</v>
      </c>
      <c r="H205" s="1334"/>
      <c r="I205" s="1335"/>
      <c r="J205" s="317">
        <f t="shared" si="55"/>
        <v>31</v>
      </c>
      <c r="K205" s="327"/>
      <c r="L205" s="328"/>
      <c r="M205" s="329"/>
      <c r="N205" s="330"/>
      <c r="O205" s="331"/>
      <c r="P205" s="328"/>
      <c r="Q205" s="332"/>
      <c r="R205" s="333">
        <v>1</v>
      </c>
      <c r="S205" s="331" t="str">
        <f t="shared" ref="S205:S212" si="58">$S$150</f>
        <v>mês</v>
      </c>
      <c r="T205" s="320">
        <v>41</v>
      </c>
      <c r="U205" s="574"/>
      <c r="V205" s="291">
        <f t="shared" ca="1" si="47"/>
        <v>6</v>
      </c>
      <c r="W205" s="256">
        <f t="shared" ca="1" si="48"/>
        <v>2</v>
      </c>
      <c r="X205" s="256">
        <f t="shared" ca="1" si="49"/>
        <v>1</v>
      </c>
      <c r="Y205" s="336"/>
      <c r="Z205" s="336"/>
    </row>
    <row r="206" spans="1:26" s="337" customFormat="1" ht="15" x14ac:dyDescent="0.2">
      <c r="A206" s="288"/>
      <c r="B206" s="494"/>
      <c r="C206" s="397" t="s">
        <v>1354</v>
      </c>
      <c r="D206" s="1333">
        <v>46023</v>
      </c>
      <c r="E206" s="1334"/>
      <c r="F206" s="1335"/>
      <c r="G206" s="1333">
        <v>46053</v>
      </c>
      <c r="H206" s="1334"/>
      <c r="I206" s="1335"/>
      <c r="J206" s="317">
        <f t="shared" si="55"/>
        <v>31</v>
      </c>
      <c r="K206" s="327"/>
      <c r="L206" s="328"/>
      <c r="M206" s="329"/>
      <c r="N206" s="330"/>
      <c r="O206" s="331"/>
      <c r="P206" s="328"/>
      <c r="Q206" s="332"/>
      <c r="R206" s="333">
        <v>1</v>
      </c>
      <c r="S206" s="331" t="str">
        <f t="shared" si="58"/>
        <v>mês</v>
      </c>
      <c r="T206" s="320">
        <v>41</v>
      </c>
      <c r="U206" s="574"/>
      <c r="V206" s="291">
        <f t="shared" ca="1" si="47"/>
        <v>6</v>
      </c>
      <c r="W206" s="256">
        <f t="shared" ca="1" si="48"/>
        <v>2</v>
      </c>
      <c r="X206" s="256">
        <f t="shared" ca="1" si="49"/>
        <v>1</v>
      </c>
      <c r="Y206" s="336"/>
      <c r="Z206" s="336"/>
    </row>
    <row r="207" spans="1:26" s="337" customFormat="1" ht="15" x14ac:dyDescent="0.2">
      <c r="A207" s="288"/>
      <c r="B207" s="494"/>
      <c r="C207" s="397" t="s">
        <v>1355</v>
      </c>
      <c r="D207" s="1333">
        <v>46054</v>
      </c>
      <c r="E207" s="1334"/>
      <c r="F207" s="1335"/>
      <c r="G207" s="1333">
        <v>46081</v>
      </c>
      <c r="H207" s="1334"/>
      <c r="I207" s="1335"/>
      <c r="J207" s="317">
        <f t="shared" si="55"/>
        <v>28</v>
      </c>
      <c r="K207" s="327"/>
      <c r="L207" s="328"/>
      <c r="M207" s="329"/>
      <c r="N207" s="330"/>
      <c r="O207" s="331"/>
      <c r="P207" s="328"/>
      <c r="Q207" s="332"/>
      <c r="R207" s="333">
        <v>1</v>
      </c>
      <c r="S207" s="331" t="str">
        <f t="shared" si="58"/>
        <v>mês</v>
      </c>
      <c r="T207" s="320">
        <v>42</v>
      </c>
      <c r="U207" s="574"/>
      <c r="V207" s="291">
        <f t="shared" ca="1" si="47"/>
        <v>6</v>
      </c>
      <c r="W207" s="256">
        <f t="shared" ca="1" si="48"/>
        <v>2</v>
      </c>
      <c r="X207" s="256">
        <f t="shared" ca="1" si="49"/>
        <v>1</v>
      </c>
      <c r="Y207" s="336"/>
      <c r="Z207" s="336"/>
    </row>
    <row r="208" spans="1:26" s="337" customFormat="1" ht="15" x14ac:dyDescent="0.2">
      <c r="A208" s="288"/>
      <c r="B208" s="494"/>
      <c r="C208" s="397" t="s">
        <v>1356</v>
      </c>
      <c r="D208" s="1333">
        <v>46054</v>
      </c>
      <c r="E208" s="1334"/>
      <c r="F208" s="1335"/>
      <c r="G208" s="1333">
        <v>46081</v>
      </c>
      <c r="H208" s="1334"/>
      <c r="I208" s="1335"/>
      <c r="J208" s="317">
        <f t="shared" si="55"/>
        <v>28</v>
      </c>
      <c r="K208" s="327"/>
      <c r="L208" s="328"/>
      <c r="M208" s="329"/>
      <c r="N208" s="330"/>
      <c r="O208" s="331"/>
      <c r="P208" s="328"/>
      <c r="Q208" s="332"/>
      <c r="R208" s="333">
        <v>1</v>
      </c>
      <c r="S208" s="331" t="str">
        <f t="shared" si="58"/>
        <v>mês</v>
      </c>
      <c r="T208" s="320">
        <v>42</v>
      </c>
      <c r="U208" s="574"/>
      <c r="V208" s="291">
        <f t="shared" ca="1" si="47"/>
        <v>6</v>
      </c>
      <c r="W208" s="256">
        <f t="shared" ca="1" si="48"/>
        <v>2</v>
      </c>
      <c r="X208" s="256">
        <f t="shared" ca="1" si="49"/>
        <v>1</v>
      </c>
      <c r="Y208" s="336"/>
      <c r="Z208" s="336"/>
    </row>
    <row r="209" spans="1:29" s="337" customFormat="1" ht="15" x14ac:dyDescent="0.2">
      <c r="A209" s="288"/>
      <c r="B209" s="494"/>
      <c r="C209" s="397" t="s">
        <v>1357</v>
      </c>
      <c r="D209" s="1333">
        <v>46082</v>
      </c>
      <c r="E209" s="1334"/>
      <c r="F209" s="1335"/>
      <c r="G209" s="1333">
        <v>46112</v>
      </c>
      <c r="H209" s="1334"/>
      <c r="I209" s="1335"/>
      <c r="J209" s="317">
        <f t="shared" si="55"/>
        <v>31</v>
      </c>
      <c r="K209" s="327"/>
      <c r="L209" s="328"/>
      <c r="M209" s="329"/>
      <c r="N209" s="330"/>
      <c r="O209" s="331"/>
      <c r="P209" s="328"/>
      <c r="Q209" s="332"/>
      <c r="R209" s="333">
        <v>1</v>
      </c>
      <c r="S209" s="331" t="str">
        <f t="shared" si="58"/>
        <v>mês</v>
      </c>
      <c r="T209" s="320">
        <v>43</v>
      </c>
      <c r="U209" s="574"/>
      <c r="V209" s="291">
        <f t="shared" ca="1" si="47"/>
        <v>6</v>
      </c>
      <c r="W209" s="256">
        <f t="shared" ca="1" si="48"/>
        <v>2</v>
      </c>
      <c r="X209" s="256">
        <f t="shared" ca="1" si="49"/>
        <v>1</v>
      </c>
      <c r="Y209" s="336"/>
      <c r="Z209" s="336"/>
    </row>
    <row r="210" spans="1:29" s="337" customFormat="1" ht="15" x14ac:dyDescent="0.2">
      <c r="A210" s="288"/>
      <c r="B210" s="494"/>
      <c r="C210" s="397" t="s">
        <v>1358</v>
      </c>
      <c r="D210" s="1333">
        <v>46082</v>
      </c>
      <c r="E210" s="1334"/>
      <c r="F210" s="1335"/>
      <c r="G210" s="1333">
        <v>46112</v>
      </c>
      <c r="H210" s="1334"/>
      <c r="I210" s="1335"/>
      <c r="J210" s="317">
        <f t="shared" si="55"/>
        <v>31</v>
      </c>
      <c r="K210" s="327"/>
      <c r="L210" s="328"/>
      <c r="M210" s="329"/>
      <c r="N210" s="330"/>
      <c r="O210" s="331"/>
      <c r="P210" s="328"/>
      <c r="Q210" s="332"/>
      <c r="R210" s="333">
        <v>1</v>
      </c>
      <c r="S210" s="331" t="str">
        <f t="shared" si="58"/>
        <v>mês</v>
      </c>
      <c r="T210" s="320">
        <v>43</v>
      </c>
      <c r="U210" s="574"/>
      <c r="V210" s="291">
        <f t="shared" ca="1" si="47"/>
        <v>6</v>
      </c>
      <c r="W210" s="256">
        <f t="shared" ca="1" si="48"/>
        <v>2</v>
      </c>
      <c r="X210" s="256">
        <f t="shared" ca="1" si="49"/>
        <v>1</v>
      </c>
      <c r="Y210" s="336"/>
      <c r="Z210" s="336"/>
    </row>
    <row r="211" spans="1:29" s="337" customFormat="1" ht="15" x14ac:dyDescent="0.2">
      <c r="A211" s="288"/>
      <c r="B211" s="494"/>
      <c r="C211" s="397" t="s">
        <v>1351</v>
      </c>
      <c r="D211" s="1333">
        <v>46113</v>
      </c>
      <c r="E211" s="1334"/>
      <c r="F211" s="1335"/>
      <c r="G211" s="1333">
        <v>46142</v>
      </c>
      <c r="H211" s="1334"/>
      <c r="I211" s="1335"/>
      <c r="J211" s="317">
        <f t="shared" si="55"/>
        <v>30</v>
      </c>
      <c r="K211" s="327"/>
      <c r="L211" s="328"/>
      <c r="M211" s="329"/>
      <c r="N211" s="330"/>
      <c r="O211" s="331"/>
      <c r="P211" s="328"/>
      <c r="Q211" s="332"/>
      <c r="R211" s="333">
        <v>1</v>
      </c>
      <c r="S211" s="331" t="str">
        <f t="shared" si="58"/>
        <v>mês</v>
      </c>
      <c r="T211" s="320">
        <v>44</v>
      </c>
      <c r="U211" s="574"/>
      <c r="V211" s="291">
        <f t="shared" ca="1" si="47"/>
        <v>6</v>
      </c>
      <c r="W211" s="256">
        <f t="shared" ca="1" si="48"/>
        <v>2</v>
      </c>
      <c r="X211" s="256">
        <f t="shared" ca="1" si="49"/>
        <v>1</v>
      </c>
      <c r="Y211" s="336"/>
      <c r="Z211" s="336"/>
    </row>
    <row r="212" spans="1:29" s="337" customFormat="1" ht="15" x14ac:dyDescent="0.2">
      <c r="A212" s="288"/>
      <c r="B212" s="494"/>
      <c r="C212" s="397" t="s">
        <v>1352</v>
      </c>
      <c r="D212" s="1333">
        <v>46113</v>
      </c>
      <c r="E212" s="1334"/>
      <c r="F212" s="1335"/>
      <c r="G212" s="1333">
        <v>46142</v>
      </c>
      <c r="H212" s="1334"/>
      <c r="I212" s="1335"/>
      <c r="J212" s="317">
        <f t="shared" si="55"/>
        <v>30</v>
      </c>
      <c r="K212" s="327"/>
      <c r="L212" s="328"/>
      <c r="M212" s="329"/>
      <c r="N212" s="330"/>
      <c r="O212" s="331"/>
      <c r="P212" s="328"/>
      <c r="Q212" s="332"/>
      <c r="R212" s="333">
        <v>1</v>
      </c>
      <c r="S212" s="331" t="str">
        <f t="shared" si="58"/>
        <v>mês</v>
      </c>
      <c r="T212" s="320">
        <v>44</v>
      </c>
      <c r="U212" s="574"/>
      <c r="V212" s="291">
        <f t="shared" ca="1" si="47"/>
        <v>6</v>
      </c>
      <c r="W212" s="256">
        <f t="shared" ca="1" si="48"/>
        <v>2</v>
      </c>
      <c r="X212" s="256">
        <f t="shared" ca="1" si="49"/>
        <v>1</v>
      </c>
      <c r="Y212" s="336"/>
      <c r="Z212" s="336"/>
    </row>
    <row r="213" spans="1:29" s="337" customFormat="1" ht="15" x14ac:dyDescent="0.2">
      <c r="A213" s="288"/>
      <c r="B213" s="494"/>
      <c r="C213" s="755"/>
      <c r="D213" s="756"/>
      <c r="E213" s="757"/>
      <c r="F213" s="758"/>
      <c r="G213" s="756"/>
      <c r="H213" s="757"/>
      <c r="I213" s="758"/>
      <c r="J213" s="1109"/>
      <c r="K213" s="759"/>
      <c r="L213" s="501"/>
      <c r="M213" s="760"/>
      <c r="N213" s="761"/>
      <c r="O213" s="505"/>
      <c r="P213" s="501"/>
      <c r="Q213" s="739"/>
      <c r="R213" s="1111"/>
      <c r="S213" s="505"/>
      <c r="T213" s="506"/>
      <c r="U213" s="574"/>
      <c r="V213" s="291">
        <f t="shared" ca="1" si="47"/>
        <v>6</v>
      </c>
      <c r="W213" s="256">
        <f t="shared" ca="1" si="48"/>
        <v>0</v>
      </c>
      <c r="X213" s="256">
        <f t="shared" ca="1" si="49"/>
        <v>1</v>
      </c>
      <c r="Y213" s="336"/>
      <c r="Z213" s="336"/>
    </row>
    <row r="214" spans="1:29" s="337" customFormat="1" ht="15" x14ac:dyDescent="0.2">
      <c r="A214" s="288"/>
      <c r="B214" s="494"/>
      <c r="C214" s="755"/>
      <c r="D214" s="756"/>
      <c r="E214" s="757"/>
      <c r="F214" s="758"/>
      <c r="G214" s="756"/>
      <c r="H214" s="757"/>
      <c r="I214" s="758"/>
      <c r="J214" s="1095"/>
      <c r="K214" s="759"/>
      <c r="L214" s="501"/>
      <c r="M214" s="760"/>
      <c r="N214" s="761"/>
      <c r="O214" s="505"/>
      <c r="P214" s="501"/>
      <c r="Q214" s="739"/>
      <c r="R214" s="1097"/>
      <c r="S214" s="505"/>
      <c r="T214" s="506"/>
      <c r="U214" s="574"/>
      <c r="V214" s="291">
        <f t="shared" ca="1" si="47"/>
        <v>6</v>
      </c>
      <c r="W214" s="256">
        <f t="shared" ca="1" si="48"/>
        <v>0</v>
      </c>
      <c r="X214" s="256">
        <f t="shared" ca="1" si="49"/>
        <v>1</v>
      </c>
      <c r="Y214" s="336"/>
      <c r="Z214" s="336"/>
    </row>
    <row r="215" spans="1:29" s="111" customFormat="1" ht="15.75" x14ac:dyDescent="0.2">
      <c r="A215" s="288"/>
      <c r="B215" s="354"/>
      <c r="C215" s="402"/>
      <c r="D215" s="1354" t="s">
        <v>492</v>
      </c>
      <c r="E215" s="1355"/>
      <c r="F215" s="1355"/>
      <c r="G215" s="1355"/>
      <c r="H215" s="1355"/>
      <c r="I215" s="1356"/>
      <c r="J215" s="1357">
        <f>VLOOKUP(A217,'11 - FINANCEIRO'!_xlnm.Print_Area,6,FALSE)</f>
        <v>59</v>
      </c>
      <c r="K215" s="1358"/>
      <c r="L215" s="356" t="str">
        <f>VLOOKUP(A217,'11 - FINANCEIRO'!_xlnm.Print_Area,4,FALSE)</f>
        <v>mês</v>
      </c>
      <c r="M215" s="1359" t="s">
        <v>493</v>
      </c>
      <c r="N215" s="1360"/>
      <c r="O215" s="1360"/>
      <c r="P215" s="1360"/>
      <c r="Q215" s="1361"/>
      <c r="R215" s="357">
        <f>TRUNC(SUM(R160:R214),3)</f>
        <v>53</v>
      </c>
      <c r="S215" s="358" t="str">
        <f>L215</f>
        <v>mês</v>
      </c>
      <c r="T215" s="359"/>
      <c r="U215" s="360"/>
      <c r="V215" s="291">
        <f t="shared" ca="1" si="47"/>
        <v>6</v>
      </c>
      <c r="W215" s="256">
        <f t="shared" ca="1" si="48"/>
        <v>2</v>
      </c>
      <c r="X215" s="256">
        <f t="shared" ca="1" si="49"/>
        <v>1</v>
      </c>
      <c r="Y215" s="250"/>
      <c r="Z215" s="250"/>
    </row>
    <row r="216" spans="1:29" s="111" customFormat="1" ht="15.75" x14ac:dyDescent="0.2">
      <c r="A216" s="288"/>
      <c r="B216" s="354"/>
      <c r="C216" s="361"/>
      <c r="D216" s="1362" t="s">
        <v>494</v>
      </c>
      <c r="E216" s="1363"/>
      <c r="F216" s="1363"/>
      <c r="G216" s="1363"/>
      <c r="H216" s="1363"/>
      <c r="I216" s="1364"/>
      <c r="J216" s="1365">
        <f>IF(R215&gt;J215,1,R215/J215)</f>
        <v>0.89830508474576276</v>
      </c>
      <c r="K216" s="1366"/>
      <c r="L216" s="1369"/>
      <c r="M216" s="1371" t="s">
        <v>495</v>
      </c>
      <c r="N216" s="1372"/>
      <c r="O216" s="1372"/>
      <c r="P216" s="1372"/>
      <c r="Q216" s="1373"/>
      <c r="R216" s="362">
        <f>VLOOKUP(A217,'11 - FINANCEIRO'!_xlnm.Print_Area,8,FALSE)</f>
        <v>47</v>
      </c>
      <c r="S216" s="363" t="str">
        <f>L215</f>
        <v>mês</v>
      </c>
      <c r="T216" s="359"/>
      <c r="U216" s="360"/>
      <c r="V216" s="291">
        <f t="shared" ca="1" si="47"/>
        <v>6</v>
      </c>
      <c r="W216" s="256">
        <f t="shared" ca="1" si="48"/>
        <v>2</v>
      </c>
      <c r="X216" s="256">
        <f t="shared" ca="1" si="49"/>
        <v>1</v>
      </c>
      <c r="Y216" s="250"/>
      <c r="Z216" s="250"/>
    </row>
    <row r="217" spans="1:29" s="111" customFormat="1" ht="15.75" x14ac:dyDescent="0.2">
      <c r="A217" s="288" t="s">
        <v>21</v>
      </c>
      <c r="B217" s="364"/>
      <c r="C217" s="365"/>
      <c r="D217" s="1354"/>
      <c r="E217" s="1355"/>
      <c r="F217" s="1355"/>
      <c r="G217" s="1355"/>
      <c r="H217" s="1355"/>
      <c r="I217" s="1356"/>
      <c r="J217" s="1367"/>
      <c r="K217" s="1368"/>
      <c r="L217" s="1370"/>
      <c r="M217" s="1371" t="s">
        <v>496</v>
      </c>
      <c r="N217" s="1372"/>
      <c r="O217" s="1372"/>
      <c r="P217" s="1372"/>
      <c r="Q217" s="1373"/>
      <c r="R217" s="362">
        <f>R215-R216</f>
        <v>6</v>
      </c>
      <c r="S217" s="363" t="str">
        <f>L215</f>
        <v>mês</v>
      </c>
      <c r="T217" s="366"/>
      <c r="U217" s="367"/>
      <c r="V217" s="291">
        <f t="shared" ca="1" si="47"/>
        <v>6</v>
      </c>
      <c r="W217" s="256">
        <f t="shared" ca="1" si="48"/>
        <v>2</v>
      </c>
      <c r="X217" s="256">
        <f t="shared" ca="1" si="49"/>
        <v>1</v>
      </c>
      <c r="Y217" s="250"/>
      <c r="Z217" s="250"/>
    </row>
    <row r="218" spans="1:29" s="111" customFormat="1" ht="16.899999999999999" customHeight="1" x14ac:dyDescent="0.2">
      <c r="A218" s="288"/>
      <c r="B218" s="368"/>
      <c r="C218" s="365"/>
      <c r="D218" s="369"/>
      <c r="E218" s="370"/>
      <c r="F218" s="369"/>
      <c r="G218" s="369"/>
      <c r="H218" s="369"/>
      <c r="I218" s="369"/>
      <c r="J218" s="371"/>
      <c r="K218" s="372"/>
      <c r="L218" s="373"/>
      <c r="M218" s="374"/>
      <c r="N218" s="374"/>
      <c r="O218" s="374"/>
      <c r="P218" s="374"/>
      <c r="Q218" s="374"/>
      <c r="R218" s="375"/>
      <c r="S218" s="376"/>
      <c r="T218" s="377"/>
      <c r="U218" s="378"/>
      <c r="V218" s="379">
        <f ca="1">SUM(V158:V217)</f>
        <v>360</v>
      </c>
      <c r="W218" s="256">
        <f t="shared" ca="1" si="9"/>
        <v>1</v>
      </c>
      <c r="X218" s="256">
        <f t="shared" ref="X218:X228" ca="1" si="59">IF(COUNTA(OFFSET(A217,1,0))-COUNTA(A217)=-1,0,1)</f>
        <v>0</v>
      </c>
      <c r="Y218" s="250"/>
      <c r="Z218" s="250"/>
    </row>
    <row r="219" spans="1:29" s="293" customFormat="1" ht="46.9" customHeight="1" x14ac:dyDescent="0.2">
      <c r="A219" s="288"/>
      <c r="B219" s="1374" t="str">
        <f>VLOOKUP(A288,'11 - FINANCEIRO'!_xlnm.Print_Area,1,FALSE)</f>
        <v>1.2.4</v>
      </c>
      <c r="C219" s="1376" t="str">
        <f>VLOOKUP(A288,'11 - FINANCEIRO'!_xlnm.Print_Area,3,FALSE)</f>
        <v>Aluguel Mensal Container Para Escritório, Dim. 6.00X2.40M, C/ Banheiro (Vaso+Lavat+Chuveiro E Básc), Incl. Porta, 2 Janelas, Abert P/ Ar Cond., 2 Pt Iluminação, 2 Tom. Elét. E 1 Tom.Telef. Isolam.Térmico(Teto E Paredes), Piso Em Comp. Naval, Cert. Nr18, Incl. Laudo Descontaminação.</v>
      </c>
      <c r="D219" s="1378" t="s">
        <v>500</v>
      </c>
      <c r="E219" s="1379"/>
      <c r="F219" s="1379"/>
      <c r="G219" s="1379"/>
      <c r="H219" s="1379"/>
      <c r="I219" s="1380"/>
      <c r="J219" s="1338" t="s">
        <v>478</v>
      </c>
      <c r="K219" s="1338" t="s">
        <v>479</v>
      </c>
      <c r="L219" s="1338" t="s">
        <v>480</v>
      </c>
      <c r="M219" s="1338" t="s">
        <v>481</v>
      </c>
      <c r="N219" s="1338" t="s">
        <v>482</v>
      </c>
      <c r="O219" s="1338" t="s">
        <v>483</v>
      </c>
      <c r="P219" s="1338" t="s">
        <v>484</v>
      </c>
      <c r="Q219" s="1338" t="s">
        <v>296</v>
      </c>
      <c r="R219" s="1336" t="s">
        <v>296</v>
      </c>
      <c r="S219" s="1338" t="s">
        <v>486</v>
      </c>
      <c r="T219" s="1338" t="s">
        <v>487</v>
      </c>
      <c r="U219" s="1340" t="s">
        <v>488</v>
      </c>
      <c r="V219" s="291">
        <f t="shared" ref="V219:V288" ca="1" si="60">IF(OFFSET(V219,1,1)=1,OFFSET(V219,0,-4),OFFSET(V219,1,0))</f>
        <v>1</v>
      </c>
      <c r="W219" s="256">
        <f t="shared" ca="1" si="9"/>
        <v>2</v>
      </c>
      <c r="X219" s="256">
        <f t="shared" ca="1" si="59"/>
        <v>1</v>
      </c>
      <c r="Y219" s="256"/>
      <c r="Z219" s="256"/>
      <c r="AA219" s="292"/>
      <c r="AB219" s="292"/>
      <c r="AC219" s="292"/>
    </row>
    <row r="220" spans="1:29" s="293" customFormat="1" ht="33" customHeight="1" x14ac:dyDescent="0.2">
      <c r="A220" s="288"/>
      <c r="B220" s="1375"/>
      <c r="C220" s="1377"/>
      <c r="D220" s="1342" t="s">
        <v>489</v>
      </c>
      <c r="E220" s="1343"/>
      <c r="F220" s="1344"/>
      <c r="G220" s="1345" t="s">
        <v>490</v>
      </c>
      <c r="H220" s="1346"/>
      <c r="I220" s="1347"/>
      <c r="J220" s="1339"/>
      <c r="K220" s="1339"/>
      <c r="L220" s="1339"/>
      <c r="M220" s="1339"/>
      <c r="N220" s="1339"/>
      <c r="O220" s="1339"/>
      <c r="P220" s="1339" t="s">
        <v>491</v>
      </c>
      <c r="Q220" s="1339"/>
      <c r="R220" s="1337"/>
      <c r="S220" s="1339"/>
      <c r="T220" s="1339"/>
      <c r="U220" s="1341"/>
      <c r="V220" s="291">
        <f t="shared" ca="1" si="60"/>
        <v>1</v>
      </c>
      <c r="W220" s="256">
        <f t="shared" ca="1" si="9"/>
        <v>2</v>
      </c>
      <c r="X220" s="256">
        <f t="shared" ca="1" si="59"/>
        <v>1</v>
      </c>
      <c r="Y220" s="256"/>
      <c r="Z220" s="256"/>
      <c r="AA220" s="292"/>
      <c r="AB220" s="292"/>
      <c r="AC220" s="292"/>
    </row>
    <row r="221" spans="1:29" s="293" customFormat="1" ht="15.75" x14ac:dyDescent="0.2">
      <c r="A221" s="288"/>
      <c r="B221" s="296"/>
      <c r="C221" s="297" t="s">
        <v>503</v>
      </c>
      <c r="D221" s="1381">
        <v>44776</v>
      </c>
      <c r="E221" s="1382"/>
      <c r="F221" s="1383"/>
      <c r="G221" s="1381">
        <v>44804</v>
      </c>
      <c r="H221" s="1382"/>
      <c r="I221" s="1383"/>
      <c r="J221" s="304">
        <f t="shared" ref="J221:J257" si="61">G221-D221+1</f>
        <v>29</v>
      </c>
      <c r="K221" s="304"/>
      <c r="L221" s="304"/>
      <c r="M221" s="304"/>
      <c r="N221" s="304"/>
      <c r="O221" s="304"/>
      <c r="P221" s="306"/>
      <c r="Q221" s="304"/>
      <c r="R221" s="307">
        <v>1</v>
      </c>
      <c r="S221" s="308" t="str">
        <f>S286</f>
        <v>mês</v>
      </c>
      <c r="T221" s="309">
        <v>1</v>
      </c>
      <c r="U221" s="310"/>
      <c r="V221" s="291">
        <f t="shared" ca="1" si="60"/>
        <v>1</v>
      </c>
      <c r="W221" s="256">
        <f t="shared" ca="1" si="9"/>
        <v>2</v>
      </c>
      <c r="X221" s="256">
        <f t="shared" ca="1" si="59"/>
        <v>1</v>
      </c>
      <c r="Y221" s="256"/>
      <c r="Z221" s="256"/>
      <c r="AA221" s="292"/>
      <c r="AB221" s="292"/>
      <c r="AC221" s="292"/>
    </row>
    <row r="222" spans="1:29" s="337" customFormat="1" ht="15.75" x14ac:dyDescent="0.2">
      <c r="A222" s="288"/>
      <c r="B222" s="311"/>
      <c r="C222" s="312" t="s">
        <v>504</v>
      </c>
      <c r="D222" s="1333">
        <v>44805</v>
      </c>
      <c r="E222" s="1334"/>
      <c r="F222" s="1335"/>
      <c r="G222" s="1333">
        <v>44836</v>
      </c>
      <c r="H222" s="1334"/>
      <c r="I222" s="1335"/>
      <c r="J222" s="317">
        <f t="shared" si="61"/>
        <v>32</v>
      </c>
      <c r="K222" s="313"/>
      <c r="L222" s="317"/>
      <c r="M222" s="315"/>
      <c r="N222" s="314"/>
      <c r="O222" s="313"/>
      <c r="P222" s="318"/>
      <c r="Q222" s="315"/>
      <c r="R222" s="319">
        <v>1</v>
      </c>
      <c r="S222" s="398" t="str">
        <f>S286</f>
        <v>mês</v>
      </c>
      <c r="T222" s="320">
        <v>2</v>
      </c>
      <c r="U222" s="321"/>
      <c r="V222" s="291">
        <f t="shared" ca="1" si="60"/>
        <v>1</v>
      </c>
      <c r="W222" s="256">
        <f t="shared" ca="1" si="9"/>
        <v>2</v>
      </c>
      <c r="X222" s="256">
        <f t="shared" ca="1" si="59"/>
        <v>1</v>
      </c>
      <c r="Y222" s="336"/>
      <c r="Z222" s="336"/>
    </row>
    <row r="223" spans="1:29" s="337" customFormat="1" ht="15.75" x14ac:dyDescent="0.2">
      <c r="A223" s="288"/>
      <c r="B223" s="311"/>
      <c r="C223" s="312" t="s">
        <v>505</v>
      </c>
      <c r="D223" s="1333">
        <v>44837</v>
      </c>
      <c r="E223" s="1334"/>
      <c r="F223" s="1335"/>
      <c r="G223" s="1333">
        <v>44865</v>
      </c>
      <c r="H223" s="1334"/>
      <c r="I223" s="1335"/>
      <c r="J223" s="317">
        <f t="shared" si="61"/>
        <v>29</v>
      </c>
      <c r="K223" s="313"/>
      <c r="L223" s="317"/>
      <c r="M223" s="315"/>
      <c r="N223" s="314"/>
      <c r="O223" s="313"/>
      <c r="P223" s="318"/>
      <c r="Q223" s="315"/>
      <c r="R223" s="319">
        <v>1</v>
      </c>
      <c r="S223" s="398" t="str">
        <f>S286</f>
        <v>mês</v>
      </c>
      <c r="T223" s="320">
        <v>3</v>
      </c>
      <c r="U223" s="321"/>
      <c r="V223" s="291">
        <f t="shared" ca="1" si="60"/>
        <v>1</v>
      </c>
      <c r="W223" s="256">
        <f t="shared" ca="1" si="9"/>
        <v>2</v>
      </c>
      <c r="X223" s="256">
        <f t="shared" ca="1" si="59"/>
        <v>1</v>
      </c>
      <c r="Y223" s="336"/>
      <c r="Z223" s="336"/>
    </row>
    <row r="224" spans="1:29" s="405" customFormat="1" ht="15" x14ac:dyDescent="0.2">
      <c r="A224" s="403"/>
      <c r="B224" s="322"/>
      <c r="C224" s="397" t="s">
        <v>506</v>
      </c>
      <c r="D224" s="1333">
        <v>44866</v>
      </c>
      <c r="E224" s="1334"/>
      <c r="F224" s="1335"/>
      <c r="G224" s="1333">
        <v>44890</v>
      </c>
      <c r="H224" s="1334"/>
      <c r="I224" s="1335"/>
      <c r="J224" s="317">
        <f t="shared" si="61"/>
        <v>25</v>
      </c>
      <c r="K224" s="328"/>
      <c r="L224" s="328"/>
      <c r="M224" s="328"/>
      <c r="N224" s="328"/>
      <c r="O224" s="334"/>
      <c r="P224" s="328"/>
      <c r="Q224" s="334"/>
      <c r="R224" s="333">
        <v>1</v>
      </c>
      <c r="S224" s="331" t="s">
        <v>313</v>
      </c>
      <c r="T224" s="320">
        <v>4</v>
      </c>
      <c r="U224" s="335"/>
      <c r="V224" s="291">
        <f t="shared" ca="1" si="60"/>
        <v>1</v>
      </c>
      <c r="W224" s="256">
        <f t="shared" ca="1" si="9"/>
        <v>2</v>
      </c>
      <c r="X224" s="256">
        <f t="shared" ca="1" si="59"/>
        <v>1</v>
      </c>
      <c r="Y224" s="404"/>
      <c r="Z224" s="404"/>
    </row>
    <row r="225" spans="1:26" s="405" customFormat="1" ht="15" x14ac:dyDescent="0.2">
      <c r="A225" s="403"/>
      <c r="B225" s="322"/>
      <c r="C225" s="397" t="s">
        <v>506</v>
      </c>
      <c r="D225" s="1333">
        <f>G224+1</f>
        <v>44891</v>
      </c>
      <c r="E225" s="1334"/>
      <c r="F225" s="1335"/>
      <c r="G225" s="1333">
        <v>44926</v>
      </c>
      <c r="H225" s="1334"/>
      <c r="I225" s="1335"/>
      <c r="J225" s="317">
        <f t="shared" si="61"/>
        <v>36</v>
      </c>
      <c r="K225" s="328"/>
      <c r="L225" s="328"/>
      <c r="M225" s="328"/>
      <c r="N225" s="328"/>
      <c r="O225" s="334"/>
      <c r="P225" s="328"/>
      <c r="Q225" s="334"/>
      <c r="R225" s="333">
        <v>1</v>
      </c>
      <c r="S225" s="331" t="s">
        <v>313</v>
      </c>
      <c r="T225" s="320">
        <v>5</v>
      </c>
      <c r="U225" s="335"/>
      <c r="V225" s="291">
        <f t="shared" ca="1" si="60"/>
        <v>1</v>
      </c>
      <c r="W225" s="256">
        <f t="shared" ca="1" si="9"/>
        <v>2</v>
      </c>
      <c r="X225" s="256">
        <f t="shared" ca="1" si="59"/>
        <v>1</v>
      </c>
      <c r="Y225" s="404"/>
      <c r="Z225" s="404"/>
    </row>
    <row r="226" spans="1:26" s="337" customFormat="1" ht="15" x14ac:dyDescent="0.2">
      <c r="A226" s="288"/>
      <c r="B226" s="322"/>
      <c r="C226" s="397" t="s">
        <v>508</v>
      </c>
      <c r="D226" s="1333">
        <v>44927</v>
      </c>
      <c r="E226" s="1334"/>
      <c r="F226" s="1335"/>
      <c r="G226" s="1333">
        <v>44957</v>
      </c>
      <c r="H226" s="1334"/>
      <c r="I226" s="1335"/>
      <c r="J226" s="317">
        <f t="shared" si="61"/>
        <v>31</v>
      </c>
      <c r="K226" s="327"/>
      <c r="L226" s="328"/>
      <c r="M226" s="329"/>
      <c r="N226" s="330"/>
      <c r="O226" s="331"/>
      <c r="P226" s="328"/>
      <c r="Q226" s="332"/>
      <c r="R226" s="333">
        <v>1</v>
      </c>
      <c r="S226" s="331" t="s">
        <v>313</v>
      </c>
      <c r="T226" s="320">
        <v>6</v>
      </c>
      <c r="U226" s="335"/>
      <c r="V226" s="291">
        <f t="shared" ca="1" si="60"/>
        <v>1</v>
      </c>
      <c r="W226" s="256">
        <f t="shared" ca="1" si="9"/>
        <v>2</v>
      </c>
      <c r="X226" s="256">
        <f t="shared" ca="1" si="59"/>
        <v>1</v>
      </c>
      <c r="Y226" s="336"/>
      <c r="Z226" s="336"/>
    </row>
    <row r="227" spans="1:26" s="337" customFormat="1" ht="15" x14ac:dyDescent="0.2">
      <c r="A227" s="288"/>
      <c r="B227" s="322"/>
      <c r="C227" s="397" t="s">
        <v>509</v>
      </c>
      <c r="D227" s="1333">
        <v>44958</v>
      </c>
      <c r="E227" s="1334"/>
      <c r="F227" s="1335"/>
      <c r="G227" s="1333">
        <v>44985</v>
      </c>
      <c r="H227" s="1334"/>
      <c r="I227" s="1335"/>
      <c r="J227" s="317">
        <f t="shared" si="61"/>
        <v>28</v>
      </c>
      <c r="K227" s="327"/>
      <c r="L227" s="328"/>
      <c r="M227" s="329"/>
      <c r="N227" s="330"/>
      <c r="O227" s="331"/>
      <c r="P227" s="328"/>
      <c r="Q227" s="332"/>
      <c r="R227" s="333">
        <v>1</v>
      </c>
      <c r="S227" s="331" t="str">
        <f>$S$154</f>
        <v>mês</v>
      </c>
      <c r="T227" s="320">
        <v>7</v>
      </c>
      <c r="U227" s="335"/>
      <c r="V227" s="291">
        <f t="shared" ca="1" si="60"/>
        <v>1</v>
      </c>
      <c r="W227" s="256">
        <f t="shared" ca="1" si="9"/>
        <v>2</v>
      </c>
      <c r="X227" s="256">
        <f t="shared" ca="1" si="59"/>
        <v>1</v>
      </c>
      <c r="Y227" s="336"/>
      <c r="Z227" s="336"/>
    </row>
    <row r="228" spans="1:26" s="337" customFormat="1" ht="15" x14ac:dyDescent="0.2">
      <c r="A228" s="288"/>
      <c r="B228" s="322"/>
      <c r="C228" s="397" t="s">
        <v>510</v>
      </c>
      <c r="D228" s="1333">
        <v>44986</v>
      </c>
      <c r="E228" s="1334"/>
      <c r="F228" s="1335"/>
      <c r="G228" s="1333">
        <v>45016</v>
      </c>
      <c r="H228" s="1334"/>
      <c r="I228" s="1335"/>
      <c r="J228" s="317">
        <f t="shared" si="61"/>
        <v>31</v>
      </c>
      <c r="K228" s="327"/>
      <c r="L228" s="328"/>
      <c r="M228" s="329"/>
      <c r="N228" s="330"/>
      <c r="O228" s="331"/>
      <c r="P228" s="328"/>
      <c r="Q228" s="332"/>
      <c r="R228" s="333">
        <v>1</v>
      </c>
      <c r="S228" s="331" t="str">
        <f>$S$154</f>
        <v>mês</v>
      </c>
      <c r="T228" s="320">
        <v>8</v>
      </c>
      <c r="U228" s="335"/>
      <c r="V228" s="291">
        <f t="shared" ca="1" si="60"/>
        <v>1</v>
      </c>
      <c r="W228" s="256">
        <f t="shared" ca="1" si="9"/>
        <v>2</v>
      </c>
      <c r="X228" s="256">
        <f t="shared" ca="1" si="59"/>
        <v>1</v>
      </c>
      <c r="Y228" s="336"/>
      <c r="Z228" s="336"/>
    </row>
    <row r="229" spans="1:26" s="337" customFormat="1" ht="15" x14ac:dyDescent="0.2">
      <c r="A229" s="288"/>
      <c r="B229" s="322"/>
      <c r="C229" s="397" t="s">
        <v>511</v>
      </c>
      <c r="D229" s="1333">
        <v>45017</v>
      </c>
      <c r="E229" s="1334"/>
      <c r="F229" s="1335"/>
      <c r="G229" s="1333">
        <v>45046</v>
      </c>
      <c r="H229" s="1334"/>
      <c r="I229" s="1335"/>
      <c r="J229" s="317">
        <f t="shared" si="61"/>
        <v>30</v>
      </c>
      <c r="K229" s="327"/>
      <c r="L229" s="328"/>
      <c r="M229" s="329"/>
      <c r="N229" s="330"/>
      <c r="O229" s="331"/>
      <c r="P229" s="328"/>
      <c r="Q229" s="332"/>
      <c r="R229" s="333">
        <v>1</v>
      </c>
      <c r="S229" s="331" t="str">
        <f>$S$154</f>
        <v>mês</v>
      </c>
      <c r="T229" s="320">
        <v>9</v>
      </c>
      <c r="U229" s="335"/>
      <c r="V229" s="291">
        <f t="shared" ca="1" si="60"/>
        <v>1</v>
      </c>
      <c r="W229" s="256">
        <f t="shared" ref="W229:W235" ca="1" si="62">IF(LEFT(_xlfn.FORMULATEXT(V229),3)="=SO",1,IF(COUNTA(A229:U229)=0,0,2))</f>
        <v>2</v>
      </c>
      <c r="X229" s="256">
        <f t="shared" ref="X229:X235" ca="1" si="63">IF(COUNTA(OFFSET(A228,1,0))-COUNTA(A228)=-1,0,1)</f>
        <v>1</v>
      </c>
      <c r="Y229" s="336"/>
      <c r="Z229" s="336"/>
    </row>
    <row r="230" spans="1:26" s="337" customFormat="1" ht="15.75" x14ac:dyDescent="0.2">
      <c r="A230" s="288"/>
      <c r="B230" s="494"/>
      <c r="C230" s="762" t="s">
        <v>693</v>
      </c>
      <c r="D230" s="756"/>
      <c r="E230" s="757"/>
      <c r="F230" s="758"/>
      <c r="G230" s="756"/>
      <c r="H230" s="757"/>
      <c r="I230" s="758"/>
      <c r="J230" s="560"/>
      <c r="K230" s="759"/>
      <c r="L230" s="501"/>
      <c r="M230" s="760"/>
      <c r="N230" s="761"/>
      <c r="O230" s="505"/>
      <c r="P230" s="501"/>
      <c r="Q230" s="739"/>
      <c r="R230" s="504"/>
      <c r="S230" s="505"/>
      <c r="T230" s="506"/>
      <c r="U230" s="574"/>
      <c r="V230" s="291">
        <f t="shared" ca="1" si="60"/>
        <v>1</v>
      </c>
      <c r="W230" s="256">
        <f t="shared" ca="1" si="62"/>
        <v>2</v>
      </c>
      <c r="X230" s="256">
        <f t="shared" ca="1" si="63"/>
        <v>1</v>
      </c>
      <c r="Y230" s="336"/>
      <c r="Z230" s="336"/>
    </row>
    <row r="231" spans="1:26" s="337" customFormat="1" ht="15.75" x14ac:dyDescent="0.2">
      <c r="A231" s="288"/>
      <c r="B231" s="311"/>
      <c r="C231" s="312" t="s">
        <v>504</v>
      </c>
      <c r="D231" s="1333">
        <v>44805</v>
      </c>
      <c r="E231" s="1334"/>
      <c r="F231" s="1335"/>
      <c r="G231" s="1333">
        <v>44836</v>
      </c>
      <c r="H231" s="1334"/>
      <c r="I231" s="1335"/>
      <c r="J231" s="317">
        <f t="shared" ref="J231:J246" si="64">G231-D231+1</f>
        <v>32</v>
      </c>
      <c r="K231" s="313"/>
      <c r="L231" s="317"/>
      <c r="M231" s="315"/>
      <c r="N231" s="314"/>
      <c r="O231" s="313"/>
      <c r="P231" s="318"/>
      <c r="Q231" s="315"/>
      <c r="R231" s="319">
        <v>1</v>
      </c>
      <c r="S231" s="331" t="s">
        <v>313</v>
      </c>
      <c r="T231" s="320">
        <v>19</v>
      </c>
      <c r="U231" s="321"/>
      <c r="V231" s="291">
        <f t="shared" ca="1" si="60"/>
        <v>1</v>
      </c>
      <c r="W231" s="256">
        <f t="shared" ca="1" si="62"/>
        <v>2</v>
      </c>
      <c r="X231" s="256">
        <f t="shared" ca="1" si="63"/>
        <v>1</v>
      </c>
      <c r="Y231" s="336"/>
      <c r="Z231" s="336"/>
    </row>
    <row r="232" spans="1:26" s="337" customFormat="1" ht="15.75" x14ac:dyDescent="0.2">
      <c r="A232" s="288"/>
      <c r="B232" s="311"/>
      <c r="C232" s="312" t="s">
        <v>505</v>
      </c>
      <c r="D232" s="1333">
        <v>44837</v>
      </c>
      <c r="E232" s="1334"/>
      <c r="F232" s="1335"/>
      <c r="G232" s="1333">
        <v>44865</v>
      </c>
      <c r="H232" s="1334"/>
      <c r="I232" s="1335"/>
      <c r="J232" s="317">
        <f t="shared" si="64"/>
        <v>29</v>
      </c>
      <c r="K232" s="313"/>
      <c r="L232" s="317"/>
      <c r="M232" s="315"/>
      <c r="N232" s="314"/>
      <c r="O232" s="313"/>
      <c r="P232" s="318"/>
      <c r="Q232" s="315"/>
      <c r="R232" s="319">
        <v>1</v>
      </c>
      <c r="S232" s="331" t="s">
        <v>313</v>
      </c>
      <c r="T232" s="320">
        <v>19</v>
      </c>
      <c r="U232" s="321"/>
      <c r="V232" s="291">
        <f t="shared" ca="1" si="60"/>
        <v>1</v>
      </c>
      <c r="W232" s="256">
        <f t="shared" ca="1" si="62"/>
        <v>2</v>
      </c>
      <c r="X232" s="256">
        <f t="shared" ca="1" si="63"/>
        <v>1</v>
      </c>
      <c r="Y232" s="336"/>
      <c r="Z232" s="336"/>
    </row>
    <row r="233" spans="1:26" s="405" customFormat="1" ht="15" x14ac:dyDescent="0.2">
      <c r="A233" s="403"/>
      <c r="B233" s="322"/>
      <c r="C233" s="397" t="s">
        <v>506</v>
      </c>
      <c r="D233" s="1333">
        <v>44866</v>
      </c>
      <c r="E233" s="1334"/>
      <c r="F233" s="1335"/>
      <c r="G233" s="1333">
        <v>44890</v>
      </c>
      <c r="H233" s="1334"/>
      <c r="I233" s="1335"/>
      <c r="J233" s="317">
        <f t="shared" si="64"/>
        <v>25</v>
      </c>
      <c r="K233" s="328"/>
      <c r="L233" s="328"/>
      <c r="M233" s="328"/>
      <c r="N233" s="328"/>
      <c r="O233" s="334"/>
      <c r="P233" s="328"/>
      <c r="Q233" s="334"/>
      <c r="R233" s="333">
        <v>1</v>
      </c>
      <c r="S233" s="331" t="s">
        <v>313</v>
      </c>
      <c r="T233" s="320">
        <v>19</v>
      </c>
      <c r="U233" s="335"/>
      <c r="V233" s="291">
        <f t="shared" ca="1" si="60"/>
        <v>1</v>
      </c>
      <c r="W233" s="256">
        <f t="shared" ca="1" si="62"/>
        <v>2</v>
      </c>
      <c r="X233" s="256">
        <f t="shared" ca="1" si="63"/>
        <v>1</v>
      </c>
      <c r="Y233" s="404"/>
      <c r="Z233" s="404"/>
    </row>
    <row r="234" spans="1:26" s="405" customFormat="1" ht="15" x14ac:dyDescent="0.2">
      <c r="A234" s="403"/>
      <c r="B234" s="322"/>
      <c r="C234" s="397" t="s">
        <v>506</v>
      </c>
      <c r="D234" s="1333">
        <f>G233+1</f>
        <v>44891</v>
      </c>
      <c r="E234" s="1334"/>
      <c r="F234" s="1335"/>
      <c r="G234" s="1333">
        <v>44926</v>
      </c>
      <c r="H234" s="1334"/>
      <c r="I234" s="1335"/>
      <c r="J234" s="317">
        <f t="shared" si="64"/>
        <v>36</v>
      </c>
      <c r="K234" s="328"/>
      <c r="L234" s="328"/>
      <c r="M234" s="328"/>
      <c r="N234" s="328"/>
      <c r="O234" s="334"/>
      <c r="P234" s="328"/>
      <c r="Q234" s="334"/>
      <c r="R234" s="333">
        <v>1</v>
      </c>
      <c r="S234" s="331" t="s">
        <v>313</v>
      </c>
      <c r="T234" s="320">
        <v>19</v>
      </c>
      <c r="U234" s="335"/>
      <c r="V234" s="291">
        <f t="shared" ca="1" si="60"/>
        <v>1</v>
      </c>
      <c r="W234" s="256">
        <f t="shared" ca="1" si="62"/>
        <v>2</v>
      </c>
      <c r="X234" s="256">
        <f t="shared" ca="1" si="63"/>
        <v>1</v>
      </c>
      <c r="Y234" s="404"/>
      <c r="Z234" s="404"/>
    </row>
    <row r="235" spans="1:26" s="337" customFormat="1" ht="15" x14ac:dyDescent="0.2">
      <c r="A235" s="288"/>
      <c r="B235" s="322"/>
      <c r="C235" s="397" t="s">
        <v>508</v>
      </c>
      <c r="D235" s="1333">
        <v>44927</v>
      </c>
      <c r="E235" s="1334"/>
      <c r="F235" s="1335"/>
      <c r="G235" s="1333">
        <v>44957</v>
      </c>
      <c r="H235" s="1334"/>
      <c r="I235" s="1335"/>
      <c r="J235" s="317">
        <f t="shared" si="64"/>
        <v>31</v>
      </c>
      <c r="K235" s="327"/>
      <c r="L235" s="328"/>
      <c r="M235" s="329"/>
      <c r="N235" s="330"/>
      <c r="O235" s="331"/>
      <c r="P235" s="328"/>
      <c r="Q235" s="332"/>
      <c r="R235" s="333">
        <v>1</v>
      </c>
      <c r="S235" s="331" t="s">
        <v>313</v>
      </c>
      <c r="T235" s="320">
        <v>19</v>
      </c>
      <c r="U235" s="335"/>
      <c r="V235" s="291">
        <f t="shared" ca="1" si="60"/>
        <v>1</v>
      </c>
      <c r="W235" s="256">
        <f t="shared" ca="1" si="62"/>
        <v>2</v>
      </c>
      <c r="X235" s="256">
        <f t="shared" ca="1" si="63"/>
        <v>1</v>
      </c>
      <c r="Y235" s="336"/>
      <c r="Z235" s="336"/>
    </row>
    <row r="236" spans="1:26" s="337" customFormat="1" ht="15" x14ac:dyDescent="0.2">
      <c r="A236" s="288"/>
      <c r="B236" s="322"/>
      <c r="C236" s="397" t="s">
        <v>509</v>
      </c>
      <c r="D236" s="1333">
        <v>44958</v>
      </c>
      <c r="E236" s="1334"/>
      <c r="F236" s="1335"/>
      <c r="G236" s="1333">
        <v>44985</v>
      </c>
      <c r="H236" s="1334"/>
      <c r="I236" s="1335"/>
      <c r="J236" s="317">
        <f t="shared" si="64"/>
        <v>28</v>
      </c>
      <c r="K236" s="327"/>
      <c r="L236" s="328"/>
      <c r="M236" s="329"/>
      <c r="N236" s="330"/>
      <c r="O236" s="331"/>
      <c r="P236" s="328"/>
      <c r="Q236" s="332"/>
      <c r="R236" s="333">
        <v>1</v>
      </c>
      <c r="S236" s="331" t="str">
        <f t="shared" ref="S236:S242" si="65">$S$154</f>
        <v>mês</v>
      </c>
      <c r="T236" s="320">
        <v>19</v>
      </c>
      <c r="U236" s="335"/>
      <c r="V236" s="291">
        <f t="shared" ca="1" si="60"/>
        <v>1</v>
      </c>
      <c r="W236" s="256">
        <f t="shared" ref="W236:W248" ca="1" si="66">IF(LEFT(_xlfn.FORMULATEXT(V236),3)="=SO",1,IF(COUNTA(A236:U236)=0,0,2))</f>
        <v>2</v>
      </c>
      <c r="X236" s="256">
        <f t="shared" ref="X236:X248" ca="1" si="67">IF(COUNTA(OFFSET(A235,1,0))-COUNTA(A235)=-1,0,1)</f>
        <v>1</v>
      </c>
      <c r="Y236" s="336"/>
      <c r="Z236" s="336"/>
    </row>
    <row r="237" spans="1:26" s="337" customFormat="1" ht="15" x14ac:dyDescent="0.2">
      <c r="A237" s="288"/>
      <c r="B237" s="322"/>
      <c r="C237" s="397" t="s">
        <v>510</v>
      </c>
      <c r="D237" s="1333">
        <v>44986</v>
      </c>
      <c r="E237" s="1334"/>
      <c r="F237" s="1335"/>
      <c r="G237" s="1333">
        <v>45016</v>
      </c>
      <c r="H237" s="1334"/>
      <c r="I237" s="1335"/>
      <c r="J237" s="317">
        <f t="shared" si="64"/>
        <v>31</v>
      </c>
      <c r="K237" s="327"/>
      <c r="L237" s="328"/>
      <c r="M237" s="329"/>
      <c r="N237" s="330"/>
      <c r="O237" s="331"/>
      <c r="P237" s="328"/>
      <c r="Q237" s="332"/>
      <c r="R237" s="333">
        <v>1</v>
      </c>
      <c r="S237" s="331" t="str">
        <f t="shared" si="65"/>
        <v>mês</v>
      </c>
      <c r="T237" s="320">
        <v>19</v>
      </c>
      <c r="U237" s="335"/>
      <c r="V237" s="291">
        <f t="shared" ca="1" si="60"/>
        <v>1</v>
      </c>
      <c r="W237" s="256">
        <f t="shared" ca="1" si="66"/>
        <v>2</v>
      </c>
      <c r="X237" s="256">
        <f t="shared" ca="1" si="67"/>
        <v>1</v>
      </c>
      <c r="Y237" s="336"/>
      <c r="Z237" s="336"/>
    </row>
    <row r="238" spans="1:26" s="337" customFormat="1" ht="15" x14ac:dyDescent="0.2">
      <c r="A238" s="288"/>
      <c r="B238" s="322"/>
      <c r="C238" s="397" t="s">
        <v>511</v>
      </c>
      <c r="D238" s="1333">
        <v>45017</v>
      </c>
      <c r="E238" s="1334"/>
      <c r="F238" s="1335"/>
      <c r="G238" s="1333">
        <v>45046</v>
      </c>
      <c r="H238" s="1334"/>
      <c r="I238" s="1335"/>
      <c r="J238" s="317">
        <f t="shared" si="64"/>
        <v>30</v>
      </c>
      <c r="K238" s="327"/>
      <c r="L238" s="328"/>
      <c r="M238" s="329"/>
      <c r="N238" s="330"/>
      <c r="O238" s="331"/>
      <c r="P238" s="328"/>
      <c r="Q238" s="332"/>
      <c r="R238" s="333">
        <v>1</v>
      </c>
      <c r="S238" s="331" t="str">
        <f t="shared" si="65"/>
        <v>mês</v>
      </c>
      <c r="T238" s="320">
        <v>19</v>
      </c>
      <c r="U238" s="335"/>
      <c r="V238" s="291">
        <f t="shared" ca="1" si="60"/>
        <v>1</v>
      </c>
      <c r="W238" s="256">
        <f t="shared" ca="1" si="66"/>
        <v>2</v>
      </c>
      <c r="X238" s="256">
        <f t="shared" ca="1" si="67"/>
        <v>1</v>
      </c>
      <c r="Y238" s="336"/>
      <c r="Z238" s="336"/>
    </row>
    <row r="239" spans="1:26" s="337" customFormat="1" ht="15" x14ac:dyDescent="0.2">
      <c r="A239" s="288"/>
      <c r="B239" s="322"/>
      <c r="C239" s="397" t="s">
        <v>690</v>
      </c>
      <c r="D239" s="1333">
        <v>45047</v>
      </c>
      <c r="E239" s="1334"/>
      <c r="F239" s="1335"/>
      <c r="G239" s="1333">
        <v>45077</v>
      </c>
      <c r="H239" s="1334"/>
      <c r="I239" s="1335"/>
      <c r="J239" s="317">
        <f t="shared" si="64"/>
        <v>31</v>
      </c>
      <c r="K239" s="327"/>
      <c r="L239" s="328"/>
      <c r="M239" s="329"/>
      <c r="N239" s="330"/>
      <c r="O239" s="331"/>
      <c r="P239" s="328"/>
      <c r="Q239" s="332"/>
      <c r="R239" s="333">
        <v>1</v>
      </c>
      <c r="S239" s="331" t="str">
        <f t="shared" si="65"/>
        <v>mês</v>
      </c>
      <c r="T239" s="320">
        <v>19</v>
      </c>
      <c r="U239" s="335"/>
      <c r="V239" s="291">
        <f t="shared" ca="1" si="60"/>
        <v>1</v>
      </c>
      <c r="W239" s="256">
        <f t="shared" ca="1" si="66"/>
        <v>2</v>
      </c>
      <c r="X239" s="256">
        <f t="shared" ca="1" si="67"/>
        <v>1</v>
      </c>
      <c r="Y239" s="336"/>
      <c r="Z239" s="336"/>
    </row>
    <row r="240" spans="1:26" s="337" customFormat="1" ht="15" x14ac:dyDescent="0.2">
      <c r="A240" s="288"/>
      <c r="B240" s="322"/>
      <c r="C240" s="397" t="s">
        <v>691</v>
      </c>
      <c r="D240" s="1333">
        <v>45078</v>
      </c>
      <c r="E240" s="1334"/>
      <c r="F240" s="1335"/>
      <c r="G240" s="1333">
        <v>45107</v>
      </c>
      <c r="H240" s="1334"/>
      <c r="I240" s="1335"/>
      <c r="J240" s="317">
        <f t="shared" si="64"/>
        <v>30</v>
      </c>
      <c r="K240" s="327"/>
      <c r="L240" s="328"/>
      <c r="M240" s="329"/>
      <c r="N240" s="330"/>
      <c r="O240" s="331"/>
      <c r="P240" s="328"/>
      <c r="Q240" s="332"/>
      <c r="R240" s="333">
        <v>1</v>
      </c>
      <c r="S240" s="331" t="str">
        <f t="shared" si="65"/>
        <v>mês</v>
      </c>
      <c r="T240" s="320">
        <v>19</v>
      </c>
      <c r="U240" s="335"/>
      <c r="V240" s="291">
        <f t="shared" ca="1" si="60"/>
        <v>1</v>
      </c>
      <c r="W240" s="256">
        <f t="shared" ca="1" si="66"/>
        <v>2</v>
      </c>
      <c r="X240" s="256">
        <f t="shared" ca="1" si="67"/>
        <v>1</v>
      </c>
      <c r="Y240" s="336"/>
      <c r="Z240" s="336"/>
    </row>
    <row r="241" spans="1:29" s="337" customFormat="1" ht="15" x14ac:dyDescent="0.2">
      <c r="A241" s="288"/>
      <c r="B241" s="322"/>
      <c r="C241" s="397" t="s">
        <v>692</v>
      </c>
      <c r="D241" s="1333">
        <v>45108</v>
      </c>
      <c r="E241" s="1334"/>
      <c r="F241" s="1335"/>
      <c r="G241" s="1333">
        <v>45138</v>
      </c>
      <c r="H241" s="1334"/>
      <c r="I241" s="1335"/>
      <c r="J241" s="317">
        <f t="shared" si="64"/>
        <v>31</v>
      </c>
      <c r="K241" s="327"/>
      <c r="L241" s="328"/>
      <c r="M241" s="329"/>
      <c r="N241" s="330"/>
      <c r="O241" s="331"/>
      <c r="P241" s="328"/>
      <c r="Q241" s="332"/>
      <c r="R241" s="333">
        <v>1</v>
      </c>
      <c r="S241" s="331" t="str">
        <f t="shared" si="65"/>
        <v>mês</v>
      </c>
      <c r="T241" s="320">
        <v>19</v>
      </c>
      <c r="U241" s="335"/>
      <c r="V241" s="291">
        <f t="shared" ca="1" si="60"/>
        <v>1</v>
      </c>
      <c r="W241" s="256">
        <f t="shared" ca="1" si="66"/>
        <v>2</v>
      </c>
      <c r="X241" s="256">
        <f t="shared" ca="1" si="67"/>
        <v>1</v>
      </c>
      <c r="Y241" s="336"/>
      <c r="Z241" s="336"/>
    </row>
    <row r="242" spans="1:29" s="337" customFormat="1" ht="15" x14ac:dyDescent="0.2">
      <c r="A242" s="288"/>
      <c r="B242" s="322"/>
      <c r="C242" s="397" t="s">
        <v>503</v>
      </c>
      <c r="D242" s="1333">
        <v>45139</v>
      </c>
      <c r="E242" s="1334"/>
      <c r="F242" s="1335"/>
      <c r="G242" s="1333">
        <v>45169</v>
      </c>
      <c r="H242" s="1334"/>
      <c r="I242" s="1335"/>
      <c r="J242" s="317">
        <f t="shared" si="64"/>
        <v>31</v>
      </c>
      <c r="K242" s="327"/>
      <c r="L242" s="328"/>
      <c r="M242" s="329"/>
      <c r="N242" s="330"/>
      <c r="O242" s="331"/>
      <c r="P242" s="328"/>
      <c r="Q242" s="332"/>
      <c r="R242" s="333">
        <v>1</v>
      </c>
      <c r="S242" s="331" t="str">
        <f t="shared" si="65"/>
        <v>mês</v>
      </c>
      <c r="T242" s="320">
        <v>19</v>
      </c>
      <c r="U242" s="335"/>
      <c r="V242" s="291">
        <f t="shared" ca="1" si="60"/>
        <v>1</v>
      </c>
      <c r="W242" s="256">
        <f t="shared" ca="1" si="66"/>
        <v>2</v>
      </c>
      <c r="X242" s="256">
        <f t="shared" ca="1" si="67"/>
        <v>1</v>
      </c>
      <c r="Y242" s="336"/>
      <c r="Z242" s="336"/>
    </row>
    <row r="243" spans="1:29" s="293" customFormat="1" ht="15.75" x14ac:dyDescent="0.2">
      <c r="A243" s="288"/>
      <c r="B243" s="311"/>
      <c r="C243" s="397" t="s">
        <v>504</v>
      </c>
      <c r="D243" s="1333">
        <v>45170</v>
      </c>
      <c r="E243" s="1334"/>
      <c r="F243" s="1335"/>
      <c r="G243" s="1333">
        <v>45199</v>
      </c>
      <c r="H243" s="1334"/>
      <c r="I243" s="1335"/>
      <c r="J243" s="317">
        <f t="shared" si="64"/>
        <v>30</v>
      </c>
      <c r="K243" s="313"/>
      <c r="L243" s="317"/>
      <c r="M243" s="315"/>
      <c r="N243" s="314"/>
      <c r="O243" s="313"/>
      <c r="P243" s="318"/>
      <c r="Q243" s="315"/>
      <c r="R243" s="319">
        <v>1</v>
      </c>
      <c r="S243" s="398" t="str">
        <f>$S$154</f>
        <v>mês</v>
      </c>
      <c r="T243" s="320">
        <v>19</v>
      </c>
      <c r="U243" s="321"/>
      <c r="V243" s="291">
        <f t="shared" ca="1" si="60"/>
        <v>1</v>
      </c>
      <c r="W243" s="256">
        <f t="shared" ca="1" si="66"/>
        <v>2</v>
      </c>
      <c r="X243" s="256">
        <f t="shared" ca="1" si="67"/>
        <v>1</v>
      </c>
      <c r="Y243" s="256"/>
      <c r="Z243" s="256"/>
      <c r="AA243" s="292"/>
      <c r="AB243" s="292"/>
      <c r="AC243" s="292"/>
    </row>
    <row r="244" spans="1:29" s="293" customFormat="1" ht="15.75" x14ac:dyDescent="0.2">
      <c r="A244" s="288"/>
      <c r="B244" s="311"/>
      <c r="C244" s="397" t="s">
        <v>505</v>
      </c>
      <c r="D244" s="1333">
        <v>45200</v>
      </c>
      <c r="E244" s="1334"/>
      <c r="F244" s="1335"/>
      <c r="G244" s="1333">
        <v>45230</v>
      </c>
      <c r="H244" s="1334"/>
      <c r="I244" s="1335"/>
      <c r="J244" s="317">
        <f t="shared" si="64"/>
        <v>31</v>
      </c>
      <c r="K244" s="313"/>
      <c r="L244" s="317"/>
      <c r="M244" s="315"/>
      <c r="N244" s="314"/>
      <c r="O244" s="313"/>
      <c r="P244" s="318"/>
      <c r="Q244" s="315"/>
      <c r="R244" s="319">
        <v>1</v>
      </c>
      <c r="S244" s="398" t="str">
        <f>$S$154</f>
        <v>mês</v>
      </c>
      <c r="T244" s="320">
        <v>19</v>
      </c>
      <c r="U244" s="321"/>
      <c r="V244" s="291">
        <f t="shared" ca="1" si="60"/>
        <v>1</v>
      </c>
      <c r="W244" s="256">
        <f t="shared" ca="1" si="66"/>
        <v>2</v>
      </c>
      <c r="X244" s="256">
        <f t="shared" ca="1" si="67"/>
        <v>1</v>
      </c>
      <c r="Y244" s="256"/>
      <c r="Z244" s="256"/>
      <c r="AA244" s="292"/>
      <c r="AB244" s="292"/>
      <c r="AC244" s="292"/>
    </row>
    <row r="245" spans="1:29" s="292" customFormat="1" ht="15" x14ac:dyDescent="0.2">
      <c r="A245" s="399"/>
      <c r="B245" s="322"/>
      <c r="C245" s="397" t="s">
        <v>506</v>
      </c>
      <c r="D245" s="1333">
        <v>45231</v>
      </c>
      <c r="E245" s="1334"/>
      <c r="F245" s="1335"/>
      <c r="G245" s="1333">
        <v>45260</v>
      </c>
      <c r="H245" s="1334"/>
      <c r="I245" s="1335"/>
      <c r="J245" s="317">
        <f t="shared" si="64"/>
        <v>30</v>
      </c>
      <c r="K245" s="328"/>
      <c r="L245" s="328"/>
      <c r="M245" s="328"/>
      <c r="N245" s="328"/>
      <c r="O245" s="334"/>
      <c r="P245" s="328"/>
      <c r="Q245" s="334"/>
      <c r="R245" s="333">
        <v>1</v>
      </c>
      <c r="S245" s="331" t="str">
        <f>$S$154</f>
        <v>mês</v>
      </c>
      <c r="T245" s="320">
        <v>19</v>
      </c>
      <c r="U245" s="335"/>
      <c r="V245" s="291">
        <f t="shared" ca="1" si="60"/>
        <v>1</v>
      </c>
      <c r="W245" s="256">
        <f t="shared" ca="1" si="66"/>
        <v>2</v>
      </c>
      <c r="X245" s="256">
        <f t="shared" ca="1" si="67"/>
        <v>1</v>
      </c>
      <c r="Y245" s="256"/>
      <c r="Z245" s="256"/>
    </row>
    <row r="246" spans="1:29" s="292" customFormat="1" ht="15" x14ac:dyDescent="0.2">
      <c r="A246" s="399"/>
      <c r="B246" s="322"/>
      <c r="C246" s="397" t="s">
        <v>507</v>
      </c>
      <c r="D246" s="1333">
        <v>45261</v>
      </c>
      <c r="E246" s="1334"/>
      <c r="F246" s="1335"/>
      <c r="G246" s="1333">
        <v>45291</v>
      </c>
      <c r="H246" s="1334"/>
      <c r="I246" s="1335"/>
      <c r="J246" s="317">
        <f t="shared" si="64"/>
        <v>31</v>
      </c>
      <c r="K246" s="328"/>
      <c r="L246" s="328"/>
      <c r="M246" s="328"/>
      <c r="N246" s="328"/>
      <c r="O246" s="334"/>
      <c r="P246" s="328"/>
      <c r="Q246" s="334"/>
      <c r="R246" s="333">
        <v>1</v>
      </c>
      <c r="S246" s="331" t="str">
        <f>$S$154</f>
        <v>mês</v>
      </c>
      <c r="T246" s="320">
        <v>19</v>
      </c>
      <c r="U246" s="335"/>
      <c r="V246" s="291">
        <f t="shared" ca="1" si="60"/>
        <v>1</v>
      </c>
      <c r="W246" s="256">
        <f t="shared" ca="1" si="66"/>
        <v>2</v>
      </c>
      <c r="X246" s="256">
        <f t="shared" ca="1" si="67"/>
        <v>1</v>
      </c>
      <c r="Y246" s="256"/>
      <c r="Z246" s="256"/>
    </row>
    <row r="247" spans="1:29" s="337" customFormat="1" ht="15.75" x14ac:dyDescent="0.2">
      <c r="A247" s="288"/>
      <c r="B247" s="494"/>
      <c r="C247" s="762" t="s">
        <v>694</v>
      </c>
      <c r="D247" s="756"/>
      <c r="E247" s="757"/>
      <c r="F247" s="758"/>
      <c r="G247" s="756"/>
      <c r="H247" s="757"/>
      <c r="I247" s="758"/>
      <c r="J247" s="560"/>
      <c r="K247" s="759"/>
      <c r="L247" s="501"/>
      <c r="M247" s="760"/>
      <c r="N247" s="761"/>
      <c r="O247" s="505"/>
      <c r="P247" s="501"/>
      <c r="Q247" s="739"/>
      <c r="R247" s="504"/>
      <c r="S247" s="505"/>
      <c r="T247" s="506"/>
      <c r="U247" s="574"/>
      <c r="V247" s="291">
        <f t="shared" ca="1" si="60"/>
        <v>1</v>
      </c>
      <c r="W247" s="256">
        <f t="shared" ca="1" si="66"/>
        <v>2</v>
      </c>
      <c r="X247" s="256">
        <f t="shared" ca="1" si="67"/>
        <v>1</v>
      </c>
      <c r="Y247" s="336"/>
      <c r="Z247" s="336"/>
    </row>
    <row r="248" spans="1:29" s="337" customFormat="1" ht="15" x14ac:dyDescent="0.2">
      <c r="A248" s="288"/>
      <c r="B248" s="322"/>
      <c r="C248" s="397" t="s">
        <v>690</v>
      </c>
      <c r="D248" s="1333">
        <v>45047</v>
      </c>
      <c r="E248" s="1334"/>
      <c r="F248" s="1335"/>
      <c r="G248" s="1333">
        <v>45077</v>
      </c>
      <c r="H248" s="1334"/>
      <c r="I248" s="1335"/>
      <c r="J248" s="317">
        <f t="shared" si="61"/>
        <v>31</v>
      </c>
      <c r="K248" s="327"/>
      <c r="L248" s="328"/>
      <c r="M248" s="329"/>
      <c r="N248" s="330"/>
      <c r="O248" s="331"/>
      <c r="P248" s="328"/>
      <c r="Q248" s="332"/>
      <c r="R248" s="333">
        <v>1</v>
      </c>
      <c r="S248" s="331" t="str">
        <f>$S$154</f>
        <v>mês</v>
      </c>
      <c r="T248" s="320">
        <v>19</v>
      </c>
      <c r="U248" s="335"/>
      <c r="V248" s="291">
        <f t="shared" ca="1" si="60"/>
        <v>1</v>
      </c>
      <c r="W248" s="256">
        <f t="shared" ca="1" si="66"/>
        <v>2</v>
      </c>
      <c r="X248" s="256">
        <f t="shared" ca="1" si="67"/>
        <v>1</v>
      </c>
      <c r="Y248" s="336"/>
      <c r="Z248" s="336"/>
    </row>
    <row r="249" spans="1:29" s="337" customFormat="1" ht="15" x14ac:dyDescent="0.2">
      <c r="A249" s="288"/>
      <c r="B249" s="322"/>
      <c r="C249" s="397" t="s">
        <v>691</v>
      </c>
      <c r="D249" s="1333">
        <v>45078</v>
      </c>
      <c r="E249" s="1334"/>
      <c r="F249" s="1335"/>
      <c r="G249" s="1333">
        <v>45107</v>
      </c>
      <c r="H249" s="1334"/>
      <c r="I249" s="1335"/>
      <c r="J249" s="317">
        <f t="shared" si="61"/>
        <v>30</v>
      </c>
      <c r="K249" s="327"/>
      <c r="L249" s="328"/>
      <c r="M249" s="329"/>
      <c r="N249" s="330"/>
      <c r="O249" s="331"/>
      <c r="P249" s="328"/>
      <c r="Q249" s="332"/>
      <c r="R249" s="333">
        <v>1</v>
      </c>
      <c r="S249" s="331" t="str">
        <f>$S$154</f>
        <v>mês</v>
      </c>
      <c r="T249" s="320">
        <v>19</v>
      </c>
      <c r="U249" s="335"/>
      <c r="V249" s="291">
        <f t="shared" ca="1" si="60"/>
        <v>1</v>
      </c>
      <c r="W249" s="256">
        <f t="shared" ref="W249:W257" ca="1" si="68">IF(LEFT(_xlfn.FORMULATEXT(V249),3)="=SO",1,IF(COUNTA(A249:U249)=0,0,2))</f>
        <v>2</v>
      </c>
      <c r="X249" s="256">
        <f ca="1">IF(COUNTA(OFFSET(A248,1,0))-COUNTA(A248)=-1,0,1)</f>
        <v>1</v>
      </c>
      <c r="Y249" s="336"/>
      <c r="Z249" s="336"/>
    </row>
    <row r="250" spans="1:29" s="337" customFormat="1" ht="15" x14ac:dyDescent="0.2">
      <c r="A250" s="288"/>
      <c r="B250" s="322"/>
      <c r="C250" s="397" t="s">
        <v>692</v>
      </c>
      <c r="D250" s="1333">
        <v>45108</v>
      </c>
      <c r="E250" s="1334"/>
      <c r="F250" s="1335"/>
      <c r="G250" s="1333">
        <v>45138</v>
      </c>
      <c r="H250" s="1334"/>
      <c r="I250" s="1335"/>
      <c r="J250" s="317">
        <f t="shared" si="61"/>
        <v>31</v>
      </c>
      <c r="K250" s="327"/>
      <c r="L250" s="328"/>
      <c r="M250" s="329"/>
      <c r="N250" s="330"/>
      <c r="O250" s="331"/>
      <c r="P250" s="328"/>
      <c r="Q250" s="332"/>
      <c r="R250" s="333">
        <v>1</v>
      </c>
      <c r="S250" s="331" t="str">
        <f>$S$154</f>
        <v>mês</v>
      </c>
      <c r="T250" s="320">
        <v>19</v>
      </c>
      <c r="U250" s="335"/>
      <c r="V250" s="291">
        <f t="shared" ca="1" si="60"/>
        <v>1</v>
      </c>
      <c r="W250" s="256">
        <f t="shared" ca="1" si="68"/>
        <v>2</v>
      </c>
      <c r="X250" s="256">
        <f ca="1">IF(COUNTA(OFFSET(A249,1,0))-COUNTA(A249)=-1,0,1)</f>
        <v>1</v>
      </c>
      <c r="Y250" s="336"/>
      <c r="Z250" s="336"/>
    </row>
    <row r="251" spans="1:29" s="337" customFormat="1" ht="15" x14ac:dyDescent="0.2">
      <c r="A251" s="288"/>
      <c r="B251" s="322"/>
      <c r="C251" s="397" t="s">
        <v>503</v>
      </c>
      <c r="D251" s="1333">
        <v>45139</v>
      </c>
      <c r="E251" s="1334"/>
      <c r="F251" s="1335"/>
      <c r="G251" s="1333">
        <v>45169</v>
      </c>
      <c r="H251" s="1334"/>
      <c r="I251" s="1335"/>
      <c r="J251" s="317">
        <f t="shared" si="61"/>
        <v>31</v>
      </c>
      <c r="K251" s="327"/>
      <c r="L251" s="328"/>
      <c r="M251" s="329"/>
      <c r="N251" s="330"/>
      <c r="O251" s="331"/>
      <c r="P251" s="328"/>
      <c r="Q251" s="332"/>
      <c r="R251" s="333">
        <v>1</v>
      </c>
      <c r="S251" s="331" t="str">
        <f>$S$154</f>
        <v>mês</v>
      </c>
      <c r="T251" s="320">
        <v>19</v>
      </c>
      <c r="U251" s="335"/>
      <c r="V251" s="291">
        <f t="shared" ca="1" si="60"/>
        <v>1</v>
      </c>
      <c r="W251" s="256">
        <f t="shared" ca="1" si="68"/>
        <v>2</v>
      </c>
      <c r="X251" s="256">
        <f ca="1">IF(COUNTA(OFFSET(A250,1,0))-COUNTA(A250)=-1,0,1)</f>
        <v>1</v>
      </c>
      <c r="Y251" s="336"/>
      <c r="Z251" s="336"/>
    </row>
    <row r="252" spans="1:29" s="293" customFormat="1" ht="15.75" x14ac:dyDescent="0.2">
      <c r="A252" s="288"/>
      <c r="B252" s="311"/>
      <c r="C252" s="397" t="s">
        <v>504</v>
      </c>
      <c r="D252" s="1333">
        <v>45170</v>
      </c>
      <c r="E252" s="1334"/>
      <c r="F252" s="1335"/>
      <c r="G252" s="1333">
        <v>45199</v>
      </c>
      <c r="H252" s="1334"/>
      <c r="I252" s="1335"/>
      <c r="J252" s="317">
        <f t="shared" si="61"/>
        <v>30</v>
      </c>
      <c r="K252" s="313"/>
      <c r="L252" s="317"/>
      <c r="M252" s="315"/>
      <c r="N252" s="314"/>
      <c r="O252" s="313"/>
      <c r="P252" s="318"/>
      <c r="Q252" s="315"/>
      <c r="R252" s="319">
        <v>1</v>
      </c>
      <c r="S252" s="398" t="str">
        <f t="shared" ref="S252:S274" si="69">$S$154</f>
        <v>mês</v>
      </c>
      <c r="T252" s="320">
        <v>19</v>
      </c>
      <c r="U252" s="321"/>
      <c r="V252" s="291">
        <f t="shared" ca="1" si="60"/>
        <v>1</v>
      </c>
      <c r="W252" s="256">
        <f t="shared" ca="1" si="68"/>
        <v>2</v>
      </c>
      <c r="X252" s="256">
        <f ca="1">IF(COUNTA(OFFSET(A251,1,0))-COUNTA(A251)=-1,0,1)</f>
        <v>1</v>
      </c>
      <c r="Y252" s="256"/>
      <c r="Z252" s="256"/>
      <c r="AA252" s="292"/>
      <c r="AB252" s="292"/>
      <c r="AC252" s="292"/>
    </row>
    <row r="253" spans="1:29" s="293" customFormat="1" ht="15.75" x14ac:dyDescent="0.2">
      <c r="A253" s="288"/>
      <c r="B253" s="311"/>
      <c r="C253" s="397" t="s">
        <v>505</v>
      </c>
      <c r="D253" s="1333">
        <v>45200</v>
      </c>
      <c r="E253" s="1334"/>
      <c r="F253" s="1335"/>
      <c r="G253" s="1333">
        <v>45230</v>
      </c>
      <c r="H253" s="1334"/>
      <c r="I253" s="1335"/>
      <c r="J253" s="317">
        <f t="shared" si="61"/>
        <v>31</v>
      </c>
      <c r="K253" s="313"/>
      <c r="L253" s="317"/>
      <c r="M253" s="315"/>
      <c r="N253" s="314"/>
      <c r="O253" s="313"/>
      <c r="P253" s="318"/>
      <c r="Q253" s="315"/>
      <c r="R253" s="319">
        <v>1</v>
      </c>
      <c r="S253" s="398" t="str">
        <f t="shared" si="69"/>
        <v>mês</v>
      </c>
      <c r="T253" s="320">
        <v>19</v>
      </c>
      <c r="U253" s="321"/>
      <c r="V253" s="291">
        <f t="shared" ca="1" si="60"/>
        <v>1</v>
      </c>
      <c r="W253" s="256">
        <f t="shared" ca="1" si="68"/>
        <v>2</v>
      </c>
      <c r="X253" s="256">
        <f ca="1">IF(COUNTA(OFFSET(#REF!,1,0))-COUNTA(#REF!)=-1,0,1)</f>
        <v>1</v>
      </c>
      <c r="Y253" s="256"/>
      <c r="Z253" s="256"/>
      <c r="AA253" s="292"/>
      <c r="AB253" s="292"/>
      <c r="AC253" s="292"/>
    </row>
    <row r="254" spans="1:29" s="292" customFormat="1" ht="15" x14ac:dyDescent="0.2">
      <c r="A254" s="399"/>
      <c r="B254" s="322"/>
      <c r="C254" s="397" t="s">
        <v>506</v>
      </c>
      <c r="D254" s="1333">
        <v>45231</v>
      </c>
      <c r="E254" s="1334"/>
      <c r="F254" s="1335"/>
      <c r="G254" s="1333">
        <v>45260</v>
      </c>
      <c r="H254" s="1334"/>
      <c r="I254" s="1335"/>
      <c r="J254" s="317">
        <f t="shared" si="61"/>
        <v>30</v>
      </c>
      <c r="K254" s="328"/>
      <c r="L254" s="328"/>
      <c r="M254" s="328"/>
      <c r="N254" s="328"/>
      <c r="O254" s="334"/>
      <c r="P254" s="328"/>
      <c r="Q254" s="334"/>
      <c r="R254" s="333">
        <v>1</v>
      </c>
      <c r="S254" s="331" t="str">
        <f t="shared" si="69"/>
        <v>mês</v>
      </c>
      <c r="T254" s="320">
        <v>19</v>
      </c>
      <c r="U254" s="335"/>
      <c r="V254" s="291">
        <f t="shared" ca="1" si="60"/>
        <v>1</v>
      </c>
      <c r="W254" s="256">
        <f t="shared" ca="1" si="68"/>
        <v>2</v>
      </c>
      <c r="X254" s="256">
        <f t="shared" ref="X254:X259" ca="1" si="70">IF(COUNTA(OFFSET(A253,1,0))-COUNTA(A253)=-1,0,1)</f>
        <v>1</v>
      </c>
      <c r="Y254" s="256"/>
      <c r="Z254" s="256"/>
    </row>
    <row r="255" spans="1:29" s="292" customFormat="1" ht="15" x14ac:dyDescent="0.2">
      <c r="A255" s="399"/>
      <c r="B255" s="322"/>
      <c r="C255" s="397" t="s">
        <v>507</v>
      </c>
      <c r="D255" s="1333">
        <v>45261</v>
      </c>
      <c r="E255" s="1334"/>
      <c r="F255" s="1335"/>
      <c r="G255" s="1333">
        <v>45291</v>
      </c>
      <c r="H255" s="1334"/>
      <c r="I255" s="1335"/>
      <c r="J255" s="317">
        <f t="shared" si="61"/>
        <v>31</v>
      </c>
      <c r="K255" s="328"/>
      <c r="L255" s="328"/>
      <c r="M255" s="328"/>
      <c r="N255" s="328"/>
      <c r="O255" s="334"/>
      <c r="P255" s="328"/>
      <c r="Q255" s="334"/>
      <c r="R255" s="333">
        <v>1</v>
      </c>
      <c r="S255" s="331" t="str">
        <f t="shared" si="69"/>
        <v>mês</v>
      </c>
      <c r="T255" s="320">
        <v>19</v>
      </c>
      <c r="U255" s="335"/>
      <c r="V255" s="291">
        <f t="shared" ca="1" si="60"/>
        <v>1</v>
      </c>
      <c r="W255" s="256">
        <f t="shared" ca="1" si="68"/>
        <v>2</v>
      </c>
      <c r="X255" s="256">
        <f t="shared" ca="1" si="70"/>
        <v>1</v>
      </c>
      <c r="Y255" s="256"/>
      <c r="Z255" s="256"/>
    </row>
    <row r="256" spans="1:29" s="337" customFormat="1" ht="15" x14ac:dyDescent="0.2">
      <c r="A256" s="288"/>
      <c r="B256" s="322"/>
      <c r="C256" s="397" t="s">
        <v>508</v>
      </c>
      <c r="D256" s="1333">
        <v>45292</v>
      </c>
      <c r="E256" s="1334"/>
      <c r="F256" s="1335"/>
      <c r="G256" s="1333">
        <v>45322</v>
      </c>
      <c r="H256" s="1334"/>
      <c r="I256" s="1335"/>
      <c r="J256" s="317">
        <f t="shared" si="61"/>
        <v>31</v>
      </c>
      <c r="K256" s="327"/>
      <c r="L256" s="328"/>
      <c r="M256" s="329"/>
      <c r="N256" s="330"/>
      <c r="O256" s="331"/>
      <c r="P256" s="328"/>
      <c r="Q256" s="332"/>
      <c r="R256" s="333">
        <v>1</v>
      </c>
      <c r="S256" s="331" t="str">
        <f t="shared" si="69"/>
        <v>mês</v>
      </c>
      <c r="T256" s="320">
        <v>19</v>
      </c>
      <c r="U256" s="335"/>
      <c r="V256" s="291">
        <f t="shared" ca="1" si="60"/>
        <v>1</v>
      </c>
      <c r="W256" s="256">
        <f t="shared" ca="1" si="68"/>
        <v>2</v>
      </c>
      <c r="X256" s="256">
        <f t="shared" ca="1" si="70"/>
        <v>1</v>
      </c>
      <c r="Y256" s="336"/>
      <c r="Z256" s="336"/>
    </row>
    <row r="257" spans="1:26" s="337" customFormat="1" ht="15" x14ac:dyDescent="0.2">
      <c r="A257" s="288"/>
      <c r="B257" s="322"/>
      <c r="C257" s="397" t="s">
        <v>509</v>
      </c>
      <c r="D257" s="1333">
        <v>45323</v>
      </c>
      <c r="E257" s="1334"/>
      <c r="F257" s="1335"/>
      <c r="G257" s="1333">
        <v>45351</v>
      </c>
      <c r="H257" s="1334"/>
      <c r="I257" s="1335"/>
      <c r="J257" s="317">
        <f t="shared" si="61"/>
        <v>29</v>
      </c>
      <c r="K257" s="327"/>
      <c r="L257" s="328"/>
      <c r="M257" s="329"/>
      <c r="N257" s="330"/>
      <c r="O257" s="331"/>
      <c r="P257" s="328"/>
      <c r="Q257" s="332"/>
      <c r="R257" s="333">
        <v>1</v>
      </c>
      <c r="S257" s="331" t="str">
        <f t="shared" si="69"/>
        <v>mês</v>
      </c>
      <c r="T257" s="320">
        <v>25</v>
      </c>
      <c r="U257" s="335"/>
      <c r="V257" s="291">
        <f t="shared" ca="1" si="60"/>
        <v>1</v>
      </c>
      <c r="W257" s="256">
        <f t="shared" ca="1" si="68"/>
        <v>2</v>
      </c>
      <c r="X257" s="256">
        <f t="shared" ca="1" si="70"/>
        <v>1</v>
      </c>
      <c r="Y257" s="336"/>
      <c r="Z257" s="336"/>
    </row>
    <row r="258" spans="1:26" s="337" customFormat="1" ht="15" x14ac:dyDescent="0.2">
      <c r="A258" s="288"/>
      <c r="B258" s="322"/>
      <c r="C258" s="397" t="s">
        <v>510</v>
      </c>
      <c r="D258" s="1333">
        <v>45352</v>
      </c>
      <c r="E258" s="1334"/>
      <c r="F258" s="1335"/>
      <c r="G258" s="1333">
        <v>45382</v>
      </c>
      <c r="H258" s="1334"/>
      <c r="I258" s="1335"/>
      <c r="J258" s="317">
        <f t="shared" ref="J258:J265" si="71">G258-D258+1</f>
        <v>31</v>
      </c>
      <c r="K258" s="327"/>
      <c r="L258" s="328"/>
      <c r="M258" s="329"/>
      <c r="N258" s="330"/>
      <c r="O258" s="331"/>
      <c r="P258" s="328"/>
      <c r="Q258" s="332"/>
      <c r="R258" s="333">
        <v>1</v>
      </c>
      <c r="S258" s="331" t="str">
        <f t="shared" si="69"/>
        <v>mês</v>
      </c>
      <c r="T258" s="320">
        <v>25</v>
      </c>
      <c r="U258" s="335"/>
      <c r="V258" s="291">
        <f t="shared" ca="1" si="60"/>
        <v>1</v>
      </c>
      <c r="W258" s="256">
        <f t="shared" ref="W258:W265" ca="1" si="72">IF(LEFT(_xlfn.FORMULATEXT(V258),3)="=SO",1,IF(COUNTA(A258:U258)=0,0,2))</f>
        <v>2</v>
      </c>
      <c r="X258" s="256">
        <f t="shared" ca="1" si="70"/>
        <v>1</v>
      </c>
      <c r="Y258" s="336"/>
      <c r="Z258" s="336"/>
    </row>
    <row r="259" spans="1:26" s="337" customFormat="1" ht="15" x14ac:dyDescent="0.2">
      <c r="A259" s="288"/>
      <c r="B259" s="322"/>
      <c r="C259" s="397" t="s">
        <v>511</v>
      </c>
      <c r="D259" s="1333">
        <v>45383</v>
      </c>
      <c r="E259" s="1334"/>
      <c r="F259" s="1335"/>
      <c r="G259" s="1333">
        <v>45412</v>
      </c>
      <c r="H259" s="1334"/>
      <c r="I259" s="1335"/>
      <c r="J259" s="317">
        <f t="shared" si="71"/>
        <v>30</v>
      </c>
      <c r="K259" s="327"/>
      <c r="L259" s="328"/>
      <c r="M259" s="329"/>
      <c r="N259" s="330"/>
      <c r="O259" s="331"/>
      <c r="P259" s="328"/>
      <c r="Q259" s="332"/>
      <c r="R259" s="333">
        <v>1</v>
      </c>
      <c r="S259" s="331" t="str">
        <f t="shared" si="69"/>
        <v>mês</v>
      </c>
      <c r="T259" s="320">
        <v>25</v>
      </c>
      <c r="U259" s="335"/>
      <c r="V259" s="291">
        <f t="shared" ca="1" si="60"/>
        <v>1</v>
      </c>
      <c r="W259" s="256">
        <f t="shared" ca="1" si="72"/>
        <v>2</v>
      </c>
      <c r="X259" s="256">
        <f t="shared" ca="1" si="70"/>
        <v>1</v>
      </c>
      <c r="Y259" s="336"/>
      <c r="Z259" s="336"/>
    </row>
    <row r="260" spans="1:26" s="337" customFormat="1" ht="15" x14ac:dyDescent="0.2">
      <c r="A260" s="288"/>
      <c r="B260" s="322"/>
      <c r="C260" s="397" t="s">
        <v>690</v>
      </c>
      <c r="D260" s="1333">
        <v>45413</v>
      </c>
      <c r="E260" s="1334"/>
      <c r="F260" s="1335"/>
      <c r="G260" s="1333">
        <v>45443</v>
      </c>
      <c r="H260" s="1334"/>
      <c r="I260" s="1335"/>
      <c r="J260" s="317">
        <f t="shared" si="71"/>
        <v>31</v>
      </c>
      <c r="K260" s="327"/>
      <c r="L260" s="328"/>
      <c r="M260" s="329"/>
      <c r="N260" s="330"/>
      <c r="O260" s="331"/>
      <c r="P260" s="328"/>
      <c r="Q260" s="332"/>
      <c r="R260" s="333">
        <v>1</v>
      </c>
      <c r="S260" s="331" t="str">
        <f t="shared" si="69"/>
        <v>mês</v>
      </c>
      <c r="T260" s="320">
        <v>25</v>
      </c>
      <c r="U260" s="335"/>
      <c r="V260" s="291">
        <f t="shared" ca="1" si="60"/>
        <v>1</v>
      </c>
      <c r="W260" s="256">
        <f t="shared" ca="1" si="72"/>
        <v>2</v>
      </c>
      <c r="X260" s="256">
        <f t="shared" ref="X260:X265" ca="1" si="73">IF(COUNTA(OFFSET(A259,1,0))-COUNTA(A259)=-1,0,1)</f>
        <v>1</v>
      </c>
      <c r="Y260" s="336"/>
      <c r="Z260" s="336"/>
    </row>
    <row r="261" spans="1:26" s="337" customFormat="1" ht="15" x14ac:dyDescent="0.2">
      <c r="A261" s="288"/>
      <c r="B261" s="322"/>
      <c r="C261" s="397" t="s">
        <v>691</v>
      </c>
      <c r="D261" s="1333">
        <v>45444</v>
      </c>
      <c r="E261" s="1334"/>
      <c r="F261" s="1335"/>
      <c r="G261" s="1333">
        <v>45473</v>
      </c>
      <c r="H261" s="1334"/>
      <c r="I261" s="1335"/>
      <c r="J261" s="317">
        <f t="shared" si="71"/>
        <v>30</v>
      </c>
      <c r="K261" s="327"/>
      <c r="L261" s="328"/>
      <c r="M261" s="329"/>
      <c r="N261" s="330"/>
      <c r="O261" s="331"/>
      <c r="P261" s="328"/>
      <c r="Q261" s="332"/>
      <c r="R261" s="333">
        <v>1</v>
      </c>
      <c r="S261" s="331" t="str">
        <f t="shared" si="69"/>
        <v>mês</v>
      </c>
      <c r="T261" s="320">
        <v>25</v>
      </c>
      <c r="U261" s="335"/>
      <c r="V261" s="291">
        <f t="shared" ca="1" si="60"/>
        <v>1</v>
      </c>
      <c r="W261" s="256">
        <f t="shared" ca="1" si="72"/>
        <v>2</v>
      </c>
      <c r="X261" s="256">
        <f t="shared" ca="1" si="73"/>
        <v>1</v>
      </c>
      <c r="Y261" s="336"/>
      <c r="Z261" s="336"/>
    </row>
    <row r="262" spans="1:26" s="337" customFormat="1" ht="15" x14ac:dyDescent="0.2">
      <c r="A262" s="288"/>
      <c r="B262" s="322"/>
      <c r="C262" s="397" t="s">
        <v>692</v>
      </c>
      <c r="D262" s="1333">
        <v>45474</v>
      </c>
      <c r="E262" s="1334"/>
      <c r="F262" s="1335"/>
      <c r="G262" s="1333">
        <v>45504</v>
      </c>
      <c r="H262" s="1334"/>
      <c r="I262" s="1335"/>
      <c r="J262" s="317">
        <f t="shared" si="71"/>
        <v>31</v>
      </c>
      <c r="K262" s="327"/>
      <c r="L262" s="328"/>
      <c r="M262" s="329"/>
      <c r="N262" s="330"/>
      <c r="O262" s="331"/>
      <c r="P262" s="328"/>
      <c r="Q262" s="332"/>
      <c r="R262" s="333">
        <v>1</v>
      </c>
      <c r="S262" s="331" t="str">
        <f t="shared" si="69"/>
        <v>mês</v>
      </c>
      <c r="T262" s="320">
        <v>25</v>
      </c>
      <c r="U262" s="335"/>
      <c r="V262" s="291">
        <f t="shared" ca="1" si="60"/>
        <v>1</v>
      </c>
      <c r="W262" s="256">
        <f t="shared" ca="1" si="72"/>
        <v>2</v>
      </c>
      <c r="X262" s="256">
        <f t="shared" ca="1" si="73"/>
        <v>1</v>
      </c>
      <c r="Y262" s="336"/>
      <c r="Z262" s="336"/>
    </row>
    <row r="263" spans="1:26" s="337" customFormat="1" ht="15" x14ac:dyDescent="0.2">
      <c r="A263" s="288"/>
      <c r="B263" s="322"/>
      <c r="C263" s="397" t="s">
        <v>503</v>
      </c>
      <c r="D263" s="1333">
        <v>45505</v>
      </c>
      <c r="E263" s="1334"/>
      <c r="F263" s="1335"/>
      <c r="G263" s="1333">
        <v>45535</v>
      </c>
      <c r="H263" s="1334"/>
      <c r="I263" s="1335"/>
      <c r="J263" s="317">
        <f t="shared" si="71"/>
        <v>31</v>
      </c>
      <c r="K263" s="327"/>
      <c r="L263" s="328"/>
      <c r="M263" s="329"/>
      <c r="N263" s="330"/>
      <c r="O263" s="331"/>
      <c r="P263" s="328"/>
      <c r="Q263" s="332"/>
      <c r="R263" s="333">
        <v>1</v>
      </c>
      <c r="S263" s="331" t="str">
        <f t="shared" si="69"/>
        <v>mês</v>
      </c>
      <c r="T263" s="320">
        <v>25</v>
      </c>
      <c r="U263" s="335"/>
      <c r="V263" s="291">
        <f t="shared" ca="1" si="60"/>
        <v>1</v>
      </c>
      <c r="W263" s="256">
        <f t="shared" ca="1" si="72"/>
        <v>2</v>
      </c>
      <c r="X263" s="256">
        <f t="shared" ca="1" si="73"/>
        <v>1</v>
      </c>
      <c r="Y263" s="336"/>
      <c r="Z263" s="336"/>
    </row>
    <row r="264" spans="1:26" s="337" customFormat="1" ht="15" x14ac:dyDescent="0.2">
      <c r="A264" s="288"/>
      <c r="B264" s="322"/>
      <c r="C264" s="397" t="s">
        <v>504</v>
      </c>
      <c r="D264" s="1333">
        <v>45536</v>
      </c>
      <c r="E264" s="1334"/>
      <c r="F264" s="1335"/>
      <c r="G264" s="1333">
        <v>45565</v>
      </c>
      <c r="H264" s="1334"/>
      <c r="I264" s="1335"/>
      <c r="J264" s="317">
        <f t="shared" si="71"/>
        <v>30</v>
      </c>
      <c r="K264" s="327"/>
      <c r="L264" s="328"/>
      <c r="M264" s="329"/>
      <c r="N264" s="330"/>
      <c r="O264" s="331"/>
      <c r="P264" s="328"/>
      <c r="Q264" s="332"/>
      <c r="R264" s="333">
        <v>1</v>
      </c>
      <c r="S264" s="331" t="str">
        <f t="shared" si="69"/>
        <v>mês</v>
      </c>
      <c r="T264" s="320">
        <v>26</v>
      </c>
      <c r="U264" s="335"/>
      <c r="V264" s="291">
        <f t="shared" ca="1" si="60"/>
        <v>1</v>
      </c>
      <c r="W264" s="256">
        <f t="shared" ca="1" si="72"/>
        <v>2</v>
      </c>
      <c r="X264" s="256">
        <f t="shared" ca="1" si="73"/>
        <v>1</v>
      </c>
      <c r="Y264" s="336"/>
      <c r="Z264" s="336"/>
    </row>
    <row r="265" spans="1:26" s="337" customFormat="1" ht="15" x14ac:dyDescent="0.2">
      <c r="A265" s="288"/>
      <c r="B265" s="322"/>
      <c r="C265" s="397" t="s">
        <v>505</v>
      </c>
      <c r="D265" s="1333">
        <v>45566</v>
      </c>
      <c r="E265" s="1334"/>
      <c r="F265" s="1335"/>
      <c r="G265" s="1333">
        <v>45596</v>
      </c>
      <c r="H265" s="1334"/>
      <c r="I265" s="1335"/>
      <c r="J265" s="317">
        <f t="shared" si="71"/>
        <v>31</v>
      </c>
      <c r="K265" s="327"/>
      <c r="L265" s="328"/>
      <c r="M265" s="329"/>
      <c r="N265" s="330"/>
      <c r="O265" s="331"/>
      <c r="P265" s="328"/>
      <c r="Q265" s="332"/>
      <c r="R265" s="333">
        <v>1</v>
      </c>
      <c r="S265" s="331" t="str">
        <f t="shared" si="69"/>
        <v>mês</v>
      </c>
      <c r="T265" s="320">
        <v>27</v>
      </c>
      <c r="U265" s="335"/>
      <c r="V265" s="291">
        <f t="shared" ca="1" si="60"/>
        <v>1</v>
      </c>
      <c r="W265" s="256">
        <f t="shared" ca="1" si="72"/>
        <v>2</v>
      </c>
      <c r="X265" s="256">
        <f t="shared" ca="1" si="73"/>
        <v>1</v>
      </c>
      <c r="Y265" s="336"/>
      <c r="Z265" s="336"/>
    </row>
    <row r="266" spans="1:26" s="337" customFormat="1" ht="15" x14ac:dyDescent="0.2">
      <c r="A266" s="288"/>
      <c r="B266" s="322"/>
      <c r="C266" s="397" t="s">
        <v>506</v>
      </c>
      <c r="D266" s="1333">
        <v>45597</v>
      </c>
      <c r="E266" s="1334"/>
      <c r="F266" s="1335"/>
      <c r="G266" s="1333">
        <v>45626</v>
      </c>
      <c r="H266" s="1334"/>
      <c r="I266" s="1335"/>
      <c r="J266" s="317">
        <f>G266-D266+1</f>
        <v>30</v>
      </c>
      <c r="K266" s="327"/>
      <c r="L266" s="328"/>
      <c r="M266" s="329"/>
      <c r="N266" s="330"/>
      <c r="O266" s="331"/>
      <c r="P266" s="328"/>
      <c r="Q266" s="332"/>
      <c r="R266" s="333">
        <v>1</v>
      </c>
      <c r="S266" s="331" t="str">
        <f t="shared" si="69"/>
        <v>mês</v>
      </c>
      <c r="T266" s="320">
        <v>28</v>
      </c>
      <c r="U266" s="335"/>
      <c r="V266" s="291">
        <f t="shared" ca="1" si="60"/>
        <v>1</v>
      </c>
      <c r="W266" s="256">
        <f ca="1">IF(LEFT(_xlfn.FORMULATEXT(V266),3)="=SO",1,IF(COUNTA(A266:U266)=0,0,2))</f>
        <v>2</v>
      </c>
      <c r="X266" s="256">
        <f ca="1">IF(COUNTA(OFFSET(A265,1,0))-COUNTA(A265)=-1,0,1)</f>
        <v>1</v>
      </c>
      <c r="Y266" s="336"/>
      <c r="Z266" s="336"/>
    </row>
    <row r="267" spans="1:26" s="337" customFormat="1" ht="15" x14ac:dyDescent="0.2">
      <c r="A267" s="288"/>
      <c r="B267" s="322"/>
      <c r="C267" s="397" t="s">
        <v>507</v>
      </c>
      <c r="D267" s="1333">
        <v>45627</v>
      </c>
      <c r="E267" s="1334"/>
      <c r="F267" s="1335"/>
      <c r="G267" s="1333">
        <v>45657</v>
      </c>
      <c r="H267" s="1334"/>
      <c r="I267" s="1335"/>
      <c r="J267" s="317">
        <f>G267-D267+1</f>
        <v>31</v>
      </c>
      <c r="K267" s="327"/>
      <c r="L267" s="328"/>
      <c r="M267" s="329"/>
      <c r="N267" s="330"/>
      <c r="O267" s="331"/>
      <c r="P267" s="328"/>
      <c r="Q267" s="332"/>
      <c r="R267" s="333">
        <v>1</v>
      </c>
      <c r="S267" s="331" t="str">
        <f t="shared" si="69"/>
        <v>mês</v>
      </c>
      <c r="T267" s="320">
        <v>29</v>
      </c>
      <c r="U267" s="335"/>
      <c r="V267" s="291">
        <f ca="1">IF(OFFSET(V267,1,1)=1,OFFSET(V267,0,-4),OFFSET(V267,1,0))</f>
        <v>1</v>
      </c>
      <c r="W267" s="256">
        <f ca="1">IF(LEFT(_xlfn.FORMULATEXT(V267),3)="=SO",1,IF(COUNTA(A267:U267)=0,0,2))</f>
        <v>2</v>
      </c>
      <c r="X267" s="256">
        <f ca="1">IF(COUNTA(OFFSET(A266,1,0))-COUNTA(A266)=-1,0,1)</f>
        <v>1</v>
      </c>
      <c r="Y267" s="336"/>
      <c r="Z267" s="336"/>
    </row>
    <row r="268" spans="1:26" s="337" customFormat="1" ht="15" x14ac:dyDescent="0.2">
      <c r="A268" s="288"/>
      <c r="B268" s="322"/>
      <c r="C268" s="397" t="s">
        <v>508</v>
      </c>
      <c r="D268" s="1333">
        <v>45658</v>
      </c>
      <c r="E268" s="1334"/>
      <c r="F268" s="1335"/>
      <c r="G268" s="1333">
        <v>45688</v>
      </c>
      <c r="H268" s="1334"/>
      <c r="I268" s="1335"/>
      <c r="J268" s="317">
        <f>G268-D268+1</f>
        <v>31</v>
      </c>
      <c r="K268" s="327"/>
      <c r="L268" s="328"/>
      <c r="M268" s="329"/>
      <c r="N268" s="330"/>
      <c r="O268" s="331"/>
      <c r="P268" s="328"/>
      <c r="Q268" s="332"/>
      <c r="R268" s="333">
        <v>1</v>
      </c>
      <c r="S268" s="331" t="str">
        <f t="shared" si="69"/>
        <v>mês</v>
      </c>
      <c r="T268" s="320">
        <v>30</v>
      </c>
      <c r="U268" s="335"/>
      <c r="V268" s="291">
        <f ca="1">IF(OFFSET(V268,1,1)=1,OFFSET(V268,0,-4),OFFSET(V268,1,0))</f>
        <v>1</v>
      </c>
      <c r="W268" s="256">
        <f ca="1">IF(LEFT(_xlfn.FORMULATEXT(V268),3)="=SO",1,IF(COUNTA(A268:U268)=0,0,2))</f>
        <v>2</v>
      </c>
      <c r="X268" s="256">
        <f t="shared" ref="X268:X271" ca="1" si="74">IF(COUNTA(OFFSET(A267,1,0))-COUNTA(A267)=-1,0,1)</f>
        <v>1</v>
      </c>
      <c r="Y268" s="336"/>
      <c r="Z268" s="336"/>
    </row>
    <row r="269" spans="1:26" s="337" customFormat="1" ht="15" x14ac:dyDescent="0.2">
      <c r="A269" s="288"/>
      <c r="B269" s="322"/>
      <c r="C269" s="397" t="s">
        <v>509</v>
      </c>
      <c r="D269" s="1333">
        <v>45689</v>
      </c>
      <c r="E269" s="1334"/>
      <c r="F269" s="1335"/>
      <c r="G269" s="1333">
        <v>45716</v>
      </c>
      <c r="H269" s="1334"/>
      <c r="I269" s="1335"/>
      <c r="J269" s="317">
        <f>G269-D269+1</f>
        <v>28</v>
      </c>
      <c r="K269" s="327"/>
      <c r="L269" s="328"/>
      <c r="M269" s="329"/>
      <c r="N269" s="330"/>
      <c r="O269" s="331"/>
      <c r="P269" s="328"/>
      <c r="Q269" s="332"/>
      <c r="R269" s="333">
        <v>1</v>
      </c>
      <c r="S269" s="331" t="str">
        <f t="shared" si="69"/>
        <v>mês</v>
      </c>
      <c r="T269" s="320">
        <v>31</v>
      </c>
      <c r="U269" s="335"/>
      <c r="V269" s="291">
        <f ca="1">IF(OFFSET(V269,1,1)=1,OFFSET(V269,0,-4),OFFSET(V269,1,0))</f>
        <v>1</v>
      </c>
      <c r="W269" s="256">
        <f ca="1">IF(LEFT(_xlfn.FORMULATEXT(V269),3)="=SO",1,IF(COUNTA(A269:U269)=0,0,2))</f>
        <v>2</v>
      </c>
      <c r="X269" s="256">
        <f t="shared" ca="1" si="74"/>
        <v>1</v>
      </c>
      <c r="Y269" s="336"/>
      <c r="Z269" s="336"/>
    </row>
    <row r="270" spans="1:26" s="337" customFormat="1" ht="15" x14ac:dyDescent="0.2">
      <c r="A270" s="288"/>
      <c r="B270" s="322"/>
      <c r="C270" s="397" t="s">
        <v>510</v>
      </c>
      <c r="D270" s="1333">
        <v>45717</v>
      </c>
      <c r="E270" s="1334"/>
      <c r="F270" s="1335"/>
      <c r="G270" s="1333">
        <v>45747</v>
      </c>
      <c r="H270" s="1334"/>
      <c r="I270" s="1335"/>
      <c r="J270" s="317">
        <f t="shared" ref="J270:J271" si="75">G270-D270+1</f>
        <v>31</v>
      </c>
      <c r="K270" s="327"/>
      <c r="L270" s="328"/>
      <c r="M270" s="329"/>
      <c r="N270" s="330"/>
      <c r="O270" s="331"/>
      <c r="P270" s="328"/>
      <c r="Q270" s="332"/>
      <c r="R270" s="333">
        <v>1</v>
      </c>
      <c r="S270" s="331" t="str">
        <f t="shared" si="69"/>
        <v>mês</v>
      </c>
      <c r="T270" s="320">
        <v>32</v>
      </c>
      <c r="U270" s="335"/>
      <c r="V270" s="291">
        <f ca="1">IF(OFFSET(V270,1,1)=1,OFFSET(V270,0,-4),OFFSET(V270,1,0))</f>
        <v>1</v>
      </c>
      <c r="W270" s="256">
        <f t="shared" ref="W270:W271" ca="1" si="76">IF(LEFT(_xlfn.FORMULATEXT(V270),3)="=SO",1,IF(COUNTA(A270:U270)=0,0,2))</f>
        <v>2</v>
      </c>
      <c r="X270" s="256">
        <f t="shared" ca="1" si="74"/>
        <v>1</v>
      </c>
      <c r="Y270" s="336"/>
      <c r="Z270" s="336"/>
    </row>
    <row r="271" spans="1:26" s="337" customFormat="1" ht="15" x14ac:dyDescent="0.2">
      <c r="A271" s="288"/>
      <c r="B271" s="322"/>
      <c r="C271" s="397" t="s">
        <v>511</v>
      </c>
      <c r="D271" s="1333">
        <v>45748</v>
      </c>
      <c r="E271" s="1334"/>
      <c r="F271" s="1335"/>
      <c r="G271" s="1333">
        <v>45777</v>
      </c>
      <c r="H271" s="1334"/>
      <c r="I271" s="1335"/>
      <c r="J271" s="317">
        <f t="shared" si="75"/>
        <v>30</v>
      </c>
      <c r="K271" s="327"/>
      <c r="L271" s="328"/>
      <c r="M271" s="329"/>
      <c r="N271" s="330"/>
      <c r="O271" s="331"/>
      <c r="P271" s="328"/>
      <c r="Q271" s="332"/>
      <c r="R271" s="333">
        <v>1</v>
      </c>
      <c r="S271" s="331" t="str">
        <f t="shared" si="69"/>
        <v>mês</v>
      </c>
      <c r="T271" s="320">
        <v>33</v>
      </c>
      <c r="U271" s="335"/>
      <c r="V271" s="291">
        <f t="shared" ref="V271:V286" ca="1" si="77">IF(OFFSET(V271,1,1)=1,OFFSET(V271,0,-4),OFFSET(V271,1,0))</f>
        <v>1</v>
      </c>
      <c r="W271" s="256">
        <f t="shared" ca="1" si="76"/>
        <v>2</v>
      </c>
      <c r="X271" s="256">
        <f t="shared" ca="1" si="74"/>
        <v>1</v>
      </c>
      <c r="Y271" s="336"/>
      <c r="Z271" s="336"/>
    </row>
    <row r="272" spans="1:26" s="337" customFormat="1" ht="15" x14ac:dyDescent="0.2">
      <c r="A272" s="288"/>
      <c r="B272" s="494"/>
      <c r="C272" s="397" t="s">
        <v>690</v>
      </c>
      <c r="D272" s="1333">
        <v>45778</v>
      </c>
      <c r="E272" s="1334"/>
      <c r="F272" s="1335"/>
      <c r="G272" s="1333">
        <v>45808</v>
      </c>
      <c r="H272" s="1334"/>
      <c r="I272" s="1335"/>
      <c r="J272" s="317">
        <f>G272-D272+1</f>
        <v>31</v>
      </c>
      <c r="K272" s="327"/>
      <c r="L272" s="328"/>
      <c r="M272" s="329"/>
      <c r="N272" s="330"/>
      <c r="O272" s="331"/>
      <c r="P272" s="328"/>
      <c r="Q272" s="332"/>
      <c r="R272" s="333">
        <v>1</v>
      </c>
      <c r="S272" s="331" t="str">
        <f t="shared" si="69"/>
        <v>mês</v>
      </c>
      <c r="T272" s="320">
        <v>35</v>
      </c>
      <c r="U272" s="574"/>
      <c r="V272" s="291">
        <f t="shared" ca="1" si="77"/>
        <v>1</v>
      </c>
      <c r="W272" s="256">
        <f t="shared" ref="W272:W275" ca="1" si="78">IF(LEFT(_xlfn.FORMULATEXT(V272),3)="=SO",1,IF(COUNTA(A272:U272)=0,0,2))</f>
        <v>2</v>
      </c>
      <c r="X272" s="256">
        <f t="shared" ref="X272:X275" ca="1" si="79">IF(COUNTA(OFFSET(A271,1,0))-COUNTA(A271)=-1,0,1)</f>
        <v>1</v>
      </c>
      <c r="Y272" s="336"/>
      <c r="Z272" s="336"/>
    </row>
    <row r="273" spans="1:29" s="337" customFormat="1" ht="15" x14ac:dyDescent="0.2">
      <c r="A273" s="288"/>
      <c r="B273" s="494"/>
      <c r="C273" s="397" t="s">
        <v>691</v>
      </c>
      <c r="D273" s="1333">
        <v>45809</v>
      </c>
      <c r="E273" s="1334"/>
      <c r="F273" s="1335"/>
      <c r="G273" s="1333">
        <v>45838</v>
      </c>
      <c r="H273" s="1334"/>
      <c r="I273" s="1335"/>
      <c r="J273" s="317">
        <f>G273-D273+1</f>
        <v>30</v>
      </c>
      <c r="K273" s="327"/>
      <c r="L273" s="328"/>
      <c r="M273" s="329"/>
      <c r="N273" s="330"/>
      <c r="O273" s="331"/>
      <c r="P273" s="328"/>
      <c r="Q273" s="332"/>
      <c r="R273" s="333">
        <v>1</v>
      </c>
      <c r="S273" s="331" t="str">
        <f t="shared" si="69"/>
        <v>mês</v>
      </c>
      <c r="T273" s="320">
        <v>35</v>
      </c>
      <c r="U273" s="574"/>
      <c r="V273" s="291">
        <f t="shared" ca="1" si="77"/>
        <v>1</v>
      </c>
      <c r="W273" s="256">
        <f t="shared" ca="1" si="78"/>
        <v>2</v>
      </c>
      <c r="X273" s="256">
        <f t="shared" ca="1" si="79"/>
        <v>1</v>
      </c>
      <c r="Y273" s="336"/>
      <c r="Z273" s="336"/>
    </row>
    <row r="274" spans="1:29" s="337" customFormat="1" ht="15" x14ac:dyDescent="0.2">
      <c r="A274" s="288"/>
      <c r="B274" s="494"/>
      <c r="C274" s="397" t="s">
        <v>692</v>
      </c>
      <c r="D274" s="1333">
        <v>45839</v>
      </c>
      <c r="E274" s="1334"/>
      <c r="F274" s="1335"/>
      <c r="G274" s="1333">
        <v>45869</v>
      </c>
      <c r="H274" s="1334"/>
      <c r="I274" s="1335"/>
      <c r="J274" s="317">
        <f t="shared" ref="J274:J279" si="80">G274-D274+1</f>
        <v>31</v>
      </c>
      <c r="K274" s="327"/>
      <c r="L274" s="328"/>
      <c r="M274" s="329"/>
      <c r="N274" s="330"/>
      <c r="O274" s="331"/>
      <c r="P274" s="328"/>
      <c r="Q274" s="332"/>
      <c r="R274" s="333">
        <v>1</v>
      </c>
      <c r="S274" s="331" t="str">
        <f t="shared" si="69"/>
        <v>mês</v>
      </c>
      <c r="T274" s="320">
        <v>35</v>
      </c>
      <c r="U274" s="574"/>
      <c r="V274" s="291">
        <f t="shared" ca="1" si="77"/>
        <v>1</v>
      </c>
      <c r="W274" s="256">
        <f t="shared" ca="1" si="78"/>
        <v>2</v>
      </c>
      <c r="X274" s="256">
        <f t="shared" ca="1" si="79"/>
        <v>1</v>
      </c>
      <c r="Y274" s="336"/>
      <c r="Z274" s="336"/>
    </row>
    <row r="275" spans="1:29" s="337" customFormat="1" ht="15" x14ac:dyDescent="0.2">
      <c r="A275" s="288"/>
      <c r="B275" s="494"/>
      <c r="C275" s="397" t="s">
        <v>503</v>
      </c>
      <c r="D275" s="1333">
        <v>45870</v>
      </c>
      <c r="E275" s="1334"/>
      <c r="F275" s="1335"/>
      <c r="G275" s="1333">
        <v>45900</v>
      </c>
      <c r="H275" s="1334"/>
      <c r="I275" s="1335"/>
      <c r="J275" s="317">
        <f t="shared" si="80"/>
        <v>31</v>
      </c>
      <c r="K275" s="327"/>
      <c r="L275" s="328"/>
      <c r="M275" s="329"/>
      <c r="N275" s="330"/>
      <c r="O275" s="331"/>
      <c r="P275" s="328"/>
      <c r="Q275" s="332"/>
      <c r="R275" s="333">
        <v>1</v>
      </c>
      <c r="S275" s="331" t="str">
        <f t="shared" ref="S275:S278" si="81">$S$156</f>
        <v>mês</v>
      </c>
      <c r="T275" s="320">
        <v>36</v>
      </c>
      <c r="U275" s="574"/>
      <c r="V275" s="291">
        <f t="shared" ca="1" si="77"/>
        <v>1</v>
      </c>
      <c r="W275" s="256">
        <f t="shared" ca="1" si="78"/>
        <v>2</v>
      </c>
      <c r="X275" s="256">
        <f t="shared" ca="1" si="79"/>
        <v>1</v>
      </c>
      <c r="Y275" s="336"/>
      <c r="Z275" s="336"/>
    </row>
    <row r="276" spans="1:29" s="337" customFormat="1" ht="15" x14ac:dyDescent="0.2">
      <c r="A276" s="288"/>
      <c r="B276" s="494"/>
      <c r="C276" s="397" t="s">
        <v>504</v>
      </c>
      <c r="D276" s="1333">
        <v>45901</v>
      </c>
      <c r="E276" s="1334"/>
      <c r="F276" s="1335"/>
      <c r="G276" s="1333">
        <v>45930</v>
      </c>
      <c r="H276" s="1334"/>
      <c r="I276" s="1335"/>
      <c r="J276" s="317">
        <f t="shared" si="80"/>
        <v>30</v>
      </c>
      <c r="K276" s="327"/>
      <c r="L276" s="328"/>
      <c r="M276" s="329"/>
      <c r="N276" s="330"/>
      <c r="O276" s="331"/>
      <c r="P276" s="328"/>
      <c r="Q276" s="332"/>
      <c r="R276" s="333">
        <v>1</v>
      </c>
      <c r="S276" s="331" t="str">
        <f t="shared" si="81"/>
        <v>mês</v>
      </c>
      <c r="T276" s="320">
        <v>37</v>
      </c>
      <c r="U276" s="574"/>
      <c r="V276" s="291">
        <f t="shared" ca="1" si="77"/>
        <v>1</v>
      </c>
      <c r="W276" s="256">
        <f t="shared" ref="W276:W286" ca="1" si="82">IF(LEFT(_xlfn.FORMULATEXT(V276),3)="=SO",1,IF(COUNTA(A276:U276)=0,0,2))</f>
        <v>2</v>
      </c>
      <c r="X276" s="256">
        <f t="shared" ref="X276:X286" ca="1" si="83">IF(COUNTA(OFFSET(A275,1,0))-COUNTA(A275)=-1,0,1)</f>
        <v>1</v>
      </c>
      <c r="Y276" s="336"/>
      <c r="Z276" s="336"/>
    </row>
    <row r="277" spans="1:29" s="337" customFormat="1" ht="15" x14ac:dyDescent="0.2">
      <c r="A277" s="288"/>
      <c r="B277" s="494"/>
      <c r="C277" s="397" t="s">
        <v>505</v>
      </c>
      <c r="D277" s="1333">
        <v>45931</v>
      </c>
      <c r="E277" s="1334"/>
      <c r="F277" s="1335"/>
      <c r="G277" s="1333">
        <v>45961</v>
      </c>
      <c r="H277" s="1334"/>
      <c r="I277" s="1335"/>
      <c r="J277" s="317">
        <f t="shared" si="80"/>
        <v>31</v>
      </c>
      <c r="K277" s="327"/>
      <c r="L277" s="328"/>
      <c r="M277" s="329"/>
      <c r="N277" s="330"/>
      <c r="O277" s="331"/>
      <c r="P277" s="328"/>
      <c r="Q277" s="332"/>
      <c r="R277" s="333">
        <v>1</v>
      </c>
      <c r="S277" s="331" t="str">
        <f t="shared" si="81"/>
        <v>mês</v>
      </c>
      <c r="T277" s="320">
        <v>38</v>
      </c>
      <c r="U277" s="574"/>
      <c r="V277" s="291">
        <f t="shared" ca="1" si="77"/>
        <v>1</v>
      </c>
      <c r="W277" s="256">
        <f t="shared" ca="1" si="82"/>
        <v>2</v>
      </c>
      <c r="X277" s="256">
        <f t="shared" ca="1" si="83"/>
        <v>1</v>
      </c>
      <c r="Y277" s="336"/>
      <c r="Z277" s="336"/>
    </row>
    <row r="278" spans="1:29" s="337" customFormat="1" ht="15" x14ac:dyDescent="0.2">
      <c r="A278" s="288"/>
      <c r="B278" s="494"/>
      <c r="C278" s="397" t="s">
        <v>506</v>
      </c>
      <c r="D278" s="1333">
        <v>45962</v>
      </c>
      <c r="E278" s="1334"/>
      <c r="F278" s="1335"/>
      <c r="G278" s="1333">
        <v>45991</v>
      </c>
      <c r="H278" s="1334"/>
      <c r="I278" s="1335"/>
      <c r="J278" s="317">
        <f t="shared" si="80"/>
        <v>30</v>
      </c>
      <c r="K278" s="327"/>
      <c r="L278" s="328"/>
      <c r="M278" s="329"/>
      <c r="N278" s="330"/>
      <c r="O278" s="331"/>
      <c r="P278" s="328"/>
      <c r="Q278" s="332"/>
      <c r="R278" s="333">
        <v>1</v>
      </c>
      <c r="S278" s="331" t="str">
        <f t="shared" si="81"/>
        <v>mês</v>
      </c>
      <c r="T278" s="320">
        <v>39</v>
      </c>
      <c r="U278" s="574"/>
      <c r="V278" s="291">
        <f t="shared" ca="1" si="77"/>
        <v>1</v>
      </c>
      <c r="W278" s="256">
        <f t="shared" ca="1" si="82"/>
        <v>2</v>
      </c>
      <c r="X278" s="256">
        <f t="shared" ca="1" si="83"/>
        <v>1</v>
      </c>
      <c r="Y278" s="336"/>
      <c r="Z278" s="336"/>
    </row>
    <row r="279" spans="1:29" s="337" customFormat="1" ht="15" x14ac:dyDescent="0.2">
      <c r="A279" s="288"/>
      <c r="B279" s="494"/>
      <c r="C279" s="397" t="s">
        <v>507</v>
      </c>
      <c r="D279" s="1333">
        <v>45992</v>
      </c>
      <c r="E279" s="1334"/>
      <c r="F279" s="1335"/>
      <c r="G279" s="1333">
        <v>46022</v>
      </c>
      <c r="H279" s="1334"/>
      <c r="I279" s="1335"/>
      <c r="J279" s="317">
        <f t="shared" si="80"/>
        <v>31</v>
      </c>
      <c r="K279" s="327"/>
      <c r="L279" s="328"/>
      <c r="M279" s="329"/>
      <c r="N279" s="330"/>
      <c r="O279" s="331"/>
      <c r="P279" s="328"/>
      <c r="Q279" s="332"/>
      <c r="R279" s="333">
        <v>1</v>
      </c>
      <c r="S279" s="331" t="str">
        <f t="shared" ref="S279:S282" si="84">$S$154</f>
        <v>mês</v>
      </c>
      <c r="T279" s="320">
        <v>40</v>
      </c>
      <c r="U279" s="574"/>
      <c r="V279" s="291">
        <f t="shared" ca="1" si="77"/>
        <v>1</v>
      </c>
      <c r="W279" s="256">
        <f t="shared" ca="1" si="82"/>
        <v>2</v>
      </c>
      <c r="X279" s="256">
        <f t="shared" ca="1" si="83"/>
        <v>1</v>
      </c>
      <c r="Y279" s="336"/>
      <c r="Z279" s="336"/>
    </row>
    <row r="280" spans="1:29" s="337" customFormat="1" ht="15" x14ac:dyDescent="0.2">
      <c r="A280" s="288"/>
      <c r="B280" s="494"/>
      <c r="C280" s="397" t="s">
        <v>508</v>
      </c>
      <c r="D280" s="1333">
        <v>46023</v>
      </c>
      <c r="E280" s="1334"/>
      <c r="F280" s="1335"/>
      <c r="G280" s="1333">
        <v>46053</v>
      </c>
      <c r="H280" s="1334"/>
      <c r="I280" s="1335"/>
      <c r="J280" s="317">
        <f>G280-D280+1</f>
        <v>31</v>
      </c>
      <c r="K280" s="327"/>
      <c r="L280" s="328"/>
      <c r="M280" s="329"/>
      <c r="N280" s="330"/>
      <c r="O280" s="331"/>
      <c r="P280" s="328"/>
      <c r="Q280" s="332"/>
      <c r="R280" s="333">
        <v>1</v>
      </c>
      <c r="S280" s="331" t="str">
        <f t="shared" si="84"/>
        <v>mês</v>
      </c>
      <c r="T280" s="320">
        <v>41</v>
      </c>
      <c r="U280" s="574"/>
      <c r="V280" s="291">
        <f t="shared" ca="1" si="77"/>
        <v>1</v>
      </c>
      <c r="W280" s="256">
        <f t="shared" ca="1" si="82"/>
        <v>2</v>
      </c>
      <c r="X280" s="256">
        <f t="shared" ca="1" si="83"/>
        <v>1</v>
      </c>
      <c r="Y280" s="336"/>
      <c r="Z280" s="336"/>
    </row>
    <row r="281" spans="1:29" s="337" customFormat="1" ht="15" x14ac:dyDescent="0.2">
      <c r="A281" s="288"/>
      <c r="B281" s="494"/>
      <c r="C281" s="397" t="s">
        <v>509</v>
      </c>
      <c r="D281" s="1333">
        <v>46054</v>
      </c>
      <c r="E281" s="1334"/>
      <c r="F281" s="1335"/>
      <c r="G281" s="1333">
        <v>46081</v>
      </c>
      <c r="H281" s="1334"/>
      <c r="I281" s="1335"/>
      <c r="J281" s="317">
        <f t="shared" ref="J281:J283" si="85">G281-D281+1</f>
        <v>28</v>
      </c>
      <c r="K281" s="327"/>
      <c r="L281" s="328"/>
      <c r="M281" s="329"/>
      <c r="N281" s="330"/>
      <c r="O281" s="331"/>
      <c r="P281" s="328"/>
      <c r="Q281" s="332"/>
      <c r="R281" s="333">
        <v>1</v>
      </c>
      <c r="S281" s="331" t="str">
        <f t="shared" si="84"/>
        <v>mês</v>
      </c>
      <c r="T281" s="320">
        <v>42</v>
      </c>
      <c r="U281" s="574"/>
      <c r="V281" s="291">
        <f t="shared" ca="1" si="77"/>
        <v>1</v>
      </c>
      <c r="W281" s="256">
        <f t="shared" ref="W281:W285" ca="1" si="86">IF(LEFT(_xlfn.FORMULATEXT(V281),3)="=SO",1,IF(COUNTA(A281:U281)=0,0,2))</f>
        <v>2</v>
      </c>
      <c r="X281" s="256">
        <f t="shared" ref="X281:X285" ca="1" si="87">IF(COUNTA(OFFSET(A280,1,0))-COUNTA(A280)=-1,0,1)</f>
        <v>1</v>
      </c>
      <c r="Y281" s="336"/>
      <c r="Z281" s="336"/>
    </row>
    <row r="282" spans="1:29" s="337" customFormat="1" ht="15" x14ac:dyDescent="0.2">
      <c r="A282" s="288"/>
      <c r="B282" s="494"/>
      <c r="C282" s="397" t="s">
        <v>510</v>
      </c>
      <c r="D282" s="1333">
        <v>46082</v>
      </c>
      <c r="E282" s="1334"/>
      <c r="F282" s="1335"/>
      <c r="G282" s="1333">
        <v>46112</v>
      </c>
      <c r="H282" s="1334"/>
      <c r="I282" s="1335"/>
      <c r="J282" s="317">
        <f t="shared" si="85"/>
        <v>31</v>
      </c>
      <c r="K282" s="327"/>
      <c r="L282" s="328"/>
      <c r="M282" s="329"/>
      <c r="N282" s="330"/>
      <c r="O282" s="331"/>
      <c r="P282" s="328"/>
      <c r="Q282" s="332"/>
      <c r="R282" s="333">
        <v>1</v>
      </c>
      <c r="S282" s="331" t="str">
        <f t="shared" si="84"/>
        <v>mês</v>
      </c>
      <c r="T282" s="320">
        <v>43</v>
      </c>
      <c r="U282" s="574"/>
      <c r="V282" s="291">
        <f t="shared" ca="1" si="77"/>
        <v>1</v>
      </c>
      <c r="W282" s="256">
        <f t="shared" ca="1" si="86"/>
        <v>2</v>
      </c>
      <c r="X282" s="256">
        <f t="shared" ca="1" si="87"/>
        <v>1</v>
      </c>
      <c r="Y282" s="336"/>
      <c r="Z282" s="336"/>
    </row>
    <row r="283" spans="1:29" s="337" customFormat="1" ht="15" x14ac:dyDescent="0.2">
      <c r="A283" s="288"/>
      <c r="B283" s="494"/>
      <c r="C283" s="397" t="s">
        <v>511</v>
      </c>
      <c r="D283" s="1333">
        <v>46113</v>
      </c>
      <c r="E283" s="1334"/>
      <c r="F283" s="1335"/>
      <c r="G283" s="1333">
        <v>46142</v>
      </c>
      <c r="H283" s="1334"/>
      <c r="I283" s="1335"/>
      <c r="J283" s="317">
        <f t="shared" si="85"/>
        <v>30</v>
      </c>
      <c r="K283" s="327"/>
      <c r="L283" s="328"/>
      <c r="M283" s="329"/>
      <c r="N283" s="330"/>
      <c r="O283" s="331"/>
      <c r="P283" s="328"/>
      <c r="Q283" s="332"/>
      <c r="R283" s="333">
        <v>1</v>
      </c>
      <c r="S283" s="331" t="str">
        <f t="shared" ref="S283" si="88">$S$150</f>
        <v>mês</v>
      </c>
      <c r="T283" s="320">
        <v>44</v>
      </c>
      <c r="U283" s="574"/>
      <c r="V283" s="291">
        <f t="shared" ca="1" si="77"/>
        <v>1</v>
      </c>
      <c r="W283" s="256">
        <f t="shared" ca="1" si="86"/>
        <v>2</v>
      </c>
      <c r="X283" s="256">
        <f t="shared" ca="1" si="87"/>
        <v>1</v>
      </c>
      <c r="Y283" s="336"/>
      <c r="Z283" s="336"/>
    </row>
    <row r="284" spans="1:29" s="337" customFormat="1" ht="15" x14ac:dyDescent="0.2">
      <c r="A284" s="288"/>
      <c r="B284" s="494"/>
      <c r="C284" s="755"/>
      <c r="D284" s="756"/>
      <c r="E284" s="757"/>
      <c r="F284" s="758"/>
      <c r="G284" s="756"/>
      <c r="H284" s="757"/>
      <c r="I284" s="758"/>
      <c r="J284" s="560"/>
      <c r="K284" s="759"/>
      <c r="L284" s="501"/>
      <c r="M284" s="760"/>
      <c r="N284" s="761"/>
      <c r="O284" s="505"/>
      <c r="P284" s="501"/>
      <c r="Q284" s="739"/>
      <c r="R284" s="504"/>
      <c r="S284" s="505"/>
      <c r="T284" s="506"/>
      <c r="U284" s="574"/>
      <c r="V284" s="291">
        <f t="shared" ca="1" si="77"/>
        <v>1</v>
      </c>
      <c r="W284" s="256">
        <f t="shared" ca="1" si="86"/>
        <v>0</v>
      </c>
      <c r="X284" s="256">
        <f t="shared" ca="1" si="87"/>
        <v>1</v>
      </c>
      <c r="Y284" s="336"/>
      <c r="Z284" s="336"/>
    </row>
    <row r="285" spans="1:29" s="111" customFormat="1" ht="15" x14ac:dyDescent="0.2">
      <c r="A285" s="288"/>
      <c r="B285" s="338"/>
      <c r="C285" s="339"/>
      <c r="D285" s="1348"/>
      <c r="E285" s="1349"/>
      <c r="F285" s="1350"/>
      <c r="G285" s="1351"/>
      <c r="H285" s="1352"/>
      <c r="I285" s="1353"/>
      <c r="J285" s="343"/>
      <c r="K285" s="344"/>
      <c r="L285" s="345"/>
      <c r="M285" s="346"/>
      <c r="N285" s="347"/>
      <c r="O285" s="348"/>
      <c r="P285" s="345"/>
      <c r="Q285" s="349"/>
      <c r="R285" s="350"/>
      <c r="S285" s="351"/>
      <c r="T285" s="352"/>
      <c r="U285" s="353"/>
      <c r="V285" s="291">
        <f t="shared" ca="1" si="77"/>
        <v>1</v>
      </c>
      <c r="W285" s="256">
        <f t="shared" ca="1" si="86"/>
        <v>0</v>
      </c>
      <c r="X285" s="256">
        <f t="shared" ca="1" si="87"/>
        <v>1</v>
      </c>
      <c r="Y285" s="250"/>
      <c r="Z285" s="250"/>
    </row>
    <row r="286" spans="1:29" s="111" customFormat="1" ht="15.75" x14ac:dyDescent="0.2">
      <c r="A286" s="288"/>
      <c r="B286" s="354"/>
      <c r="C286" s="355"/>
      <c r="D286" s="1354" t="s">
        <v>492</v>
      </c>
      <c r="E286" s="1355"/>
      <c r="F286" s="1355"/>
      <c r="G286" s="1355"/>
      <c r="H286" s="1355"/>
      <c r="I286" s="1356"/>
      <c r="J286" s="1357">
        <f>VLOOKUP(A288,'11 - FINANCEIRO'!_xlnm.Print_Area,6,FALSE)</f>
        <v>69</v>
      </c>
      <c r="K286" s="1358"/>
      <c r="L286" s="356" t="str">
        <f>VLOOKUP(A288,'11 - FINANCEIRO'!_xlnm.Print_Area,4,FALSE)</f>
        <v>mês</v>
      </c>
      <c r="M286" s="1359" t="s">
        <v>493</v>
      </c>
      <c r="N286" s="1360"/>
      <c r="O286" s="1360"/>
      <c r="P286" s="1360"/>
      <c r="Q286" s="1361"/>
      <c r="R286" s="357">
        <f>TRUNC(SUM(R221:R285),3)</f>
        <v>61</v>
      </c>
      <c r="S286" s="358" t="str">
        <f>L286</f>
        <v>mês</v>
      </c>
      <c r="T286" s="359"/>
      <c r="U286" s="360"/>
      <c r="V286" s="291">
        <f t="shared" ca="1" si="77"/>
        <v>1</v>
      </c>
      <c r="W286" s="256">
        <f t="shared" ca="1" si="82"/>
        <v>2</v>
      </c>
      <c r="X286" s="256">
        <f t="shared" ca="1" si="83"/>
        <v>1</v>
      </c>
      <c r="Y286" s="250"/>
      <c r="Z286" s="250"/>
    </row>
    <row r="287" spans="1:29" s="111" customFormat="1" ht="15.75" x14ac:dyDescent="0.2">
      <c r="A287" s="288"/>
      <c r="B287" s="354"/>
      <c r="C287" s="361"/>
      <c r="D287" s="1362" t="s">
        <v>494</v>
      </c>
      <c r="E287" s="1363"/>
      <c r="F287" s="1363"/>
      <c r="G287" s="1363"/>
      <c r="H287" s="1363"/>
      <c r="I287" s="1364"/>
      <c r="J287" s="1365">
        <f>IF(R286&gt;J286,1,R286/J286)</f>
        <v>0.88405797101449279</v>
      </c>
      <c r="K287" s="1366"/>
      <c r="L287" s="1369"/>
      <c r="M287" s="1371" t="s">
        <v>495</v>
      </c>
      <c r="N287" s="1372"/>
      <c r="O287" s="1372"/>
      <c r="P287" s="1372"/>
      <c r="Q287" s="1373"/>
      <c r="R287" s="362">
        <f>VLOOKUP(A288,'11 - FINANCEIRO'!_xlnm.Print_Area,8,FALSE)</f>
        <v>60</v>
      </c>
      <c r="S287" s="363" t="str">
        <f>L286</f>
        <v>mês</v>
      </c>
      <c r="T287" s="359"/>
      <c r="U287" s="360"/>
      <c r="V287" s="291">
        <f t="shared" ca="1" si="60"/>
        <v>1</v>
      </c>
      <c r="W287" s="256">
        <f t="shared" ref="W287:W558" ca="1" si="89">IF(LEFT(_xlfn.FORMULATEXT(V287),3)="=SO",1,IF(COUNTA(A287:U287)=0,0,2))</f>
        <v>2</v>
      </c>
      <c r="X287" s="256">
        <f t="shared" ref="X287:X556" ca="1" si="90">IF(COUNTA(OFFSET(A286,1,0))-COUNTA(A286)=-1,0,1)</f>
        <v>1</v>
      </c>
      <c r="Y287" s="250"/>
      <c r="Z287" s="250"/>
    </row>
    <row r="288" spans="1:29" s="293" customFormat="1" ht="15.75" x14ac:dyDescent="0.2">
      <c r="A288" s="288" t="s">
        <v>22</v>
      </c>
      <c r="B288" s="364"/>
      <c r="C288" s="365"/>
      <c r="D288" s="1354"/>
      <c r="E288" s="1355"/>
      <c r="F288" s="1355"/>
      <c r="G288" s="1355"/>
      <c r="H288" s="1355"/>
      <c r="I288" s="1356"/>
      <c r="J288" s="1367"/>
      <c r="K288" s="1368"/>
      <c r="L288" s="1370"/>
      <c r="M288" s="1371" t="s">
        <v>496</v>
      </c>
      <c r="N288" s="1372"/>
      <c r="O288" s="1372"/>
      <c r="P288" s="1372"/>
      <c r="Q288" s="1373"/>
      <c r="R288" s="362">
        <f>R286-R287</f>
        <v>1</v>
      </c>
      <c r="S288" s="363" t="str">
        <f>L286</f>
        <v>mês</v>
      </c>
      <c r="T288" s="366"/>
      <c r="U288" s="367"/>
      <c r="V288" s="291">
        <f t="shared" ca="1" si="60"/>
        <v>1</v>
      </c>
      <c r="W288" s="256">
        <f t="shared" ca="1" si="89"/>
        <v>2</v>
      </c>
      <c r="X288" s="256">
        <f t="shared" ca="1" si="90"/>
        <v>1</v>
      </c>
      <c r="Y288" s="256"/>
      <c r="Z288" s="256"/>
      <c r="AA288" s="292"/>
      <c r="AB288" s="292"/>
      <c r="AC288" s="292"/>
    </row>
    <row r="289" spans="1:29" s="111" customFormat="1" ht="15.75" x14ac:dyDescent="0.2">
      <c r="A289" s="288"/>
      <c r="B289" s="368"/>
      <c r="C289" s="365"/>
      <c r="D289" s="369"/>
      <c r="E289" s="370"/>
      <c r="F289" s="369"/>
      <c r="G289" s="369"/>
      <c r="H289" s="369"/>
      <c r="I289" s="369"/>
      <c r="J289" s="371"/>
      <c r="K289" s="372"/>
      <c r="L289" s="373"/>
      <c r="M289" s="374"/>
      <c r="N289" s="374"/>
      <c r="O289" s="374"/>
      <c r="P289" s="374"/>
      <c r="Q289" s="374"/>
      <c r="R289" s="375"/>
      <c r="S289" s="376"/>
      <c r="T289" s="377"/>
      <c r="U289" s="378"/>
      <c r="V289" s="379">
        <f ca="1">SUM(V219:V288)</f>
        <v>70</v>
      </c>
      <c r="W289" s="256">
        <f t="shared" ca="1" si="89"/>
        <v>1</v>
      </c>
      <c r="X289" s="256">
        <f t="shared" ca="1" si="90"/>
        <v>0</v>
      </c>
      <c r="Y289" s="250"/>
      <c r="Z289" s="250"/>
    </row>
    <row r="290" spans="1:29" s="293" customFormat="1" ht="15.75" hidden="1" x14ac:dyDescent="0.25">
      <c r="A290" s="288"/>
      <c r="B290" s="1374" t="str">
        <f>VLOOKUP(A298,'11 - FINANCEIRO'!_xlnm.Print_Area,1,FALSE)</f>
        <v>1.2.5</v>
      </c>
      <c r="C290" s="1376" t="str">
        <f>VLOOKUP(A298,'11 - FINANCEIRO'!_xlnm.Print_Area,3,FALSE)</f>
        <v>Mourao Reto De Concreto Base 10X10Cm H=2.50M</v>
      </c>
      <c r="D290" s="1378" t="s">
        <v>500</v>
      </c>
      <c r="E290" s="1379"/>
      <c r="F290" s="1379"/>
      <c r="G290" s="1379"/>
      <c r="H290" s="1379"/>
      <c r="I290" s="1380"/>
      <c r="J290" s="1338" t="s">
        <v>478</v>
      </c>
      <c r="K290" s="1338" t="s">
        <v>479</v>
      </c>
      <c r="L290" s="1338" t="s">
        <v>480</v>
      </c>
      <c r="M290" s="1338" t="s">
        <v>481</v>
      </c>
      <c r="N290" s="1338" t="s">
        <v>482</v>
      </c>
      <c r="O290" s="1338" t="s">
        <v>483</v>
      </c>
      <c r="P290" s="290" t="s">
        <v>484</v>
      </c>
      <c r="Q290" s="1338" t="s">
        <v>296</v>
      </c>
      <c r="R290" s="1336" t="s">
        <v>296</v>
      </c>
      <c r="S290" s="1338" t="s">
        <v>486</v>
      </c>
      <c r="T290" s="1338" t="s">
        <v>487</v>
      </c>
      <c r="U290" s="1340" t="s">
        <v>488</v>
      </c>
      <c r="V290" s="291">
        <f t="shared" ref="V290:V298" ca="1" si="91">IF(OFFSET(V290,1,1)=1,OFFSET(V290,0,-4),OFFSET(V290,1,0))</f>
        <v>0</v>
      </c>
      <c r="W290" s="256">
        <f t="shared" ca="1" si="89"/>
        <v>2</v>
      </c>
      <c r="X290" s="256">
        <f t="shared" ca="1" si="90"/>
        <v>1</v>
      </c>
      <c r="Y290" s="256"/>
      <c r="Z290" s="256"/>
      <c r="AA290" s="292"/>
      <c r="AB290" s="292"/>
      <c r="AC290" s="292"/>
    </row>
    <row r="291" spans="1:29" s="293" customFormat="1" ht="15.75" hidden="1" x14ac:dyDescent="0.2">
      <c r="A291" s="288"/>
      <c r="B291" s="1375" t="e">
        <f>LEFT(#REF!,5)</f>
        <v>#REF!</v>
      </c>
      <c r="C291" s="1377" t="e">
        <f>VLOOKUP(LEFT(#REF!,5),'11 - FINANCEIRO'!_xlnm.Print_Area,2,FALSE)</f>
        <v>#REF!</v>
      </c>
      <c r="D291" s="1342" t="s">
        <v>489</v>
      </c>
      <c r="E291" s="1343"/>
      <c r="F291" s="1344"/>
      <c r="G291" s="1345" t="s">
        <v>490</v>
      </c>
      <c r="H291" s="1346"/>
      <c r="I291" s="1347"/>
      <c r="J291" s="1339"/>
      <c r="K291" s="1339"/>
      <c r="L291" s="1339"/>
      <c r="M291" s="1339"/>
      <c r="N291" s="1339"/>
      <c r="O291" s="1339"/>
      <c r="P291" s="295" t="s">
        <v>491</v>
      </c>
      <c r="Q291" s="1339"/>
      <c r="R291" s="1337"/>
      <c r="S291" s="1339"/>
      <c r="T291" s="1339"/>
      <c r="U291" s="1341"/>
      <c r="V291" s="291">
        <f t="shared" ca="1" si="91"/>
        <v>0</v>
      </c>
      <c r="W291" s="256">
        <f t="shared" ca="1" si="89"/>
        <v>2</v>
      </c>
      <c r="X291" s="256">
        <f t="shared" ca="1" si="90"/>
        <v>1</v>
      </c>
      <c r="Y291" s="256"/>
      <c r="Z291" s="256"/>
      <c r="AA291" s="292"/>
      <c r="AB291" s="292"/>
      <c r="AC291" s="292"/>
    </row>
    <row r="292" spans="1:29" s="337" customFormat="1" ht="15.75" hidden="1" x14ac:dyDescent="0.2">
      <c r="A292" s="288"/>
      <c r="B292" s="296"/>
      <c r="C292" s="297"/>
      <c r="D292" s="298"/>
      <c r="E292" s="299"/>
      <c r="F292" s="300"/>
      <c r="G292" s="301"/>
      <c r="H292" s="302"/>
      <c r="I292" s="303"/>
      <c r="J292" s="304"/>
      <c r="K292" s="304"/>
      <c r="L292" s="304"/>
      <c r="M292" s="304"/>
      <c r="N292" s="304"/>
      <c r="O292" s="304"/>
      <c r="P292" s="306"/>
      <c r="Q292" s="304"/>
      <c r="R292" s="307"/>
      <c r="S292" s="304"/>
      <c r="T292" s="309"/>
      <c r="U292" s="310"/>
      <c r="V292" s="291">
        <f t="shared" ca="1" si="91"/>
        <v>0</v>
      </c>
      <c r="W292" s="256">
        <f t="shared" ca="1" si="89"/>
        <v>0</v>
      </c>
      <c r="X292" s="256">
        <f t="shared" ca="1" si="90"/>
        <v>1</v>
      </c>
      <c r="Y292" s="336"/>
      <c r="Z292" s="336"/>
    </row>
    <row r="293" spans="1:29" s="337" customFormat="1" ht="15.75" hidden="1" x14ac:dyDescent="0.2">
      <c r="A293" s="288"/>
      <c r="B293" s="311"/>
      <c r="C293" s="312"/>
      <c r="D293" s="313"/>
      <c r="E293" s="314"/>
      <c r="F293" s="315"/>
      <c r="G293" s="380"/>
      <c r="H293" s="316"/>
      <c r="I293" s="381"/>
      <c r="J293" s="317"/>
      <c r="K293" s="313"/>
      <c r="L293" s="317"/>
      <c r="M293" s="315"/>
      <c r="N293" s="314"/>
      <c r="O293" s="313"/>
      <c r="P293" s="318"/>
      <c r="Q293" s="315"/>
      <c r="R293" s="319"/>
      <c r="S293" s="317"/>
      <c r="T293" s="320"/>
      <c r="U293" s="321"/>
      <c r="V293" s="291">
        <f t="shared" ca="1" si="91"/>
        <v>0</v>
      </c>
      <c r="W293" s="256">
        <f t="shared" ca="1" si="89"/>
        <v>0</v>
      </c>
      <c r="X293" s="256">
        <f t="shared" ca="1" si="90"/>
        <v>1</v>
      </c>
      <c r="Y293" s="336"/>
      <c r="Z293" s="336"/>
    </row>
    <row r="294" spans="1:29" s="111" customFormat="1" ht="15" hidden="1" x14ac:dyDescent="0.2">
      <c r="A294" s="288"/>
      <c r="B294" s="322"/>
      <c r="C294" s="382"/>
      <c r="D294" s="324"/>
      <c r="E294" s="325"/>
      <c r="F294" s="326"/>
      <c r="G294" s="324"/>
      <c r="H294" s="325"/>
      <c r="I294" s="326"/>
      <c r="J294" s="317"/>
      <c r="K294" s="328"/>
      <c r="L294" s="328"/>
      <c r="M294" s="328"/>
      <c r="N294" s="328"/>
      <c r="O294" s="334"/>
      <c r="P294" s="328"/>
      <c r="Q294" s="334"/>
      <c r="R294" s="333"/>
      <c r="S294" s="331"/>
      <c r="T294" s="320"/>
      <c r="U294" s="335"/>
      <c r="V294" s="291">
        <f t="shared" ca="1" si="91"/>
        <v>0</v>
      </c>
      <c r="W294" s="256">
        <f t="shared" ca="1" si="89"/>
        <v>0</v>
      </c>
      <c r="X294" s="256">
        <f t="shared" ca="1" si="90"/>
        <v>1</v>
      </c>
      <c r="Y294" s="250"/>
      <c r="Z294" s="250"/>
    </row>
    <row r="295" spans="1:29" s="111" customFormat="1" ht="15" hidden="1" x14ac:dyDescent="0.2">
      <c r="A295" s="288"/>
      <c r="B295" s="338"/>
      <c r="C295" s="339"/>
      <c r="D295" s="340"/>
      <c r="E295" s="341"/>
      <c r="F295" s="342"/>
      <c r="G295" s="340"/>
      <c r="H295" s="341"/>
      <c r="I295" s="342"/>
      <c r="J295" s="343"/>
      <c r="K295" s="344"/>
      <c r="L295" s="345"/>
      <c r="M295" s="346"/>
      <c r="N295" s="347"/>
      <c r="O295" s="348"/>
      <c r="P295" s="345"/>
      <c r="Q295" s="349"/>
      <c r="R295" s="350"/>
      <c r="S295" s="351"/>
      <c r="T295" s="352"/>
      <c r="U295" s="353"/>
      <c r="V295" s="291">
        <f t="shared" ca="1" si="91"/>
        <v>0</v>
      </c>
      <c r="W295" s="256">
        <f t="shared" ca="1" si="89"/>
        <v>0</v>
      </c>
      <c r="X295" s="256">
        <f t="shared" ca="1" si="90"/>
        <v>1</v>
      </c>
      <c r="Y295" s="250"/>
      <c r="Z295" s="250"/>
    </row>
    <row r="296" spans="1:29" s="111" customFormat="1" ht="15.75" hidden="1" x14ac:dyDescent="0.2">
      <c r="A296" s="288"/>
      <c r="B296" s="354"/>
      <c r="C296" s="355"/>
      <c r="D296" s="1354" t="s">
        <v>492</v>
      </c>
      <c r="E296" s="1355"/>
      <c r="F296" s="1355"/>
      <c r="G296" s="1355"/>
      <c r="H296" s="1355"/>
      <c r="I296" s="1356"/>
      <c r="J296" s="1357">
        <f>VLOOKUP(A298,'11 - FINANCEIRO'!_xlnm.Print_Area,6,FALSE)</f>
        <v>9</v>
      </c>
      <c r="K296" s="1358"/>
      <c r="L296" s="356" t="str">
        <f>VLOOKUP(A298,'11 - FINANCEIRO'!_xlnm.Print_Area,4,FALSE)</f>
        <v>un</v>
      </c>
      <c r="M296" s="1359" t="s">
        <v>493</v>
      </c>
      <c r="N296" s="1360"/>
      <c r="O296" s="1360"/>
      <c r="P296" s="1360"/>
      <c r="Q296" s="1361"/>
      <c r="R296" s="357">
        <f>TRUNC(SUM(R292:R295),3)</f>
        <v>0</v>
      </c>
      <c r="S296" s="358" t="str">
        <f>L296</f>
        <v>un</v>
      </c>
      <c r="T296" s="359"/>
      <c r="U296" s="360"/>
      <c r="V296" s="291">
        <f t="shared" ca="1" si="91"/>
        <v>0</v>
      </c>
      <c r="W296" s="256">
        <f t="shared" ca="1" si="89"/>
        <v>2</v>
      </c>
      <c r="X296" s="256">
        <f t="shared" ca="1" si="90"/>
        <v>1</v>
      </c>
      <c r="Y296" s="250"/>
      <c r="Z296" s="250"/>
    </row>
    <row r="297" spans="1:29" s="111" customFormat="1" ht="15.75" hidden="1" x14ac:dyDescent="0.2">
      <c r="A297" s="288"/>
      <c r="B297" s="354"/>
      <c r="C297" s="361"/>
      <c r="D297" s="1362" t="s">
        <v>494</v>
      </c>
      <c r="E297" s="1363"/>
      <c r="F297" s="1363"/>
      <c r="G297" s="1363"/>
      <c r="H297" s="1363"/>
      <c r="I297" s="1364"/>
      <c r="J297" s="1365">
        <f>R296/J296</f>
        <v>0</v>
      </c>
      <c r="K297" s="1366"/>
      <c r="L297" s="1369"/>
      <c r="M297" s="1371" t="s">
        <v>495</v>
      </c>
      <c r="N297" s="1372"/>
      <c r="O297" s="1372"/>
      <c r="P297" s="1372"/>
      <c r="Q297" s="1373"/>
      <c r="R297" s="362">
        <f>VLOOKUP(A298,'11 - FINANCEIRO'!_xlnm.Print_Area,8,FALSE)</f>
        <v>0</v>
      </c>
      <c r="S297" s="363" t="str">
        <f>L296</f>
        <v>un</v>
      </c>
      <c r="T297" s="359"/>
      <c r="U297" s="360"/>
      <c r="V297" s="291">
        <f t="shared" ca="1" si="91"/>
        <v>0</v>
      </c>
      <c r="W297" s="256">
        <f t="shared" ca="1" si="89"/>
        <v>2</v>
      </c>
      <c r="X297" s="256">
        <f t="shared" ca="1" si="90"/>
        <v>1</v>
      </c>
      <c r="Y297" s="250"/>
      <c r="Z297" s="250"/>
    </row>
    <row r="298" spans="1:29" s="293" customFormat="1" ht="15.75" hidden="1" x14ac:dyDescent="0.2">
      <c r="A298" s="288" t="s">
        <v>23</v>
      </c>
      <c r="B298" s="364"/>
      <c r="C298" s="365"/>
      <c r="D298" s="1354"/>
      <c r="E298" s="1355"/>
      <c r="F298" s="1355"/>
      <c r="G298" s="1355"/>
      <c r="H298" s="1355"/>
      <c r="I298" s="1356"/>
      <c r="J298" s="1367"/>
      <c r="K298" s="1368"/>
      <c r="L298" s="1370"/>
      <c r="M298" s="1371" t="s">
        <v>496</v>
      </c>
      <c r="N298" s="1372"/>
      <c r="O298" s="1372"/>
      <c r="P298" s="1372"/>
      <c r="Q298" s="1373"/>
      <c r="R298" s="362">
        <f>R296-R297</f>
        <v>0</v>
      </c>
      <c r="S298" s="363" t="str">
        <f>L296</f>
        <v>un</v>
      </c>
      <c r="T298" s="366"/>
      <c r="U298" s="367"/>
      <c r="V298" s="291">
        <f t="shared" ca="1" si="91"/>
        <v>0</v>
      </c>
      <c r="W298" s="256">
        <f t="shared" ca="1" si="89"/>
        <v>2</v>
      </c>
      <c r="X298" s="256">
        <f t="shared" ca="1" si="90"/>
        <v>1</v>
      </c>
      <c r="Y298" s="256"/>
      <c r="Z298" s="256"/>
      <c r="AA298" s="292"/>
      <c r="AB298" s="292"/>
      <c r="AC298" s="292"/>
    </row>
    <row r="299" spans="1:29" s="111" customFormat="1" ht="15.75" hidden="1" x14ac:dyDescent="0.2">
      <c r="A299" s="288"/>
      <c r="B299" s="368"/>
      <c r="C299" s="365"/>
      <c r="D299" s="369"/>
      <c r="E299" s="370"/>
      <c r="F299" s="369"/>
      <c r="G299" s="369"/>
      <c r="H299" s="369"/>
      <c r="I299" s="369"/>
      <c r="J299" s="371"/>
      <c r="K299" s="372"/>
      <c r="L299" s="373"/>
      <c r="M299" s="374"/>
      <c r="N299" s="374"/>
      <c r="O299" s="374"/>
      <c r="P299" s="374"/>
      <c r="Q299" s="374"/>
      <c r="R299" s="375"/>
      <c r="S299" s="376"/>
      <c r="T299" s="377"/>
      <c r="U299" s="378"/>
      <c r="V299" s="379">
        <f ca="1">SUM(V290:V298)</f>
        <v>0</v>
      </c>
      <c r="W299" s="256">
        <f t="shared" ca="1" si="89"/>
        <v>1</v>
      </c>
      <c r="X299" s="256">
        <f t="shared" ca="1" si="90"/>
        <v>0</v>
      </c>
      <c r="Y299" s="250"/>
      <c r="Z299" s="250"/>
    </row>
    <row r="300" spans="1:29" s="293" customFormat="1" ht="27.75" customHeight="1" x14ac:dyDescent="0.25">
      <c r="A300" s="288"/>
      <c r="B300" s="1374" t="str">
        <f>VLOOKUP(A351,'11 - FINANCEIRO'!_xlnm.Print_Area,1,FALSE)</f>
        <v>1.2.6</v>
      </c>
      <c r="C300" s="1376" t="str">
        <f>VLOOKUP(A351,'11 - FINANCEIRO'!_xlnm.Print_Area,3,FALSE)</f>
        <v>Aluguel Mensal Container Para Vestiário, Incl. Porta, Venezianas De Circulação, 1 Pt Iluminação, Isolamento Térmico (Teto), Piso Em Comp. Naval Pintado, Cert. Nr18, Incl. Laudo Descontaminação.</v>
      </c>
      <c r="D300" s="1378" t="s">
        <v>500</v>
      </c>
      <c r="E300" s="1379"/>
      <c r="F300" s="1379"/>
      <c r="G300" s="1379"/>
      <c r="H300" s="1379"/>
      <c r="I300" s="1380"/>
      <c r="J300" s="1338" t="s">
        <v>478</v>
      </c>
      <c r="K300" s="1338" t="s">
        <v>479</v>
      </c>
      <c r="L300" s="1338" t="s">
        <v>480</v>
      </c>
      <c r="M300" s="1338" t="s">
        <v>481</v>
      </c>
      <c r="N300" s="1338" t="s">
        <v>482</v>
      </c>
      <c r="O300" s="1338" t="s">
        <v>483</v>
      </c>
      <c r="P300" s="290" t="s">
        <v>484</v>
      </c>
      <c r="Q300" s="1338" t="s">
        <v>296</v>
      </c>
      <c r="R300" s="1336" t="s">
        <v>296</v>
      </c>
      <c r="S300" s="1338" t="s">
        <v>486</v>
      </c>
      <c r="T300" s="1338" t="s">
        <v>487</v>
      </c>
      <c r="U300" s="1340" t="s">
        <v>488</v>
      </c>
      <c r="V300" s="291">
        <f t="shared" ref="V300:V351" ca="1" si="92">IF(OFFSET(V300,1,1)=1,OFFSET(V300,0,-4),OFFSET(V300,1,0))</f>
        <v>1</v>
      </c>
      <c r="W300" s="256">
        <f t="shared" ca="1" si="89"/>
        <v>2</v>
      </c>
      <c r="X300" s="256">
        <f t="shared" ca="1" si="90"/>
        <v>1</v>
      </c>
      <c r="Y300" s="256"/>
      <c r="Z300" s="256"/>
      <c r="AA300" s="292"/>
      <c r="AB300" s="292"/>
      <c r="AC300" s="292"/>
    </row>
    <row r="301" spans="1:29" s="293" customFormat="1" ht="39.75" customHeight="1" x14ac:dyDescent="0.2">
      <c r="A301" s="288"/>
      <c r="B301" s="1375"/>
      <c r="C301" s="1377"/>
      <c r="D301" s="1342" t="s">
        <v>489</v>
      </c>
      <c r="E301" s="1343"/>
      <c r="F301" s="1344"/>
      <c r="G301" s="1345" t="s">
        <v>490</v>
      </c>
      <c r="H301" s="1346"/>
      <c r="I301" s="1347"/>
      <c r="J301" s="1339"/>
      <c r="K301" s="1339"/>
      <c r="L301" s="1339"/>
      <c r="M301" s="1339"/>
      <c r="N301" s="1339"/>
      <c r="O301" s="1339"/>
      <c r="P301" s="295" t="s">
        <v>491</v>
      </c>
      <c r="Q301" s="1339"/>
      <c r="R301" s="1337"/>
      <c r="S301" s="1339"/>
      <c r="T301" s="1339"/>
      <c r="U301" s="1341"/>
      <c r="V301" s="291">
        <f t="shared" ca="1" si="92"/>
        <v>1</v>
      </c>
      <c r="W301" s="256">
        <f t="shared" ca="1" si="89"/>
        <v>2</v>
      </c>
      <c r="X301" s="256">
        <f t="shared" ca="1" si="90"/>
        <v>1</v>
      </c>
      <c r="Y301" s="256"/>
      <c r="Z301" s="256"/>
      <c r="AA301" s="292"/>
      <c r="AB301" s="292"/>
      <c r="AC301" s="292"/>
    </row>
    <row r="302" spans="1:29" s="337" customFormat="1" ht="15.75" x14ac:dyDescent="0.2">
      <c r="A302" s="288"/>
      <c r="B302" s="296"/>
      <c r="C302" s="297" t="s">
        <v>503</v>
      </c>
      <c r="D302" s="1381">
        <v>44776</v>
      </c>
      <c r="E302" s="1382"/>
      <c r="F302" s="1383"/>
      <c r="G302" s="1381">
        <v>44804</v>
      </c>
      <c r="H302" s="1382"/>
      <c r="I302" s="1383"/>
      <c r="J302" s="304">
        <f t="shared" ref="J302:J320" si="93">G302-D302+1</f>
        <v>29</v>
      </c>
      <c r="K302" s="304"/>
      <c r="L302" s="304"/>
      <c r="M302" s="304"/>
      <c r="N302" s="304"/>
      <c r="O302" s="304"/>
      <c r="P302" s="306"/>
      <c r="Q302" s="304"/>
      <c r="R302" s="307">
        <v>1</v>
      </c>
      <c r="S302" s="331" t="str">
        <f t="shared" ref="S302:S345" si="94">$L$349</f>
        <v>mês</v>
      </c>
      <c r="T302" s="309">
        <v>1</v>
      </c>
      <c r="U302" s="310"/>
      <c r="V302" s="291">
        <f t="shared" ca="1" si="92"/>
        <v>1</v>
      </c>
      <c r="W302" s="256">
        <f t="shared" ca="1" si="89"/>
        <v>2</v>
      </c>
      <c r="X302" s="256">
        <f t="shared" ca="1" si="90"/>
        <v>1</v>
      </c>
      <c r="Y302" s="336"/>
      <c r="Z302" s="336"/>
    </row>
    <row r="303" spans="1:29" s="337" customFormat="1" ht="15.75" x14ac:dyDescent="0.2">
      <c r="A303" s="288"/>
      <c r="B303" s="311"/>
      <c r="C303" s="312" t="s">
        <v>504</v>
      </c>
      <c r="D303" s="1333">
        <v>44805</v>
      </c>
      <c r="E303" s="1334"/>
      <c r="F303" s="1335"/>
      <c r="G303" s="1333">
        <v>44836</v>
      </c>
      <c r="H303" s="1334"/>
      <c r="I303" s="1335"/>
      <c r="J303" s="317">
        <f t="shared" si="93"/>
        <v>32</v>
      </c>
      <c r="K303" s="313"/>
      <c r="L303" s="317"/>
      <c r="M303" s="315"/>
      <c r="N303" s="314"/>
      <c r="O303" s="313"/>
      <c r="P303" s="318"/>
      <c r="Q303" s="315"/>
      <c r="R303" s="319">
        <v>1</v>
      </c>
      <c r="S303" s="331" t="str">
        <f t="shared" si="94"/>
        <v>mês</v>
      </c>
      <c r="T303" s="320">
        <v>2</v>
      </c>
      <c r="U303" s="321"/>
      <c r="V303" s="291">
        <f t="shared" ca="1" si="92"/>
        <v>1</v>
      </c>
      <c r="W303" s="256">
        <f t="shared" ca="1" si="89"/>
        <v>2</v>
      </c>
      <c r="X303" s="256">
        <f t="shared" ca="1" si="90"/>
        <v>1</v>
      </c>
      <c r="Y303" s="336"/>
      <c r="Z303" s="336"/>
    </row>
    <row r="304" spans="1:29" s="111" customFormat="1" ht="15.75" x14ac:dyDescent="0.2">
      <c r="A304" s="288"/>
      <c r="B304" s="311"/>
      <c r="C304" s="312" t="s">
        <v>505</v>
      </c>
      <c r="D304" s="1333">
        <v>44837</v>
      </c>
      <c r="E304" s="1334"/>
      <c r="F304" s="1335"/>
      <c r="G304" s="1333">
        <v>44865</v>
      </c>
      <c r="H304" s="1334"/>
      <c r="I304" s="1335"/>
      <c r="J304" s="317">
        <f t="shared" si="93"/>
        <v>29</v>
      </c>
      <c r="K304" s="313"/>
      <c r="L304" s="317"/>
      <c r="M304" s="315"/>
      <c r="N304" s="314"/>
      <c r="O304" s="313"/>
      <c r="P304" s="318"/>
      <c r="Q304" s="315"/>
      <c r="R304" s="319">
        <v>1</v>
      </c>
      <c r="S304" s="331" t="str">
        <f t="shared" si="94"/>
        <v>mês</v>
      </c>
      <c r="T304" s="320">
        <v>3</v>
      </c>
      <c r="U304" s="321"/>
      <c r="V304" s="291">
        <f t="shared" ca="1" si="92"/>
        <v>1</v>
      </c>
      <c r="W304" s="256">
        <f t="shared" ca="1" si="89"/>
        <v>2</v>
      </c>
      <c r="X304" s="256">
        <f t="shared" ca="1" si="90"/>
        <v>1</v>
      </c>
      <c r="Y304" s="250"/>
      <c r="Z304" s="250"/>
    </row>
    <row r="305" spans="1:29" s="405" customFormat="1" ht="15" x14ac:dyDescent="0.2">
      <c r="A305" s="403"/>
      <c r="B305" s="322"/>
      <c r="C305" s="397" t="s">
        <v>506</v>
      </c>
      <c r="D305" s="1333">
        <v>44866</v>
      </c>
      <c r="E305" s="1334"/>
      <c r="F305" s="1335"/>
      <c r="G305" s="1333">
        <v>44890</v>
      </c>
      <c r="H305" s="1334"/>
      <c r="I305" s="1335"/>
      <c r="J305" s="317">
        <f t="shared" si="93"/>
        <v>25</v>
      </c>
      <c r="K305" s="328"/>
      <c r="L305" s="328"/>
      <c r="M305" s="328"/>
      <c r="N305" s="328"/>
      <c r="O305" s="334"/>
      <c r="P305" s="328"/>
      <c r="Q305" s="334"/>
      <c r="R305" s="333">
        <v>1</v>
      </c>
      <c r="S305" s="331" t="str">
        <f t="shared" si="94"/>
        <v>mês</v>
      </c>
      <c r="T305" s="320">
        <v>4</v>
      </c>
      <c r="U305" s="335"/>
      <c r="V305" s="291">
        <f t="shared" ca="1" si="92"/>
        <v>1</v>
      </c>
      <c r="W305" s="256">
        <f t="shared" ca="1" si="89"/>
        <v>2</v>
      </c>
      <c r="X305" s="256">
        <f t="shared" ca="1" si="90"/>
        <v>1</v>
      </c>
      <c r="Y305" s="404"/>
      <c r="Z305" s="404"/>
    </row>
    <row r="306" spans="1:29" s="405" customFormat="1" ht="15" x14ac:dyDescent="0.2">
      <c r="A306" s="403"/>
      <c r="B306" s="322"/>
      <c r="C306" s="397" t="s">
        <v>506</v>
      </c>
      <c r="D306" s="1333">
        <f>G305+1</f>
        <v>44891</v>
      </c>
      <c r="E306" s="1334"/>
      <c r="F306" s="1335"/>
      <c r="G306" s="1333">
        <v>44926</v>
      </c>
      <c r="H306" s="1334"/>
      <c r="I306" s="1335"/>
      <c r="J306" s="317">
        <f t="shared" si="93"/>
        <v>36</v>
      </c>
      <c r="K306" s="328"/>
      <c r="L306" s="328"/>
      <c r="M306" s="328"/>
      <c r="N306" s="328"/>
      <c r="O306" s="334"/>
      <c r="P306" s="328"/>
      <c r="Q306" s="334"/>
      <c r="R306" s="333">
        <v>1</v>
      </c>
      <c r="S306" s="331" t="str">
        <f t="shared" si="94"/>
        <v>mês</v>
      </c>
      <c r="T306" s="320">
        <v>5</v>
      </c>
      <c r="U306" s="335"/>
      <c r="V306" s="291">
        <f t="shared" ca="1" si="92"/>
        <v>1</v>
      </c>
      <c r="W306" s="256">
        <f t="shared" ca="1" si="89"/>
        <v>2</v>
      </c>
      <c r="X306" s="256">
        <f t="shared" ca="1" si="90"/>
        <v>1</v>
      </c>
      <c r="Y306" s="404"/>
      <c r="Z306" s="404"/>
    </row>
    <row r="307" spans="1:29" s="337" customFormat="1" ht="15" x14ac:dyDescent="0.2">
      <c r="A307" s="288"/>
      <c r="B307" s="322"/>
      <c r="C307" s="397" t="s">
        <v>508</v>
      </c>
      <c r="D307" s="1333">
        <v>44927</v>
      </c>
      <c r="E307" s="1334"/>
      <c r="F307" s="1335"/>
      <c r="G307" s="1333">
        <v>44957</v>
      </c>
      <c r="H307" s="1334"/>
      <c r="I307" s="1335"/>
      <c r="J307" s="317">
        <f t="shared" si="93"/>
        <v>31</v>
      </c>
      <c r="K307" s="327"/>
      <c r="L307" s="328"/>
      <c r="M307" s="329"/>
      <c r="N307" s="330"/>
      <c r="O307" s="331"/>
      <c r="P307" s="328"/>
      <c r="Q307" s="332"/>
      <c r="R307" s="333">
        <v>1</v>
      </c>
      <c r="S307" s="331" t="str">
        <f t="shared" si="94"/>
        <v>mês</v>
      </c>
      <c r="T307" s="320">
        <v>6</v>
      </c>
      <c r="U307" s="335"/>
      <c r="V307" s="291">
        <f t="shared" ca="1" si="92"/>
        <v>1</v>
      </c>
      <c r="W307" s="256">
        <f t="shared" ca="1" si="89"/>
        <v>2</v>
      </c>
      <c r="X307" s="256">
        <f t="shared" ca="1" si="90"/>
        <v>1</v>
      </c>
      <c r="Y307" s="336"/>
      <c r="Z307" s="336"/>
    </row>
    <row r="308" spans="1:29" s="337" customFormat="1" ht="15" x14ac:dyDescent="0.2">
      <c r="A308" s="288"/>
      <c r="B308" s="322"/>
      <c r="C308" s="397" t="s">
        <v>509</v>
      </c>
      <c r="D308" s="1333">
        <v>44958</v>
      </c>
      <c r="E308" s="1334"/>
      <c r="F308" s="1335"/>
      <c r="G308" s="1333">
        <v>44985</v>
      </c>
      <c r="H308" s="1334"/>
      <c r="I308" s="1335"/>
      <c r="J308" s="317">
        <f t="shared" si="93"/>
        <v>28</v>
      </c>
      <c r="K308" s="327"/>
      <c r="L308" s="328"/>
      <c r="M308" s="329"/>
      <c r="N308" s="330"/>
      <c r="O308" s="331"/>
      <c r="P308" s="328"/>
      <c r="Q308" s="332"/>
      <c r="R308" s="333">
        <v>1</v>
      </c>
      <c r="S308" s="331" t="str">
        <f t="shared" si="94"/>
        <v>mês</v>
      </c>
      <c r="T308" s="320">
        <v>7</v>
      </c>
      <c r="U308" s="335"/>
      <c r="V308" s="291">
        <f t="shared" ca="1" si="92"/>
        <v>1</v>
      </c>
      <c r="W308" s="256">
        <f t="shared" ca="1" si="89"/>
        <v>2</v>
      </c>
      <c r="X308" s="256">
        <f t="shared" ca="1" si="90"/>
        <v>1</v>
      </c>
      <c r="Y308" s="336"/>
      <c r="Z308" s="336"/>
    </row>
    <row r="309" spans="1:29" s="337" customFormat="1" ht="15" x14ac:dyDescent="0.2">
      <c r="A309" s="288"/>
      <c r="B309" s="322"/>
      <c r="C309" s="397" t="s">
        <v>510</v>
      </c>
      <c r="D309" s="1333">
        <v>44986</v>
      </c>
      <c r="E309" s="1334"/>
      <c r="F309" s="1335"/>
      <c r="G309" s="1333">
        <v>45016</v>
      </c>
      <c r="H309" s="1334"/>
      <c r="I309" s="1335"/>
      <c r="J309" s="317">
        <f t="shared" si="93"/>
        <v>31</v>
      </c>
      <c r="K309" s="327"/>
      <c r="L309" s="328"/>
      <c r="M309" s="329"/>
      <c r="N309" s="330"/>
      <c r="O309" s="331"/>
      <c r="P309" s="328"/>
      <c r="Q309" s="332"/>
      <c r="R309" s="333">
        <v>1</v>
      </c>
      <c r="S309" s="331" t="str">
        <f t="shared" si="94"/>
        <v>mês</v>
      </c>
      <c r="T309" s="320">
        <v>8</v>
      </c>
      <c r="U309" s="335"/>
      <c r="V309" s="291">
        <f t="shared" ca="1" si="92"/>
        <v>1</v>
      </c>
      <c r="W309" s="256">
        <f t="shared" ca="1" si="89"/>
        <v>2</v>
      </c>
      <c r="X309" s="256">
        <f t="shared" ca="1" si="90"/>
        <v>1</v>
      </c>
      <c r="Y309" s="336"/>
      <c r="Z309" s="336"/>
    </row>
    <row r="310" spans="1:29" s="337" customFormat="1" ht="15" x14ac:dyDescent="0.2">
      <c r="A310" s="288"/>
      <c r="B310" s="322"/>
      <c r="C310" s="397" t="s">
        <v>511</v>
      </c>
      <c r="D310" s="1333">
        <v>45017</v>
      </c>
      <c r="E310" s="1334"/>
      <c r="F310" s="1335"/>
      <c r="G310" s="1333">
        <v>45046</v>
      </c>
      <c r="H310" s="1334"/>
      <c r="I310" s="1335"/>
      <c r="J310" s="317">
        <f t="shared" si="93"/>
        <v>30</v>
      </c>
      <c r="K310" s="327"/>
      <c r="L310" s="328"/>
      <c r="M310" s="329"/>
      <c r="N310" s="330"/>
      <c r="O310" s="331"/>
      <c r="P310" s="328"/>
      <c r="Q310" s="332"/>
      <c r="R310" s="333">
        <v>1</v>
      </c>
      <c r="S310" s="331" t="str">
        <f t="shared" si="94"/>
        <v>mês</v>
      </c>
      <c r="T310" s="320">
        <v>9</v>
      </c>
      <c r="U310" s="335"/>
      <c r="V310" s="291">
        <f t="shared" ca="1" si="92"/>
        <v>1</v>
      </c>
      <c r="W310" s="256">
        <f t="shared" ca="1" si="89"/>
        <v>2</v>
      </c>
      <c r="X310" s="256">
        <f t="shared" ca="1" si="90"/>
        <v>1</v>
      </c>
      <c r="Y310" s="336"/>
      <c r="Z310" s="336"/>
    </row>
    <row r="311" spans="1:29" s="337" customFormat="1" ht="15" x14ac:dyDescent="0.2">
      <c r="A311" s="288"/>
      <c r="B311" s="322"/>
      <c r="C311" s="397" t="s">
        <v>690</v>
      </c>
      <c r="D311" s="1333">
        <v>45047</v>
      </c>
      <c r="E311" s="1334"/>
      <c r="F311" s="1335"/>
      <c r="G311" s="1333">
        <v>45077</v>
      </c>
      <c r="H311" s="1334"/>
      <c r="I311" s="1335"/>
      <c r="J311" s="317">
        <f t="shared" si="93"/>
        <v>31</v>
      </c>
      <c r="K311" s="327"/>
      <c r="L311" s="328"/>
      <c r="M311" s="329"/>
      <c r="N311" s="330"/>
      <c r="O311" s="331"/>
      <c r="P311" s="328"/>
      <c r="Q311" s="332"/>
      <c r="R311" s="333">
        <v>1</v>
      </c>
      <c r="S311" s="331" t="str">
        <f t="shared" si="94"/>
        <v>mês</v>
      </c>
      <c r="T311" s="320">
        <v>19</v>
      </c>
      <c r="U311" s="335"/>
      <c r="V311" s="291">
        <f t="shared" ca="1" si="92"/>
        <v>1</v>
      </c>
      <c r="W311" s="256">
        <f t="shared" ca="1" si="89"/>
        <v>2</v>
      </c>
      <c r="X311" s="256">
        <f t="shared" ca="1" si="90"/>
        <v>1</v>
      </c>
      <c r="Y311" s="336"/>
      <c r="Z311" s="336"/>
    </row>
    <row r="312" spans="1:29" s="337" customFormat="1" ht="15" x14ac:dyDescent="0.2">
      <c r="A312" s="288"/>
      <c r="B312" s="322"/>
      <c r="C312" s="397" t="s">
        <v>691</v>
      </c>
      <c r="D312" s="1333">
        <v>45078</v>
      </c>
      <c r="E312" s="1334"/>
      <c r="F312" s="1335"/>
      <c r="G312" s="1333">
        <v>45107</v>
      </c>
      <c r="H312" s="1334"/>
      <c r="I312" s="1335"/>
      <c r="J312" s="317">
        <f t="shared" si="93"/>
        <v>30</v>
      </c>
      <c r="K312" s="327"/>
      <c r="L312" s="328"/>
      <c r="M312" s="329"/>
      <c r="N312" s="330"/>
      <c r="O312" s="331"/>
      <c r="P312" s="328"/>
      <c r="Q312" s="332"/>
      <c r="R312" s="333">
        <v>1</v>
      </c>
      <c r="S312" s="331" t="str">
        <f t="shared" si="94"/>
        <v>mês</v>
      </c>
      <c r="T312" s="320">
        <v>19</v>
      </c>
      <c r="U312" s="335"/>
      <c r="V312" s="291">
        <f t="shared" ca="1" si="92"/>
        <v>1</v>
      </c>
      <c r="W312" s="256">
        <f t="shared" ca="1" si="89"/>
        <v>2</v>
      </c>
      <c r="X312" s="256">
        <f t="shared" ca="1" si="90"/>
        <v>1</v>
      </c>
      <c r="Y312" s="336"/>
      <c r="Z312" s="336"/>
    </row>
    <row r="313" spans="1:29" s="337" customFormat="1" ht="15" x14ac:dyDescent="0.2">
      <c r="A313" s="288"/>
      <c r="B313" s="322"/>
      <c r="C313" s="397" t="s">
        <v>692</v>
      </c>
      <c r="D313" s="1333">
        <v>45108</v>
      </c>
      <c r="E313" s="1334"/>
      <c r="F313" s="1335"/>
      <c r="G313" s="1333">
        <v>45138</v>
      </c>
      <c r="H313" s="1334"/>
      <c r="I313" s="1335"/>
      <c r="J313" s="317">
        <f t="shared" si="93"/>
        <v>31</v>
      </c>
      <c r="K313" s="327"/>
      <c r="L313" s="328"/>
      <c r="M313" s="329"/>
      <c r="N313" s="330"/>
      <c r="O313" s="331"/>
      <c r="P313" s="328"/>
      <c r="Q313" s="332"/>
      <c r="R313" s="333">
        <v>1</v>
      </c>
      <c r="S313" s="331" t="str">
        <f t="shared" si="94"/>
        <v>mês</v>
      </c>
      <c r="T313" s="320">
        <v>19</v>
      </c>
      <c r="U313" s="335"/>
      <c r="V313" s="291">
        <f t="shared" ca="1" si="92"/>
        <v>1</v>
      </c>
      <c r="W313" s="256">
        <f t="shared" ca="1" si="89"/>
        <v>2</v>
      </c>
      <c r="X313" s="256">
        <f t="shared" ca="1" si="90"/>
        <v>1</v>
      </c>
      <c r="Y313" s="336"/>
      <c r="Z313" s="336"/>
    </row>
    <row r="314" spans="1:29" s="337" customFormat="1" ht="15" x14ac:dyDescent="0.2">
      <c r="A314" s="288"/>
      <c r="B314" s="322"/>
      <c r="C314" s="397" t="s">
        <v>503</v>
      </c>
      <c r="D314" s="1333">
        <v>45139</v>
      </c>
      <c r="E314" s="1334"/>
      <c r="F314" s="1335"/>
      <c r="G314" s="1333">
        <v>45169</v>
      </c>
      <c r="H314" s="1334"/>
      <c r="I314" s="1335"/>
      <c r="J314" s="317">
        <f t="shared" si="93"/>
        <v>31</v>
      </c>
      <c r="K314" s="327"/>
      <c r="L314" s="328"/>
      <c r="M314" s="329"/>
      <c r="N314" s="330"/>
      <c r="O314" s="331"/>
      <c r="P314" s="328"/>
      <c r="Q314" s="332"/>
      <c r="R314" s="333">
        <v>1</v>
      </c>
      <c r="S314" s="331" t="str">
        <f t="shared" si="94"/>
        <v>mês</v>
      </c>
      <c r="T314" s="320">
        <v>19</v>
      </c>
      <c r="U314" s="335"/>
      <c r="V314" s="291">
        <f t="shared" ca="1" si="92"/>
        <v>1</v>
      </c>
      <c r="W314" s="256">
        <f t="shared" ca="1" si="89"/>
        <v>2</v>
      </c>
      <c r="X314" s="256">
        <f t="shared" ca="1" si="90"/>
        <v>1</v>
      </c>
      <c r="Y314" s="336"/>
      <c r="Z314" s="336"/>
    </row>
    <row r="315" spans="1:29" s="293" customFormat="1" ht="15.75" x14ac:dyDescent="0.2">
      <c r="A315" s="288"/>
      <c r="B315" s="311"/>
      <c r="C315" s="397" t="s">
        <v>504</v>
      </c>
      <c r="D315" s="1333">
        <v>45170</v>
      </c>
      <c r="E315" s="1334"/>
      <c r="F315" s="1335"/>
      <c r="G315" s="1333">
        <v>45199</v>
      </c>
      <c r="H315" s="1334"/>
      <c r="I315" s="1335"/>
      <c r="J315" s="317">
        <f t="shared" si="93"/>
        <v>30</v>
      </c>
      <c r="K315" s="313"/>
      <c r="L315" s="317"/>
      <c r="M315" s="315"/>
      <c r="N315" s="314"/>
      <c r="O315" s="313"/>
      <c r="P315" s="318"/>
      <c r="Q315" s="315"/>
      <c r="R315" s="319">
        <v>1</v>
      </c>
      <c r="S315" s="331" t="str">
        <f t="shared" si="94"/>
        <v>mês</v>
      </c>
      <c r="T315" s="320">
        <v>19</v>
      </c>
      <c r="U315" s="321"/>
      <c r="V315" s="291">
        <f t="shared" ca="1" si="92"/>
        <v>1</v>
      </c>
      <c r="W315" s="256">
        <f t="shared" ca="1" si="89"/>
        <v>2</v>
      </c>
      <c r="X315" s="256">
        <f t="shared" ca="1" si="90"/>
        <v>1</v>
      </c>
      <c r="Y315" s="256"/>
      <c r="Z315" s="256"/>
      <c r="AA315" s="292"/>
      <c r="AB315" s="292"/>
      <c r="AC315" s="292"/>
    </row>
    <row r="316" spans="1:29" s="293" customFormat="1" ht="15.75" x14ac:dyDescent="0.2">
      <c r="A316" s="288"/>
      <c r="B316" s="311"/>
      <c r="C316" s="397" t="s">
        <v>505</v>
      </c>
      <c r="D316" s="1333">
        <v>45200</v>
      </c>
      <c r="E316" s="1334"/>
      <c r="F316" s="1335"/>
      <c r="G316" s="1333">
        <v>45230</v>
      </c>
      <c r="H316" s="1334"/>
      <c r="I316" s="1335"/>
      <c r="J316" s="317">
        <f t="shared" si="93"/>
        <v>31</v>
      </c>
      <c r="K316" s="313"/>
      <c r="L316" s="317"/>
      <c r="M316" s="315"/>
      <c r="N316" s="314"/>
      <c r="O316" s="313"/>
      <c r="P316" s="318"/>
      <c r="Q316" s="315"/>
      <c r="R316" s="319">
        <v>1</v>
      </c>
      <c r="S316" s="331" t="str">
        <f t="shared" si="94"/>
        <v>mês</v>
      </c>
      <c r="T316" s="320">
        <v>19</v>
      </c>
      <c r="U316" s="321"/>
      <c r="V316" s="291">
        <f t="shared" ca="1" si="92"/>
        <v>1</v>
      </c>
      <c r="W316" s="256">
        <f t="shared" ca="1" si="89"/>
        <v>2</v>
      </c>
      <c r="X316" s="256">
        <f ca="1">IF(COUNTA(OFFSET(#REF!,1,0))-COUNTA(#REF!)=-1,0,1)</f>
        <v>1</v>
      </c>
      <c r="Y316" s="256"/>
      <c r="Z316" s="256"/>
      <c r="AA316" s="292"/>
      <c r="AB316" s="292"/>
      <c r="AC316" s="292"/>
    </row>
    <row r="317" spans="1:29" s="292" customFormat="1" ht="15" x14ac:dyDescent="0.2">
      <c r="A317" s="399"/>
      <c r="B317" s="322"/>
      <c r="C317" s="397" t="s">
        <v>506</v>
      </c>
      <c r="D317" s="1333">
        <v>45231</v>
      </c>
      <c r="E317" s="1334"/>
      <c r="F317" s="1335"/>
      <c r="G317" s="1333">
        <v>45260</v>
      </c>
      <c r="H317" s="1334"/>
      <c r="I317" s="1335"/>
      <c r="J317" s="317">
        <f t="shared" si="93"/>
        <v>30</v>
      </c>
      <c r="K317" s="328"/>
      <c r="L317" s="328"/>
      <c r="M317" s="328"/>
      <c r="N317" s="328"/>
      <c r="O317" s="334"/>
      <c r="P317" s="328"/>
      <c r="Q317" s="334"/>
      <c r="R317" s="333">
        <v>1</v>
      </c>
      <c r="S317" s="331" t="str">
        <f t="shared" si="94"/>
        <v>mês</v>
      </c>
      <c r="T317" s="320">
        <v>19</v>
      </c>
      <c r="U317" s="335"/>
      <c r="V317" s="291">
        <f t="shared" ca="1" si="92"/>
        <v>1</v>
      </c>
      <c r="W317" s="256">
        <f t="shared" ca="1" si="89"/>
        <v>2</v>
      </c>
      <c r="X317" s="256">
        <f t="shared" ref="X317:X322" ca="1" si="95">IF(COUNTA(OFFSET(A316,1,0))-COUNTA(A316)=-1,0,1)</f>
        <v>1</v>
      </c>
      <c r="Y317" s="256"/>
      <c r="Z317" s="256"/>
    </row>
    <row r="318" spans="1:29" s="292" customFormat="1" ht="15" x14ac:dyDescent="0.2">
      <c r="A318" s="399"/>
      <c r="B318" s="322"/>
      <c r="C318" s="397" t="s">
        <v>507</v>
      </c>
      <c r="D318" s="1333">
        <v>45261</v>
      </c>
      <c r="E318" s="1334"/>
      <c r="F318" s="1335"/>
      <c r="G318" s="1333">
        <v>45291</v>
      </c>
      <c r="H318" s="1334"/>
      <c r="I318" s="1335"/>
      <c r="J318" s="317">
        <f t="shared" si="93"/>
        <v>31</v>
      </c>
      <c r="K318" s="328"/>
      <c r="L318" s="328"/>
      <c r="M318" s="328"/>
      <c r="N318" s="328"/>
      <c r="O318" s="334"/>
      <c r="P318" s="328"/>
      <c r="Q318" s="334"/>
      <c r="R318" s="333">
        <v>1</v>
      </c>
      <c r="S318" s="331" t="str">
        <f t="shared" si="94"/>
        <v>mês</v>
      </c>
      <c r="T318" s="320">
        <v>19</v>
      </c>
      <c r="U318" s="335"/>
      <c r="V318" s="291">
        <f t="shared" ca="1" si="92"/>
        <v>1</v>
      </c>
      <c r="W318" s="256">
        <f t="shared" ca="1" si="89"/>
        <v>2</v>
      </c>
      <c r="X318" s="256">
        <f t="shared" ca="1" si="95"/>
        <v>1</v>
      </c>
      <c r="Y318" s="256"/>
      <c r="Z318" s="256"/>
    </row>
    <row r="319" spans="1:29" s="337" customFormat="1" ht="15" x14ac:dyDescent="0.2">
      <c r="A319" s="288"/>
      <c r="B319" s="322"/>
      <c r="C319" s="397" t="s">
        <v>508</v>
      </c>
      <c r="D319" s="1333">
        <v>45292</v>
      </c>
      <c r="E319" s="1334"/>
      <c r="F319" s="1335"/>
      <c r="G319" s="1333">
        <v>45322</v>
      </c>
      <c r="H319" s="1334"/>
      <c r="I319" s="1335"/>
      <c r="J319" s="317">
        <f t="shared" si="93"/>
        <v>31</v>
      </c>
      <c r="K319" s="327"/>
      <c r="L319" s="328"/>
      <c r="M319" s="329"/>
      <c r="N319" s="330"/>
      <c r="O319" s="331"/>
      <c r="P319" s="328"/>
      <c r="Q319" s="332"/>
      <c r="R319" s="333">
        <v>1</v>
      </c>
      <c r="S319" s="331" t="str">
        <f t="shared" si="94"/>
        <v>mês</v>
      </c>
      <c r="T319" s="320">
        <v>19</v>
      </c>
      <c r="U319" s="335"/>
      <c r="V319" s="291">
        <f t="shared" ca="1" si="92"/>
        <v>1</v>
      </c>
      <c r="W319" s="256">
        <f t="shared" ca="1" si="89"/>
        <v>2</v>
      </c>
      <c r="X319" s="256">
        <f t="shared" ca="1" si="95"/>
        <v>1</v>
      </c>
      <c r="Y319" s="336"/>
      <c r="Z319" s="336"/>
    </row>
    <row r="320" spans="1:29" s="337" customFormat="1" ht="15" x14ac:dyDescent="0.2">
      <c r="A320" s="288"/>
      <c r="B320" s="322"/>
      <c r="C320" s="397" t="s">
        <v>509</v>
      </c>
      <c r="D320" s="1333">
        <v>45323</v>
      </c>
      <c r="E320" s="1334"/>
      <c r="F320" s="1335"/>
      <c r="G320" s="1333">
        <v>45351</v>
      </c>
      <c r="H320" s="1334"/>
      <c r="I320" s="1335"/>
      <c r="J320" s="317">
        <f t="shared" si="93"/>
        <v>29</v>
      </c>
      <c r="K320" s="327"/>
      <c r="L320" s="328"/>
      <c r="M320" s="329"/>
      <c r="N320" s="330"/>
      <c r="O320" s="331"/>
      <c r="P320" s="328"/>
      <c r="Q320" s="332"/>
      <c r="R320" s="333">
        <v>1</v>
      </c>
      <c r="S320" s="331" t="str">
        <f t="shared" si="94"/>
        <v>mês</v>
      </c>
      <c r="T320" s="320">
        <v>19</v>
      </c>
      <c r="U320" s="335"/>
      <c r="V320" s="291">
        <f t="shared" ca="1" si="92"/>
        <v>1</v>
      </c>
      <c r="W320" s="256">
        <f t="shared" ca="1" si="89"/>
        <v>2</v>
      </c>
      <c r="X320" s="256">
        <f t="shared" ca="1" si="95"/>
        <v>1</v>
      </c>
      <c r="Y320" s="336"/>
      <c r="Z320" s="336"/>
    </row>
    <row r="321" spans="1:26" s="337" customFormat="1" ht="15" x14ac:dyDescent="0.2">
      <c r="A321" s="288"/>
      <c r="B321" s="322"/>
      <c r="C321" s="397" t="s">
        <v>510</v>
      </c>
      <c r="D321" s="1333">
        <v>45352</v>
      </c>
      <c r="E321" s="1334"/>
      <c r="F321" s="1335"/>
      <c r="G321" s="1333">
        <v>45382</v>
      </c>
      <c r="H321" s="1334"/>
      <c r="I321" s="1335"/>
      <c r="J321" s="317">
        <f t="shared" ref="J321:J328" si="96">G321-D321+1</f>
        <v>31</v>
      </c>
      <c r="K321" s="327"/>
      <c r="L321" s="328"/>
      <c r="M321" s="329"/>
      <c r="N321" s="330"/>
      <c r="O321" s="331"/>
      <c r="P321" s="328"/>
      <c r="Q321" s="332"/>
      <c r="R321" s="333">
        <v>1</v>
      </c>
      <c r="S321" s="331" t="str">
        <f t="shared" si="94"/>
        <v>mês</v>
      </c>
      <c r="T321" s="320">
        <v>20</v>
      </c>
      <c r="U321" s="335"/>
      <c r="V321" s="291">
        <f t="shared" ca="1" si="92"/>
        <v>1</v>
      </c>
      <c r="W321" s="256">
        <f t="shared" ref="W321:W328" ca="1" si="97">IF(LEFT(_xlfn.FORMULATEXT(V321),3)="=SO",1,IF(COUNTA(A321:U321)=0,0,2))</f>
        <v>2</v>
      </c>
      <c r="X321" s="256">
        <f t="shared" ca="1" si="95"/>
        <v>1</v>
      </c>
      <c r="Y321" s="336"/>
      <c r="Z321" s="336"/>
    </row>
    <row r="322" spans="1:26" s="337" customFormat="1" ht="15" x14ac:dyDescent="0.2">
      <c r="A322" s="288"/>
      <c r="B322" s="322"/>
      <c r="C322" s="397" t="s">
        <v>511</v>
      </c>
      <c r="D322" s="1333">
        <v>45383</v>
      </c>
      <c r="E322" s="1334"/>
      <c r="F322" s="1335"/>
      <c r="G322" s="1333">
        <v>45412</v>
      </c>
      <c r="H322" s="1334"/>
      <c r="I322" s="1335"/>
      <c r="J322" s="317">
        <f t="shared" si="96"/>
        <v>30</v>
      </c>
      <c r="K322" s="327"/>
      <c r="L322" s="328"/>
      <c r="M322" s="329"/>
      <c r="N322" s="330"/>
      <c r="O322" s="331"/>
      <c r="P322" s="328"/>
      <c r="Q322" s="332"/>
      <c r="R322" s="333">
        <v>1</v>
      </c>
      <c r="S322" s="331" t="str">
        <f t="shared" si="94"/>
        <v>mês</v>
      </c>
      <c r="T322" s="320">
        <v>21</v>
      </c>
      <c r="U322" s="335"/>
      <c r="V322" s="291">
        <f t="shared" ca="1" si="92"/>
        <v>1</v>
      </c>
      <c r="W322" s="256">
        <f t="shared" ca="1" si="97"/>
        <v>2</v>
      </c>
      <c r="X322" s="256">
        <f t="shared" ca="1" si="95"/>
        <v>1</v>
      </c>
      <c r="Y322" s="336"/>
      <c r="Z322" s="336"/>
    </row>
    <row r="323" spans="1:26" s="337" customFormat="1" ht="15" x14ac:dyDescent="0.2">
      <c r="A323" s="288"/>
      <c r="B323" s="322"/>
      <c r="C323" s="397" t="s">
        <v>690</v>
      </c>
      <c r="D323" s="1333">
        <v>45413</v>
      </c>
      <c r="E323" s="1334"/>
      <c r="F323" s="1335"/>
      <c r="G323" s="1333">
        <v>45443</v>
      </c>
      <c r="H323" s="1334"/>
      <c r="I323" s="1335"/>
      <c r="J323" s="317">
        <f t="shared" si="96"/>
        <v>31</v>
      </c>
      <c r="K323" s="327"/>
      <c r="L323" s="328"/>
      <c r="M323" s="329"/>
      <c r="N323" s="330"/>
      <c r="O323" s="331"/>
      <c r="P323" s="328"/>
      <c r="Q323" s="332"/>
      <c r="R323" s="333">
        <v>1</v>
      </c>
      <c r="S323" s="331" t="str">
        <f t="shared" si="94"/>
        <v>mês</v>
      </c>
      <c r="T323" s="320">
        <v>22</v>
      </c>
      <c r="U323" s="335"/>
      <c r="V323" s="291">
        <f t="shared" ca="1" si="92"/>
        <v>1</v>
      </c>
      <c r="W323" s="256">
        <f t="shared" ca="1" si="97"/>
        <v>2</v>
      </c>
      <c r="X323" s="256">
        <f t="shared" ref="X323:X328" ca="1" si="98">IF(COUNTA(OFFSET(A322,1,0))-COUNTA(A322)=-1,0,1)</f>
        <v>1</v>
      </c>
      <c r="Y323" s="336"/>
      <c r="Z323" s="336"/>
    </row>
    <row r="324" spans="1:26" s="337" customFormat="1" ht="15" x14ac:dyDescent="0.2">
      <c r="A324" s="288"/>
      <c r="B324" s="322"/>
      <c r="C324" s="397" t="s">
        <v>691</v>
      </c>
      <c r="D324" s="1333">
        <v>45444</v>
      </c>
      <c r="E324" s="1334"/>
      <c r="F324" s="1335"/>
      <c r="G324" s="1333">
        <v>45473</v>
      </c>
      <c r="H324" s="1334"/>
      <c r="I324" s="1335"/>
      <c r="J324" s="317">
        <f t="shared" si="96"/>
        <v>30</v>
      </c>
      <c r="K324" s="327"/>
      <c r="L324" s="328"/>
      <c r="M324" s="329"/>
      <c r="N324" s="330"/>
      <c r="O324" s="331"/>
      <c r="P324" s="328"/>
      <c r="Q324" s="332"/>
      <c r="R324" s="333">
        <v>1</v>
      </c>
      <c r="S324" s="331" t="str">
        <f t="shared" si="94"/>
        <v>mês</v>
      </c>
      <c r="T324" s="320">
        <v>23</v>
      </c>
      <c r="U324" s="335"/>
      <c r="V324" s="291">
        <f t="shared" ca="1" si="92"/>
        <v>1</v>
      </c>
      <c r="W324" s="256">
        <f t="shared" ca="1" si="97"/>
        <v>2</v>
      </c>
      <c r="X324" s="256">
        <f t="shared" ca="1" si="98"/>
        <v>1</v>
      </c>
      <c r="Y324" s="336"/>
      <c r="Z324" s="336"/>
    </row>
    <row r="325" spans="1:26" s="337" customFormat="1" ht="15" x14ac:dyDescent="0.2">
      <c r="A325" s="288"/>
      <c r="B325" s="322"/>
      <c r="C325" s="397" t="s">
        <v>692</v>
      </c>
      <c r="D325" s="1333">
        <v>45474</v>
      </c>
      <c r="E325" s="1334"/>
      <c r="F325" s="1335"/>
      <c r="G325" s="1333">
        <v>45504</v>
      </c>
      <c r="H325" s="1334"/>
      <c r="I325" s="1335"/>
      <c r="J325" s="317">
        <f t="shared" si="96"/>
        <v>31</v>
      </c>
      <c r="K325" s="327"/>
      <c r="L325" s="328"/>
      <c r="M325" s="329"/>
      <c r="N325" s="330"/>
      <c r="O325" s="331"/>
      <c r="P325" s="328"/>
      <c r="Q325" s="332"/>
      <c r="R325" s="333">
        <v>1</v>
      </c>
      <c r="S325" s="331" t="str">
        <f t="shared" si="94"/>
        <v>mês</v>
      </c>
      <c r="T325" s="320">
        <v>24</v>
      </c>
      <c r="U325" s="335"/>
      <c r="V325" s="291">
        <f t="shared" ca="1" si="92"/>
        <v>1</v>
      </c>
      <c r="W325" s="256">
        <f t="shared" ca="1" si="97"/>
        <v>2</v>
      </c>
      <c r="X325" s="256">
        <f t="shared" ca="1" si="98"/>
        <v>1</v>
      </c>
      <c r="Y325" s="336"/>
      <c r="Z325" s="336"/>
    </row>
    <row r="326" spans="1:26" s="337" customFormat="1" ht="15" x14ac:dyDescent="0.2">
      <c r="A326" s="288"/>
      <c r="B326" s="322"/>
      <c r="C326" s="397" t="s">
        <v>503</v>
      </c>
      <c r="D326" s="1333">
        <v>45474</v>
      </c>
      <c r="E326" s="1334"/>
      <c r="F326" s="1335"/>
      <c r="G326" s="1333">
        <v>45504</v>
      </c>
      <c r="H326" s="1334"/>
      <c r="I326" s="1335"/>
      <c r="J326" s="317">
        <f t="shared" si="96"/>
        <v>31</v>
      </c>
      <c r="K326" s="327"/>
      <c r="L326" s="328"/>
      <c r="M326" s="329"/>
      <c r="N326" s="330"/>
      <c r="O326" s="331"/>
      <c r="P326" s="328"/>
      <c r="Q326" s="332"/>
      <c r="R326" s="333">
        <v>1</v>
      </c>
      <c r="S326" s="331" t="str">
        <f t="shared" si="94"/>
        <v>mês</v>
      </c>
      <c r="T326" s="320">
        <v>25</v>
      </c>
      <c r="U326" s="335"/>
      <c r="V326" s="291">
        <f t="shared" ca="1" si="92"/>
        <v>1</v>
      </c>
      <c r="W326" s="256">
        <f t="shared" ca="1" si="97"/>
        <v>2</v>
      </c>
      <c r="X326" s="256">
        <f t="shared" ca="1" si="98"/>
        <v>1</v>
      </c>
      <c r="Y326" s="336"/>
      <c r="Z326" s="336"/>
    </row>
    <row r="327" spans="1:26" s="337" customFormat="1" ht="15" x14ac:dyDescent="0.2">
      <c r="A327" s="288"/>
      <c r="B327" s="322"/>
      <c r="C327" s="397" t="s">
        <v>504</v>
      </c>
      <c r="D327" s="1333">
        <v>45536</v>
      </c>
      <c r="E327" s="1334"/>
      <c r="F327" s="1335"/>
      <c r="G327" s="1333">
        <v>45565</v>
      </c>
      <c r="H327" s="1334"/>
      <c r="I327" s="1335"/>
      <c r="J327" s="317">
        <f t="shared" si="96"/>
        <v>30</v>
      </c>
      <c r="K327" s="327"/>
      <c r="L327" s="328"/>
      <c r="M327" s="329"/>
      <c r="N327" s="330"/>
      <c r="O327" s="331"/>
      <c r="P327" s="328"/>
      <c r="Q327" s="332"/>
      <c r="R327" s="333">
        <v>1</v>
      </c>
      <c r="S327" s="331" t="str">
        <f t="shared" si="94"/>
        <v>mês</v>
      </c>
      <c r="T327" s="320">
        <v>26</v>
      </c>
      <c r="U327" s="335"/>
      <c r="V327" s="291">
        <f t="shared" ca="1" si="92"/>
        <v>1</v>
      </c>
      <c r="W327" s="256">
        <f t="shared" ca="1" si="97"/>
        <v>2</v>
      </c>
      <c r="X327" s="256">
        <f t="shared" ca="1" si="98"/>
        <v>1</v>
      </c>
      <c r="Y327" s="336"/>
      <c r="Z327" s="336"/>
    </row>
    <row r="328" spans="1:26" s="337" customFormat="1" ht="15" x14ac:dyDescent="0.2">
      <c r="A328" s="288"/>
      <c r="B328" s="322"/>
      <c r="C328" s="397" t="s">
        <v>505</v>
      </c>
      <c r="D328" s="1333">
        <v>45566</v>
      </c>
      <c r="E328" s="1334"/>
      <c r="F328" s="1335"/>
      <c r="G328" s="1333">
        <v>45596</v>
      </c>
      <c r="H328" s="1334"/>
      <c r="I328" s="1335"/>
      <c r="J328" s="317">
        <f t="shared" si="96"/>
        <v>31</v>
      </c>
      <c r="K328" s="327"/>
      <c r="L328" s="328"/>
      <c r="M328" s="329"/>
      <c r="N328" s="330"/>
      <c r="O328" s="331"/>
      <c r="P328" s="328"/>
      <c r="Q328" s="332"/>
      <c r="R328" s="333">
        <v>1</v>
      </c>
      <c r="S328" s="331" t="str">
        <f t="shared" si="94"/>
        <v>mês</v>
      </c>
      <c r="T328" s="320">
        <v>27</v>
      </c>
      <c r="U328" s="335"/>
      <c r="V328" s="291">
        <f t="shared" ca="1" si="92"/>
        <v>1</v>
      </c>
      <c r="W328" s="256">
        <f t="shared" ca="1" si="97"/>
        <v>2</v>
      </c>
      <c r="X328" s="256">
        <f t="shared" ca="1" si="98"/>
        <v>1</v>
      </c>
      <c r="Y328" s="336"/>
      <c r="Z328" s="336"/>
    </row>
    <row r="329" spans="1:26" s="337" customFormat="1" ht="15" x14ac:dyDescent="0.2">
      <c r="A329" s="288"/>
      <c r="B329" s="322"/>
      <c r="C329" s="397" t="s">
        <v>506</v>
      </c>
      <c r="D329" s="1333">
        <v>45597</v>
      </c>
      <c r="E329" s="1334"/>
      <c r="F329" s="1335"/>
      <c r="G329" s="1333">
        <v>45626</v>
      </c>
      <c r="H329" s="1334"/>
      <c r="I329" s="1335"/>
      <c r="J329" s="317">
        <f>G329-D329+1</f>
        <v>30</v>
      </c>
      <c r="K329" s="327"/>
      <c r="L329" s="328"/>
      <c r="M329" s="329"/>
      <c r="N329" s="330"/>
      <c r="O329" s="331"/>
      <c r="P329" s="328"/>
      <c r="Q329" s="332"/>
      <c r="R329" s="333">
        <v>1</v>
      </c>
      <c r="S329" s="331" t="str">
        <f t="shared" si="94"/>
        <v>mês</v>
      </c>
      <c r="T329" s="320">
        <v>28</v>
      </c>
      <c r="U329" s="335"/>
      <c r="V329" s="291">
        <f t="shared" ca="1" si="92"/>
        <v>1</v>
      </c>
      <c r="W329" s="256">
        <f ca="1">IF(LEFT(_xlfn.FORMULATEXT(V329),3)="=SO",1,IF(COUNTA(A329:U329)=0,0,2))</f>
        <v>2</v>
      </c>
      <c r="X329" s="256">
        <f ca="1">IF(COUNTA(OFFSET(A328,1,0))-COUNTA(A328)=-1,0,1)</f>
        <v>1</v>
      </c>
      <c r="Y329" s="336"/>
      <c r="Z329" s="336"/>
    </row>
    <row r="330" spans="1:26" s="337" customFormat="1" ht="15" x14ac:dyDescent="0.2">
      <c r="A330" s="288"/>
      <c r="B330" s="322"/>
      <c r="C330" s="397" t="s">
        <v>507</v>
      </c>
      <c r="D330" s="1333">
        <v>45627</v>
      </c>
      <c r="E330" s="1334"/>
      <c r="F330" s="1335"/>
      <c r="G330" s="1333">
        <v>45657</v>
      </c>
      <c r="H330" s="1334"/>
      <c r="I330" s="1335"/>
      <c r="J330" s="317">
        <f>G330-D330+1</f>
        <v>31</v>
      </c>
      <c r="K330" s="327"/>
      <c r="L330" s="328"/>
      <c r="M330" s="329"/>
      <c r="N330" s="330"/>
      <c r="O330" s="331"/>
      <c r="P330" s="328"/>
      <c r="Q330" s="332"/>
      <c r="R330" s="333">
        <v>1</v>
      </c>
      <c r="S330" s="331" t="str">
        <f t="shared" si="94"/>
        <v>mês</v>
      </c>
      <c r="T330" s="320">
        <v>29</v>
      </c>
      <c r="U330" s="335"/>
      <c r="V330" s="291">
        <f ca="1">IF(OFFSET(V330,1,1)=1,OFFSET(V330,0,-4),OFFSET(V330,1,0))</f>
        <v>1</v>
      </c>
      <c r="W330" s="256">
        <f ca="1">IF(LEFT(_xlfn.FORMULATEXT(V330),3)="=SO",1,IF(COUNTA(A330:U330)=0,0,2))</f>
        <v>2</v>
      </c>
      <c r="X330" s="256">
        <f ca="1">IF(COUNTA(OFFSET(A329,1,0))-COUNTA(A329)=-1,0,1)</f>
        <v>1</v>
      </c>
      <c r="Y330" s="336"/>
      <c r="Z330" s="336"/>
    </row>
    <row r="331" spans="1:26" s="337" customFormat="1" ht="15" x14ac:dyDescent="0.2">
      <c r="A331" s="288"/>
      <c r="B331" s="322"/>
      <c r="C331" s="397" t="s">
        <v>508</v>
      </c>
      <c r="D331" s="1333">
        <v>45658</v>
      </c>
      <c r="E331" s="1334"/>
      <c r="F331" s="1335"/>
      <c r="G331" s="1333">
        <v>45688</v>
      </c>
      <c r="H331" s="1334"/>
      <c r="I331" s="1335"/>
      <c r="J331" s="317">
        <f>G331-D331+1</f>
        <v>31</v>
      </c>
      <c r="K331" s="327"/>
      <c r="L331" s="328"/>
      <c r="M331" s="329"/>
      <c r="N331" s="330"/>
      <c r="O331" s="331"/>
      <c r="P331" s="328"/>
      <c r="Q331" s="332"/>
      <c r="R331" s="333">
        <v>1</v>
      </c>
      <c r="S331" s="331" t="str">
        <f t="shared" si="94"/>
        <v>mês</v>
      </c>
      <c r="T331" s="320">
        <v>30</v>
      </c>
      <c r="U331" s="335"/>
      <c r="V331" s="291">
        <f ca="1">IF(OFFSET(V331,1,1)=1,OFFSET(V331,0,-4),OFFSET(V331,1,0))</f>
        <v>1</v>
      </c>
      <c r="W331" s="256">
        <f ca="1">IF(LEFT(_xlfn.FORMULATEXT(V331),3)="=SO",1,IF(COUNTA(A331:U331)=0,0,2))</f>
        <v>2</v>
      </c>
      <c r="X331" s="256">
        <f t="shared" ref="X331:X334" ca="1" si="99">IF(COUNTA(OFFSET(A330,1,0))-COUNTA(A330)=-1,0,1)</f>
        <v>1</v>
      </c>
      <c r="Y331" s="336"/>
      <c r="Z331" s="336"/>
    </row>
    <row r="332" spans="1:26" s="337" customFormat="1" ht="15" x14ac:dyDescent="0.2">
      <c r="A332" s="288"/>
      <c r="B332" s="322"/>
      <c r="C332" s="397" t="s">
        <v>509</v>
      </c>
      <c r="D332" s="1333">
        <v>45689</v>
      </c>
      <c r="E332" s="1334"/>
      <c r="F332" s="1335"/>
      <c r="G332" s="1333">
        <v>45716</v>
      </c>
      <c r="H332" s="1334"/>
      <c r="I332" s="1335"/>
      <c r="J332" s="317">
        <f>G332-D332+1</f>
        <v>28</v>
      </c>
      <c r="K332" s="327"/>
      <c r="L332" s="328"/>
      <c r="M332" s="329"/>
      <c r="N332" s="330"/>
      <c r="O332" s="331"/>
      <c r="P332" s="328"/>
      <c r="Q332" s="332"/>
      <c r="R332" s="333">
        <v>1</v>
      </c>
      <c r="S332" s="331" t="str">
        <f t="shared" si="94"/>
        <v>mês</v>
      </c>
      <c r="T332" s="320">
        <v>31</v>
      </c>
      <c r="U332" s="335"/>
      <c r="V332" s="291">
        <f ca="1">IF(OFFSET(V332,1,1)=1,OFFSET(V332,0,-4),OFFSET(V332,1,0))</f>
        <v>1</v>
      </c>
      <c r="W332" s="256">
        <f ca="1">IF(LEFT(_xlfn.FORMULATEXT(V332),3)="=SO",1,IF(COUNTA(A332:U332)=0,0,2))</f>
        <v>2</v>
      </c>
      <c r="X332" s="256">
        <f t="shared" ca="1" si="99"/>
        <v>1</v>
      </c>
      <c r="Y332" s="336"/>
      <c r="Z332" s="336"/>
    </row>
    <row r="333" spans="1:26" s="337" customFormat="1" ht="15" x14ac:dyDescent="0.2">
      <c r="A333" s="288"/>
      <c r="B333" s="322"/>
      <c r="C333" s="397" t="s">
        <v>510</v>
      </c>
      <c r="D333" s="1333">
        <v>45717</v>
      </c>
      <c r="E333" s="1334"/>
      <c r="F333" s="1335"/>
      <c r="G333" s="1333">
        <v>45747</v>
      </c>
      <c r="H333" s="1334"/>
      <c r="I333" s="1335"/>
      <c r="J333" s="317">
        <f t="shared" ref="J333:J334" si="100">G333-D333+1</f>
        <v>31</v>
      </c>
      <c r="K333" s="327"/>
      <c r="L333" s="328"/>
      <c r="M333" s="329"/>
      <c r="N333" s="330"/>
      <c r="O333" s="331"/>
      <c r="P333" s="328"/>
      <c r="Q333" s="332"/>
      <c r="R333" s="333">
        <v>1</v>
      </c>
      <c r="S333" s="331" t="str">
        <f t="shared" si="94"/>
        <v>mês</v>
      </c>
      <c r="T333" s="320">
        <v>32</v>
      </c>
      <c r="U333" s="335"/>
      <c r="V333" s="291">
        <f ca="1">IF(OFFSET(V333,1,1)=1,OFFSET(V333,0,-4),OFFSET(V333,1,0))</f>
        <v>1</v>
      </c>
      <c r="W333" s="256">
        <f t="shared" ref="W333:W334" ca="1" si="101">IF(LEFT(_xlfn.FORMULATEXT(V333),3)="=SO",1,IF(COUNTA(A333:U333)=0,0,2))</f>
        <v>2</v>
      </c>
      <c r="X333" s="256">
        <f t="shared" ca="1" si="99"/>
        <v>1</v>
      </c>
      <c r="Y333" s="336"/>
      <c r="Z333" s="336"/>
    </row>
    <row r="334" spans="1:26" s="337" customFormat="1" ht="15" x14ac:dyDescent="0.2">
      <c r="A334" s="288"/>
      <c r="B334" s="322"/>
      <c r="C334" s="397" t="s">
        <v>511</v>
      </c>
      <c r="D334" s="1333">
        <v>45748</v>
      </c>
      <c r="E334" s="1334"/>
      <c r="F334" s="1335"/>
      <c r="G334" s="1333">
        <v>45777</v>
      </c>
      <c r="H334" s="1334"/>
      <c r="I334" s="1335"/>
      <c r="J334" s="317">
        <f t="shared" si="100"/>
        <v>30</v>
      </c>
      <c r="K334" s="327"/>
      <c r="L334" s="328"/>
      <c r="M334" s="329"/>
      <c r="N334" s="330"/>
      <c r="O334" s="331"/>
      <c r="P334" s="328"/>
      <c r="Q334" s="332"/>
      <c r="R334" s="333">
        <v>1</v>
      </c>
      <c r="S334" s="331" t="str">
        <f t="shared" si="94"/>
        <v>mês</v>
      </c>
      <c r="T334" s="320">
        <v>33</v>
      </c>
      <c r="U334" s="335"/>
      <c r="V334" s="291">
        <f t="shared" ref="V334:V348" ca="1" si="102">IF(OFFSET(V334,1,1)=1,OFFSET(V334,0,-4),OFFSET(V334,1,0))</f>
        <v>1</v>
      </c>
      <c r="W334" s="256">
        <f t="shared" ca="1" si="101"/>
        <v>2</v>
      </c>
      <c r="X334" s="256">
        <f t="shared" ca="1" si="99"/>
        <v>1</v>
      </c>
      <c r="Y334" s="336"/>
      <c r="Z334" s="336"/>
    </row>
    <row r="335" spans="1:26" s="337" customFormat="1" ht="15" x14ac:dyDescent="0.2">
      <c r="A335" s="288"/>
      <c r="B335" s="494"/>
      <c r="C335" s="397" t="s">
        <v>690</v>
      </c>
      <c r="D335" s="1333">
        <v>45778</v>
      </c>
      <c r="E335" s="1334"/>
      <c r="F335" s="1335"/>
      <c r="G335" s="1333">
        <v>45808</v>
      </c>
      <c r="H335" s="1334"/>
      <c r="I335" s="1335"/>
      <c r="J335" s="317">
        <f>G335-D335+1</f>
        <v>31</v>
      </c>
      <c r="K335" s="327"/>
      <c r="L335" s="328"/>
      <c r="M335" s="329"/>
      <c r="N335" s="330"/>
      <c r="O335" s="331"/>
      <c r="P335" s="328"/>
      <c r="Q335" s="332"/>
      <c r="R335" s="333">
        <v>1</v>
      </c>
      <c r="S335" s="331" t="str">
        <f t="shared" si="94"/>
        <v>mês</v>
      </c>
      <c r="T335" s="320">
        <v>35</v>
      </c>
      <c r="U335" s="574"/>
      <c r="V335" s="291">
        <f t="shared" ca="1" si="102"/>
        <v>1</v>
      </c>
      <c r="W335" s="256">
        <f t="shared" ref="W335:W338" ca="1" si="103">IF(LEFT(_xlfn.FORMULATEXT(V335),3)="=SO",1,IF(COUNTA(A335:U335)=0,0,2))</f>
        <v>2</v>
      </c>
      <c r="X335" s="256">
        <f t="shared" ref="X335:X338" ca="1" si="104">IF(COUNTA(OFFSET(A334,1,0))-COUNTA(A334)=-1,0,1)</f>
        <v>1</v>
      </c>
      <c r="Y335" s="336"/>
      <c r="Z335" s="336"/>
    </row>
    <row r="336" spans="1:26" s="337" customFormat="1" ht="15" x14ac:dyDescent="0.2">
      <c r="A336" s="288"/>
      <c r="B336" s="494"/>
      <c r="C336" s="397" t="s">
        <v>691</v>
      </c>
      <c r="D336" s="1333">
        <v>45809</v>
      </c>
      <c r="E336" s="1334"/>
      <c r="F336" s="1335"/>
      <c r="G336" s="1333">
        <v>45838</v>
      </c>
      <c r="H336" s="1334"/>
      <c r="I336" s="1335"/>
      <c r="J336" s="317">
        <f>G336-D336+1</f>
        <v>30</v>
      </c>
      <c r="K336" s="327"/>
      <c r="L336" s="328"/>
      <c r="M336" s="329"/>
      <c r="N336" s="330"/>
      <c r="O336" s="331"/>
      <c r="P336" s="328"/>
      <c r="Q336" s="332"/>
      <c r="R336" s="333">
        <v>1</v>
      </c>
      <c r="S336" s="331" t="str">
        <f t="shared" si="94"/>
        <v>mês</v>
      </c>
      <c r="T336" s="320">
        <v>35</v>
      </c>
      <c r="U336" s="574"/>
      <c r="V336" s="291">
        <f t="shared" ca="1" si="102"/>
        <v>1</v>
      </c>
      <c r="W336" s="256">
        <f t="shared" ca="1" si="103"/>
        <v>2</v>
      </c>
      <c r="X336" s="256">
        <f t="shared" ca="1" si="104"/>
        <v>1</v>
      </c>
      <c r="Y336" s="336"/>
      <c r="Z336" s="336"/>
    </row>
    <row r="337" spans="1:26" s="337" customFormat="1" ht="15" x14ac:dyDescent="0.2">
      <c r="A337" s="288"/>
      <c r="B337" s="494"/>
      <c r="C337" s="397" t="s">
        <v>692</v>
      </c>
      <c r="D337" s="1333">
        <v>45839</v>
      </c>
      <c r="E337" s="1334"/>
      <c r="F337" s="1335"/>
      <c r="G337" s="1333">
        <v>45869</v>
      </c>
      <c r="H337" s="1334"/>
      <c r="I337" s="1335"/>
      <c r="J337" s="317">
        <f t="shared" ref="J337:J342" si="105">G337-D337+1</f>
        <v>31</v>
      </c>
      <c r="K337" s="327"/>
      <c r="L337" s="328"/>
      <c r="M337" s="329"/>
      <c r="N337" s="330"/>
      <c r="O337" s="331"/>
      <c r="P337" s="328"/>
      <c r="Q337" s="332"/>
      <c r="R337" s="333">
        <v>1</v>
      </c>
      <c r="S337" s="331" t="str">
        <f t="shared" si="94"/>
        <v>mês</v>
      </c>
      <c r="T337" s="320">
        <v>35</v>
      </c>
      <c r="U337" s="574"/>
      <c r="V337" s="291">
        <f t="shared" ca="1" si="102"/>
        <v>1</v>
      </c>
      <c r="W337" s="256">
        <f t="shared" ca="1" si="103"/>
        <v>2</v>
      </c>
      <c r="X337" s="256">
        <f t="shared" ca="1" si="104"/>
        <v>1</v>
      </c>
      <c r="Y337" s="336"/>
      <c r="Z337" s="336"/>
    </row>
    <row r="338" spans="1:26" s="337" customFormat="1" ht="15" x14ac:dyDescent="0.2">
      <c r="A338" s="288"/>
      <c r="B338" s="494"/>
      <c r="C338" s="397" t="s">
        <v>503</v>
      </c>
      <c r="D338" s="1333">
        <v>45870</v>
      </c>
      <c r="E338" s="1334"/>
      <c r="F338" s="1335"/>
      <c r="G338" s="1333">
        <v>45900</v>
      </c>
      <c r="H338" s="1334"/>
      <c r="I338" s="1335"/>
      <c r="J338" s="317">
        <f t="shared" si="105"/>
        <v>31</v>
      </c>
      <c r="K338" s="327"/>
      <c r="L338" s="328"/>
      <c r="M338" s="329"/>
      <c r="N338" s="330"/>
      <c r="O338" s="331"/>
      <c r="P338" s="328"/>
      <c r="Q338" s="332"/>
      <c r="R338" s="333">
        <v>1</v>
      </c>
      <c r="S338" s="331" t="str">
        <f t="shared" si="94"/>
        <v>mês</v>
      </c>
      <c r="T338" s="320">
        <v>36</v>
      </c>
      <c r="U338" s="574"/>
      <c r="V338" s="291">
        <f t="shared" ca="1" si="102"/>
        <v>1</v>
      </c>
      <c r="W338" s="256">
        <f t="shared" ca="1" si="103"/>
        <v>2</v>
      </c>
      <c r="X338" s="256">
        <f t="shared" ca="1" si="104"/>
        <v>1</v>
      </c>
      <c r="Y338" s="336"/>
      <c r="Z338" s="336"/>
    </row>
    <row r="339" spans="1:26" s="337" customFormat="1" ht="15" x14ac:dyDescent="0.2">
      <c r="A339" s="288"/>
      <c r="B339" s="494"/>
      <c r="C339" s="397" t="s">
        <v>504</v>
      </c>
      <c r="D339" s="1333">
        <v>45901</v>
      </c>
      <c r="E339" s="1334"/>
      <c r="F339" s="1335"/>
      <c r="G339" s="1333">
        <v>45930</v>
      </c>
      <c r="H339" s="1334"/>
      <c r="I339" s="1335"/>
      <c r="J339" s="317">
        <f t="shared" si="105"/>
        <v>30</v>
      </c>
      <c r="K339" s="327"/>
      <c r="L339" s="328"/>
      <c r="M339" s="329"/>
      <c r="N339" s="330"/>
      <c r="O339" s="331"/>
      <c r="P339" s="328"/>
      <c r="Q339" s="332"/>
      <c r="R339" s="333">
        <v>1</v>
      </c>
      <c r="S339" s="331" t="str">
        <f t="shared" si="94"/>
        <v>mês</v>
      </c>
      <c r="T339" s="320">
        <v>37</v>
      </c>
      <c r="U339" s="574"/>
      <c r="V339" s="291">
        <f t="shared" ca="1" si="102"/>
        <v>1</v>
      </c>
      <c r="W339" s="256">
        <f t="shared" ref="W339:W348" ca="1" si="106">IF(LEFT(_xlfn.FORMULATEXT(V339),3)="=SO",1,IF(COUNTA(A339:U339)=0,0,2))</f>
        <v>2</v>
      </c>
      <c r="X339" s="256">
        <f t="shared" ref="X339:X348" ca="1" si="107">IF(COUNTA(OFFSET(A338,1,0))-COUNTA(A338)=-1,0,1)</f>
        <v>1</v>
      </c>
      <c r="Y339" s="336"/>
      <c r="Z339" s="336"/>
    </row>
    <row r="340" spans="1:26" s="337" customFormat="1" ht="15" x14ac:dyDescent="0.2">
      <c r="A340" s="288"/>
      <c r="B340" s="494"/>
      <c r="C340" s="397" t="s">
        <v>505</v>
      </c>
      <c r="D340" s="1333">
        <v>45931</v>
      </c>
      <c r="E340" s="1334"/>
      <c r="F340" s="1335"/>
      <c r="G340" s="1333">
        <v>45961</v>
      </c>
      <c r="H340" s="1334"/>
      <c r="I340" s="1335"/>
      <c r="J340" s="317">
        <f t="shared" si="105"/>
        <v>31</v>
      </c>
      <c r="K340" s="327"/>
      <c r="L340" s="328"/>
      <c r="M340" s="329"/>
      <c r="N340" s="330"/>
      <c r="O340" s="331"/>
      <c r="P340" s="328"/>
      <c r="Q340" s="332"/>
      <c r="R340" s="333">
        <v>1</v>
      </c>
      <c r="S340" s="331" t="str">
        <f t="shared" si="94"/>
        <v>mês</v>
      </c>
      <c r="T340" s="320">
        <v>38</v>
      </c>
      <c r="U340" s="574"/>
      <c r="V340" s="291">
        <f t="shared" ca="1" si="102"/>
        <v>1</v>
      </c>
      <c r="W340" s="256">
        <f t="shared" ca="1" si="106"/>
        <v>2</v>
      </c>
      <c r="X340" s="256">
        <f t="shared" ca="1" si="107"/>
        <v>1</v>
      </c>
      <c r="Y340" s="336"/>
      <c r="Z340" s="336"/>
    </row>
    <row r="341" spans="1:26" s="337" customFormat="1" ht="15" x14ac:dyDescent="0.2">
      <c r="A341" s="288"/>
      <c r="B341" s="494"/>
      <c r="C341" s="397" t="s">
        <v>506</v>
      </c>
      <c r="D341" s="1333">
        <v>45962</v>
      </c>
      <c r="E341" s="1334"/>
      <c r="F341" s="1335"/>
      <c r="G341" s="1333">
        <v>45991</v>
      </c>
      <c r="H341" s="1334"/>
      <c r="I341" s="1335"/>
      <c r="J341" s="317">
        <f t="shared" si="105"/>
        <v>30</v>
      </c>
      <c r="K341" s="327"/>
      <c r="L341" s="328"/>
      <c r="M341" s="329"/>
      <c r="N341" s="330"/>
      <c r="O341" s="331"/>
      <c r="P341" s="328"/>
      <c r="Q341" s="332"/>
      <c r="R341" s="333">
        <v>1</v>
      </c>
      <c r="S341" s="331" t="str">
        <f t="shared" si="94"/>
        <v>mês</v>
      </c>
      <c r="T341" s="320">
        <v>39</v>
      </c>
      <c r="U341" s="574"/>
      <c r="V341" s="291">
        <f t="shared" ca="1" si="102"/>
        <v>1</v>
      </c>
      <c r="W341" s="256">
        <f t="shared" ca="1" si="106"/>
        <v>2</v>
      </c>
      <c r="X341" s="256">
        <f t="shared" ca="1" si="107"/>
        <v>1</v>
      </c>
      <c r="Y341" s="336"/>
      <c r="Z341" s="336"/>
    </row>
    <row r="342" spans="1:26" s="337" customFormat="1" ht="15" x14ac:dyDescent="0.2">
      <c r="A342" s="288"/>
      <c r="B342" s="494"/>
      <c r="C342" s="397" t="s">
        <v>507</v>
      </c>
      <c r="D342" s="1333">
        <v>45992</v>
      </c>
      <c r="E342" s="1334"/>
      <c r="F342" s="1335"/>
      <c r="G342" s="1333">
        <v>46022</v>
      </c>
      <c r="H342" s="1334"/>
      <c r="I342" s="1335"/>
      <c r="J342" s="317">
        <f t="shared" si="105"/>
        <v>31</v>
      </c>
      <c r="K342" s="327"/>
      <c r="L342" s="328"/>
      <c r="M342" s="329"/>
      <c r="N342" s="330"/>
      <c r="O342" s="331"/>
      <c r="P342" s="328"/>
      <c r="Q342" s="332"/>
      <c r="R342" s="333">
        <v>1</v>
      </c>
      <c r="S342" s="331" t="str">
        <f t="shared" si="94"/>
        <v>mês</v>
      </c>
      <c r="T342" s="320">
        <v>40</v>
      </c>
      <c r="U342" s="574"/>
      <c r="V342" s="291">
        <f t="shared" ca="1" si="102"/>
        <v>1</v>
      </c>
      <c r="W342" s="256">
        <f t="shared" ca="1" si="106"/>
        <v>2</v>
      </c>
      <c r="X342" s="256">
        <f t="shared" ca="1" si="107"/>
        <v>1</v>
      </c>
      <c r="Y342" s="336"/>
      <c r="Z342" s="336"/>
    </row>
    <row r="343" spans="1:26" s="337" customFormat="1" ht="15" x14ac:dyDescent="0.2">
      <c r="A343" s="288"/>
      <c r="B343" s="494"/>
      <c r="C343" s="397" t="s">
        <v>508</v>
      </c>
      <c r="D343" s="1333">
        <v>46023</v>
      </c>
      <c r="E343" s="1334"/>
      <c r="F343" s="1335"/>
      <c r="G343" s="1333">
        <v>46053</v>
      </c>
      <c r="H343" s="1334"/>
      <c r="I343" s="1335"/>
      <c r="J343" s="317">
        <f>G343-D343+1</f>
        <v>31</v>
      </c>
      <c r="K343" s="327"/>
      <c r="L343" s="328"/>
      <c r="M343" s="329"/>
      <c r="N343" s="330"/>
      <c r="O343" s="331"/>
      <c r="P343" s="328"/>
      <c r="Q343" s="332"/>
      <c r="R343" s="333">
        <v>1</v>
      </c>
      <c r="S343" s="331" t="str">
        <f t="shared" si="94"/>
        <v>mês</v>
      </c>
      <c r="T343" s="320">
        <v>41</v>
      </c>
      <c r="U343" s="574"/>
      <c r="V343" s="291">
        <f t="shared" ca="1" si="102"/>
        <v>1</v>
      </c>
      <c r="W343" s="256">
        <f t="shared" ca="1" si="106"/>
        <v>2</v>
      </c>
      <c r="X343" s="256">
        <f t="shared" ca="1" si="107"/>
        <v>1</v>
      </c>
      <c r="Y343" s="336"/>
      <c r="Z343" s="336"/>
    </row>
    <row r="344" spans="1:26" s="337" customFormat="1" ht="15" x14ac:dyDescent="0.2">
      <c r="A344" s="288"/>
      <c r="B344" s="494"/>
      <c r="C344" s="397" t="s">
        <v>509</v>
      </c>
      <c r="D344" s="1333">
        <v>46054</v>
      </c>
      <c r="E344" s="1334"/>
      <c r="F344" s="1335"/>
      <c r="G344" s="1333">
        <v>46081</v>
      </c>
      <c r="H344" s="1334"/>
      <c r="I344" s="1335"/>
      <c r="J344" s="317">
        <f t="shared" ref="J344:J346" si="108">G344-D344+1</f>
        <v>28</v>
      </c>
      <c r="K344" s="327"/>
      <c r="L344" s="328"/>
      <c r="M344" s="329"/>
      <c r="N344" s="330"/>
      <c r="O344" s="331"/>
      <c r="P344" s="328"/>
      <c r="Q344" s="332"/>
      <c r="R344" s="333">
        <v>1</v>
      </c>
      <c r="S344" s="331" t="str">
        <f t="shared" si="94"/>
        <v>mês</v>
      </c>
      <c r="T344" s="320">
        <v>42</v>
      </c>
      <c r="U344" s="574"/>
      <c r="V344" s="291">
        <f t="shared" ca="1" si="102"/>
        <v>1</v>
      </c>
      <c r="W344" s="256">
        <f t="shared" ca="1" si="106"/>
        <v>2</v>
      </c>
      <c r="X344" s="256">
        <f t="shared" ca="1" si="107"/>
        <v>1</v>
      </c>
      <c r="Y344" s="336"/>
      <c r="Z344" s="336"/>
    </row>
    <row r="345" spans="1:26" s="337" customFormat="1" ht="15" x14ac:dyDescent="0.2">
      <c r="A345" s="288"/>
      <c r="B345" s="494"/>
      <c r="C345" s="397" t="s">
        <v>510</v>
      </c>
      <c r="D345" s="1333">
        <v>46082</v>
      </c>
      <c r="E345" s="1334"/>
      <c r="F345" s="1335"/>
      <c r="G345" s="1333">
        <v>46112</v>
      </c>
      <c r="H345" s="1334"/>
      <c r="I345" s="1335"/>
      <c r="J345" s="317">
        <f t="shared" si="108"/>
        <v>31</v>
      </c>
      <c r="K345" s="327"/>
      <c r="L345" s="328"/>
      <c r="M345" s="329"/>
      <c r="N345" s="330"/>
      <c r="O345" s="331"/>
      <c r="P345" s="328"/>
      <c r="Q345" s="332"/>
      <c r="R345" s="333">
        <v>1</v>
      </c>
      <c r="S345" s="331" t="str">
        <f t="shared" si="94"/>
        <v>mês</v>
      </c>
      <c r="T345" s="320">
        <v>43</v>
      </c>
      <c r="U345" s="574"/>
      <c r="V345" s="291">
        <f t="shared" ca="1" si="102"/>
        <v>1</v>
      </c>
      <c r="W345" s="256">
        <f t="shared" ca="1" si="106"/>
        <v>2</v>
      </c>
      <c r="X345" s="256">
        <f t="shared" ca="1" si="107"/>
        <v>1</v>
      </c>
      <c r="Y345" s="336"/>
      <c r="Z345" s="336"/>
    </row>
    <row r="346" spans="1:26" s="337" customFormat="1" ht="15" x14ac:dyDescent="0.2">
      <c r="A346" s="288"/>
      <c r="B346" s="494"/>
      <c r="C346" s="397" t="s">
        <v>511</v>
      </c>
      <c r="D346" s="1333">
        <v>46113</v>
      </c>
      <c r="E346" s="1334"/>
      <c r="F346" s="1335"/>
      <c r="G346" s="1333">
        <v>46142</v>
      </c>
      <c r="H346" s="1334"/>
      <c r="I346" s="1335"/>
      <c r="J346" s="317">
        <f t="shared" si="108"/>
        <v>30</v>
      </c>
      <c r="K346" s="327"/>
      <c r="L346" s="328"/>
      <c r="M346" s="329"/>
      <c r="N346" s="330"/>
      <c r="O346" s="331"/>
      <c r="P346" s="328"/>
      <c r="Q346" s="332"/>
      <c r="R346" s="333">
        <v>1</v>
      </c>
      <c r="S346" s="331" t="str">
        <f t="shared" ref="S346" si="109">$S$150</f>
        <v>mês</v>
      </c>
      <c r="T346" s="320">
        <v>44</v>
      </c>
      <c r="U346" s="574"/>
      <c r="V346" s="291">
        <f t="shared" ca="1" si="102"/>
        <v>1</v>
      </c>
      <c r="W346" s="256">
        <f t="shared" ca="1" si="106"/>
        <v>2</v>
      </c>
      <c r="X346" s="256">
        <f t="shared" ca="1" si="107"/>
        <v>1</v>
      </c>
      <c r="Y346" s="336"/>
      <c r="Z346" s="336"/>
    </row>
    <row r="347" spans="1:26" s="337" customFormat="1" ht="15" x14ac:dyDescent="0.2">
      <c r="A347" s="288"/>
      <c r="B347" s="494"/>
      <c r="C347" s="755"/>
      <c r="D347" s="756"/>
      <c r="E347" s="757"/>
      <c r="F347" s="758"/>
      <c r="G347" s="756"/>
      <c r="H347" s="757"/>
      <c r="I347" s="758"/>
      <c r="J347" s="560"/>
      <c r="K347" s="759"/>
      <c r="L347" s="501"/>
      <c r="M347" s="760"/>
      <c r="N347" s="761"/>
      <c r="O347" s="505"/>
      <c r="P347" s="501"/>
      <c r="Q347" s="739"/>
      <c r="R347" s="504"/>
      <c r="S347" s="505"/>
      <c r="T347" s="506"/>
      <c r="U347" s="574"/>
      <c r="V347" s="291">
        <f t="shared" ca="1" si="102"/>
        <v>1</v>
      </c>
      <c r="W347" s="256">
        <f t="shared" ca="1" si="106"/>
        <v>0</v>
      </c>
      <c r="X347" s="256">
        <f t="shared" ca="1" si="107"/>
        <v>1</v>
      </c>
      <c r="Y347" s="336"/>
      <c r="Z347" s="336"/>
    </row>
    <row r="348" spans="1:26" s="111" customFormat="1" ht="15" x14ac:dyDescent="0.2">
      <c r="A348" s="288"/>
      <c r="B348" s="338"/>
      <c r="C348" s="339"/>
      <c r="D348" s="1348"/>
      <c r="E348" s="1349"/>
      <c r="F348" s="1350"/>
      <c r="G348" s="1351"/>
      <c r="H348" s="1352"/>
      <c r="I348" s="1353"/>
      <c r="J348" s="343"/>
      <c r="K348" s="344"/>
      <c r="L348" s="345"/>
      <c r="M348" s="346"/>
      <c r="N348" s="347"/>
      <c r="O348" s="348"/>
      <c r="P348" s="345"/>
      <c r="Q348" s="349"/>
      <c r="R348" s="350"/>
      <c r="S348" s="351"/>
      <c r="T348" s="352"/>
      <c r="U348" s="353"/>
      <c r="V348" s="291">
        <f t="shared" ca="1" si="102"/>
        <v>1</v>
      </c>
      <c r="W348" s="256">
        <f t="shared" ca="1" si="106"/>
        <v>0</v>
      </c>
      <c r="X348" s="256">
        <f t="shared" ca="1" si="107"/>
        <v>1</v>
      </c>
      <c r="Y348" s="250"/>
      <c r="Z348" s="250"/>
    </row>
    <row r="349" spans="1:26" s="111" customFormat="1" ht="15.75" x14ac:dyDescent="0.2">
      <c r="A349" s="288"/>
      <c r="B349" s="354"/>
      <c r="C349" s="355"/>
      <c r="D349" s="1354" t="s">
        <v>492</v>
      </c>
      <c r="E349" s="1355"/>
      <c r="F349" s="1355"/>
      <c r="G349" s="1355"/>
      <c r="H349" s="1355"/>
      <c r="I349" s="1356"/>
      <c r="J349" s="1357">
        <f>VLOOKUP(A351,'11 - FINANCEIRO'!_xlnm.Print_Area,6,FALSE)</f>
        <v>47</v>
      </c>
      <c r="K349" s="1358"/>
      <c r="L349" s="356" t="str">
        <f>VLOOKUP(A351,'11 - FINANCEIRO'!_xlnm.Print_Area,4,FALSE)</f>
        <v>mês</v>
      </c>
      <c r="M349" s="1359" t="s">
        <v>493</v>
      </c>
      <c r="N349" s="1360"/>
      <c r="O349" s="1360"/>
      <c r="P349" s="1360"/>
      <c r="Q349" s="1361"/>
      <c r="R349" s="357">
        <f>TRUNC(SUM(R302:R348),3)</f>
        <v>45</v>
      </c>
      <c r="S349" s="358" t="str">
        <f>L349</f>
        <v>mês</v>
      </c>
      <c r="T349" s="359"/>
      <c r="U349" s="360"/>
      <c r="V349" s="291">
        <f t="shared" ca="1" si="92"/>
        <v>1</v>
      </c>
      <c r="W349" s="256">
        <f t="shared" ca="1" si="89"/>
        <v>2</v>
      </c>
      <c r="X349" s="256">
        <f t="shared" ca="1" si="90"/>
        <v>1</v>
      </c>
      <c r="Y349" s="250"/>
      <c r="Z349" s="250"/>
    </row>
    <row r="350" spans="1:26" ht="15.75" x14ac:dyDescent="0.2">
      <c r="B350" s="354"/>
      <c r="C350" s="361"/>
      <c r="D350" s="1362" t="s">
        <v>494</v>
      </c>
      <c r="E350" s="1363"/>
      <c r="F350" s="1363"/>
      <c r="G350" s="1363"/>
      <c r="H350" s="1363"/>
      <c r="I350" s="1364"/>
      <c r="J350" s="1365">
        <f>IF(R349&gt;J349,1,R349/J349)</f>
        <v>0.95744680851063835</v>
      </c>
      <c r="K350" s="1366"/>
      <c r="L350" s="1369"/>
      <c r="M350" s="1371" t="s">
        <v>495</v>
      </c>
      <c r="N350" s="1372"/>
      <c r="O350" s="1372"/>
      <c r="P350" s="1372"/>
      <c r="Q350" s="1373"/>
      <c r="R350" s="362">
        <f>VLOOKUP(A351,'11 - FINANCEIRO'!_xlnm.Print_Area,8,FALSE)</f>
        <v>44</v>
      </c>
      <c r="S350" s="363" t="str">
        <f>L349</f>
        <v>mês</v>
      </c>
      <c r="T350" s="359"/>
      <c r="U350" s="360"/>
      <c r="V350" s="291">
        <f t="shared" ca="1" si="92"/>
        <v>1</v>
      </c>
      <c r="W350" s="256">
        <f t="shared" ca="1" si="89"/>
        <v>2</v>
      </c>
      <c r="X350" s="256">
        <f t="shared" ca="1" si="90"/>
        <v>1</v>
      </c>
    </row>
    <row r="351" spans="1:26" s="395" customFormat="1" ht="15.75" x14ac:dyDescent="0.2">
      <c r="A351" s="288" t="s">
        <v>24</v>
      </c>
      <c r="B351" s="364"/>
      <c r="C351" s="365"/>
      <c r="D351" s="1354"/>
      <c r="E351" s="1355"/>
      <c r="F351" s="1355"/>
      <c r="G351" s="1355"/>
      <c r="H351" s="1355"/>
      <c r="I351" s="1356"/>
      <c r="J351" s="1367"/>
      <c r="K351" s="1368"/>
      <c r="L351" s="1370"/>
      <c r="M351" s="1371" t="s">
        <v>496</v>
      </c>
      <c r="N351" s="1372"/>
      <c r="O351" s="1372"/>
      <c r="P351" s="1372"/>
      <c r="Q351" s="1373"/>
      <c r="R351" s="362">
        <f>R349-R350</f>
        <v>1</v>
      </c>
      <c r="S351" s="363" t="str">
        <f>L349</f>
        <v>mês</v>
      </c>
      <c r="T351" s="912"/>
      <c r="U351" s="367"/>
      <c r="V351" s="291">
        <f t="shared" ca="1" si="92"/>
        <v>1</v>
      </c>
      <c r="W351" s="256">
        <f t="shared" ca="1" si="89"/>
        <v>2</v>
      </c>
      <c r="X351" s="256">
        <f t="shared" ca="1" si="90"/>
        <v>1</v>
      </c>
    </row>
    <row r="352" spans="1:26" s="111" customFormat="1" ht="15.75" x14ac:dyDescent="0.2">
      <c r="A352" s="288"/>
      <c r="B352" s="368"/>
      <c r="C352" s="365"/>
      <c r="D352" s="369"/>
      <c r="E352" s="370"/>
      <c r="F352" s="369"/>
      <c r="G352" s="369"/>
      <c r="H352" s="369"/>
      <c r="I352" s="369"/>
      <c r="J352" s="371"/>
      <c r="K352" s="372"/>
      <c r="L352" s="373"/>
      <c r="M352" s="374"/>
      <c r="N352" s="374"/>
      <c r="O352" s="374"/>
      <c r="P352" s="374"/>
      <c r="Q352" s="374"/>
      <c r="R352" s="375"/>
      <c r="S352" s="376"/>
      <c r="T352" s="377"/>
      <c r="U352" s="378"/>
      <c r="V352" s="379">
        <f ca="1">SUM(V301:V351)</f>
        <v>51</v>
      </c>
      <c r="W352" s="256">
        <f t="shared" ca="1" si="89"/>
        <v>1</v>
      </c>
      <c r="X352" s="256">
        <f t="shared" ca="1" si="90"/>
        <v>0</v>
      </c>
      <c r="Y352" s="250"/>
      <c r="Z352" s="250"/>
    </row>
    <row r="353" spans="1:29" s="293" customFormat="1" ht="15.75" x14ac:dyDescent="0.2">
      <c r="A353" s="288"/>
      <c r="B353" s="277" t="str">
        <f>LEFT(A552,3)</f>
        <v>2.0</v>
      </c>
      <c r="C353" s="278" t="str">
        <f>VLOOKUP(LEFT(A552,3),'11 - FINANCEIRO'!_xlnm.Print_Area,2,FALSE)</f>
        <v>Canal Guaranhuns 01 - Revestimento em Concreto</v>
      </c>
      <c r="D353" s="278"/>
      <c r="E353" s="279"/>
      <c r="F353" s="278"/>
      <c r="G353" s="1480"/>
      <c r="H353" s="1480"/>
      <c r="I353" s="1480"/>
      <c r="J353" s="1480"/>
      <c r="K353" s="1480"/>
      <c r="L353" s="1480"/>
      <c r="M353" s="282"/>
      <c r="N353" s="283"/>
      <c r="O353" s="283"/>
      <c r="P353" s="283"/>
      <c r="Q353" s="283"/>
      <c r="R353" s="283"/>
      <c r="S353" s="283"/>
      <c r="T353" s="283"/>
      <c r="U353" s="406"/>
      <c r="V353" s="286">
        <f ca="1">SUM(V355:V2351)</f>
        <v>-73452620.686000422</v>
      </c>
      <c r="W353" s="256">
        <f t="shared" ca="1" si="89"/>
        <v>1</v>
      </c>
      <c r="X353" s="256">
        <f t="shared" ca="1" si="90"/>
        <v>1</v>
      </c>
      <c r="Y353" s="859"/>
      <c r="Z353" s="256"/>
      <c r="AA353" s="292"/>
      <c r="AB353" s="292"/>
      <c r="AC353" s="292"/>
    </row>
    <row r="354" spans="1:29" s="293" customFormat="1" ht="15.75" x14ac:dyDescent="0.2">
      <c r="A354" s="288"/>
      <c r="B354" s="385" t="str">
        <f>LEFT(A553,5)</f>
        <v>2.1</v>
      </c>
      <c r="C354" s="386" t="str">
        <f>VLOOKUP(LEFT(A553,5),'11 - FINANCEIRO'!_xlnm.Print_Area,2,FALSE)</f>
        <v>Estrutura</v>
      </c>
      <c r="D354" s="386"/>
      <c r="E354" s="387"/>
      <c r="F354" s="386"/>
      <c r="G354" s="1395"/>
      <c r="H354" s="1395"/>
      <c r="I354" s="1395"/>
      <c r="J354" s="1395"/>
      <c r="K354" s="1395"/>
      <c r="L354" s="1395"/>
      <c r="M354" s="389"/>
      <c r="N354" s="390"/>
      <c r="O354" s="1418"/>
      <c r="P354" s="1418"/>
      <c r="Q354" s="1418"/>
      <c r="R354" s="1419"/>
      <c r="S354" s="407"/>
      <c r="T354" s="408"/>
      <c r="U354" s="409"/>
      <c r="V354" s="286">
        <f ca="1">SUM(V355:V1558)</f>
        <v>14394761.001999779</v>
      </c>
      <c r="W354" s="256">
        <f t="shared" ca="1" si="89"/>
        <v>1</v>
      </c>
      <c r="X354" s="256">
        <f t="shared" ca="1" si="90"/>
        <v>1</v>
      </c>
      <c r="Y354" s="256"/>
      <c r="Z354" s="256"/>
      <c r="AA354" s="292"/>
      <c r="AB354" s="292"/>
      <c r="AC354" s="292"/>
    </row>
    <row r="355" spans="1:29" s="293" customFormat="1" ht="15.75" customHeight="1" x14ac:dyDescent="0.2">
      <c r="A355" s="288"/>
      <c r="B355" s="1374" t="str">
        <f>VLOOKUP(A554,'11 - FINANCEIRO'!_xlnm.Print_Area,1,FALSE)</f>
        <v>2.1.1</v>
      </c>
      <c r="C355" s="1376" t="str">
        <f>VLOOKUP(A554,'11 - FINANCEIRO'!_xlnm.Print_Area,3,FALSE)</f>
        <v>Concreto Para Bombeamento Fck = 30 Mpa - Confecção Em Central Dosadora De 30 M³/H - Areia E Brita Comerciais</v>
      </c>
      <c r="D355" s="1378" t="s">
        <v>477</v>
      </c>
      <c r="E355" s="1379"/>
      <c r="F355" s="1379"/>
      <c r="G355" s="1379"/>
      <c r="H355" s="1379"/>
      <c r="I355" s="1380"/>
      <c r="J355" s="1338" t="s">
        <v>296</v>
      </c>
      <c r="K355" s="1338" t="s">
        <v>479</v>
      </c>
      <c r="L355" s="1338" t="s">
        <v>512</v>
      </c>
      <c r="M355" s="1338" t="s">
        <v>513</v>
      </c>
      <c r="N355" s="1338" t="s">
        <v>514</v>
      </c>
      <c r="O355" s="1338" t="s">
        <v>515</v>
      </c>
      <c r="P355" s="1338"/>
      <c r="Q355" s="1338"/>
      <c r="R355" s="1336" t="s">
        <v>296</v>
      </c>
      <c r="S355" s="1338" t="s">
        <v>486</v>
      </c>
      <c r="T355" s="1338" t="s">
        <v>487</v>
      </c>
      <c r="U355" s="1340" t="s">
        <v>488</v>
      </c>
      <c r="V355" s="291">
        <f t="shared" ref="V355:V359" ca="1" si="110">IF(OFFSET(V355,1,1)=1,OFFSET(V355,0,-4),OFFSET(V355,1,0))</f>
        <v>370</v>
      </c>
      <c r="W355" s="256">
        <f t="shared" ref="W355" ca="1" si="111">IF(LEFT(_xlfn.FORMULATEXT(V355),3)="=SO",1,IF(COUNTA(A355:U355)=0,0,2))</f>
        <v>2</v>
      </c>
      <c r="X355" s="256">
        <f t="shared" ref="X355" ca="1" si="112">IF(COUNTA(OFFSET(A354,1,0))-COUNTA(A354)=-1,0,1)</f>
        <v>1</v>
      </c>
      <c r="Y355" s="256"/>
      <c r="Z355" s="256"/>
      <c r="AA355" s="292"/>
      <c r="AB355" s="292"/>
      <c r="AC355" s="292"/>
    </row>
    <row r="356" spans="1:29" s="293" customFormat="1" ht="15.75" x14ac:dyDescent="0.2">
      <c r="A356" s="288"/>
      <c r="B356" s="1375"/>
      <c r="C356" s="1377"/>
      <c r="D356" s="1342" t="s">
        <v>489</v>
      </c>
      <c r="E356" s="1343"/>
      <c r="F356" s="1344"/>
      <c r="G356" s="1345" t="s">
        <v>490</v>
      </c>
      <c r="H356" s="1346"/>
      <c r="I356" s="1347"/>
      <c r="J356" s="1339"/>
      <c r="K356" s="1339"/>
      <c r="L356" s="1339"/>
      <c r="M356" s="1339"/>
      <c r="N356" s="1339"/>
      <c r="O356" s="1339"/>
      <c r="P356" s="1339"/>
      <c r="Q356" s="1339"/>
      <c r="R356" s="1337"/>
      <c r="S356" s="1339"/>
      <c r="T356" s="1339"/>
      <c r="U356" s="1341"/>
      <c r="V356" s="291">
        <f t="shared" ca="1" si="110"/>
        <v>370</v>
      </c>
      <c r="W356" s="256">
        <f t="shared" ref="W356:W359" ca="1" si="113">IF(LEFT(_xlfn.FORMULATEXT(V356),3)="=SO",1,IF(COUNTA(A356:U356)=0,0,2))</f>
        <v>2</v>
      </c>
      <c r="X356" s="256">
        <f t="shared" ref="X356:X359" ca="1" si="114">IF(COUNTA(OFFSET(A355,1,0))-COUNTA(A355)=-1,0,1)</f>
        <v>1</v>
      </c>
      <c r="Y356" s="256"/>
      <c r="Z356" s="256"/>
      <c r="AA356" s="292"/>
      <c r="AB356" s="292"/>
      <c r="AC356" s="292"/>
    </row>
    <row r="357" spans="1:29" s="293" customFormat="1" ht="15.75" x14ac:dyDescent="0.2">
      <c r="A357" s="288"/>
      <c r="B357" s="410"/>
      <c r="C357" s="411" t="s">
        <v>516</v>
      </c>
      <c r="D357" s="412"/>
      <c r="E357" s="299"/>
      <c r="F357" s="413"/>
      <c r="G357" s="414"/>
      <c r="H357" s="299"/>
      <c r="I357" s="415"/>
      <c r="J357" s="304"/>
      <c r="K357" s="416"/>
      <c r="L357" s="304"/>
      <c r="M357" s="416"/>
      <c r="N357" s="416"/>
      <c r="O357" s="304"/>
      <c r="P357" s="306"/>
      <c r="Q357" s="304"/>
      <c r="R357" s="307"/>
      <c r="S357" s="308"/>
      <c r="T357" s="309">
        <v>8</v>
      </c>
      <c r="U357" s="383"/>
      <c r="V357" s="291">
        <f t="shared" ca="1" si="110"/>
        <v>370</v>
      </c>
      <c r="W357" s="256">
        <f t="shared" ca="1" si="113"/>
        <v>2</v>
      </c>
      <c r="X357" s="256">
        <f t="shared" ca="1" si="114"/>
        <v>1</v>
      </c>
      <c r="Y357" s="256"/>
      <c r="Z357" s="256"/>
      <c r="AA357" s="292"/>
      <c r="AB357" s="292"/>
      <c r="AC357" s="292"/>
    </row>
    <row r="358" spans="1:29" s="111" customFormat="1" ht="25.5" x14ac:dyDescent="0.2">
      <c r="A358" s="288"/>
      <c r="B358" s="322"/>
      <c r="C358" s="312" t="s">
        <v>517</v>
      </c>
      <c r="D358" s="417">
        <v>5</v>
      </c>
      <c r="E358" s="314" t="s">
        <v>518</v>
      </c>
      <c r="F358" s="418">
        <v>14.9</v>
      </c>
      <c r="G358" s="419">
        <v>6</v>
      </c>
      <c r="H358" s="316" t="s">
        <v>518</v>
      </c>
      <c r="I358" s="420">
        <v>10</v>
      </c>
      <c r="J358" s="317"/>
      <c r="K358" s="421">
        <f t="shared" ref="K358:K363" si="115">ABS((G358*20+I358)-(D358*20+F358))</f>
        <v>15.099999999999994</v>
      </c>
      <c r="L358" s="328">
        <v>6</v>
      </c>
      <c r="M358" s="422">
        <v>0.25</v>
      </c>
      <c r="N358" s="423">
        <f t="shared" ref="N358:N363" si="116">L358*M358</f>
        <v>1.5</v>
      </c>
      <c r="O358" s="334"/>
      <c r="P358" s="328"/>
      <c r="Q358" s="334"/>
      <c r="R358" s="319">
        <f t="shared" ref="R358:R363" si="117">K358*N358</f>
        <v>22.649999999999991</v>
      </c>
      <c r="S358" s="331" t="str">
        <f t="shared" ref="S358:S363" si="118">$S$584</f>
        <v xml:space="preserve"> m³</v>
      </c>
      <c r="T358" s="320">
        <v>8</v>
      </c>
      <c r="U358" s="424" t="s">
        <v>519</v>
      </c>
      <c r="V358" s="291">
        <f t="shared" ca="1" si="110"/>
        <v>370</v>
      </c>
      <c r="W358" s="256">
        <f t="shared" ca="1" si="113"/>
        <v>2</v>
      </c>
      <c r="X358" s="256">
        <f t="shared" ca="1" si="114"/>
        <v>1</v>
      </c>
      <c r="Y358" s="250"/>
      <c r="Z358" s="250"/>
    </row>
    <row r="359" spans="1:29" s="111" customFormat="1" ht="25.5" x14ac:dyDescent="0.2">
      <c r="A359" s="288"/>
      <c r="B359" s="322"/>
      <c r="C359" s="312" t="s">
        <v>520</v>
      </c>
      <c r="D359" s="417">
        <v>5</v>
      </c>
      <c r="E359" s="314" t="s">
        <v>518</v>
      </c>
      <c r="F359" s="418">
        <v>14.9</v>
      </c>
      <c r="G359" s="419">
        <v>6</v>
      </c>
      <c r="H359" s="316" t="s">
        <v>518</v>
      </c>
      <c r="I359" s="420">
        <v>10</v>
      </c>
      <c r="J359" s="317"/>
      <c r="K359" s="421">
        <f t="shared" si="115"/>
        <v>15.099999999999994</v>
      </c>
      <c r="L359" s="328">
        <v>2.2999999999999998</v>
      </c>
      <c r="M359" s="422">
        <v>0.25</v>
      </c>
      <c r="N359" s="423">
        <f t="shared" si="116"/>
        <v>0.57499999999999996</v>
      </c>
      <c r="O359" s="334"/>
      <c r="P359" s="328"/>
      <c r="Q359" s="334"/>
      <c r="R359" s="319">
        <f t="shared" si="117"/>
        <v>8.6824999999999957</v>
      </c>
      <c r="S359" s="331" t="str">
        <f t="shared" si="118"/>
        <v xml:space="preserve"> m³</v>
      </c>
      <c r="T359" s="320">
        <v>8</v>
      </c>
      <c r="U359" s="424" t="s">
        <v>519</v>
      </c>
      <c r="V359" s="291">
        <f t="shared" ca="1" si="110"/>
        <v>370</v>
      </c>
      <c r="W359" s="256">
        <f t="shared" ca="1" si="113"/>
        <v>2</v>
      </c>
      <c r="X359" s="256">
        <f t="shared" ca="1" si="114"/>
        <v>1</v>
      </c>
      <c r="Y359" s="250"/>
      <c r="Z359" s="250"/>
    </row>
    <row r="360" spans="1:29" s="111" customFormat="1" ht="25.5" x14ac:dyDescent="0.2">
      <c r="A360" s="288"/>
      <c r="B360" s="322"/>
      <c r="C360" s="312" t="s">
        <v>521</v>
      </c>
      <c r="D360" s="417">
        <v>5</v>
      </c>
      <c r="E360" s="314" t="s">
        <v>518</v>
      </c>
      <c r="F360" s="418">
        <v>14.9</v>
      </c>
      <c r="G360" s="419">
        <v>6</v>
      </c>
      <c r="H360" s="316" t="s">
        <v>518</v>
      </c>
      <c r="I360" s="420">
        <v>10</v>
      </c>
      <c r="J360" s="317"/>
      <c r="K360" s="421">
        <f t="shared" si="115"/>
        <v>15.099999999999994</v>
      </c>
      <c r="L360" s="328">
        <v>2.2999999999999998</v>
      </c>
      <c r="M360" s="422">
        <v>0.25</v>
      </c>
      <c r="N360" s="423">
        <f t="shared" si="116"/>
        <v>0.57499999999999996</v>
      </c>
      <c r="O360" s="334"/>
      <c r="P360" s="328"/>
      <c r="Q360" s="334"/>
      <c r="R360" s="319">
        <f t="shared" si="117"/>
        <v>8.6824999999999957</v>
      </c>
      <c r="S360" s="331" t="str">
        <f t="shared" si="118"/>
        <v xml:space="preserve"> m³</v>
      </c>
      <c r="T360" s="320">
        <v>8</v>
      </c>
      <c r="U360" s="424" t="s">
        <v>519</v>
      </c>
      <c r="V360" s="291">
        <f t="shared" ref="V360:V554" ca="1" si="119">IF(OFFSET(V360,1,1)=1,OFFSET(V360,0,-4),OFFSET(V360,1,0))</f>
        <v>370</v>
      </c>
      <c r="W360" s="256">
        <f t="shared" ca="1" si="89"/>
        <v>2</v>
      </c>
      <c r="X360" s="256">
        <f t="shared" ca="1" si="90"/>
        <v>1</v>
      </c>
      <c r="Y360" s="250"/>
      <c r="Z360" s="250"/>
    </row>
    <row r="361" spans="1:29" s="111" customFormat="1" ht="25.5" x14ac:dyDescent="0.2">
      <c r="A361" s="288"/>
      <c r="B361" s="322"/>
      <c r="C361" s="312" t="s">
        <v>522</v>
      </c>
      <c r="D361" s="417">
        <v>5</v>
      </c>
      <c r="E361" s="314" t="s">
        <v>518</v>
      </c>
      <c r="F361" s="418">
        <v>14.9</v>
      </c>
      <c r="G361" s="419">
        <v>6</v>
      </c>
      <c r="H361" s="316" t="s">
        <v>518</v>
      </c>
      <c r="I361" s="420">
        <v>10</v>
      </c>
      <c r="J361" s="317"/>
      <c r="K361" s="421">
        <f t="shared" si="115"/>
        <v>15.099999999999994</v>
      </c>
      <c r="L361" s="328">
        <v>0.2</v>
      </c>
      <c r="M361" s="422">
        <v>0.2</v>
      </c>
      <c r="N361" s="423">
        <f t="shared" si="116"/>
        <v>4.0000000000000008E-2</v>
      </c>
      <c r="O361" s="334"/>
      <c r="P361" s="328"/>
      <c r="Q361" s="334"/>
      <c r="R361" s="319">
        <f t="shared" si="117"/>
        <v>0.60399999999999987</v>
      </c>
      <c r="S361" s="331" t="str">
        <f t="shared" si="118"/>
        <v xml:space="preserve"> m³</v>
      </c>
      <c r="T361" s="320">
        <v>8</v>
      </c>
      <c r="U361" s="424" t="s">
        <v>519</v>
      </c>
      <c r="V361" s="291">
        <f t="shared" ca="1" si="119"/>
        <v>370</v>
      </c>
      <c r="W361" s="256">
        <f t="shared" ca="1" si="89"/>
        <v>2</v>
      </c>
      <c r="X361" s="256">
        <f t="shared" ca="1" si="90"/>
        <v>1</v>
      </c>
      <c r="Y361" s="250"/>
      <c r="Z361" s="250"/>
    </row>
    <row r="362" spans="1:29" s="111" customFormat="1" ht="25.5" x14ac:dyDescent="0.2">
      <c r="A362" s="288"/>
      <c r="B362" s="322"/>
      <c r="C362" s="312" t="s">
        <v>523</v>
      </c>
      <c r="D362" s="417">
        <v>5</v>
      </c>
      <c r="E362" s="314" t="s">
        <v>518</v>
      </c>
      <c r="F362" s="418">
        <v>14.9</v>
      </c>
      <c r="G362" s="419">
        <v>6</v>
      </c>
      <c r="H362" s="316" t="s">
        <v>518</v>
      </c>
      <c r="I362" s="420">
        <v>10</v>
      </c>
      <c r="J362" s="317"/>
      <c r="K362" s="421">
        <f t="shared" si="115"/>
        <v>15.099999999999994</v>
      </c>
      <c r="L362" s="328">
        <v>0.2</v>
      </c>
      <c r="M362" s="422">
        <v>0.2</v>
      </c>
      <c r="N362" s="423">
        <f t="shared" si="116"/>
        <v>4.0000000000000008E-2</v>
      </c>
      <c r="O362" s="334"/>
      <c r="P362" s="328"/>
      <c r="Q362" s="334"/>
      <c r="R362" s="319">
        <f t="shared" si="117"/>
        <v>0.60399999999999987</v>
      </c>
      <c r="S362" s="331" t="str">
        <f t="shared" si="118"/>
        <v xml:space="preserve"> m³</v>
      </c>
      <c r="T362" s="320">
        <v>8</v>
      </c>
      <c r="U362" s="424" t="s">
        <v>519</v>
      </c>
      <c r="V362" s="291">
        <f t="shared" ca="1" si="119"/>
        <v>370</v>
      </c>
      <c r="W362" s="256">
        <f t="shared" ca="1" si="89"/>
        <v>2</v>
      </c>
      <c r="X362" s="256">
        <f t="shared" ca="1" si="90"/>
        <v>1</v>
      </c>
      <c r="Y362" s="250"/>
      <c r="Z362" s="250"/>
    </row>
    <row r="363" spans="1:29" s="293" customFormat="1" ht="25.5" x14ac:dyDescent="0.2">
      <c r="A363" s="288"/>
      <c r="B363" s="425"/>
      <c r="C363" s="426" t="s">
        <v>524</v>
      </c>
      <c r="D363" s="417">
        <v>5</v>
      </c>
      <c r="E363" s="314" t="s">
        <v>518</v>
      </c>
      <c r="F363" s="418">
        <v>14.9</v>
      </c>
      <c r="G363" s="419">
        <v>6</v>
      </c>
      <c r="H363" s="316" t="s">
        <v>518</v>
      </c>
      <c r="I363" s="420">
        <v>10</v>
      </c>
      <c r="J363" s="427"/>
      <c r="K363" s="421">
        <f t="shared" si="115"/>
        <v>15.099999999999994</v>
      </c>
      <c r="L363" s="328">
        <v>6</v>
      </c>
      <c r="M363" s="422">
        <v>0.25</v>
      </c>
      <c r="N363" s="423">
        <f t="shared" si="116"/>
        <v>1.5</v>
      </c>
      <c r="O363" s="427"/>
      <c r="P363" s="428"/>
      <c r="Q363" s="427"/>
      <c r="R363" s="319">
        <f t="shared" si="117"/>
        <v>22.649999999999991</v>
      </c>
      <c r="S363" s="331" t="str">
        <f t="shared" si="118"/>
        <v xml:space="preserve"> m³</v>
      </c>
      <c r="T363" s="320">
        <v>8</v>
      </c>
      <c r="U363" s="424" t="s">
        <v>519</v>
      </c>
      <c r="V363" s="291">
        <f t="shared" ca="1" si="119"/>
        <v>370</v>
      </c>
      <c r="W363" s="256">
        <f t="shared" ca="1" si="89"/>
        <v>2</v>
      </c>
      <c r="X363" s="256">
        <f t="shared" ca="1" si="90"/>
        <v>1</v>
      </c>
      <c r="Y363" s="256"/>
      <c r="Z363" s="256"/>
      <c r="AA363" s="292"/>
      <c r="AB363" s="292"/>
      <c r="AC363" s="292"/>
    </row>
    <row r="364" spans="1:29" s="293" customFormat="1" ht="15" x14ac:dyDescent="0.2">
      <c r="A364" s="288"/>
      <c r="B364" s="425"/>
      <c r="C364" s="426"/>
      <c r="D364" s="417"/>
      <c r="E364" s="314"/>
      <c r="F364" s="418"/>
      <c r="G364" s="419"/>
      <c r="H364" s="316"/>
      <c r="I364" s="420"/>
      <c r="J364" s="427"/>
      <c r="K364" s="429"/>
      <c r="L364" s="427"/>
      <c r="M364" s="430"/>
      <c r="N364" s="430"/>
      <c r="O364" s="427"/>
      <c r="P364" s="428"/>
      <c r="Q364" s="427"/>
      <c r="R364" s="319"/>
      <c r="S364" s="331"/>
      <c r="T364" s="320"/>
      <c r="U364" s="335"/>
      <c r="V364" s="291">
        <f t="shared" ca="1" si="119"/>
        <v>370</v>
      </c>
      <c r="W364" s="256">
        <f t="shared" ca="1" si="89"/>
        <v>0</v>
      </c>
      <c r="X364" s="256">
        <f t="shared" ca="1" si="90"/>
        <v>1</v>
      </c>
      <c r="Y364" s="256"/>
      <c r="Z364" s="256"/>
      <c r="AA364" s="292"/>
      <c r="AB364" s="292"/>
      <c r="AC364" s="292"/>
    </row>
    <row r="365" spans="1:29" s="337" customFormat="1" ht="15.75" x14ac:dyDescent="0.2">
      <c r="A365" s="288"/>
      <c r="B365" s="431"/>
      <c r="C365" s="432" t="s">
        <v>525</v>
      </c>
      <c r="D365" s="417"/>
      <c r="E365" s="314"/>
      <c r="F365" s="418"/>
      <c r="G365" s="419"/>
      <c r="H365" s="314"/>
      <c r="I365" s="420"/>
      <c r="J365" s="317"/>
      <c r="K365" s="421"/>
      <c r="L365" s="317"/>
      <c r="M365" s="433"/>
      <c r="N365" s="433"/>
      <c r="O365" s="317"/>
      <c r="P365" s="318"/>
      <c r="Q365" s="317"/>
      <c r="R365" s="319"/>
      <c r="S365" s="398"/>
      <c r="T365" s="320">
        <v>8</v>
      </c>
      <c r="U365" s="335"/>
      <c r="V365" s="291">
        <f t="shared" ca="1" si="119"/>
        <v>370</v>
      </c>
      <c r="W365" s="256">
        <f t="shared" ca="1" si="89"/>
        <v>2</v>
      </c>
      <c r="X365" s="256">
        <f t="shared" ca="1" si="90"/>
        <v>1</v>
      </c>
      <c r="Y365" s="336"/>
      <c r="Z365" s="336"/>
    </row>
    <row r="366" spans="1:29" s="111" customFormat="1" ht="25.5" x14ac:dyDescent="0.2">
      <c r="A366" s="288"/>
      <c r="B366" s="322"/>
      <c r="C366" s="312" t="s">
        <v>517</v>
      </c>
      <c r="D366" s="417">
        <v>6</v>
      </c>
      <c r="E366" s="314" t="s">
        <v>518</v>
      </c>
      <c r="F366" s="418">
        <v>10</v>
      </c>
      <c r="G366" s="419">
        <v>12</v>
      </c>
      <c r="H366" s="316" t="s">
        <v>518</v>
      </c>
      <c r="I366" s="420">
        <v>6.42</v>
      </c>
      <c r="J366" s="317"/>
      <c r="K366" s="421">
        <f>ABS((G366*20+I366)-(D366*20+F366))</f>
        <v>116.41999999999999</v>
      </c>
      <c r="L366" s="328">
        <v>8</v>
      </c>
      <c r="M366" s="422">
        <v>0.25</v>
      </c>
      <c r="N366" s="423">
        <f>L366*M366</f>
        <v>2</v>
      </c>
      <c r="O366" s="334"/>
      <c r="P366" s="328"/>
      <c r="Q366" s="334"/>
      <c r="R366" s="319">
        <f>K366*N366</f>
        <v>232.83999999999997</v>
      </c>
      <c r="S366" s="331" t="str">
        <f>$S$584</f>
        <v xml:space="preserve"> m³</v>
      </c>
      <c r="T366" s="320">
        <v>8</v>
      </c>
      <c r="U366" s="424" t="s">
        <v>519</v>
      </c>
      <c r="V366" s="291">
        <f t="shared" ca="1" si="119"/>
        <v>370</v>
      </c>
      <c r="W366" s="256">
        <f t="shared" ca="1" si="89"/>
        <v>2</v>
      </c>
      <c r="X366" s="256">
        <f t="shared" ca="1" si="90"/>
        <v>1</v>
      </c>
      <c r="Y366" s="250"/>
      <c r="Z366" s="250"/>
    </row>
    <row r="367" spans="1:29" s="111" customFormat="1" ht="25.5" x14ac:dyDescent="0.2">
      <c r="A367" s="288"/>
      <c r="B367" s="322"/>
      <c r="C367" s="312" t="s">
        <v>520</v>
      </c>
      <c r="D367" s="417">
        <v>6</v>
      </c>
      <c r="E367" s="314" t="s">
        <v>518</v>
      </c>
      <c r="F367" s="418">
        <v>10</v>
      </c>
      <c r="G367" s="419">
        <v>12</v>
      </c>
      <c r="H367" s="316" t="s">
        <v>518</v>
      </c>
      <c r="I367" s="420">
        <v>6.42</v>
      </c>
      <c r="J367" s="317"/>
      <c r="K367" s="421">
        <f>ABS((G367*20+I367)-(D367*20+F367))</f>
        <v>116.41999999999999</v>
      </c>
      <c r="L367" s="328">
        <v>2.2999999999999998</v>
      </c>
      <c r="M367" s="422">
        <v>0.25</v>
      </c>
      <c r="N367" s="423">
        <f>L367*M367</f>
        <v>0.57499999999999996</v>
      </c>
      <c r="O367" s="334"/>
      <c r="P367" s="328"/>
      <c r="Q367" s="334"/>
      <c r="R367" s="319">
        <f>K367*N367</f>
        <v>66.941499999999991</v>
      </c>
      <c r="S367" s="331" t="str">
        <f>$S$584</f>
        <v xml:space="preserve"> m³</v>
      </c>
      <c r="T367" s="320">
        <v>8</v>
      </c>
      <c r="U367" s="424" t="s">
        <v>519</v>
      </c>
      <c r="V367" s="291">
        <f t="shared" ca="1" si="119"/>
        <v>370</v>
      </c>
      <c r="W367" s="256">
        <f t="shared" ca="1" si="89"/>
        <v>2</v>
      </c>
      <c r="X367" s="256">
        <f t="shared" ca="1" si="90"/>
        <v>1</v>
      </c>
      <c r="Y367" s="250"/>
      <c r="Z367" s="250"/>
    </row>
    <row r="368" spans="1:29" s="111" customFormat="1" ht="25.5" x14ac:dyDescent="0.2">
      <c r="A368" s="288"/>
      <c r="B368" s="322"/>
      <c r="C368" s="312" t="s">
        <v>521</v>
      </c>
      <c r="D368" s="417">
        <v>6</v>
      </c>
      <c r="E368" s="314" t="s">
        <v>518</v>
      </c>
      <c r="F368" s="418">
        <v>10</v>
      </c>
      <c r="G368" s="419">
        <v>12</v>
      </c>
      <c r="H368" s="316" t="s">
        <v>518</v>
      </c>
      <c r="I368" s="420">
        <v>6.42</v>
      </c>
      <c r="J368" s="317"/>
      <c r="K368" s="421">
        <f>ABS((G368*20+I368)-(D368*20+F368))</f>
        <v>116.41999999999999</v>
      </c>
      <c r="L368" s="328">
        <v>2.2999999999999998</v>
      </c>
      <c r="M368" s="422">
        <v>0.25</v>
      </c>
      <c r="N368" s="423">
        <f>L368*M368</f>
        <v>0.57499999999999996</v>
      </c>
      <c r="O368" s="334"/>
      <c r="P368" s="328"/>
      <c r="Q368" s="334"/>
      <c r="R368" s="319">
        <f>K368*N368</f>
        <v>66.941499999999991</v>
      </c>
      <c r="S368" s="331" t="str">
        <f>$S$584</f>
        <v xml:space="preserve"> m³</v>
      </c>
      <c r="T368" s="320">
        <v>8</v>
      </c>
      <c r="U368" s="424" t="s">
        <v>519</v>
      </c>
      <c r="V368" s="291">
        <f t="shared" ca="1" si="119"/>
        <v>370</v>
      </c>
      <c r="W368" s="256">
        <f t="shared" ca="1" si="89"/>
        <v>2</v>
      </c>
      <c r="X368" s="256">
        <f t="shared" ca="1" si="90"/>
        <v>1</v>
      </c>
      <c r="Y368" s="250"/>
      <c r="Z368" s="250"/>
    </row>
    <row r="369" spans="1:26" s="111" customFormat="1" ht="25.5" x14ac:dyDescent="0.2">
      <c r="A369" s="288"/>
      <c r="B369" s="322"/>
      <c r="C369" s="312" t="s">
        <v>526</v>
      </c>
      <c r="D369" s="417">
        <v>6</v>
      </c>
      <c r="E369" s="314" t="s">
        <v>518</v>
      </c>
      <c r="F369" s="418">
        <v>10</v>
      </c>
      <c r="G369" s="419">
        <v>12</v>
      </c>
      <c r="H369" s="316" t="s">
        <v>518</v>
      </c>
      <c r="I369" s="420">
        <v>6.42</v>
      </c>
      <c r="J369" s="317"/>
      <c r="K369" s="421">
        <f>ABS((G369*20+I369)-(D369*20+F369))</f>
        <v>116.41999999999999</v>
      </c>
      <c r="L369" s="328">
        <v>0.2</v>
      </c>
      <c r="M369" s="422">
        <v>0.2</v>
      </c>
      <c r="N369" s="423">
        <f>L369*M369</f>
        <v>4.0000000000000008E-2</v>
      </c>
      <c r="O369" s="334"/>
      <c r="P369" s="328"/>
      <c r="Q369" s="334"/>
      <c r="R369" s="319">
        <f>K369*N369</f>
        <v>4.6568000000000005</v>
      </c>
      <c r="S369" s="331" t="str">
        <f>$S$584</f>
        <v xml:space="preserve"> m³</v>
      </c>
      <c r="T369" s="320">
        <v>8</v>
      </c>
      <c r="U369" s="424" t="s">
        <v>519</v>
      </c>
      <c r="V369" s="291">
        <f t="shared" ca="1" si="119"/>
        <v>370</v>
      </c>
      <c r="W369" s="256">
        <f t="shared" ca="1" si="89"/>
        <v>2</v>
      </c>
      <c r="X369" s="256">
        <f t="shared" ca="1" si="90"/>
        <v>1</v>
      </c>
      <c r="Y369" s="250"/>
      <c r="Z369" s="250"/>
    </row>
    <row r="370" spans="1:26" s="111" customFormat="1" ht="15" x14ac:dyDescent="0.2">
      <c r="A370" s="288"/>
      <c r="B370" s="322"/>
      <c r="C370" s="312"/>
      <c r="D370" s="417"/>
      <c r="E370" s="314"/>
      <c r="F370" s="418"/>
      <c r="G370" s="419"/>
      <c r="H370" s="316"/>
      <c r="I370" s="420"/>
      <c r="J370" s="317"/>
      <c r="K370" s="421"/>
      <c r="L370" s="328"/>
      <c r="M370" s="422"/>
      <c r="N370" s="423"/>
      <c r="O370" s="334"/>
      <c r="P370" s="328"/>
      <c r="Q370" s="334"/>
      <c r="R370" s="319"/>
      <c r="S370" s="331"/>
      <c r="T370" s="320"/>
      <c r="U370" s="335"/>
      <c r="V370" s="291">
        <f t="shared" ca="1" si="119"/>
        <v>370</v>
      </c>
      <c r="W370" s="256">
        <f t="shared" ca="1" si="89"/>
        <v>0</v>
      </c>
      <c r="X370" s="256">
        <f t="shared" ca="1" si="90"/>
        <v>1</v>
      </c>
      <c r="Y370" s="250"/>
      <c r="Z370" s="250"/>
    </row>
    <row r="371" spans="1:26" s="111" customFormat="1" ht="15.75" x14ac:dyDescent="0.2">
      <c r="A371" s="288"/>
      <c r="B371" s="322"/>
      <c r="C371" s="432" t="s">
        <v>527</v>
      </c>
      <c r="D371" s="417"/>
      <c r="E371" s="314"/>
      <c r="F371" s="418"/>
      <c r="G371" s="419"/>
      <c r="H371" s="316"/>
      <c r="I371" s="420"/>
      <c r="J371" s="317"/>
      <c r="K371" s="421"/>
      <c r="L371" s="328"/>
      <c r="M371" s="422"/>
      <c r="N371" s="422"/>
      <c r="O371" s="334"/>
      <c r="P371" s="328"/>
      <c r="Q371" s="334"/>
      <c r="R371" s="319"/>
      <c r="S371" s="331"/>
      <c r="T371" s="320">
        <v>9</v>
      </c>
      <c r="U371" s="335"/>
      <c r="V371" s="291">
        <f t="shared" ca="1" si="119"/>
        <v>370</v>
      </c>
      <c r="W371" s="256">
        <f t="shared" ca="1" si="89"/>
        <v>2</v>
      </c>
      <c r="X371" s="256">
        <f t="shared" ca="1" si="90"/>
        <v>1</v>
      </c>
      <c r="Y371" s="250"/>
      <c r="Z371" s="250"/>
    </row>
    <row r="372" spans="1:26" s="111" customFormat="1" ht="25.5" x14ac:dyDescent="0.2">
      <c r="A372" s="288"/>
      <c r="B372" s="322"/>
      <c r="C372" s="312" t="s">
        <v>517</v>
      </c>
      <c r="D372" s="417">
        <v>12</v>
      </c>
      <c r="E372" s="314" t="s">
        <v>518</v>
      </c>
      <c r="F372" s="418">
        <v>6.42</v>
      </c>
      <c r="G372" s="419">
        <v>17</v>
      </c>
      <c r="H372" s="316" t="s">
        <v>518</v>
      </c>
      <c r="I372" s="420">
        <v>4.42</v>
      </c>
      <c r="J372" s="317"/>
      <c r="K372" s="421">
        <f>ABS((G372*20+I372)-(D372*20+F372))</f>
        <v>98.000000000000028</v>
      </c>
      <c r="L372" s="328">
        <v>10</v>
      </c>
      <c r="M372" s="422">
        <v>0.25</v>
      </c>
      <c r="N372" s="423">
        <f>L372*M372</f>
        <v>2.5</v>
      </c>
      <c r="O372" s="334"/>
      <c r="P372" s="328"/>
      <c r="Q372" s="334"/>
      <c r="R372" s="319">
        <f>K372*N372</f>
        <v>245.00000000000006</v>
      </c>
      <c r="S372" s="331" t="str">
        <f>$S$584</f>
        <v xml:space="preserve"> m³</v>
      </c>
      <c r="T372" s="320">
        <v>9</v>
      </c>
      <c r="U372" s="424" t="s">
        <v>519</v>
      </c>
      <c r="V372" s="291">
        <f t="shared" ca="1" si="119"/>
        <v>370</v>
      </c>
      <c r="W372" s="256">
        <f t="shared" ca="1" si="89"/>
        <v>2</v>
      </c>
      <c r="X372" s="256">
        <f t="shared" ca="1" si="90"/>
        <v>1</v>
      </c>
      <c r="Y372" s="250"/>
      <c r="Z372" s="250"/>
    </row>
    <row r="373" spans="1:26" s="111" customFormat="1" ht="25.5" x14ac:dyDescent="0.2">
      <c r="A373" s="288"/>
      <c r="B373" s="322"/>
      <c r="C373" s="312" t="s">
        <v>520</v>
      </c>
      <c r="D373" s="417">
        <v>12</v>
      </c>
      <c r="E373" s="314" t="s">
        <v>518</v>
      </c>
      <c r="F373" s="418">
        <v>6.42</v>
      </c>
      <c r="G373" s="419">
        <v>17</v>
      </c>
      <c r="H373" s="316" t="s">
        <v>518</v>
      </c>
      <c r="I373" s="420">
        <v>4.42</v>
      </c>
      <c r="J373" s="317"/>
      <c r="K373" s="421">
        <f>ABS((G373*20+I373)-(D373*20+F373))</f>
        <v>98.000000000000028</v>
      </c>
      <c r="L373" s="328">
        <v>2.2999999999999998</v>
      </c>
      <c r="M373" s="422">
        <v>0.25</v>
      </c>
      <c r="N373" s="423">
        <f>L373*M373</f>
        <v>0.57499999999999996</v>
      </c>
      <c r="O373" s="334"/>
      <c r="P373" s="328"/>
      <c r="Q373" s="334"/>
      <c r="R373" s="319">
        <f>K373*N373</f>
        <v>56.350000000000009</v>
      </c>
      <c r="S373" s="331" t="str">
        <f>$S$584</f>
        <v xml:space="preserve"> m³</v>
      </c>
      <c r="T373" s="320">
        <v>9</v>
      </c>
      <c r="U373" s="424" t="s">
        <v>519</v>
      </c>
      <c r="V373" s="291">
        <f t="shared" ca="1" si="119"/>
        <v>370</v>
      </c>
      <c r="W373" s="256">
        <f t="shared" ca="1" si="89"/>
        <v>2</v>
      </c>
      <c r="X373" s="256">
        <f t="shared" ca="1" si="90"/>
        <v>1</v>
      </c>
      <c r="Y373" s="250"/>
      <c r="Z373" s="250"/>
    </row>
    <row r="374" spans="1:26" s="111" customFormat="1" ht="25.5" x14ac:dyDescent="0.2">
      <c r="A374" s="288"/>
      <c r="B374" s="322"/>
      <c r="C374" s="312" t="s">
        <v>521</v>
      </c>
      <c r="D374" s="417">
        <v>12</v>
      </c>
      <c r="E374" s="314" t="s">
        <v>518</v>
      </c>
      <c r="F374" s="418">
        <v>6.42</v>
      </c>
      <c r="G374" s="419">
        <v>17</v>
      </c>
      <c r="H374" s="316" t="s">
        <v>518</v>
      </c>
      <c r="I374" s="420">
        <v>4.42</v>
      </c>
      <c r="J374" s="317"/>
      <c r="K374" s="421">
        <f>ABS((G374*20+I374)-(D374*20+F374))</f>
        <v>98.000000000000028</v>
      </c>
      <c r="L374" s="328">
        <v>2.2999999999999998</v>
      </c>
      <c r="M374" s="422">
        <v>0.25</v>
      </c>
      <c r="N374" s="423">
        <f>L374*M374</f>
        <v>0.57499999999999996</v>
      </c>
      <c r="O374" s="334"/>
      <c r="P374" s="328"/>
      <c r="Q374" s="334"/>
      <c r="R374" s="319">
        <f>K374*N374</f>
        <v>56.350000000000009</v>
      </c>
      <c r="S374" s="331" t="str">
        <f>$S$584</f>
        <v xml:space="preserve"> m³</v>
      </c>
      <c r="T374" s="320">
        <v>9</v>
      </c>
      <c r="U374" s="424" t="s">
        <v>519</v>
      </c>
      <c r="V374" s="291">
        <f t="shared" ca="1" si="119"/>
        <v>370</v>
      </c>
      <c r="W374" s="256">
        <f t="shared" ca="1" si="89"/>
        <v>2</v>
      </c>
      <c r="X374" s="256">
        <f t="shared" ca="1" si="90"/>
        <v>1</v>
      </c>
      <c r="Y374" s="250"/>
      <c r="Z374" s="250"/>
    </row>
    <row r="375" spans="1:26" s="111" customFormat="1" ht="25.5" x14ac:dyDescent="0.2">
      <c r="A375" s="288"/>
      <c r="B375" s="322"/>
      <c r="C375" s="312" t="s">
        <v>526</v>
      </c>
      <c r="D375" s="417">
        <v>12</v>
      </c>
      <c r="E375" s="314" t="s">
        <v>518</v>
      </c>
      <c r="F375" s="418">
        <v>6.42</v>
      </c>
      <c r="G375" s="419">
        <v>17</v>
      </c>
      <c r="H375" s="316" t="s">
        <v>518</v>
      </c>
      <c r="I375" s="420">
        <v>4.42</v>
      </c>
      <c r="J375" s="317"/>
      <c r="K375" s="421">
        <f>ABS((G375*20+I375)-(D375*20+F375))</f>
        <v>98.000000000000028</v>
      </c>
      <c r="L375" s="328">
        <v>0.2</v>
      </c>
      <c r="M375" s="422">
        <v>0.2</v>
      </c>
      <c r="N375" s="423">
        <f>L375*M375</f>
        <v>4.0000000000000008E-2</v>
      </c>
      <c r="O375" s="334"/>
      <c r="P375" s="328"/>
      <c r="Q375" s="334"/>
      <c r="R375" s="319">
        <f>K375*N375</f>
        <v>3.9200000000000017</v>
      </c>
      <c r="S375" s="331" t="str">
        <f>$S$584</f>
        <v xml:space="preserve"> m³</v>
      </c>
      <c r="T375" s="320">
        <v>9</v>
      </c>
      <c r="U375" s="424" t="s">
        <v>519</v>
      </c>
      <c r="V375" s="291">
        <f t="shared" ca="1" si="119"/>
        <v>370</v>
      </c>
      <c r="W375" s="256">
        <f t="shared" ca="1" si="89"/>
        <v>2</v>
      </c>
      <c r="X375" s="256">
        <f t="shared" ca="1" si="90"/>
        <v>1</v>
      </c>
      <c r="Y375" s="250"/>
      <c r="Z375" s="250"/>
    </row>
    <row r="376" spans="1:26" s="111" customFormat="1" ht="15" x14ac:dyDescent="0.2">
      <c r="A376" s="288"/>
      <c r="B376" s="322"/>
      <c r="C376" s="312"/>
      <c r="D376" s="417"/>
      <c r="E376" s="314"/>
      <c r="F376" s="418"/>
      <c r="G376" s="419"/>
      <c r="H376" s="316"/>
      <c r="I376" s="420"/>
      <c r="J376" s="317"/>
      <c r="K376" s="421"/>
      <c r="L376" s="328"/>
      <c r="M376" s="422"/>
      <c r="N376" s="423"/>
      <c r="O376" s="334"/>
      <c r="P376" s="328"/>
      <c r="Q376" s="334"/>
      <c r="R376" s="319"/>
      <c r="S376" s="331"/>
      <c r="T376" s="320"/>
      <c r="U376" s="335"/>
      <c r="V376" s="291">
        <f t="shared" ca="1" si="119"/>
        <v>370</v>
      </c>
      <c r="W376" s="256">
        <f t="shared" ca="1" si="89"/>
        <v>0</v>
      </c>
      <c r="X376" s="256">
        <f t="shared" ca="1" si="90"/>
        <v>1</v>
      </c>
      <c r="Y376" s="250"/>
      <c r="Z376" s="250"/>
    </row>
    <row r="377" spans="1:26" s="111" customFormat="1" ht="15.75" x14ac:dyDescent="0.2">
      <c r="A377" s="288"/>
      <c r="B377" s="322"/>
      <c r="C377" s="432" t="s">
        <v>528</v>
      </c>
      <c r="D377" s="417"/>
      <c r="E377" s="314"/>
      <c r="F377" s="418"/>
      <c r="G377" s="419"/>
      <c r="H377" s="316"/>
      <c r="I377" s="420"/>
      <c r="J377" s="317"/>
      <c r="K377" s="421"/>
      <c r="L377" s="328"/>
      <c r="M377" s="422"/>
      <c r="N377" s="422"/>
      <c r="O377" s="334"/>
      <c r="P377" s="328"/>
      <c r="Q377" s="334"/>
      <c r="R377" s="319"/>
      <c r="S377" s="331"/>
      <c r="T377" s="320">
        <v>12</v>
      </c>
      <c r="U377" s="335"/>
      <c r="V377" s="291">
        <f t="shared" ca="1" si="119"/>
        <v>370</v>
      </c>
      <c r="W377" s="256">
        <f t="shared" ca="1" si="89"/>
        <v>2</v>
      </c>
      <c r="X377" s="256">
        <f t="shared" ca="1" si="90"/>
        <v>1</v>
      </c>
      <c r="Y377" s="250"/>
      <c r="Z377" s="250"/>
    </row>
    <row r="378" spans="1:26" s="111" customFormat="1" ht="25.5" x14ac:dyDescent="0.2">
      <c r="A378" s="288"/>
      <c r="B378" s="322"/>
      <c r="C378" s="312" t="s">
        <v>517</v>
      </c>
      <c r="D378" s="419">
        <v>17</v>
      </c>
      <c r="E378" s="316" t="s">
        <v>518</v>
      </c>
      <c r="F378" s="420">
        <v>4.42</v>
      </c>
      <c r="G378" s="419">
        <v>25</v>
      </c>
      <c r="H378" s="316" t="s">
        <v>518</v>
      </c>
      <c r="I378" s="420">
        <v>4.42</v>
      </c>
      <c r="J378" s="317"/>
      <c r="K378" s="421">
        <f>ABS((G378*20+I378)-(D378*20+F378))</f>
        <v>160</v>
      </c>
      <c r="L378" s="328">
        <v>12</v>
      </c>
      <c r="M378" s="422">
        <v>0.25</v>
      </c>
      <c r="N378" s="423">
        <f>L378*M378</f>
        <v>3</v>
      </c>
      <c r="O378" s="334"/>
      <c r="P378" s="328"/>
      <c r="Q378" s="334"/>
      <c r="R378" s="319">
        <f>K378*N378</f>
        <v>480</v>
      </c>
      <c r="S378" s="331" t="str">
        <f>$S$584</f>
        <v xml:space="preserve"> m³</v>
      </c>
      <c r="T378" s="320">
        <v>12</v>
      </c>
      <c r="U378" s="424" t="s">
        <v>519</v>
      </c>
      <c r="V378" s="291">
        <f t="shared" ca="1" si="119"/>
        <v>370</v>
      </c>
      <c r="W378" s="256">
        <f t="shared" ca="1" si="89"/>
        <v>2</v>
      </c>
      <c r="X378" s="256">
        <f t="shared" ca="1" si="90"/>
        <v>1</v>
      </c>
      <c r="Y378" s="250"/>
      <c r="Z378" s="250"/>
    </row>
    <row r="379" spans="1:26" s="111" customFormat="1" ht="25.5" x14ac:dyDescent="0.2">
      <c r="A379" s="288"/>
      <c r="B379" s="322"/>
      <c r="C379" s="312" t="s">
        <v>520</v>
      </c>
      <c r="D379" s="419">
        <v>17</v>
      </c>
      <c r="E379" s="316" t="s">
        <v>518</v>
      </c>
      <c r="F379" s="420">
        <v>4.42</v>
      </c>
      <c r="G379" s="419">
        <v>25</v>
      </c>
      <c r="H379" s="316" t="s">
        <v>518</v>
      </c>
      <c r="I379" s="420">
        <v>4.42</v>
      </c>
      <c r="J379" s="317"/>
      <c r="K379" s="421">
        <f>ABS((G379*20+I379)-(D379*20+F379))</f>
        <v>160</v>
      </c>
      <c r="L379" s="328">
        <v>2.2999999999999998</v>
      </c>
      <c r="M379" s="422">
        <v>0.25</v>
      </c>
      <c r="N379" s="423">
        <f>L379*M379</f>
        <v>0.57499999999999996</v>
      </c>
      <c r="O379" s="334"/>
      <c r="P379" s="328"/>
      <c r="Q379" s="334"/>
      <c r="R379" s="319">
        <f>K379*N379</f>
        <v>92</v>
      </c>
      <c r="S379" s="331" t="str">
        <f>$S$584</f>
        <v xml:space="preserve"> m³</v>
      </c>
      <c r="T379" s="320">
        <v>12</v>
      </c>
      <c r="U379" s="424" t="s">
        <v>519</v>
      </c>
      <c r="V379" s="291">
        <f t="shared" ca="1" si="119"/>
        <v>370</v>
      </c>
      <c r="W379" s="256">
        <f t="shared" ca="1" si="89"/>
        <v>2</v>
      </c>
      <c r="X379" s="256">
        <f t="shared" ca="1" si="90"/>
        <v>1</v>
      </c>
      <c r="Y379" s="250"/>
      <c r="Z379" s="250"/>
    </row>
    <row r="380" spans="1:26" s="111" customFormat="1" ht="25.5" x14ac:dyDescent="0.2">
      <c r="A380" s="288"/>
      <c r="B380" s="322"/>
      <c r="C380" s="312" t="s">
        <v>521</v>
      </c>
      <c r="D380" s="419">
        <v>17</v>
      </c>
      <c r="E380" s="316" t="s">
        <v>518</v>
      </c>
      <c r="F380" s="420">
        <v>4.42</v>
      </c>
      <c r="G380" s="419">
        <v>25</v>
      </c>
      <c r="H380" s="316" t="s">
        <v>518</v>
      </c>
      <c r="I380" s="420">
        <v>4.42</v>
      </c>
      <c r="J380" s="317"/>
      <c r="K380" s="421">
        <f>ABS((G380*20+I380)-(D380*20+F380))</f>
        <v>160</v>
      </c>
      <c r="L380" s="328">
        <v>2.2999999999999998</v>
      </c>
      <c r="M380" s="422">
        <v>0.25</v>
      </c>
      <c r="N380" s="423">
        <f>L380*M380</f>
        <v>0.57499999999999996</v>
      </c>
      <c r="O380" s="334"/>
      <c r="P380" s="328"/>
      <c r="Q380" s="334"/>
      <c r="R380" s="319">
        <f>K380*N380</f>
        <v>92</v>
      </c>
      <c r="S380" s="331" t="str">
        <f>$S$584</f>
        <v xml:space="preserve"> m³</v>
      </c>
      <c r="T380" s="320">
        <v>12</v>
      </c>
      <c r="U380" s="424" t="s">
        <v>519</v>
      </c>
      <c r="V380" s="291">
        <f t="shared" ca="1" si="119"/>
        <v>370</v>
      </c>
      <c r="W380" s="256">
        <f t="shared" ca="1" si="89"/>
        <v>2</v>
      </c>
      <c r="X380" s="256">
        <f t="shared" ca="1" si="90"/>
        <v>1</v>
      </c>
      <c r="Y380" s="250"/>
      <c r="Z380" s="250"/>
    </row>
    <row r="381" spans="1:26" s="111" customFormat="1" ht="25.5" x14ac:dyDescent="0.2">
      <c r="A381" s="288"/>
      <c r="B381" s="322"/>
      <c r="C381" s="312" t="s">
        <v>526</v>
      </c>
      <c r="D381" s="419">
        <v>17</v>
      </c>
      <c r="E381" s="316" t="s">
        <v>518</v>
      </c>
      <c r="F381" s="420">
        <v>4.42</v>
      </c>
      <c r="G381" s="419">
        <v>25</v>
      </c>
      <c r="H381" s="316" t="s">
        <v>518</v>
      </c>
      <c r="I381" s="420">
        <v>4.42</v>
      </c>
      <c r="J381" s="317"/>
      <c r="K381" s="421">
        <f>ABS((G381*20+I381)-(D381*20+F381))</f>
        <v>160</v>
      </c>
      <c r="L381" s="328">
        <v>0.2</v>
      </c>
      <c r="M381" s="422">
        <v>0.2</v>
      </c>
      <c r="N381" s="423">
        <f>L381*M381</f>
        <v>4.0000000000000008E-2</v>
      </c>
      <c r="O381" s="334"/>
      <c r="P381" s="328"/>
      <c r="Q381" s="334"/>
      <c r="R381" s="319">
        <f>K381*N381</f>
        <v>6.4000000000000012</v>
      </c>
      <c r="S381" s="331" t="str">
        <f>$S$584</f>
        <v xml:space="preserve"> m³</v>
      </c>
      <c r="T381" s="320">
        <v>12</v>
      </c>
      <c r="U381" s="424" t="s">
        <v>519</v>
      </c>
      <c r="V381" s="291">
        <f t="shared" ca="1" si="119"/>
        <v>370</v>
      </c>
      <c r="W381" s="256">
        <f t="shared" ca="1" si="89"/>
        <v>2</v>
      </c>
      <c r="X381" s="256">
        <f t="shared" ca="1" si="90"/>
        <v>1</v>
      </c>
      <c r="Y381" s="250"/>
      <c r="Z381" s="250"/>
    </row>
    <row r="382" spans="1:26" s="111" customFormat="1" ht="15" x14ac:dyDescent="0.2">
      <c r="A382" s="288"/>
      <c r="B382" s="322"/>
      <c r="C382" s="312"/>
      <c r="D382" s="417"/>
      <c r="E382" s="314"/>
      <c r="F382" s="418"/>
      <c r="G382" s="419"/>
      <c r="H382" s="316"/>
      <c r="I382" s="420"/>
      <c r="J382" s="317"/>
      <c r="K382" s="421"/>
      <c r="L382" s="328"/>
      <c r="M382" s="422"/>
      <c r="N382" s="423"/>
      <c r="O382" s="334"/>
      <c r="P382" s="328"/>
      <c r="Q382" s="334"/>
      <c r="R382" s="319"/>
      <c r="S382" s="331"/>
      <c r="T382" s="320"/>
      <c r="U382" s="335"/>
      <c r="V382" s="291">
        <f t="shared" ca="1" si="119"/>
        <v>370</v>
      </c>
      <c r="W382" s="256">
        <f t="shared" ca="1" si="89"/>
        <v>0</v>
      </c>
      <c r="X382" s="256">
        <f ca="1">IF(COUNTA(OFFSET(A379,1,0))-COUNTA(A379)=-1,0,1)</f>
        <v>1</v>
      </c>
      <c r="Y382" s="250"/>
      <c r="Z382" s="250"/>
    </row>
    <row r="383" spans="1:26" s="111" customFormat="1" ht="15.75" x14ac:dyDescent="0.2">
      <c r="A383" s="399"/>
      <c r="B383" s="322"/>
      <c r="C383" s="434" t="s">
        <v>529</v>
      </c>
      <c r="D383" s="417"/>
      <c r="E383" s="314"/>
      <c r="F383" s="418"/>
      <c r="G383" s="419"/>
      <c r="H383" s="316"/>
      <c r="I383" s="420"/>
      <c r="J383" s="317"/>
      <c r="K383" s="421"/>
      <c r="L383" s="328"/>
      <c r="M383" s="422"/>
      <c r="N383" s="423"/>
      <c r="O383" s="334"/>
      <c r="P383" s="328"/>
      <c r="Q383" s="334"/>
      <c r="R383" s="319"/>
      <c r="S383" s="331"/>
      <c r="T383" s="320">
        <v>13</v>
      </c>
      <c r="U383" s="335"/>
      <c r="V383" s="435">
        <f t="shared" ca="1" si="119"/>
        <v>370</v>
      </c>
      <c r="W383" s="256">
        <f t="shared" ca="1" si="89"/>
        <v>2</v>
      </c>
      <c r="X383" s="256">
        <f ca="1">IF(COUNTA(OFFSET(A379,1,0))-COUNTA(A379)=-1,0,1)</f>
        <v>1</v>
      </c>
      <c r="Y383" s="250"/>
      <c r="Z383" s="250"/>
    </row>
    <row r="384" spans="1:26" s="458" customFormat="1" ht="15" x14ac:dyDescent="0.2">
      <c r="A384" s="436"/>
      <c r="B384" s="437"/>
      <c r="C384" s="438" t="s">
        <v>530</v>
      </c>
      <c r="D384" s="439">
        <v>25</v>
      </c>
      <c r="E384" s="440" t="s">
        <v>518</v>
      </c>
      <c r="F384" s="441">
        <v>4.42</v>
      </c>
      <c r="G384" s="442"/>
      <c r="H384" s="443"/>
      <c r="I384" s="444"/>
      <c r="J384" s="445"/>
      <c r="K384" s="446">
        <v>11.5</v>
      </c>
      <c r="L384" s="447">
        <v>0.7</v>
      </c>
      <c r="M384" s="448">
        <v>0.25</v>
      </c>
      <c r="N384" s="449">
        <f>L384*M384</f>
        <v>0.17499999999999999</v>
      </c>
      <c r="O384" s="450"/>
      <c r="P384" s="447"/>
      <c r="Q384" s="450"/>
      <c r="R384" s="451">
        <f>K384*N384</f>
        <v>2.0124999999999997</v>
      </c>
      <c r="S384" s="452"/>
      <c r="T384" s="453">
        <v>13</v>
      </c>
      <c r="U384" s="454" t="s">
        <v>531</v>
      </c>
      <c r="V384" s="455">
        <f t="shared" ca="1" si="119"/>
        <v>370</v>
      </c>
      <c r="W384" s="456">
        <f t="shared" ca="1" si="89"/>
        <v>2</v>
      </c>
      <c r="X384" s="456">
        <f ca="1">IF(COUNTA(OFFSET(A380,1,0))-COUNTA(A380)=-1,0,1)</f>
        <v>1</v>
      </c>
      <c r="Y384" s="457"/>
      <c r="Z384" s="457"/>
    </row>
    <row r="385" spans="1:26" s="458" customFormat="1" ht="15" x14ac:dyDescent="0.2">
      <c r="A385" s="436"/>
      <c r="B385" s="437"/>
      <c r="C385" s="438"/>
      <c r="D385" s="439"/>
      <c r="E385" s="440"/>
      <c r="F385" s="441"/>
      <c r="G385" s="442"/>
      <c r="H385" s="443"/>
      <c r="I385" s="444"/>
      <c r="J385" s="445"/>
      <c r="K385" s="446"/>
      <c r="L385" s="447"/>
      <c r="M385" s="448"/>
      <c r="N385" s="449"/>
      <c r="O385" s="450"/>
      <c r="P385" s="447"/>
      <c r="Q385" s="450"/>
      <c r="R385" s="451"/>
      <c r="S385" s="452"/>
      <c r="T385" s="453"/>
      <c r="U385" s="454"/>
      <c r="V385" s="455">
        <f t="shared" ca="1" si="119"/>
        <v>370</v>
      </c>
      <c r="W385" s="456">
        <f t="shared" ca="1" si="89"/>
        <v>0</v>
      </c>
      <c r="X385" s="456">
        <f ca="1">IF(COUNTA(OFFSET(A381,1,0))-COUNTA(A381)=-1,0,1)</f>
        <v>1</v>
      </c>
      <c r="Y385" s="457"/>
      <c r="Z385" s="457"/>
    </row>
    <row r="386" spans="1:26" s="458" customFormat="1" ht="15.75" x14ac:dyDescent="0.2">
      <c r="A386" s="436"/>
      <c r="B386" s="437"/>
      <c r="C386" s="459" t="s">
        <v>532</v>
      </c>
      <c r="D386" s="439"/>
      <c r="E386" s="440"/>
      <c r="F386" s="441"/>
      <c r="G386" s="442"/>
      <c r="H386" s="443"/>
      <c r="I386" s="444"/>
      <c r="J386" s="445"/>
      <c r="K386" s="446"/>
      <c r="L386" s="447"/>
      <c r="M386" s="448"/>
      <c r="N386" s="448"/>
      <c r="O386" s="450"/>
      <c r="P386" s="447"/>
      <c r="Q386" s="450"/>
      <c r="R386" s="451"/>
      <c r="S386" s="452"/>
      <c r="T386" s="453">
        <v>15</v>
      </c>
      <c r="U386" s="454"/>
      <c r="V386" s="455">
        <f t="shared" ca="1" si="119"/>
        <v>370</v>
      </c>
      <c r="W386" s="456">
        <f t="shared" ca="1" si="89"/>
        <v>2</v>
      </c>
      <c r="X386" s="456">
        <f ca="1">IF(COUNTA(OFFSET(A385,1,0))-COUNTA(A385)=-1,0,1)</f>
        <v>1</v>
      </c>
      <c r="Y386" s="457"/>
      <c r="Z386" s="457"/>
    </row>
    <row r="387" spans="1:26" s="458" customFormat="1" ht="25.5" x14ac:dyDescent="0.2">
      <c r="A387" s="436"/>
      <c r="B387" s="437"/>
      <c r="C387" s="438" t="s">
        <v>517</v>
      </c>
      <c r="D387" s="442">
        <v>25</v>
      </c>
      <c r="E387" s="443" t="s">
        <v>518</v>
      </c>
      <c r="F387" s="444">
        <v>4.42</v>
      </c>
      <c r="G387" s="442">
        <v>31</v>
      </c>
      <c r="H387" s="443" t="s">
        <v>518</v>
      </c>
      <c r="I387" s="444">
        <v>10</v>
      </c>
      <c r="J387" s="445"/>
      <c r="K387" s="446">
        <f>ABS((G387*20+I387)-(D387*20+F387))</f>
        <v>125.57999999999998</v>
      </c>
      <c r="L387" s="447">
        <v>12</v>
      </c>
      <c r="M387" s="448">
        <v>0.25</v>
      </c>
      <c r="N387" s="449">
        <f>L387*M387</f>
        <v>3</v>
      </c>
      <c r="O387" s="450"/>
      <c r="P387" s="447"/>
      <c r="Q387" s="450"/>
      <c r="R387" s="451">
        <f>K387*N387</f>
        <v>376.73999999999995</v>
      </c>
      <c r="S387" s="452" t="str">
        <f>$S$584</f>
        <v xml:space="preserve"> m³</v>
      </c>
      <c r="T387" s="453">
        <v>15</v>
      </c>
      <c r="U387" s="460" t="s">
        <v>519</v>
      </c>
      <c r="V387" s="455">
        <f t="shared" ca="1" si="119"/>
        <v>370</v>
      </c>
      <c r="W387" s="456">
        <f t="shared" ca="1" si="89"/>
        <v>2</v>
      </c>
      <c r="X387" s="456">
        <f ca="1">IF(COUNTA(OFFSET(A386,1,0))-COUNTA(A386)=-1,0,1)</f>
        <v>1</v>
      </c>
      <c r="Y387" s="457"/>
      <c r="Z387" s="457"/>
    </row>
    <row r="388" spans="1:26" s="458" customFormat="1" ht="25.5" x14ac:dyDescent="0.2">
      <c r="A388" s="436"/>
      <c r="B388" s="437"/>
      <c r="C388" s="438" t="s">
        <v>520</v>
      </c>
      <c r="D388" s="442">
        <v>25</v>
      </c>
      <c r="E388" s="443" t="s">
        <v>518</v>
      </c>
      <c r="F388" s="444">
        <v>4.42</v>
      </c>
      <c r="G388" s="442">
        <v>31</v>
      </c>
      <c r="H388" s="443" t="s">
        <v>518</v>
      </c>
      <c r="I388" s="444">
        <v>10</v>
      </c>
      <c r="J388" s="445"/>
      <c r="K388" s="446">
        <f>ABS((G388*20+I388)-(D388*20+F388))</f>
        <v>125.57999999999998</v>
      </c>
      <c r="L388" s="447">
        <v>3</v>
      </c>
      <c r="M388" s="448">
        <v>0.25</v>
      </c>
      <c r="N388" s="449">
        <f>L388*M388</f>
        <v>0.75</v>
      </c>
      <c r="O388" s="450"/>
      <c r="P388" s="447"/>
      <c r="Q388" s="450"/>
      <c r="R388" s="451">
        <f>K388*N388</f>
        <v>94.184999999999988</v>
      </c>
      <c r="S388" s="452" t="str">
        <f>$S$584</f>
        <v xml:space="preserve"> m³</v>
      </c>
      <c r="T388" s="453">
        <v>17</v>
      </c>
      <c r="U388" s="460" t="s">
        <v>519</v>
      </c>
      <c r="V388" s="455">
        <f t="shared" ca="1" si="119"/>
        <v>370</v>
      </c>
      <c r="W388" s="456">
        <f t="shared" ca="1" si="89"/>
        <v>2</v>
      </c>
      <c r="X388" s="456">
        <f ca="1">IF(COUNTA(OFFSET(A387,1,0))-COUNTA(A387)=-1,0,1)</f>
        <v>1</v>
      </c>
      <c r="Y388" s="457"/>
      <c r="Z388" s="457"/>
    </row>
    <row r="389" spans="1:26" s="458" customFormat="1" ht="25.5" x14ac:dyDescent="0.2">
      <c r="A389" s="436"/>
      <c r="B389" s="437"/>
      <c r="C389" s="438" t="s">
        <v>521</v>
      </c>
      <c r="D389" s="442">
        <v>25</v>
      </c>
      <c r="E389" s="443" t="s">
        <v>518</v>
      </c>
      <c r="F389" s="444">
        <v>4.42</v>
      </c>
      <c r="G389" s="442">
        <v>31</v>
      </c>
      <c r="H389" s="443" t="s">
        <v>518</v>
      </c>
      <c r="I389" s="444">
        <v>10</v>
      </c>
      <c r="J389" s="445"/>
      <c r="K389" s="446">
        <f>ABS((G389*20+I389)-(D389*20+F389))</f>
        <v>125.57999999999998</v>
      </c>
      <c r="L389" s="447">
        <v>3</v>
      </c>
      <c r="M389" s="448">
        <v>0.25</v>
      </c>
      <c r="N389" s="449">
        <f>L389*M389</f>
        <v>0.75</v>
      </c>
      <c r="O389" s="450"/>
      <c r="P389" s="447"/>
      <c r="Q389" s="450"/>
      <c r="R389" s="451">
        <f>K389*N389</f>
        <v>94.184999999999988</v>
      </c>
      <c r="S389" s="452" t="str">
        <f>$S$584</f>
        <v xml:space="preserve"> m³</v>
      </c>
      <c r="T389" s="453">
        <v>17</v>
      </c>
      <c r="U389" s="460" t="s">
        <v>519</v>
      </c>
      <c r="V389" s="455">
        <f t="shared" ca="1" si="119"/>
        <v>370</v>
      </c>
      <c r="W389" s="456">
        <f t="shared" ca="1" si="89"/>
        <v>2</v>
      </c>
      <c r="X389" s="456">
        <f ca="1">IF(COUNTA(OFFSET(A388,1,0))-COUNTA(A388)=-1,0,1)</f>
        <v>1</v>
      </c>
      <c r="Y389" s="457"/>
      <c r="Z389" s="457"/>
    </row>
    <row r="390" spans="1:26" s="458" customFormat="1" ht="25.5" x14ac:dyDescent="0.2">
      <c r="A390" s="436"/>
      <c r="B390" s="437"/>
      <c r="C390" s="438" t="s">
        <v>526</v>
      </c>
      <c r="D390" s="442">
        <v>25</v>
      </c>
      <c r="E390" s="443" t="s">
        <v>518</v>
      </c>
      <c r="F390" s="444">
        <v>4.42</v>
      </c>
      <c r="G390" s="442">
        <v>31</v>
      </c>
      <c r="H390" s="443" t="s">
        <v>518</v>
      </c>
      <c r="I390" s="444">
        <v>10</v>
      </c>
      <c r="J390" s="445"/>
      <c r="K390" s="446">
        <f>ABS((G390*20+I390)-(D390*20+F390))</f>
        <v>125.57999999999998</v>
      </c>
      <c r="L390" s="447">
        <v>0.2</v>
      </c>
      <c r="M390" s="448">
        <v>0.2</v>
      </c>
      <c r="N390" s="449">
        <f>L390*M390</f>
        <v>4.0000000000000008E-2</v>
      </c>
      <c r="O390" s="450"/>
      <c r="P390" s="447"/>
      <c r="Q390" s="450"/>
      <c r="R390" s="451">
        <f>K390*N390</f>
        <v>5.0232000000000001</v>
      </c>
      <c r="S390" s="452" t="str">
        <f>$S$584</f>
        <v xml:space="preserve"> m³</v>
      </c>
      <c r="T390" s="453">
        <v>17</v>
      </c>
      <c r="U390" s="460" t="s">
        <v>519</v>
      </c>
      <c r="V390" s="455">
        <f t="shared" ca="1" si="119"/>
        <v>370</v>
      </c>
      <c r="W390" s="456">
        <f t="shared" ca="1" si="89"/>
        <v>2</v>
      </c>
      <c r="X390" s="456">
        <f ca="1">IF(COUNTA(OFFSET(A389,1,0))-COUNTA(A389)=-1,0,1)</f>
        <v>1</v>
      </c>
      <c r="Y390" s="457"/>
      <c r="Z390" s="457"/>
    </row>
    <row r="391" spans="1:26" s="458" customFormat="1" ht="15" x14ac:dyDescent="0.2">
      <c r="A391" s="436"/>
      <c r="B391" s="437"/>
      <c r="C391" s="438"/>
      <c r="D391" s="439"/>
      <c r="E391" s="440"/>
      <c r="F391" s="441"/>
      <c r="G391" s="442"/>
      <c r="H391" s="443"/>
      <c r="I391" s="444"/>
      <c r="J391" s="445"/>
      <c r="K391" s="446"/>
      <c r="L391" s="447"/>
      <c r="M391" s="448"/>
      <c r="N391" s="449"/>
      <c r="O391" s="450"/>
      <c r="P391" s="447"/>
      <c r="Q391" s="450"/>
      <c r="R391" s="451"/>
      <c r="S391" s="452"/>
      <c r="T391" s="453"/>
      <c r="U391" s="454"/>
      <c r="V391" s="455">
        <f t="shared" ca="1" si="119"/>
        <v>370</v>
      </c>
      <c r="W391" s="456">
        <f t="shared" ref="W391:W396" ca="1" si="120">IF(LEFT(_xlfn.FORMULATEXT(V391),3)="=SO",1,IF(COUNTA(A391:U391)=0,0,2))</f>
        <v>0</v>
      </c>
      <c r="X391" s="456">
        <f ca="1">IF(COUNTA(OFFSET(A387,1,0))-COUNTA(A387)=-1,0,1)</f>
        <v>1</v>
      </c>
      <c r="Y391" s="457"/>
      <c r="Z391" s="457"/>
    </row>
    <row r="392" spans="1:26" s="458" customFormat="1" ht="15.75" x14ac:dyDescent="0.2">
      <c r="A392" s="436"/>
      <c r="B392" s="437"/>
      <c r="C392" s="459" t="s">
        <v>532</v>
      </c>
      <c r="D392" s="439"/>
      <c r="E392" s="440"/>
      <c r="F392" s="441"/>
      <c r="G392" s="442"/>
      <c r="H392" s="443"/>
      <c r="I392" s="444"/>
      <c r="J392" s="445"/>
      <c r="K392" s="446"/>
      <c r="L392" s="447"/>
      <c r="M392" s="448"/>
      <c r="N392" s="448"/>
      <c r="O392" s="450"/>
      <c r="P392" s="447"/>
      <c r="Q392" s="450"/>
      <c r="R392" s="451"/>
      <c r="S392" s="452"/>
      <c r="T392" s="453">
        <v>28</v>
      </c>
      <c r="U392" s="454"/>
      <c r="V392" s="455">
        <f t="shared" ca="1" si="119"/>
        <v>370</v>
      </c>
      <c r="W392" s="456">
        <f t="shared" ca="1" si="120"/>
        <v>2</v>
      </c>
      <c r="X392" s="456">
        <f ca="1">IF(COUNTA(OFFSET(A391,1,0))-COUNTA(A391)=-1,0,1)</f>
        <v>1</v>
      </c>
      <c r="Y392" s="457"/>
      <c r="Z392" s="457"/>
    </row>
    <row r="393" spans="1:26" s="111" customFormat="1" ht="25.5" x14ac:dyDescent="0.2">
      <c r="A393" s="399"/>
      <c r="B393" s="322"/>
      <c r="C393" s="312" t="s">
        <v>517</v>
      </c>
      <c r="D393" s="419">
        <v>80</v>
      </c>
      <c r="E393" s="316" t="s">
        <v>518</v>
      </c>
      <c r="F393" s="420">
        <v>8</v>
      </c>
      <c r="G393" s="419">
        <v>99</v>
      </c>
      <c r="H393" s="316" t="s">
        <v>518</v>
      </c>
      <c r="I393" s="420">
        <v>6.4</v>
      </c>
      <c r="J393" s="317"/>
      <c r="K393" s="421">
        <f>ABS((G393*20+I393)-(D393*20+F393))</f>
        <v>378.40000000000009</v>
      </c>
      <c r="L393" s="328">
        <v>12</v>
      </c>
      <c r="M393" s="422">
        <v>0.25</v>
      </c>
      <c r="N393" s="423">
        <f>L393*M393</f>
        <v>3</v>
      </c>
      <c r="O393" s="334"/>
      <c r="P393" s="328"/>
      <c r="Q393" s="334"/>
      <c r="R393" s="319">
        <f>K393*N393</f>
        <v>1135.2000000000003</v>
      </c>
      <c r="S393" s="331" t="str">
        <f>$S$584</f>
        <v xml:space="preserve"> m³</v>
      </c>
      <c r="T393" s="320">
        <v>28</v>
      </c>
      <c r="U393" s="424" t="s">
        <v>519</v>
      </c>
      <c r="V393" s="815">
        <f t="shared" ca="1" si="119"/>
        <v>370</v>
      </c>
      <c r="W393" s="250">
        <f t="shared" ca="1" si="120"/>
        <v>2</v>
      </c>
      <c r="X393" s="250">
        <f ca="1">IF(COUNTA(OFFSET(A392,1,0))-COUNTA(A392)=-1,0,1)</f>
        <v>1</v>
      </c>
      <c r="Y393" s="250"/>
      <c r="Z393" s="250"/>
    </row>
    <row r="394" spans="1:26" s="458" customFormat="1" ht="25.5" x14ac:dyDescent="0.2">
      <c r="A394" s="436"/>
      <c r="B394" s="437"/>
      <c r="C394" s="438" t="s">
        <v>520</v>
      </c>
      <c r="D394" s="419">
        <v>80</v>
      </c>
      <c r="E394" s="316" t="s">
        <v>518</v>
      </c>
      <c r="F394" s="420">
        <v>8</v>
      </c>
      <c r="G394" s="419">
        <v>99</v>
      </c>
      <c r="H394" s="316" t="s">
        <v>518</v>
      </c>
      <c r="I394" s="420">
        <v>6.4</v>
      </c>
      <c r="J394" s="445"/>
      <c r="K394" s="446">
        <f>ABS((G394*20+I394)-(D394*20+F394))</f>
        <v>378.40000000000009</v>
      </c>
      <c r="L394" s="447">
        <v>3</v>
      </c>
      <c r="M394" s="448">
        <v>0.25</v>
      </c>
      <c r="N394" s="449">
        <f>L394*M394</f>
        <v>0.75</v>
      </c>
      <c r="O394" s="450"/>
      <c r="P394" s="447"/>
      <c r="Q394" s="450"/>
      <c r="R394" s="451">
        <f>K394*N394</f>
        <v>283.80000000000007</v>
      </c>
      <c r="S394" s="452" t="str">
        <f>$S$584</f>
        <v xml:space="preserve"> m³</v>
      </c>
      <c r="T394" s="453">
        <v>28</v>
      </c>
      <c r="U394" s="460" t="s">
        <v>519</v>
      </c>
      <c r="V394" s="455">
        <f t="shared" ca="1" si="119"/>
        <v>370</v>
      </c>
      <c r="W394" s="456">
        <f t="shared" ca="1" si="120"/>
        <v>2</v>
      </c>
      <c r="X394" s="456">
        <f ca="1">IF(COUNTA(OFFSET(A393,1,0))-COUNTA(A393)=-1,0,1)</f>
        <v>1</v>
      </c>
      <c r="Y394" s="457"/>
      <c r="Z394" s="457"/>
    </row>
    <row r="395" spans="1:26" s="458" customFormat="1" ht="25.5" x14ac:dyDescent="0.2">
      <c r="A395" s="436"/>
      <c r="B395" s="437"/>
      <c r="C395" s="438" t="s">
        <v>521</v>
      </c>
      <c r="D395" s="419">
        <v>80</v>
      </c>
      <c r="E395" s="316" t="s">
        <v>518</v>
      </c>
      <c r="F395" s="420">
        <v>8</v>
      </c>
      <c r="G395" s="419">
        <v>99</v>
      </c>
      <c r="H395" s="316" t="s">
        <v>518</v>
      </c>
      <c r="I395" s="420">
        <v>6.4</v>
      </c>
      <c r="J395" s="445"/>
      <c r="K395" s="446">
        <f>ABS((G395*20+I395)-(D395*20+F395))</f>
        <v>378.40000000000009</v>
      </c>
      <c r="L395" s="447">
        <v>3</v>
      </c>
      <c r="M395" s="448">
        <v>0.25</v>
      </c>
      <c r="N395" s="449">
        <f>L395*M395</f>
        <v>0.75</v>
      </c>
      <c r="O395" s="450"/>
      <c r="P395" s="447"/>
      <c r="Q395" s="450"/>
      <c r="R395" s="451">
        <f>K395*N395</f>
        <v>283.80000000000007</v>
      </c>
      <c r="S395" s="452" t="str">
        <f>$S$584</f>
        <v xml:space="preserve"> m³</v>
      </c>
      <c r="T395" s="453">
        <v>28</v>
      </c>
      <c r="U395" s="460" t="s">
        <v>519</v>
      </c>
      <c r="V395" s="455">
        <f t="shared" ca="1" si="119"/>
        <v>370</v>
      </c>
      <c r="W395" s="456">
        <f t="shared" ca="1" si="120"/>
        <v>2</v>
      </c>
      <c r="X395" s="456">
        <f ca="1">IF(COUNTA(OFFSET(A394,1,0))-COUNTA(A394)=-1,0,1)</f>
        <v>1</v>
      </c>
      <c r="Y395" s="457"/>
      <c r="Z395" s="457"/>
    </row>
    <row r="396" spans="1:26" s="458" customFormat="1" ht="25.5" x14ac:dyDescent="0.2">
      <c r="A396" s="436"/>
      <c r="B396" s="437"/>
      <c r="C396" s="438" t="s">
        <v>526</v>
      </c>
      <c r="D396" s="419">
        <v>80</v>
      </c>
      <c r="E396" s="316" t="s">
        <v>518</v>
      </c>
      <c r="F396" s="420">
        <v>8</v>
      </c>
      <c r="G396" s="419">
        <v>99</v>
      </c>
      <c r="H396" s="316" t="s">
        <v>518</v>
      </c>
      <c r="I396" s="420">
        <v>6.4</v>
      </c>
      <c r="J396" s="445"/>
      <c r="K396" s="446">
        <f>ABS((G396*20+I396)-(D396*20+F396))</f>
        <v>378.40000000000009</v>
      </c>
      <c r="L396" s="447">
        <v>0.2</v>
      </c>
      <c r="M396" s="448">
        <v>0.2</v>
      </c>
      <c r="N396" s="449">
        <f>L396*M396</f>
        <v>4.0000000000000008E-2</v>
      </c>
      <c r="O396" s="450"/>
      <c r="P396" s="447"/>
      <c r="Q396" s="450"/>
      <c r="R396" s="451">
        <f>K396*N396</f>
        <v>15.136000000000006</v>
      </c>
      <c r="S396" s="452" t="str">
        <f>$S$584</f>
        <v xml:space="preserve"> m³</v>
      </c>
      <c r="T396" s="453">
        <v>28</v>
      </c>
      <c r="U396" s="460" t="s">
        <v>519</v>
      </c>
      <c r="V396" s="455">
        <f t="shared" ca="1" si="119"/>
        <v>370</v>
      </c>
      <c r="W396" s="456">
        <f t="shared" ca="1" si="120"/>
        <v>2</v>
      </c>
      <c r="X396" s="456">
        <f ca="1">IF(COUNTA(OFFSET(A395,1,0))-COUNTA(A395)=-1,0,1)</f>
        <v>1</v>
      </c>
      <c r="Y396" s="457"/>
      <c r="Z396" s="457"/>
    </row>
    <row r="397" spans="1:26" s="458" customFormat="1" ht="15" x14ac:dyDescent="0.2">
      <c r="A397" s="436"/>
      <c r="B397" s="437"/>
      <c r="C397" s="438"/>
      <c r="D397" s="439"/>
      <c r="E397" s="440"/>
      <c r="F397" s="441"/>
      <c r="G397" s="442"/>
      <c r="H397" s="443"/>
      <c r="I397" s="444"/>
      <c r="J397" s="445"/>
      <c r="K397" s="446"/>
      <c r="L397" s="447"/>
      <c r="M397" s="448"/>
      <c r="N397" s="449"/>
      <c r="O397" s="450"/>
      <c r="P397" s="447"/>
      <c r="Q397" s="450"/>
      <c r="R397" s="451"/>
      <c r="S397" s="452"/>
      <c r="T397" s="453"/>
      <c r="U397" s="454"/>
      <c r="V397" s="455">
        <f t="shared" ref="V397:V404" ca="1" si="121">IF(OFFSET(V397,1,1)=1,OFFSET(V397,0,-4),OFFSET(V397,1,0))</f>
        <v>370</v>
      </c>
      <c r="W397" s="456">
        <f t="shared" ref="W397:W401" ca="1" si="122">IF(LEFT(_xlfn.FORMULATEXT(V397),3)="=SO",1,IF(COUNTA(A397:U397)=0,0,2))</f>
        <v>0</v>
      </c>
      <c r="X397" s="456">
        <f ca="1">IF(COUNTA(OFFSET(#REF!,1,0))-COUNTA(#REF!)=-1,0,1)</f>
        <v>1</v>
      </c>
      <c r="Y397" s="457"/>
      <c r="Z397" s="457"/>
    </row>
    <row r="398" spans="1:26" s="111" customFormat="1" ht="15.75" x14ac:dyDescent="0.2">
      <c r="A398" s="399"/>
      <c r="B398" s="322"/>
      <c r="C398" s="434" t="s">
        <v>1063</v>
      </c>
      <c r="D398" s="417"/>
      <c r="E398" s="314"/>
      <c r="F398" s="418"/>
      <c r="G398" s="419"/>
      <c r="H398" s="316"/>
      <c r="I398" s="420"/>
      <c r="J398" s="317"/>
      <c r="K398" s="421"/>
      <c r="L398" s="328"/>
      <c r="M398" s="422"/>
      <c r="N398" s="423"/>
      <c r="O398" s="334"/>
      <c r="P398" s="328"/>
      <c r="Q398" s="334"/>
      <c r="R398" s="319"/>
      <c r="S398" s="331"/>
      <c r="T398" s="320">
        <v>31</v>
      </c>
      <c r="U398" s="335"/>
      <c r="V398" s="435">
        <f t="shared" ca="1" si="121"/>
        <v>370</v>
      </c>
      <c r="W398" s="256">
        <f t="shared" ca="1" si="122"/>
        <v>2</v>
      </c>
      <c r="X398" s="256">
        <f ca="1">IF(COUNTA(OFFSET(#REF!,1,0))-COUNTA(#REF!)=-1,0,1)</f>
        <v>1</v>
      </c>
      <c r="Y398" s="250"/>
      <c r="Z398" s="250"/>
    </row>
    <row r="399" spans="1:26" s="458" customFormat="1" ht="15" x14ac:dyDescent="0.2">
      <c r="A399" s="436"/>
      <c r="B399" s="437"/>
      <c r="C399" s="438" t="s">
        <v>1060</v>
      </c>
      <c r="D399" s="419">
        <v>79</v>
      </c>
      <c r="E399" s="316" t="s">
        <v>518</v>
      </c>
      <c r="F399" s="420">
        <v>15.5</v>
      </c>
      <c r="G399" s="419">
        <v>80</v>
      </c>
      <c r="H399" s="316" t="s">
        <v>518</v>
      </c>
      <c r="I399" s="420">
        <v>8</v>
      </c>
      <c r="J399" s="445"/>
      <c r="K399" s="446">
        <f>ABS((G399*20+I399)-(D399*20+F399))</f>
        <v>12.5</v>
      </c>
      <c r="L399" s="447">
        <v>14</v>
      </c>
      <c r="M399" s="448">
        <v>0.35</v>
      </c>
      <c r="N399" s="449">
        <f>L399*M399</f>
        <v>4.8999999999999995</v>
      </c>
      <c r="O399" s="450"/>
      <c r="P399" s="447"/>
      <c r="Q399" s="450"/>
      <c r="R399" s="451">
        <f>K399*N399</f>
        <v>61.249999999999993</v>
      </c>
      <c r="S399" s="452"/>
      <c r="T399" s="453">
        <v>31</v>
      </c>
      <c r="U399" s="454"/>
      <c r="V399" s="455">
        <f t="shared" ca="1" si="121"/>
        <v>370</v>
      </c>
      <c r="W399" s="456">
        <f t="shared" ca="1" si="122"/>
        <v>2</v>
      </c>
      <c r="X399" s="456">
        <f ca="1">IF(COUNTA(OFFSET(#REF!,1,0))-COUNTA(#REF!)=-1,0,1)</f>
        <v>1</v>
      </c>
      <c r="Y399" s="457"/>
      <c r="Z399" s="457"/>
    </row>
    <row r="400" spans="1:26" s="458" customFormat="1" ht="15" x14ac:dyDescent="0.2">
      <c r="A400" s="436"/>
      <c r="B400" s="437"/>
      <c r="C400" s="438" t="s">
        <v>1061</v>
      </c>
      <c r="D400" s="419">
        <v>79</v>
      </c>
      <c r="E400" s="316" t="s">
        <v>518</v>
      </c>
      <c r="F400" s="420">
        <v>15.5</v>
      </c>
      <c r="G400" s="419">
        <v>80</v>
      </c>
      <c r="H400" s="316" t="s">
        <v>518</v>
      </c>
      <c r="I400" s="420">
        <v>8</v>
      </c>
      <c r="J400" s="445"/>
      <c r="K400" s="446">
        <f>ABS((G400*20+I400)-(D400*20+F400))</f>
        <v>12.5</v>
      </c>
      <c r="L400" s="447">
        <v>0.5</v>
      </c>
      <c r="M400" s="448">
        <v>1</v>
      </c>
      <c r="N400" s="449">
        <f>L400*M400</f>
        <v>0.5</v>
      </c>
      <c r="O400" s="450"/>
      <c r="P400" s="447"/>
      <c r="Q400" s="450"/>
      <c r="R400" s="451">
        <f>K400*N400</f>
        <v>6.25</v>
      </c>
      <c r="S400" s="452"/>
      <c r="T400" s="453">
        <v>31</v>
      </c>
      <c r="U400" s="454"/>
      <c r="V400" s="455">
        <f t="shared" ca="1" si="121"/>
        <v>370</v>
      </c>
      <c r="W400" s="456">
        <f t="shared" ca="1" si="122"/>
        <v>2</v>
      </c>
      <c r="X400" s="456">
        <f ca="1">IF(COUNTA(OFFSET(A397,1,0))-COUNTA(A397)=-1,0,1)</f>
        <v>1</v>
      </c>
      <c r="Y400" s="457"/>
      <c r="Z400" s="457"/>
    </row>
    <row r="401" spans="1:26" s="458" customFormat="1" ht="15" x14ac:dyDescent="0.2">
      <c r="A401" s="436"/>
      <c r="B401" s="437"/>
      <c r="C401" s="438" t="s">
        <v>1062</v>
      </c>
      <c r="D401" s="419">
        <v>79</v>
      </c>
      <c r="E401" s="316" t="s">
        <v>518</v>
      </c>
      <c r="F401" s="420">
        <v>15.5</v>
      </c>
      <c r="G401" s="419">
        <v>80</v>
      </c>
      <c r="H401" s="316" t="s">
        <v>518</v>
      </c>
      <c r="I401" s="420">
        <v>8</v>
      </c>
      <c r="J401" s="445"/>
      <c r="K401" s="446">
        <f>ABS((G401*20+I401)-(D401*20+F401))</f>
        <v>12.5</v>
      </c>
      <c r="L401" s="447">
        <v>0.5</v>
      </c>
      <c r="M401" s="448">
        <v>1</v>
      </c>
      <c r="N401" s="449">
        <f>L401*M401</f>
        <v>0.5</v>
      </c>
      <c r="O401" s="450"/>
      <c r="P401" s="447"/>
      <c r="Q401" s="450"/>
      <c r="R401" s="451">
        <f>K401*N401</f>
        <v>6.25</v>
      </c>
      <c r="S401" s="452"/>
      <c r="T401" s="453">
        <v>31</v>
      </c>
      <c r="U401" s="454"/>
      <c r="V401" s="455">
        <f t="shared" ca="1" si="121"/>
        <v>370</v>
      </c>
      <c r="W401" s="456">
        <f t="shared" ca="1" si="122"/>
        <v>2</v>
      </c>
      <c r="X401" s="456">
        <f ca="1">IF(COUNTA(OFFSET(A398,1,0))-COUNTA(A398)=-1,0,1)</f>
        <v>1</v>
      </c>
      <c r="Y401" s="457"/>
      <c r="Z401" s="457"/>
    </row>
    <row r="402" spans="1:26" s="458" customFormat="1" ht="15" x14ac:dyDescent="0.2">
      <c r="A402" s="436"/>
      <c r="B402" s="437"/>
      <c r="C402" s="438" t="s">
        <v>1077</v>
      </c>
      <c r="D402" s="419">
        <v>79</v>
      </c>
      <c r="E402" s="316" t="s">
        <v>518</v>
      </c>
      <c r="F402" s="420">
        <v>15.5</v>
      </c>
      <c r="G402" s="419">
        <v>80</v>
      </c>
      <c r="H402" s="316" t="s">
        <v>518</v>
      </c>
      <c r="I402" s="420">
        <v>8</v>
      </c>
      <c r="J402" s="445"/>
      <c r="K402" s="446">
        <v>5</v>
      </c>
      <c r="L402" s="447">
        <v>3</v>
      </c>
      <c r="M402" s="448">
        <v>0.25</v>
      </c>
      <c r="N402" s="449">
        <f>L402*M402</f>
        <v>0.75</v>
      </c>
      <c r="O402" s="450"/>
      <c r="P402" s="447"/>
      <c r="Q402" s="450"/>
      <c r="R402" s="451">
        <f>K402*N402</f>
        <v>3.75</v>
      </c>
      <c r="S402" s="452"/>
      <c r="T402" s="453">
        <v>31</v>
      </c>
      <c r="U402" s="454"/>
      <c r="V402" s="455">
        <f t="shared" ca="1" si="121"/>
        <v>370</v>
      </c>
      <c r="W402" s="456"/>
      <c r="X402" s="456"/>
      <c r="Y402" s="457"/>
      <c r="Z402" s="457"/>
    </row>
    <row r="403" spans="1:26" s="458" customFormat="1" ht="15" x14ac:dyDescent="0.2">
      <c r="A403" s="436"/>
      <c r="B403" s="437"/>
      <c r="C403" s="438"/>
      <c r="D403" s="419"/>
      <c r="E403" s="316"/>
      <c r="F403" s="420"/>
      <c r="G403" s="419"/>
      <c r="H403" s="316"/>
      <c r="I403" s="420"/>
      <c r="J403" s="445"/>
      <c r="K403" s="446"/>
      <c r="L403" s="447"/>
      <c r="M403" s="448"/>
      <c r="N403" s="449"/>
      <c r="O403" s="450"/>
      <c r="P403" s="447"/>
      <c r="Q403" s="450"/>
      <c r="R403" s="451"/>
      <c r="S403" s="452"/>
      <c r="T403" s="453"/>
      <c r="U403" s="454"/>
      <c r="V403" s="455">
        <f t="shared" ca="1" si="121"/>
        <v>370</v>
      </c>
      <c r="W403" s="456"/>
      <c r="X403" s="456"/>
      <c r="Y403" s="457"/>
      <c r="Z403" s="457"/>
    </row>
    <row r="404" spans="1:26" s="458" customFormat="1" ht="15.75" x14ac:dyDescent="0.2">
      <c r="A404" s="436"/>
      <c r="B404" s="437"/>
      <c r="C404" s="459" t="s">
        <v>532</v>
      </c>
      <c r="D404" s="439"/>
      <c r="E404" s="440"/>
      <c r="F404" s="441"/>
      <c r="G404" s="442"/>
      <c r="H404" s="443"/>
      <c r="I404" s="444"/>
      <c r="J404" s="445"/>
      <c r="K404" s="446"/>
      <c r="L404" s="447"/>
      <c r="M404" s="448"/>
      <c r="N404" s="448"/>
      <c r="O404" s="450"/>
      <c r="P404" s="447"/>
      <c r="Q404" s="450"/>
      <c r="R404" s="451"/>
      <c r="S404" s="452"/>
      <c r="T404" s="453">
        <v>31</v>
      </c>
      <c r="U404" s="454"/>
      <c r="V404" s="455">
        <f t="shared" ca="1" si="121"/>
        <v>370</v>
      </c>
      <c r="W404" s="456">
        <f t="shared" ref="W404:W414" ca="1" si="123">IF(LEFT(_xlfn.FORMULATEXT(V404),3)="=SO",1,IF(COUNTA(A404:U404)=0,0,2))</f>
        <v>2</v>
      </c>
      <c r="X404" s="456">
        <f ca="1">IF(COUNTA(OFFSET(A396,1,0))-COUNTA(A396)=-1,0,1)</f>
        <v>1</v>
      </c>
      <c r="Y404" s="457"/>
      <c r="Z404" s="457"/>
    </row>
    <row r="405" spans="1:26" s="111" customFormat="1" ht="25.5" x14ac:dyDescent="0.2">
      <c r="A405" s="399"/>
      <c r="B405" s="322"/>
      <c r="C405" s="312" t="s">
        <v>517</v>
      </c>
      <c r="D405" s="419">
        <v>72</v>
      </c>
      <c r="E405" s="316" t="s">
        <v>518</v>
      </c>
      <c r="F405" s="420">
        <v>17</v>
      </c>
      <c r="G405" s="419">
        <v>79</v>
      </c>
      <c r="H405" s="316" t="s">
        <v>518</v>
      </c>
      <c r="I405" s="420">
        <v>16</v>
      </c>
      <c r="J405" s="317"/>
      <c r="K405" s="421">
        <f>ABS((G405*20+I405)-(D405*20+F405))</f>
        <v>139</v>
      </c>
      <c r="L405" s="328">
        <v>12</v>
      </c>
      <c r="M405" s="422">
        <v>0.25</v>
      </c>
      <c r="N405" s="423">
        <f>L405*M405</f>
        <v>3</v>
      </c>
      <c r="O405" s="334"/>
      <c r="P405" s="328">
        <f>33</f>
        <v>33</v>
      </c>
      <c r="Q405" s="334">
        <f>0.25*3*2+12*0.25</f>
        <v>4.5</v>
      </c>
      <c r="R405" s="319">
        <f>K405*N405</f>
        <v>417</v>
      </c>
      <c r="S405" s="331" t="str">
        <f>$S$413</f>
        <v>m³</v>
      </c>
      <c r="T405" s="320">
        <v>31</v>
      </c>
      <c r="U405" s="424" t="s">
        <v>519</v>
      </c>
      <c r="V405" s="815">
        <f t="shared" ref="V405:V414" ca="1" si="124">IF(OFFSET(V405,1,1)=1,OFFSET(V405,0,-4),OFFSET(V405,1,0))</f>
        <v>370</v>
      </c>
      <c r="W405" s="250">
        <f t="shared" ca="1" si="123"/>
        <v>2</v>
      </c>
      <c r="X405" s="250">
        <f ca="1">IF(COUNTA(OFFSET(A404,1,0))-COUNTA(A404)=-1,0,1)</f>
        <v>1</v>
      </c>
      <c r="Y405" s="250"/>
      <c r="Z405" s="250"/>
    </row>
    <row r="406" spans="1:26" s="458" customFormat="1" ht="25.5" x14ac:dyDescent="0.2">
      <c r="A406" s="436"/>
      <c r="B406" s="437"/>
      <c r="C406" s="438" t="s">
        <v>520</v>
      </c>
      <c r="D406" s="419">
        <v>72</v>
      </c>
      <c r="E406" s="316" t="s">
        <v>518</v>
      </c>
      <c r="F406" s="420">
        <v>17</v>
      </c>
      <c r="G406" s="419">
        <v>79</v>
      </c>
      <c r="H406" s="316" t="s">
        <v>518</v>
      </c>
      <c r="I406" s="420">
        <v>16</v>
      </c>
      <c r="J406" s="445"/>
      <c r="K406" s="446">
        <f>ABS((G406*20+I406)-(D406*20+F406))</f>
        <v>139</v>
      </c>
      <c r="L406" s="447">
        <v>3</v>
      </c>
      <c r="M406" s="448">
        <v>0.25</v>
      </c>
      <c r="N406" s="449">
        <f>L406*M406</f>
        <v>0.75</v>
      </c>
      <c r="O406" s="450"/>
      <c r="P406" s="447"/>
      <c r="Q406" s="450">
        <f>Q405*P405</f>
        <v>148.5</v>
      </c>
      <c r="R406" s="451">
        <f>K406*N406</f>
        <v>104.25</v>
      </c>
      <c r="S406" s="452" t="str">
        <f>$S$413</f>
        <v>m³</v>
      </c>
      <c r="T406" s="453">
        <v>31</v>
      </c>
      <c r="U406" s="460" t="s">
        <v>519</v>
      </c>
      <c r="V406" s="455">
        <f t="shared" ca="1" si="124"/>
        <v>370</v>
      </c>
      <c r="W406" s="456">
        <f t="shared" ca="1" si="123"/>
        <v>2</v>
      </c>
      <c r="X406" s="456">
        <f ca="1">IF(COUNTA(OFFSET(A405,1,0))-COUNTA(A405)=-1,0,1)</f>
        <v>1</v>
      </c>
      <c r="Y406" s="457"/>
      <c r="Z406" s="457"/>
    </row>
    <row r="407" spans="1:26" s="458" customFormat="1" ht="25.5" x14ac:dyDescent="0.2">
      <c r="A407" s="436"/>
      <c r="B407" s="437"/>
      <c r="C407" s="438" t="s">
        <v>521</v>
      </c>
      <c r="D407" s="419">
        <v>72</v>
      </c>
      <c r="E407" s="316" t="s">
        <v>518</v>
      </c>
      <c r="F407" s="420">
        <v>17</v>
      </c>
      <c r="G407" s="419">
        <v>79</v>
      </c>
      <c r="H407" s="316" t="s">
        <v>518</v>
      </c>
      <c r="I407" s="420">
        <v>16</v>
      </c>
      <c r="J407" s="445"/>
      <c r="K407" s="446">
        <f>ABS((G407*20+I407)-(D407*20+F407))</f>
        <v>139</v>
      </c>
      <c r="L407" s="447">
        <v>3</v>
      </c>
      <c r="M407" s="448">
        <v>0.25</v>
      </c>
      <c r="N407" s="449">
        <f>L407*M407</f>
        <v>0.75</v>
      </c>
      <c r="O407" s="450"/>
      <c r="P407" s="447"/>
      <c r="Q407" s="450"/>
      <c r="R407" s="451">
        <f>K407*N407</f>
        <v>104.25</v>
      </c>
      <c r="S407" s="452" t="str">
        <f>$S$413</f>
        <v>m³</v>
      </c>
      <c r="T407" s="453">
        <v>31</v>
      </c>
      <c r="U407" s="460" t="s">
        <v>519</v>
      </c>
      <c r="V407" s="455">
        <f t="shared" ca="1" si="124"/>
        <v>370</v>
      </c>
      <c r="W407" s="456">
        <f t="shared" ca="1" si="123"/>
        <v>2</v>
      </c>
      <c r="X407" s="456">
        <f ca="1">IF(COUNTA(OFFSET(A406,1,0))-COUNTA(A406)=-1,0,1)</f>
        <v>1</v>
      </c>
      <c r="Y407" s="457"/>
      <c r="Z407" s="457"/>
    </row>
    <row r="408" spans="1:26" s="458" customFormat="1" ht="25.5" x14ac:dyDescent="0.2">
      <c r="A408" s="436"/>
      <c r="B408" s="437"/>
      <c r="C408" s="438" t="s">
        <v>526</v>
      </c>
      <c r="D408" s="419">
        <v>72</v>
      </c>
      <c r="E408" s="316" t="s">
        <v>518</v>
      </c>
      <c r="F408" s="420">
        <v>17</v>
      </c>
      <c r="G408" s="419">
        <v>79</v>
      </c>
      <c r="H408" s="316" t="s">
        <v>518</v>
      </c>
      <c r="I408" s="420">
        <v>16</v>
      </c>
      <c r="J408" s="445"/>
      <c r="K408" s="446">
        <f>ABS((G408*20+I408)-(D408*20+F408))</f>
        <v>139</v>
      </c>
      <c r="L408" s="447">
        <v>0.2</v>
      </c>
      <c r="M408" s="448">
        <v>0.2</v>
      </c>
      <c r="N408" s="449">
        <f>L408*M408</f>
        <v>4.0000000000000008E-2</v>
      </c>
      <c r="O408" s="450"/>
      <c r="P408" s="447"/>
      <c r="Q408" s="450">
        <f>0.2*0.2*P405</f>
        <v>1.3200000000000003</v>
      </c>
      <c r="R408" s="451">
        <f>K408*N408</f>
        <v>5.5600000000000014</v>
      </c>
      <c r="S408" s="452" t="str">
        <f>$S$413</f>
        <v>m³</v>
      </c>
      <c r="T408" s="453">
        <v>31</v>
      </c>
      <c r="U408" s="460" t="s">
        <v>519</v>
      </c>
      <c r="V408" s="455">
        <f t="shared" ca="1" si="124"/>
        <v>370</v>
      </c>
      <c r="W408" s="456">
        <f t="shared" ca="1" si="123"/>
        <v>2</v>
      </c>
      <c r="X408" s="456">
        <f ca="1">IF(COUNTA(OFFSET(A407,1,0))-COUNTA(A407)=-1,0,1)</f>
        <v>1</v>
      </c>
      <c r="Y408" s="457"/>
      <c r="Z408" s="457"/>
    </row>
    <row r="409" spans="1:26" s="458" customFormat="1" ht="15" x14ac:dyDescent="0.2">
      <c r="A409" s="436"/>
      <c r="B409" s="437"/>
      <c r="C409" s="438"/>
      <c r="D409" s="439"/>
      <c r="E409" s="440"/>
      <c r="F409" s="441"/>
      <c r="G409" s="442"/>
      <c r="H409" s="443"/>
      <c r="I409" s="444"/>
      <c r="J409" s="445"/>
      <c r="K409" s="446"/>
      <c r="L409" s="447"/>
      <c r="M409" s="448"/>
      <c r="N409" s="449"/>
      <c r="O409" s="450"/>
      <c r="P409" s="447"/>
      <c r="Q409" s="450"/>
      <c r="R409" s="451"/>
      <c r="S409" s="452"/>
      <c r="T409" s="453"/>
      <c r="U409" s="454"/>
      <c r="V409" s="455">
        <f t="shared" ca="1" si="124"/>
        <v>370</v>
      </c>
      <c r="W409" s="456">
        <f t="shared" ca="1" si="123"/>
        <v>0</v>
      </c>
      <c r="X409" s="456">
        <f ca="1">IF(COUNTA(OFFSET(#REF!,1,0))-COUNTA(#REF!)=-1,0,1)</f>
        <v>1</v>
      </c>
      <c r="Y409" s="457"/>
      <c r="Z409" s="457"/>
    </row>
    <row r="410" spans="1:26" s="458" customFormat="1" ht="15.75" x14ac:dyDescent="0.2">
      <c r="A410" s="436"/>
      <c r="B410" s="437"/>
      <c r="C410" s="459" t="s">
        <v>532</v>
      </c>
      <c r="D410" s="439"/>
      <c r="E410" s="440"/>
      <c r="F410" s="441"/>
      <c r="G410" s="442"/>
      <c r="H410" s="443"/>
      <c r="I410" s="444"/>
      <c r="J410" s="445"/>
      <c r="K410" s="446"/>
      <c r="L410" s="447"/>
      <c r="M410" s="448"/>
      <c r="N410" s="448"/>
      <c r="O410" s="450"/>
      <c r="P410" s="447"/>
      <c r="Q410" s="450"/>
      <c r="R410" s="451"/>
      <c r="S410" s="452"/>
      <c r="T410" s="453">
        <v>32</v>
      </c>
      <c r="U410" s="454"/>
      <c r="V410" s="455">
        <f t="shared" ca="1" si="124"/>
        <v>370</v>
      </c>
      <c r="W410" s="456">
        <f t="shared" ca="1" si="123"/>
        <v>2</v>
      </c>
      <c r="X410" s="456">
        <f ca="1">IF(COUNTA(OFFSET(#REF!,1,0))-COUNTA(#REF!)=-1,0,1)</f>
        <v>1</v>
      </c>
      <c r="Y410" s="457"/>
      <c r="Z410" s="457"/>
    </row>
    <row r="411" spans="1:26" s="111" customFormat="1" ht="25.5" x14ac:dyDescent="0.2">
      <c r="A411" s="399"/>
      <c r="B411" s="322"/>
      <c r="C411" s="312" t="s">
        <v>517</v>
      </c>
      <c r="D411" s="419">
        <v>71</v>
      </c>
      <c r="E411" s="316" t="s">
        <v>518</v>
      </c>
      <c r="F411" s="420">
        <v>7</v>
      </c>
      <c r="G411" s="419">
        <v>72</v>
      </c>
      <c r="H411" s="316" t="s">
        <v>518</v>
      </c>
      <c r="I411" s="420">
        <v>17</v>
      </c>
      <c r="J411" s="317"/>
      <c r="K411" s="421">
        <f>ABS((G411*20+I411)-(D411*20+F411))</f>
        <v>30</v>
      </c>
      <c r="L411" s="328">
        <v>12</v>
      </c>
      <c r="M411" s="422">
        <v>0.25</v>
      </c>
      <c r="N411" s="423">
        <f>L411*M411</f>
        <v>3</v>
      </c>
      <c r="O411" s="334"/>
      <c r="P411" s="328"/>
      <c r="Q411" s="334"/>
      <c r="R411" s="319">
        <f>K411*N411</f>
        <v>90</v>
      </c>
      <c r="S411" s="331" t="str">
        <f>$S$554</f>
        <v>m³</v>
      </c>
      <c r="T411" s="320">
        <v>32</v>
      </c>
      <c r="U411" s="424" t="s">
        <v>519</v>
      </c>
      <c r="V411" s="815">
        <f t="shared" ca="1" si="124"/>
        <v>370</v>
      </c>
      <c r="W411" s="250">
        <f t="shared" ca="1" si="123"/>
        <v>2</v>
      </c>
      <c r="X411" s="250">
        <f ca="1">IF(COUNTA(OFFSET(A410,1,0))-COUNTA(A410)=-1,0,1)</f>
        <v>1</v>
      </c>
      <c r="Y411" s="250"/>
      <c r="Z411" s="250"/>
    </row>
    <row r="412" spans="1:26" s="458" customFormat="1" ht="25.5" x14ac:dyDescent="0.2">
      <c r="A412" s="436"/>
      <c r="B412" s="437"/>
      <c r="C412" s="438" t="s">
        <v>520</v>
      </c>
      <c r="D412" s="419">
        <v>71</v>
      </c>
      <c r="E412" s="316" t="s">
        <v>518</v>
      </c>
      <c r="F412" s="420">
        <v>7</v>
      </c>
      <c r="G412" s="419">
        <v>72</v>
      </c>
      <c r="H412" s="316" t="s">
        <v>518</v>
      </c>
      <c r="I412" s="420">
        <v>17</v>
      </c>
      <c r="J412" s="445"/>
      <c r="K412" s="446">
        <f>ABS((G412*20+I412)-(D412*20+F412))</f>
        <v>30</v>
      </c>
      <c r="L412" s="447">
        <v>3</v>
      </c>
      <c r="M412" s="448">
        <v>0.25</v>
      </c>
      <c r="N412" s="449">
        <f>L412*M412</f>
        <v>0.75</v>
      </c>
      <c r="O412" s="450"/>
      <c r="P412" s="447"/>
      <c r="Q412" s="450"/>
      <c r="R412" s="451">
        <f>K412*N412</f>
        <v>22.5</v>
      </c>
      <c r="S412" s="452" t="str">
        <f>$S$554</f>
        <v>m³</v>
      </c>
      <c r="T412" s="453">
        <v>32</v>
      </c>
      <c r="U412" s="460" t="s">
        <v>519</v>
      </c>
      <c r="V412" s="455">
        <f t="shared" ca="1" si="124"/>
        <v>370</v>
      </c>
      <c r="W412" s="456">
        <f t="shared" ca="1" si="123"/>
        <v>2</v>
      </c>
      <c r="X412" s="456">
        <f ca="1">IF(COUNTA(OFFSET(A411,1,0))-COUNTA(A411)=-1,0,1)</f>
        <v>1</v>
      </c>
      <c r="Y412" s="457"/>
      <c r="Z412" s="457"/>
    </row>
    <row r="413" spans="1:26" s="458" customFormat="1" ht="25.5" x14ac:dyDescent="0.2">
      <c r="A413" s="436"/>
      <c r="B413" s="437"/>
      <c r="C413" s="438" t="s">
        <v>521</v>
      </c>
      <c r="D413" s="419">
        <v>71</v>
      </c>
      <c r="E413" s="316" t="s">
        <v>518</v>
      </c>
      <c r="F413" s="420">
        <v>7</v>
      </c>
      <c r="G413" s="419">
        <v>72</v>
      </c>
      <c r="H413" s="316" t="s">
        <v>518</v>
      </c>
      <c r="I413" s="420">
        <v>17</v>
      </c>
      <c r="J413" s="445"/>
      <c r="K413" s="446">
        <f>ABS((G413*20+I413)-(D413*20+F413))</f>
        <v>30</v>
      </c>
      <c r="L413" s="447">
        <v>3</v>
      </c>
      <c r="M413" s="448">
        <v>0.25</v>
      </c>
      <c r="N413" s="449">
        <f>L413*M413</f>
        <v>0.75</v>
      </c>
      <c r="O413" s="450"/>
      <c r="P413" s="447"/>
      <c r="Q413" s="450"/>
      <c r="R413" s="451">
        <f>K413*N413</f>
        <v>22.5</v>
      </c>
      <c r="S413" s="452" t="str">
        <f>$S$554</f>
        <v>m³</v>
      </c>
      <c r="T413" s="453">
        <v>32</v>
      </c>
      <c r="U413" s="460" t="s">
        <v>519</v>
      </c>
      <c r="V413" s="455">
        <f t="shared" ca="1" si="124"/>
        <v>370</v>
      </c>
      <c r="W413" s="456">
        <f t="shared" ca="1" si="123"/>
        <v>2</v>
      </c>
      <c r="X413" s="456">
        <f ca="1">IF(COUNTA(OFFSET(A412,1,0))-COUNTA(A412)=-1,0,1)</f>
        <v>1</v>
      </c>
      <c r="Y413" s="457"/>
      <c r="Z413" s="457"/>
    </row>
    <row r="414" spans="1:26" s="458" customFormat="1" ht="25.5" x14ac:dyDescent="0.2">
      <c r="A414" s="436"/>
      <c r="B414" s="437"/>
      <c r="C414" s="438" t="s">
        <v>526</v>
      </c>
      <c r="D414" s="419">
        <v>71</v>
      </c>
      <c r="E414" s="316" t="s">
        <v>518</v>
      </c>
      <c r="F414" s="420">
        <v>7</v>
      </c>
      <c r="G414" s="419">
        <v>72</v>
      </c>
      <c r="H414" s="316" t="s">
        <v>518</v>
      </c>
      <c r="I414" s="420">
        <v>17</v>
      </c>
      <c r="J414" s="445"/>
      <c r="K414" s="446">
        <f>ABS((G414*20+I414)-(D414*20+F414))</f>
        <v>30</v>
      </c>
      <c r="L414" s="447">
        <v>0.2</v>
      </c>
      <c r="M414" s="448">
        <v>0.2</v>
      </c>
      <c r="N414" s="449">
        <f>L414*M414</f>
        <v>4.0000000000000008E-2</v>
      </c>
      <c r="O414" s="450"/>
      <c r="P414" s="447"/>
      <c r="Q414" s="450"/>
      <c r="R414" s="451">
        <f>K414*N414</f>
        <v>1.2000000000000002</v>
      </c>
      <c r="S414" s="452" t="str">
        <f>$S$554</f>
        <v>m³</v>
      </c>
      <c r="T414" s="453">
        <v>32</v>
      </c>
      <c r="U414" s="460" t="s">
        <v>519</v>
      </c>
      <c r="V414" s="455">
        <f t="shared" ca="1" si="124"/>
        <v>370</v>
      </c>
      <c r="W414" s="456">
        <f t="shared" ca="1" si="123"/>
        <v>2</v>
      </c>
      <c r="X414" s="456">
        <f ca="1">IF(COUNTA(OFFSET(A413,1,0))-COUNTA(A413)=-1,0,1)</f>
        <v>1</v>
      </c>
      <c r="Y414" s="457"/>
      <c r="Z414" s="457"/>
    </row>
    <row r="415" spans="1:26" s="458" customFormat="1" ht="15" x14ac:dyDescent="0.2">
      <c r="A415" s="436"/>
      <c r="B415" s="437"/>
      <c r="C415" s="438"/>
      <c r="D415" s="439"/>
      <c r="E415" s="440"/>
      <c r="F415" s="441"/>
      <c r="G415" s="442"/>
      <c r="H415" s="443"/>
      <c r="I415" s="444"/>
      <c r="J415" s="445"/>
      <c r="K415" s="446"/>
      <c r="L415" s="447"/>
      <c r="M415" s="448"/>
      <c r="N415" s="449"/>
      <c r="O415" s="450"/>
      <c r="P415" s="447"/>
      <c r="Q415" s="450"/>
      <c r="R415" s="451"/>
      <c r="S415" s="452"/>
      <c r="T415" s="453"/>
      <c r="U415" s="454"/>
      <c r="V415" s="455">
        <f t="shared" ca="1" si="119"/>
        <v>370</v>
      </c>
      <c r="W415" s="456">
        <f t="shared" ref="W415:W420" ca="1" si="125">IF(LEFT(_xlfn.FORMULATEXT(V415),3)="=SO",1,IF(COUNTA(A415:U415)=0,0,2))</f>
        <v>0</v>
      </c>
      <c r="X415" s="456">
        <f ca="1">IF(COUNTA(OFFSET(#REF!,1,0))-COUNTA(#REF!)=-1,0,1)</f>
        <v>1</v>
      </c>
      <c r="Y415" s="457"/>
      <c r="Z415" s="457"/>
    </row>
    <row r="416" spans="1:26" s="458" customFormat="1" ht="15.75" x14ac:dyDescent="0.2">
      <c r="A416" s="436"/>
      <c r="B416" s="437"/>
      <c r="C416" s="459" t="s">
        <v>532</v>
      </c>
      <c r="D416" s="439"/>
      <c r="E416" s="440"/>
      <c r="F416" s="441"/>
      <c r="G416" s="442"/>
      <c r="H416" s="443"/>
      <c r="I416" s="444"/>
      <c r="J416" s="445"/>
      <c r="K416" s="446"/>
      <c r="L416" s="447"/>
      <c r="M416" s="448"/>
      <c r="N416" s="448"/>
      <c r="O416" s="450"/>
      <c r="P416" s="447"/>
      <c r="Q416" s="450"/>
      <c r="R416" s="451"/>
      <c r="S416" s="452"/>
      <c r="T416" s="453">
        <v>33</v>
      </c>
      <c r="U416" s="454"/>
      <c r="V416" s="455">
        <f t="shared" ca="1" si="119"/>
        <v>370</v>
      </c>
      <c r="W416" s="456">
        <f t="shared" ca="1" si="125"/>
        <v>2</v>
      </c>
      <c r="X416" s="456">
        <f ca="1">IF(COUNTA(OFFSET(#REF!,1,0))-COUNTA(#REF!)=-1,0,1)</f>
        <v>1</v>
      </c>
      <c r="Y416" s="457"/>
      <c r="Z416" s="457"/>
    </row>
    <row r="417" spans="1:26" s="111" customFormat="1" ht="25.5" x14ac:dyDescent="0.2">
      <c r="A417" s="399"/>
      <c r="B417" s="322"/>
      <c r="C417" s="312" t="s">
        <v>517</v>
      </c>
      <c r="D417" s="419">
        <v>68</v>
      </c>
      <c r="E417" s="316" t="s">
        <v>518</v>
      </c>
      <c r="F417" s="420">
        <v>7</v>
      </c>
      <c r="G417" s="419">
        <v>71</v>
      </c>
      <c r="H417" s="316" t="s">
        <v>518</v>
      </c>
      <c r="I417" s="420">
        <v>7</v>
      </c>
      <c r="J417" s="317"/>
      <c r="K417" s="421">
        <f>ABS((G417*20+I417)-(D417*20+F417))</f>
        <v>60</v>
      </c>
      <c r="L417" s="328">
        <v>12</v>
      </c>
      <c r="M417" s="422">
        <v>0.25</v>
      </c>
      <c r="N417" s="423">
        <f>L417*M417</f>
        <v>3</v>
      </c>
      <c r="O417" s="334"/>
      <c r="P417" s="328"/>
      <c r="Q417" s="334"/>
      <c r="R417" s="319">
        <f>K417*N417</f>
        <v>180</v>
      </c>
      <c r="S417" s="331" t="str">
        <f>$S$584</f>
        <v xml:space="preserve"> m³</v>
      </c>
      <c r="T417" s="320">
        <v>33</v>
      </c>
      <c r="U417" s="424" t="s">
        <v>519</v>
      </c>
      <c r="V417" s="815">
        <f t="shared" ca="1" si="119"/>
        <v>370</v>
      </c>
      <c r="W417" s="250">
        <f t="shared" ca="1" si="125"/>
        <v>2</v>
      </c>
      <c r="X417" s="250">
        <f ca="1">IF(COUNTA(OFFSET(A416,1,0))-COUNTA(A416)=-1,0,1)</f>
        <v>1</v>
      </c>
      <c r="Y417" s="250"/>
      <c r="Z417" s="250"/>
    </row>
    <row r="418" spans="1:26" s="458" customFormat="1" ht="25.5" x14ac:dyDescent="0.2">
      <c r="A418" s="436"/>
      <c r="B418" s="437"/>
      <c r="C418" s="438" t="s">
        <v>520</v>
      </c>
      <c r="D418" s="419">
        <v>68</v>
      </c>
      <c r="E418" s="316" t="s">
        <v>518</v>
      </c>
      <c r="F418" s="420">
        <v>7</v>
      </c>
      <c r="G418" s="419">
        <v>71</v>
      </c>
      <c r="H418" s="316" t="s">
        <v>518</v>
      </c>
      <c r="I418" s="420">
        <v>7</v>
      </c>
      <c r="J418" s="445"/>
      <c r="K418" s="446">
        <f>ABS((G418*20+I418)-(D418*20+F418))</f>
        <v>60</v>
      </c>
      <c r="L418" s="447">
        <v>3</v>
      </c>
      <c r="M418" s="448">
        <v>0.25</v>
      </c>
      <c r="N418" s="449">
        <f>L418*M418</f>
        <v>0.75</v>
      </c>
      <c r="O418" s="450"/>
      <c r="P418" s="447"/>
      <c r="Q418" s="450"/>
      <c r="R418" s="451">
        <f>K418*N418</f>
        <v>45</v>
      </c>
      <c r="S418" s="452" t="str">
        <f>$S$584</f>
        <v xml:space="preserve"> m³</v>
      </c>
      <c r="T418" s="453">
        <v>33</v>
      </c>
      <c r="U418" s="460" t="s">
        <v>519</v>
      </c>
      <c r="V418" s="455">
        <f t="shared" ca="1" si="119"/>
        <v>370</v>
      </c>
      <c r="W418" s="456">
        <f t="shared" ca="1" si="125"/>
        <v>2</v>
      </c>
      <c r="X418" s="456">
        <f ca="1">IF(COUNTA(OFFSET(A417,1,0))-COUNTA(A417)=-1,0,1)</f>
        <v>1</v>
      </c>
      <c r="Y418" s="457"/>
      <c r="Z418" s="457"/>
    </row>
    <row r="419" spans="1:26" s="458" customFormat="1" ht="25.5" x14ac:dyDescent="0.2">
      <c r="A419" s="436"/>
      <c r="B419" s="437"/>
      <c r="C419" s="438" t="s">
        <v>521</v>
      </c>
      <c r="D419" s="419">
        <v>68</v>
      </c>
      <c r="E419" s="316" t="s">
        <v>518</v>
      </c>
      <c r="F419" s="420">
        <v>7</v>
      </c>
      <c r="G419" s="419">
        <v>71</v>
      </c>
      <c r="H419" s="316" t="s">
        <v>518</v>
      </c>
      <c r="I419" s="420">
        <v>7</v>
      </c>
      <c r="J419" s="445"/>
      <c r="K419" s="446">
        <f>ABS((G419*20+I419)-(D419*20+F419))</f>
        <v>60</v>
      </c>
      <c r="L419" s="447">
        <v>3</v>
      </c>
      <c r="M419" s="448">
        <v>0.25</v>
      </c>
      <c r="N419" s="449">
        <f>L419*M419</f>
        <v>0.75</v>
      </c>
      <c r="O419" s="450"/>
      <c r="P419" s="447"/>
      <c r="Q419" s="450"/>
      <c r="R419" s="451">
        <f>K419*N419</f>
        <v>45</v>
      </c>
      <c r="S419" s="452" t="str">
        <f>$S$584</f>
        <v xml:space="preserve"> m³</v>
      </c>
      <c r="T419" s="453">
        <v>33</v>
      </c>
      <c r="U419" s="460" t="s">
        <v>519</v>
      </c>
      <c r="V419" s="455">
        <f t="shared" ca="1" si="119"/>
        <v>370</v>
      </c>
      <c r="W419" s="456">
        <f t="shared" ca="1" si="125"/>
        <v>2</v>
      </c>
      <c r="X419" s="456">
        <f ca="1">IF(COUNTA(OFFSET(A418,1,0))-COUNTA(A418)=-1,0,1)</f>
        <v>1</v>
      </c>
      <c r="Y419" s="457"/>
      <c r="Z419" s="457"/>
    </row>
    <row r="420" spans="1:26" s="458" customFormat="1" ht="25.5" x14ac:dyDescent="0.2">
      <c r="A420" s="436"/>
      <c r="B420" s="437"/>
      <c r="C420" s="438" t="s">
        <v>526</v>
      </c>
      <c r="D420" s="419">
        <v>68</v>
      </c>
      <c r="E420" s="316" t="s">
        <v>518</v>
      </c>
      <c r="F420" s="420">
        <v>7</v>
      </c>
      <c r="G420" s="419">
        <v>71</v>
      </c>
      <c r="H420" s="316" t="s">
        <v>518</v>
      </c>
      <c r="I420" s="420">
        <v>7</v>
      </c>
      <c r="J420" s="445"/>
      <c r="K420" s="446">
        <f>ABS((G420*20+I420)-(D420*20+F420))</f>
        <v>60</v>
      </c>
      <c r="L420" s="447">
        <v>0.2</v>
      </c>
      <c r="M420" s="448">
        <v>0.2</v>
      </c>
      <c r="N420" s="449">
        <f>L420*M420</f>
        <v>4.0000000000000008E-2</v>
      </c>
      <c r="O420" s="450"/>
      <c r="P420" s="447"/>
      <c r="Q420" s="450"/>
      <c r="R420" s="451">
        <f>K420*N420</f>
        <v>2.4000000000000004</v>
      </c>
      <c r="S420" s="452" t="str">
        <f>$S$584</f>
        <v xml:space="preserve"> m³</v>
      </c>
      <c r="T420" s="453">
        <v>33</v>
      </c>
      <c r="U420" s="460" t="s">
        <v>519</v>
      </c>
      <c r="V420" s="455">
        <f t="shared" ca="1" si="119"/>
        <v>370</v>
      </c>
      <c r="W420" s="456">
        <f t="shared" ca="1" si="125"/>
        <v>2</v>
      </c>
      <c r="X420" s="456">
        <f ca="1">IF(COUNTA(OFFSET(A419,1,0))-COUNTA(A419)=-1,0,1)</f>
        <v>1</v>
      </c>
      <c r="Y420" s="457"/>
      <c r="Z420" s="457"/>
    </row>
    <row r="421" spans="1:26" s="458" customFormat="1" ht="15" x14ac:dyDescent="0.2">
      <c r="A421" s="436"/>
      <c r="B421" s="861"/>
      <c r="C421" s="438"/>
      <c r="D421" s="439"/>
      <c r="E421" s="440"/>
      <c r="F421" s="441"/>
      <c r="G421" s="442"/>
      <c r="H421" s="443"/>
      <c r="I421" s="444"/>
      <c r="J421" s="445"/>
      <c r="K421" s="446"/>
      <c r="L421" s="447"/>
      <c r="M421" s="448"/>
      <c r="N421" s="449"/>
      <c r="O421" s="450"/>
      <c r="P421" s="447"/>
      <c r="Q421" s="450"/>
      <c r="R421" s="451"/>
      <c r="S421" s="452"/>
      <c r="T421" s="863"/>
      <c r="U421" s="926"/>
      <c r="V421" s="455">
        <f t="shared" ca="1" si="119"/>
        <v>370</v>
      </c>
      <c r="W421" s="456">
        <f t="shared" ref="W421:W433" ca="1" si="126">IF(LEFT(_xlfn.FORMULATEXT(V421),3)="=SO",1,IF(COUNTA(A421:U421)=0,0,2))</f>
        <v>0</v>
      </c>
      <c r="X421" s="456">
        <f t="shared" ref="X421:X433" ca="1" si="127">IF(COUNTA(OFFSET(A420,1,0))-COUNTA(A420)=-1,0,1)</f>
        <v>1</v>
      </c>
      <c r="Y421" s="457"/>
      <c r="Z421" s="457"/>
    </row>
    <row r="422" spans="1:26" s="458" customFormat="1" ht="25.5" customHeight="1" x14ac:dyDescent="0.2">
      <c r="A422" s="436"/>
      <c r="B422" s="861"/>
      <c r="C422" s="434" t="s">
        <v>532</v>
      </c>
      <c r="D422" s="417"/>
      <c r="E422" s="314"/>
      <c r="F422" s="418"/>
      <c r="G422" s="419"/>
      <c r="H422" s="316"/>
      <c r="I422" s="420"/>
      <c r="J422" s="317"/>
      <c r="K422" s="421"/>
      <c r="L422" s="328"/>
      <c r="M422" s="422"/>
      <c r="N422" s="422"/>
      <c r="O422" s="334"/>
      <c r="P422" s="328"/>
      <c r="Q422" s="334"/>
      <c r="R422" s="319"/>
      <c r="S422" s="331"/>
      <c r="T422" s="506"/>
      <c r="U422" s="927"/>
      <c r="V422" s="455">
        <f t="shared" ca="1" si="119"/>
        <v>370</v>
      </c>
      <c r="W422" s="456">
        <f t="shared" ca="1" si="126"/>
        <v>2</v>
      </c>
      <c r="X422" s="456">
        <f t="shared" ca="1" si="127"/>
        <v>1</v>
      </c>
      <c r="Y422" s="457"/>
      <c r="Z422" s="457"/>
    </row>
    <row r="423" spans="1:26" s="458" customFormat="1" ht="25.5" customHeight="1" x14ac:dyDescent="0.2">
      <c r="A423" s="436"/>
      <c r="B423" s="861"/>
      <c r="C423" s="312" t="s">
        <v>517</v>
      </c>
      <c r="D423" s="419">
        <v>66</v>
      </c>
      <c r="E423" s="316" t="s">
        <v>518</v>
      </c>
      <c r="F423" s="420">
        <v>17</v>
      </c>
      <c r="G423" s="419">
        <v>68</v>
      </c>
      <c r="H423" s="316" t="s">
        <v>518</v>
      </c>
      <c r="I423" s="420">
        <v>7</v>
      </c>
      <c r="J423" s="317"/>
      <c r="K423" s="421">
        <f>ABS((G423*20+I423)-(D423*20+F423))</f>
        <v>30</v>
      </c>
      <c r="L423" s="328">
        <v>12</v>
      </c>
      <c r="M423" s="422">
        <v>0.25</v>
      </c>
      <c r="N423" s="423">
        <f>L423*M423</f>
        <v>3</v>
      </c>
      <c r="O423" s="334"/>
      <c r="P423" s="328"/>
      <c r="Q423" s="334"/>
      <c r="R423" s="319">
        <f>K423*N423</f>
        <v>90</v>
      </c>
      <c r="S423" s="331" t="str">
        <f>$L$552</f>
        <v>m³</v>
      </c>
      <c r="T423" s="506">
        <v>33</v>
      </c>
      <c r="U423" s="928" t="s">
        <v>519</v>
      </c>
      <c r="V423" s="455">
        <f t="shared" ca="1" si="119"/>
        <v>370</v>
      </c>
      <c r="W423" s="456">
        <f t="shared" ca="1" si="126"/>
        <v>2</v>
      </c>
      <c r="X423" s="456">
        <f t="shared" ca="1" si="127"/>
        <v>1</v>
      </c>
      <c r="Y423" s="457"/>
      <c r="Z423" s="457"/>
    </row>
    <row r="424" spans="1:26" s="458" customFormat="1" ht="25.5" customHeight="1" x14ac:dyDescent="0.2">
      <c r="A424" s="436"/>
      <c r="B424" s="861"/>
      <c r="C424" s="312" t="s">
        <v>520</v>
      </c>
      <c r="D424" s="419">
        <v>66</v>
      </c>
      <c r="E424" s="316" t="s">
        <v>518</v>
      </c>
      <c r="F424" s="420">
        <v>17</v>
      </c>
      <c r="G424" s="419">
        <v>68</v>
      </c>
      <c r="H424" s="316" t="s">
        <v>518</v>
      </c>
      <c r="I424" s="420">
        <v>7</v>
      </c>
      <c r="J424" s="317"/>
      <c r="K424" s="421">
        <f>ABS((G424*20+I424)-(D424*20+F424))</f>
        <v>30</v>
      </c>
      <c r="L424" s="328">
        <v>3</v>
      </c>
      <c r="M424" s="422">
        <v>0.25</v>
      </c>
      <c r="N424" s="423">
        <f>L424*M424</f>
        <v>0.75</v>
      </c>
      <c r="O424" s="334"/>
      <c r="P424" s="328"/>
      <c r="Q424" s="334"/>
      <c r="R424" s="319">
        <f>K424*N424</f>
        <v>22.5</v>
      </c>
      <c r="S424" s="331" t="str">
        <f>$L$552</f>
        <v>m³</v>
      </c>
      <c r="T424" s="506">
        <v>33</v>
      </c>
      <c r="U424" s="928" t="s">
        <v>519</v>
      </c>
      <c r="V424" s="455">
        <f t="shared" ca="1" si="119"/>
        <v>370</v>
      </c>
      <c r="W424" s="456">
        <f t="shared" ca="1" si="126"/>
        <v>2</v>
      </c>
      <c r="X424" s="456">
        <f t="shared" ca="1" si="127"/>
        <v>1</v>
      </c>
      <c r="Y424" s="457"/>
      <c r="Z424" s="457"/>
    </row>
    <row r="425" spans="1:26" s="458" customFormat="1" ht="25.5" customHeight="1" x14ac:dyDescent="0.2">
      <c r="A425" s="436"/>
      <c r="B425" s="861"/>
      <c r="C425" s="312" t="s">
        <v>521</v>
      </c>
      <c r="D425" s="419">
        <v>66</v>
      </c>
      <c r="E425" s="316" t="s">
        <v>518</v>
      </c>
      <c r="F425" s="420">
        <v>17</v>
      </c>
      <c r="G425" s="419">
        <v>68</v>
      </c>
      <c r="H425" s="316" t="s">
        <v>518</v>
      </c>
      <c r="I425" s="420">
        <v>7</v>
      </c>
      <c r="J425" s="317"/>
      <c r="K425" s="421">
        <f>ABS((G425*20+I425)-(D425*20+F425))</f>
        <v>30</v>
      </c>
      <c r="L425" s="328">
        <v>3</v>
      </c>
      <c r="M425" s="422">
        <v>0.25</v>
      </c>
      <c r="N425" s="423">
        <f>L425*M425</f>
        <v>0.75</v>
      </c>
      <c r="O425" s="334"/>
      <c r="P425" s="328"/>
      <c r="Q425" s="334"/>
      <c r="R425" s="319">
        <f>K425*N425</f>
        <v>22.5</v>
      </c>
      <c r="S425" s="331" t="str">
        <f>$L$552</f>
        <v>m³</v>
      </c>
      <c r="T425" s="506">
        <v>33</v>
      </c>
      <c r="U425" s="928" t="s">
        <v>519</v>
      </c>
      <c r="V425" s="455">
        <f t="shared" ca="1" si="119"/>
        <v>370</v>
      </c>
      <c r="W425" s="456">
        <f t="shared" ca="1" si="126"/>
        <v>2</v>
      </c>
      <c r="X425" s="456">
        <f t="shared" ca="1" si="127"/>
        <v>1</v>
      </c>
      <c r="Y425" s="457"/>
      <c r="Z425" s="457"/>
    </row>
    <row r="426" spans="1:26" s="458" customFormat="1" ht="25.5" customHeight="1" x14ac:dyDescent="0.2">
      <c r="A426" s="436"/>
      <c r="B426" s="861"/>
      <c r="C426" s="312" t="s">
        <v>526</v>
      </c>
      <c r="D426" s="419">
        <v>66</v>
      </c>
      <c r="E426" s="316" t="s">
        <v>518</v>
      </c>
      <c r="F426" s="420">
        <v>17</v>
      </c>
      <c r="G426" s="419">
        <v>68</v>
      </c>
      <c r="H426" s="316" t="s">
        <v>518</v>
      </c>
      <c r="I426" s="420">
        <v>7</v>
      </c>
      <c r="J426" s="317"/>
      <c r="K426" s="421">
        <f>ABS((G426*20+I426)-(D426*20+F426))</f>
        <v>30</v>
      </c>
      <c r="L426" s="328">
        <v>0.2</v>
      </c>
      <c r="M426" s="422">
        <v>0.2</v>
      </c>
      <c r="N426" s="423">
        <f>L426*M426</f>
        <v>4.0000000000000008E-2</v>
      </c>
      <c r="O426" s="334"/>
      <c r="P426" s="328"/>
      <c r="Q426" s="334"/>
      <c r="R426" s="319">
        <f>K426*N426</f>
        <v>1.2000000000000002</v>
      </c>
      <c r="S426" s="331" t="str">
        <f>$L$552</f>
        <v>m³</v>
      </c>
      <c r="T426" s="506">
        <v>33</v>
      </c>
      <c r="U426" s="928" t="s">
        <v>519</v>
      </c>
      <c r="V426" s="455">
        <f t="shared" ca="1" si="119"/>
        <v>370</v>
      </c>
      <c r="W426" s="456">
        <f t="shared" ca="1" si="126"/>
        <v>2</v>
      </c>
      <c r="X426" s="456">
        <f t="shared" ca="1" si="127"/>
        <v>1</v>
      </c>
      <c r="Y426" s="457"/>
      <c r="Z426" s="457"/>
    </row>
    <row r="427" spans="1:26" s="458" customFormat="1" ht="15" x14ac:dyDescent="0.2">
      <c r="A427" s="436"/>
      <c r="B427" s="861"/>
      <c r="C427" s="917"/>
      <c r="D427" s="496"/>
      <c r="E427" s="497"/>
      <c r="F427" s="498"/>
      <c r="G427" s="496"/>
      <c r="H427" s="497"/>
      <c r="I427" s="498"/>
      <c r="J427" s="918"/>
      <c r="K427" s="919"/>
      <c r="L427" s="920"/>
      <c r="M427" s="921"/>
      <c r="N427" s="922"/>
      <c r="O427" s="862"/>
      <c r="P427" s="923"/>
      <c r="Q427" s="924"/>
      <c r="R427" s="925"/>
      <c r="S427" s="862"/>
      <c r="T427" s="863"/>
      <c r="U427" s="926"/>
      <c r="V427" s="455">
        <f t="shared" ca="1" si="119"/>
        <v>370</v>
      </c>
      <c r="W427" s="456">
        <f t="shared" ca="1" si="126"/>
        <v>0</v>
      </c>
      <c r="X427" s="456">
        <f t="shared" ca="1" si="127"/>
        <v>1</v>
      </c>
      <c r="Y427" s="457"/>
      <c r="Z427" s="457"/>
    </row>
    <row r="428" spans="1:26" s="458" customFormat="1" ht="15.75" x14ac:dyDescent="0.2">
      <c r="A428" s="436"/>
      <c r="B428" s="861"/>
      <c r="C428" s="459" t="s">
        <v>532</v>
      </c>
      <c r="D428" s="439"/>
      <c r="E428" s="440"/>
      <c r="F428" s="441"/>
      <c r="G428" s="442"/>
      <c r="H428" s="443"/>
      <c r="I428" s="444"/>
      <c r="J428" s="445"/>
      <c r="K428" s="446"/>
      <c r="L428" s="447"/>
      <c r="M428" s="448"/>
      <c r="N428" s="448"/>
      <c r="O428" s="450"/>
      <c r="P428" s="447"/>
      <c r="Q428" s="450"/>
      <c r="R428" s="451"/>
      <c r="S428" s="452"/>
      <c r="T428" s="453">
        <v>34</v>
      </c>
      <c r="U428" s="454"/>
      <c r="V428" s="455">
        <f t="shared" ca="1" si="119"/>
        <v>370</v>
      </c>
      <c r="W428" s="456">
        <f t="shared" ca="1" si="126"/>
        <v>2</v>
      </c>
      <c r="X428" s="456">
        <f t="shared" ca="1" si="127"/>
        <v>1</v>
      </c>
      <c r="Y428" s="457"/>
      <c r="Z428" s="457"/>
    </row>
    <row r="429" spans="1:26" s="458" customFormat="1" ht="25.5" x14ac:dyDescent="0.2">
      <c r="A429" s="436"/>
      <c r="B429" s="861"/>
      <c r="C429" s="312" t="s">
        <v>517</v>
      </c>
      <c r="D429" s="419">
        <v>65</v>
      </c>
      <c r="E429" s="316" t="s">
        <v>518</v>
      </c>
      <c r="F429" s="420">
        <v>5</v>
      </c>
      <c r="G429" s="419">
        <v>66</v>
      </c>
      <c r="H429" s="316" t="s">
        <v>518</v>
      </c>
      <c r="I429" s="420">
        <v>17</v>
      </c>
      <c r="J429" s="317"/>
      <c r="K429" s="421">
        <f>ABS((G429*20+I429)-(D429*20+F429))</f>
        <v>32</v>
      </c>
      <c r="L429" s="328">
        <v>12</v>
      </c>
      <c r="M429" s="422">
        <v>0.25</v>
      </c>
      <c r="N429" s="423">
        <f>L429*M429</f>
        <v>3</v>
      </c>
      <c r="O429" s="334"/>
      <c r="P429" s="328"/>
      <c r="Q429" s="334"/>
      <c r="R429" s="319">
        <f>K429*N429</f>
        <v>96</v>
      </c>
      <c r="S429" s="331" t="str">
        <f>$L$552</f>
        <v>m³</v>
      </c>
      <c r="T429" s="320">
        <v>34</v>
      </c>
      <c r="U429" s="424" t="s">
        <v>519</v>
      </c>
      <c r="V429" s="455">
        <f t="shared" ca="1" si="119"/>
        <v>370</v>
      </c>
      <c r="W429" s="456">
        <f t="shared" ca="1" si="126"/>
        <v>2</v>
      </c>
      <c r="X429" s="456">
        <f t="shared" ca="1" si="127"/>
        <v>1</v>
      </c>
      <c r="Y429" s="457"/>
      <c r="Z429" s="457"/>
    </row>
    <row r="430" spans="1:26" s="458" customFormat="1" ht="25.5" x14ac:dyDescent="0.2">
      <c r="A430" s="436"/>
      <c r="B430" s="861"/>
      <c r="C430" s="438" t="s">
        <v>520</v>
      </c>
      <c r="D430" s="419">
        <v>65</v>
      </c>
      <c r="E430" s="316" t="s">
        <v>518</v>
      </c>
      <c r="F430" s="420">
        <v>5</v>
      </c>
      <c r="G430" s="419">
        <v>66</v>
      </c>
      <c r="H430" s="316" t="s">
        <v>518</v>
      </c>
      <c r="I430" s="420">
        <v>17</v>
      </c>
      <c r="J430" s="445"/>
      <c r="K430" s="446">
        <f>ABS((G430*20+I430)-(D430*20+F430))</f>
        <v>32</v>
      </c>
      <c r="L430" s="447">
        <v>3</v>
      </c>
      <c r="M430" s="448">
        <v>0.25</v>
      </c>
      <c r="N430" s="449">
        <f>L430*M430</f>
        <v>0.75</v>
      </c>
      <c r="O430" s="450"/>
      <c r="P430" s="447"/>
      <c r="Q430" s="450"/>
      <c r="R430" s="451">
        <f>K430*N430</f>
        <v>24</v>
      </c>
      <c r="S430" s="331" t="str">
        <f>$L$552</f>
        <v>m³</v>
      </c>
      <c r="T430" s="453">
        <v>34</v>
      </c>
      <c r="U430" s="460" t="s">
        <v>519</v>
      </c>
      <c r="V430" s="455">
        <f t="shared" ca="1" si="119"/>
        <v>370</v>
      </c>
      <c r="W430" s="456">
        <f t="shared" ca="1" si="126"/>
        <v>2</v>
      </c>
      <c r="X430" s="456">
        <f t="shared" ca="1" si="127"/>
        <v>1</v>
      </c>
      <c r="Y430" s="457"/>
      <c r="Z430" s="457"/>
    </row>
    <row r="431" spans="1:26" s="458" customFormat="1" ht="25.5" x14ac:dyDescent="0.2">
      <c r="A431" s="436"/>
      <c r="B431" s="861"/>
      <c r="C431" s="438" t="s">
        <v>521</v>
      </c>
      <c r="D431" s="419">
        <v>65</v>
      </c>
      <c r="E431" s="316" t="s">
        <v>518</v>
      </c>
      <c r="F431" s="420">
        <v>5</v>
      </c>
      <c r="G431" s="419">
        <v>66</v>
      </c>
      <c r="H431" s="316" t="s">
        <v>518</v>
      </c>
      <c r="I431" s="420">
        <v>17</v>
      </c>
      <c r="J431" s="445"/>
      <c r="K431" s="446">
        <f>ABS((G431*20+I431)-(D431*20+F431))</f>
        <v>32</v>
      </c>
      <c r="L431" s="447">
        <v>3</v>
      </c>
      <c r="M431" s="448">
        <v>0.25</v>
      </c>
      <c r="N431" s="449">
        <f>L431*M431</f>
        <v>0.75</v>
      </c>
      <c r="O431" s="450"/>
      <c r="P431" s="447"/>
      <c r="Q431" s="450"/>
      <c r="R431" s="451">
        <f>K431*N431</f>
        <v>24</v>
      </c>
      <c r="S431" s="331" t="str">
        <f>$L$552</f>
        <v>m³</v>
      </c>
      <c r="T431" s="453">
        <v>34</v>
      </c>
      <c r="U431" s="460" t="s">
        <v>519</v>
      </c>
      <c r="V431" s="455">
        <f t="shared" ca="1" si="119"/>
        <v>370</v>
      </c>
      <c r="W431" s="456">
        <f t="shared" ca="1" si="126"/>
        <v>2</v>
      </c>
      <c r="X431" s="456">
        <f t="shared" ca="1" si="127"/>
        <v>1</v>
      </c>
      <c r="Y431" s="457"/>
      <c r="Z431" s="457"/>
    </row>
    <row r="432" spans="1:26" s="458" customFormat="1" ht="25.5" x14ac:dyDescent="0.2">
      <c r="A432" s="436"/>
      <c r="B432" s="861"/>
      <c r="C432" s="438" t="s">
        <v>526</v>
      </c>
      <c r="D432" s="419">
        <v>65</v>
      </c>
      <c r="E432" s="316" t="s">
        <v>518</v>
      </c>
      <c r="F432" s="420">
        <v>5</v>
      </c>
      <c r="G432" s="419">
        <v>66</v>
      </c>
      <c r="H432" s="316" t="s">
        <v>518</v>
      </c>
      <c r="I432" s="420">
        <v>17</v>
      </c>
      <c r="J432" s="445"/>
      <c r="K432" s="446">
        <f>ABS((G432*20+I432)-(D432*20+F432))</f>
        <v>32</v>
      </c>
      <c r="L432" s="447">
        <v>0.2</v>
      </c>
      <c r="M432" s="448">
        <v>0.2</v>
      </c>
      <c r="N432" s="449">
        <f>L432*M432</f>
        <v>4.0000000000000008E-2</v>
      </c>
      <c r="O432" s="450"/>
      <c r="P432" s="447"/>
      <c r="Q432" s="450"/>
      <c r="R432" s="451">
        <f>K432*N432</f>
        <v>1.2800000000000002</v>
      </c>
      <c r="S432" s="331" t="str">
        <f>$L$552</f>
        <v>m³</v>
      </c>
      <c r="T432" s="453">
        <v>34</v>
      </c>
      <c r="U432" s="460" t="s">
        <v>519</v>
      </c>
      <c r="V432" s="455">
        <f t="shared" ca="1" si="119"/>
        <v>370</v>
      </c>
      <c r="W432" s="456">
        <f t="shared" ca="1" si="126"/>
        <v>2</v>
      </c>
      <c r="X432" s="456">
        <f t="shared" ca="1" si="127"/>
        <v>1</v>
      </c>
      <c r="Y432" s="457"/>
      <c r="Z432" s="457"/>
    </row>
    <row r="433" spans="1:26" s="458" customFormat="1" ht="15" x14ac:dyDescent="0.2">
      <c r="A433" s="436"/>
      <c r="B433" s="861"/>
      <c r="C433" s="917"/>
      <c r="D433" s="496"/>
      <c r="E433" s="497"/>
      <c r="F433" s="498"/>
      <c r="G433" s="496"/>
      <c r="H433" s="497"/>
      <c r="I433" s="498"/>
      <c r="J433" s="918"/>
      <c r="K433" s="919"/>
      <c r="L433" s="920"/>
      <c r="M433" s="921"/>
      <c r="N433" s="922"/>
      <c r="O433" s="862"/>
      <c r="P433" s="923"/>
      <c r="Q433" s="924"/>
      <c r="R433" s="925"/>
      <c r="S433" s="862"/>
      <c r="T433" s="863"/>
      <c r="U433" s="926"/>
      <c r="V433" s="455">
        <f t="shared" ca="1" si="119"/>
        <v>370</v>
      </c>
      <c r="W433" s="456">
        <f t="shared" ca="1" si="126"/>
        <v>0</v>
      </c>
      <c r="X433" s="456">
        <f t="shared" ca="1" si="127"/>
        <v>1</v>
      </c>
      <c r="Y433" s="457"/>
      <c r="Z433" s="457"/>
    </row>
    <row r="434" spans="1:26" s="458" customFormat="1" ht="15.75" x14ac:dyDescent="0.2">
      <c r="A434" s="436"/>
      <c r="B434" s="861"/>
      <c r="C434" s="459" t="s">
        <v>532</v>
      </c>
      <c r="D434" s="439"/>
      <c r="E434" s="440"/>
      <c r="F434" s="441"/>
      <c r="G434" s="442"/>
      <c r="H434" s="443"/>
      <c r="I434" s="444"/>
      <c r="J434" s="445"/>
      <c r="K434" s="990"/>
      <c r="L434" s="991"/>
      <c r="M434" s="448"/>
      <c r="N434" s="448"/>
      <c r="O434" s="450"/>
      <c r="P434" s="447"/>
      <c r="Q434" s="450"/>
      <c r="R434" s="451"/>
      <c r="S434" s="452"/>
      <c r="T434" s="863">
        <v>35</v>
      </c>
      <c r="U434" s="926"/>
      <c r="V434" s="455">
        <f t="shared" ca="1" si="119"/>
        <v>370</v>
      </c>
      <c r="W434" s="456">
        <f t="shared" ref="W434:W438" ca="1" si="128">IF(LEFT(_xlfn.FORMULATEXT(V434),3)="=SO",1,IF(COUNTA(A434:U434)=0,0,2))</f>
        <v>2</v>
      </c>
      <c r="X434" s="456">
        <f t="shared" ref="X434:X438" ca="1" si="129">IF(COUNTA(OFFSET(A433,1,0))-COUNTA(A433)=-1,0,1)</f>
        <v>1</v>
      </c>
      <c r="Y434" s="457"/>
      <c r="Z434" s="457"/>
    </row>
    <row r="435" spans="1:26" s="458" customFormat="1" ht="25.5" x14ac:dyDescent="0.2">
      <c r="A435" s="436"/>
      <c r="B435" s="861"/>
      <c r="C435" s="312" t="s">
        <v>517</v>
      </c>
      <c r="D435" s="419">
        <v>62</v>
      </c>
      <c r="E435" s="316" t="s">
        <v>518</v>
      </c>
      <c r="F435" s="420">
        <v>5</v>
      </c>
      <c r="G435" s="419">
        <v>65</v>
      </c>
      <c r="H435" s="316" t="s">
        <v>518</v>
      </c>
      <c r="I435" s="420">
        <v>5</v>
      </c>
      <c r="J435" s="317"/>
      <c r="K435" s="433">
        <f>ABS((G435*20+I435)-(D435*20+F435))</f>
        <v>60</v>
      </c>
      <c r="L435" s="329">
        <v>12</v>
      </c>
      <c r="M435" s="422">
        <v>0.25</v>
      </c>
      <c r="N435" s="423">
        <f>L435*M435</f>
        <v>3</v>
      </c>
      <c r="O435" s="334"/>
      <c r="P435" s="328"/>
      <c r="Q435" s="334"/>
      <c r="R435" s="319">
        <f>K435*N435</f>
        <v>180</v>
      </c>
      <c r="S435" s="331" t="str">
        <f>$L$552</f>
        <v>m³</v>
      </c>
      <c r="T435" s="863">
        <v>35</v>
      </c>
      <c r="U435" s="424" t="s">
        <v>519</v>
      </c>
      <c r="V435" s="455">
        <f t="shared" ca="1" si="119"/>
        <v>370</v>
      </c>
      <c r="W435" s="456">
        <f t="shared" ca="1" si="128"/>
        <v>2</v>
      </c>
      <c r="X435" s="456">
        <f t="shared" ca="1" si="129"/>
        <v>1</v>
      </c>
      <c r="Y435" s="457"/>
      <c r="Z435" s="457"/>
    </row>
    <row r="436" spans="1:26" s="458" customFormat="1" ht="25.5" x14ac:dyDescent="0.2">
      <c r="A436" s="436"/>
      <c r="B436" s="861"/>
      <c r="C436" s="438" t="s">
        <v>520</v>
      </c>
      <c r="D436" s="419">
        <v>62</v>
      </c>
      <c r="E436" s="316" t="s">
        <v>518</v>
      </c>
      <c r="F436" s="420">
        <v>5</v>
      </c>
      <c r="G436" s="419">
        <v>65</v>
      </c>
      <c r="H436" s="316" t="s">
        <v>518</v>
      </c>
      <c r="I436" s="420">
        <v>5</v>
      </c>
      <c r="J436" s="445"/>
      <c r="K436" s="990">
        <f>ABS((G436*20+I436)-(D436*20+F436))</f>
        <v>60</v>
      </c>
      <c r="L436" s="991">
        <v>3</v>
      </c>
      <c r="M436" s="448">
        <v>0.25</v>
      </c>
      <c r="N436" s="449">
        <f>L436*M436</f>
        <v>0.75</v>
      </c>
      <c r="O436" s="450"/>
      <c r="P436" s="447"/>
      <c r="Q436" s="450"/>
      <c r="R436" s="451">
        <f>K436*N436</f>
        <v>45</v>
      </c>
      <c r="S436" s="331" t="str">
        <f>$L$552</f>
        <v>m³</v>
      </c>
      <c r="T436" s="863">
        <v>35</v>
      </c>
      <c r="U436" s="460" t="s">
        <v>519</v>
      </c>
      <c r="V436" s="455">
        <f t="shared" ca="1" si="119"/>
        <v>370</v>
      </c>
      <c r="W436" s="456">
        <f t="shared" ca="1" si="128"/>
        <v>2</v>
      </c>
      <c r="X436" s="456">
        <f t="shared" ca="1" si="129"/>
        <v>1</v>
      </c>
      <c r="Y436" s="457"/>
      <c r="Z436" s="457"/>
    </row>
    <row r="437" spans="1:26" s="458" customFormat="1" ht="25.5" x14ac:dyDescent="0.2">
      <c r="A437" s="436"/>
      <c r="B437" s="861"/>
      <c r="C437" s="438" t="s">
        <v>521</v>
      </c>
      <c r="D437" s="419">
        <v>62</v>
      </c>
      <c r="E437" s="316" t="s">
        <v>518</v>
      </c>
      <c r="F437" s="420">
        <v>5</v>
      </c>
      <c r="G437" s="419">
        <v>65</v>
      </c>
      <c r="H437" s="316" t="s">
        <v>518</v>
      </c>
      <c r="I437" s="420">
        <v>5</v>
      </c>
      <c r="J437" s="445"/>
      <c r="K437" s="990">
        <f>ABS((G437*20+I437)-(D437*20+F437))</f>
        <v>60</v>
      </c>
      <c r="L437" s="991">
        <v>3</v>
      </c>
      <c r="M437" s="448">
        <v>0.25</v>
      </c>
      <c r="N437" s="449">
        <f>L437*M437</f>
        <v>0.75</v>
      </c>
      <c r="O437" s="450"/>
      <c r="P437" s="447"/>
      <c r="Q437" s="450"/>
      <c r="R437" s="451">
        <f>K437*N437</f>
        <v>45</v>
      </c>
      <c r="S437" s="331" t="str">
        <f>$L$552</f>
        <v>m³</v>
      </c>
      <c r="T437" s="863">
        <v>35</v>
      </c>
      <c r="U437" s="460" t="s">
        <v>519</v>
      </c>
      <c r="V437" s="455">
        <f t="shared" ca="1" si="119"/>
        <v>370</v>
      </c>
      <c r="W437" s="456">
        <f t="shared" ca="1" si="128"/>
        <v>2</v>
      </c>
      <c r="X437" s="456">
        <f t="shared" ca="1" si="129"/>
        <v>1</v>
      </c>
      <c r="Y437" s="457"/>
      <c r="Z437" s="457"/>
    </row>
    <row r="438" spans="1:26" s="458" customFormat="1" ht="25.5" x14ac:dyDescent="0.2">
      <c r="A438" s="436"/>
      <c r="B438" s="861"/>
      <c r="C438" s="438" t="s">
        <v>526</v>
      </c>
      <c r="D438" s="419">
        <v>62</v>
      </c>
      <c r="E438" s="316" t="s">
        <v>518</v>
      </c>
      <c r="F438" s="420">
        <v>5</v>
      </c>
      <c r="G438" s="419">
        <v>65</v>
      </c>
      <c r="H438" s="316" t="s">
        <v>518</v>
      </c>
      <c r="I438" s="420">
        <v>5</v>
      </c>
      <c r="J438" s="445"/>
      <c r="K438" s="990">
        <f>ABS((G438*20+I438)-(D438*20+F438))</f>
        <v>60</v>
      </c>
      <c r="L438" s="991">
        <v>0.2</v>
      </c>
      <c r="M438" s="448">
        <v>0.2</v>
      </c>
      <c r="N438" s="449">
        <f>L438*M438</f>
        <v>4.0000000000000008E-2</v>
      </c>
      <c r="O438" s="450"/>
      <c r="P438" s="447"/>
      <c r="Q438" s="450"/>
      <c r="R438" s="451">
        <f>K438*N438</f>
        <v>2.4000000000000004</v>
      </c>
      <c r="S438" s="331" t="str">
        <f>$L$552</f>
        <v>m³</v>
      </c>
      <c r="T438" s="863">
        <v>35</v>
      </c>
      <c r="U438" s="460" t="s">
        <v>519</v>
      </c>
      <c r="V438" s="455">
        <f t="shared" ca="1" si="119"/>
        <v>370</v>
      </c>
      <c r="W438" s="456">
        <f t="shared" ca="1" si="128"/>
        <v>2</v>
      </c>
      <c r="X438" s="456">
        <f t="shared" ca="1" si="129"/>
        <v>1</v>
      </c>
      <c r="Y438" s="457"/>
      <c r="Z438" s="457"/>
    </row>
    <row r="439" spans="1:26" s="458" customFormat="1" ht="15" x14ac:dyDescent="0.2">
      <c r="A439" s="436"/>
      <c r="B439" s="861"/>
      <c r="C439" s="917"/>
      <c r="D439" s="496"/>
      <c r="E439" s="497"/>
      <c r="F439" s="498"/>
      <c r="G439" s="496"/>
      <c r="H439" s="497"/>
      <c r="I439" s="498"/>
      <c r="J439" s="918"/>
      <c r="K439" s="919"/>
      <c r="L439" s="920"/>
      <c r="M439" s="921"/>
      <c r="N439" s="922"/>
      <c r="O439" s="862"/>
      <c r="P439" s="923"/>
      <c r="Q439" s="924"/>
      <c r="R439" s="925"/>
      <c r="S439" s="505"/>
      <c r="T439" s="863"/>
      <c r="U439" s="926"/>
      <c r="V439" s="455">
        <f t="shared" ca="1" si="119"/>
        <v>370</v>
      </c>
      <c r="W439" s="456">
        <f t="shared" ref="W439:W444" ca="1" si="130">IF(LEFT(_xlfn.FORMULATEXT(V439),3)="=SO",1,IF(COUNTA(A439:U439)=0,0,2))</f>
        <v>0</v>
      </c>
      <c r="X439" s="456">
        <f t="shared" ref="X439:X444" ca="1" si="131">IF(COUNTA(OFFSET(A438,1,0))-COUNTA(A438)=-1,0,1)</f>
        <v>1</v>
      </c>
      <c r="Y439" s="457"/>
      <c r="Z439" s="457"/>
    </row>
    <row r="440" spans="1:26" s="458" customFormat="1" ht="15.75" x14ac:dyDescent="0.2">
      <c r="A440" s="436"/>
      <c r="B440" s="861"/>
      <c r="C440" s="459" t="s">
        <v>532</v>
      </c>
      <c r="D440" s="439"/>
      <c r="E440" s="440"/>
      <c r="F440" s="441"/>
      <c r="G440" s="442"/>
      <c r="H440" s="443"/>
      <c r="I440" s="444"/>
      <c r="J440" s="445"/>
      <c r="K440" s="990"/>
      <c r="L440" s="991"/>
      <c r="M440" s="448"/>
      <c r="N440" s="448"/>
      <c r="O440" s="450"/>
      <c r="P440" s="447"/>
      <c r="Q440" s="450"/>
      <c r="R440" s="451"/>
      <c r="S440" s="452"/>
      <c r="T440" s="863">
        <v>36</v>
      </c>
      <c r="U440" s="926"/>
      <c r="V440" s="455">
        <f t="shared" ca="1" si="119"/>
        <v>370</v>
      </c>
      <c r="W440" s="456">
        <f t="shared" ca="1" si="130"/>
        <v>2</v>
      </c>
      <c r="X440" s="456">
        <f t="shared" ca="1" si="131"/>
        <v>1</v>
      </c>
      <c r="Y440" s="457"/>
      <c r="Z440" s="457"/>
    </row>
    <row r="441" spans="1:26" s="458" customFormat="1" ht="25.5" x14ac:dyDescent="0.2">
      <c r="A441" s="436"/>
      <c r="B441" s="861"/>
      <c r="C441" s="312" t="s">
        <v>517</v>
      </c>
      <c r="D441" s="419">
        <v>60</v>
      </c>
      <c r="E441" s="316" t="s">
        <v>518</v>
      </c>
      <c r="F441" s="420">
        <v>0</v>
      </c>
      <c r="G441" s="419">
        <v>62</v>
      </c>
      <c r="H441" s="316" t="s">
        <v>518</v>
      </c>
      <c r="I441" s="420">
        <v>5</v>
      </c>
      <c r="J441" s="317"/>
      <c r="K441" s="433">
        <f>ABS((G441*20+I441)-(D441*20+F441))</f>
        <v>45</v>
      </c>
      <c r="L441" s="329">
        <v>12</v>
      </c>
      <c r="M441" s="422">
        <v>0.25</v>
      </c>
      <c r="N441" s="423">
        <f>L441*M441</f>
        <v>3</v>
      </c>
      <c r="O441" s="334"/>
      <c r="P441" s="328"/>
      <c r="Q441" s="334"/>
      <c r="R441" s="319">
        <f>K441*N441</f>
        <v>135</v>
      </c>
      <c r="S441" s="331" t="str">
        <f>$L$552</f>
        <v>m³</v>
      </c>
      <c r="T441" s="863">
        <v>36</v>
      </c>
      <c r="U441" s="424" t="s">
        <v>519</v>
      </c>
      <c r="V441" s="455">
        <f t="shared" ca="1" si="119"/>
        <v>370</v>
      </c>
      <c r="W441" s="456">
        <f t="shared" ca="1" si="130"/>
        <v>2</v>
      </c>
      <c r="X441" s="456">
        <f t="shared" ca="1" si="131"/>
        <v>1</v>
      </c>
      <c r="Y441" s="457"/>
      <c r="Z441" s="457"/>
    </row>
    <row r="442" spans="1:26" s="458" customFormat="1" ht="25.5" x14ac:dyDescent="0.2">
      <c r="A442" s="436"/>
      <c r="B442" s="861"/>
      <c r="C442" s="438" t="s">
        <v>520</v>
      </c>
      <c r="D442" s="419">
        <v>60</v>
      </c>
      <c r="E442" s="316" t="s">
        <v>518</v>
      </c>
      <c r="F442" s="420">
        <v>0</v>
      </c>
      <c r="G442" s="419">
        <v>62</v>
      </c>
      <c r="H442" s="316" t="s">
        <v>518</v>
      </c>
      <c r="I442" s="420">
        <v>5</v>
      </c>
      <c r="J442" s="445"/>
      <c r="K442" s="990">
        <f>ABS((G442*20+I442)-(D442*20+F442))</f>
        <v>45</v>
      </c>
      <c r="L442" s="991">
        <v>3</v>
      </c>
      <c r="M442" s="448">
        <v>0.25</v>
      </c>
      <c r="N442" s="449">
        <f>L442*M442</f>
        <v>0.75</v>
      </c>
      <c r="O442" s="450"/>
      <c r="P442" s="447"/>
      <c r="Q442" s="450"/>
      <c r="R442" s="451">
        <f>K442*N442</f>
        <v>33.75</v>
      </c>
      <c r="S442" s="331" t="str">
        <f t="shared" ref="S442:S444" si="132">$L$552</f>
        <v>m³</v>
      </c>
      <c r="T442" s="863">
        <v>36</v>
      </c>
      <c r="U442" s="460" t="s">
        <v>519</v>
      </c>
      <c r="V442" s="455">
        <f t="shared" ca="1" si="119"/>
        <v>370</v>
      </c>
      <c r="W442" s="456">
        <f t="shared" ca="1" si="130"/>
        <v>2</v>
      </c>
      <c r="X442" s="456">
        <f t="shared" ca="1" si="131"/>
        <v>1</v>
      </c>
      <c r="Y442" s="457"/>
      <c r="Z442" s="457"/>
    </row>
    <row r="443" spans="1:26" s="458" customFormat="1" ht="25.5" x14ac:dyDescent="0.2">
      <c r="A443" s="436"/>
      <c r="B443" s="861"/>
      <c r="C443" s="438" t="s">
        <v>521</v>
      </c>
      <c r="D443" s="419">
        <v>60</v>
      </c>
      <c r="E443" s="316" t="s">
        <v>518</v>
      </c>
      <c r="F443" s="420">
        <v>0</v>
      </c>
      <c r="G443" s="419">
        <v>62</v>
      </c>
      <c r="H443" s="316" t="s">
        <v>518</v>
      </c>
      <c r="I443" s="420">
        <v>5</v>
      </c>
      <c r="J443" s="445"/>
      <c r="K443" s="990">
        <f>ABS((G443*20+I443)-(D443*20+F443))</f>
        <v>45</v>
      </c>
      <c r="L443" s="991">
        <v>3</v>
      </c>
      <c r="M443" s="448">
        <v>0.25</v>
      </c>
      <c r="N443" s="449">
        <f>L443*M443</f>
        <v>0.75</v>
      </c>
      <c r="O443" s="450"/>
      <c r="P443" s="447"/>
      <c r="Q443" s="450"/>
      <c r="R443" s="451">
        <f>K443*N443</f>
        <v>33.75</v>
      </c>
      <c r="S443" s="331" t="str">
        <f t="shared" si="132"/>
        <v>m³</v>
      </c>
      <c r="T443" s="863">
        <v>36</v>
      </c>
      <c r="U443" s="460" t="s">
        <v>519</v>
      </c>
      <c r="V443" s="455">
        <f t="shared" ca="1" si="119"/>
        <v>370</v>
      </c>
      <c r="W443" s="456">
        <f t="shared" ca="1" si="130"/>
        <v>2</v>
      </c>
      <c r="X443" s="456">
        <f t="shared" ca="1" si="131"/>
        <v>1</v>
      </c>
      <c r="Y443" s="457"/>
      <c r="Z443" s="457"/>
    </row>
    <row r="444" spans="1:26" s="458" customFormat="1" ht="25.5" x14ac:dyDescent="0.2">
      <c r="A444" s="436"/>
      <c r="B444" s="861"/>
      <c r="C444" s="438" t="s">
        <v>526</v>
      </c>
      <c r="D444" s="419">
        <v>60</v>
      </c>
      <c r="E444" s="316" t="s">
        <v>518</v>
      </c>
      <c r="F444" s="420">
        <v>0</v>
      </c>
      <c r="G444" s="419">
        <v>62</v>
      </c>
      <c r="H444" s="316" t="s">
        <v>518</v>
      </c>
      <c r="I444" s="420">
        <v>5</v>
      </c>
      <c r="J444" s="445"/>
      <c r="K444" s="990">
        <f>ABS((G444*20+I444)-(D444*20+F444))</f>
        <v>45</v>
      </c>
      <c r="L444" s="991">
        <v>0.2</v>
      </c>
      <c r="M444" s="448">
        <v>0.2</v>
      </c>
      <c r="N444" s="449">
        <f>L444*M444</f>
        <v>4.0000000000000008E-2</v>
      </c>
      <c r="O444" s="450"/>
      <c r="P444" s="447"/>
      <c r="Q444" s="450"/>
      <c r="R444" s="451">
        <f>K444*N444</f>
        <v>1.8000000000000003</v>
      </c>
      <c r="S444" s="331" t="str">
        <f t="shared" si="132"/>
        <v>m³</v>
      </c>
      <c r="T444" s="863">
        <v>36</v>
      </c>
      <c r="U444" s="460" t="s">
        <v>519</v>
      </c>
      <c r="V444" s="455">
        <f t="shared" ca="1" si="119"/>
        <v>370</v>
      </c>
      <c r="W444" s="456">
        <f t="shared" ca="1" si="130"/>
        <v>2</v>
      </c>
      <c r="X444" s="456">
        <f t="shared" ca="1" si="131"/>
        <v>1</v>
      </c>
      <c r="Y444" s="457"/>
      <c r="Z444" s="457"/>
    </row>
    <row r="445" spans="1:26" s="458" customFormat="1" ht="15" x14ac:dyDescent="0.2">
      <c r="A445" s="436"/>
      <c r="B445" s="861"/>
      <c r="C445" s="917"/>
      <c r="D445" s="496"/>
      <c r="E445" s="497"/>
      <c r="F445" s="498"/>
      <c r="G445" s="496"/>
      <c r="H445" s="497"/>
      <c r="I445" s="498"/>
      <c r="J445" s="918"/>
      <c r="K445" s="919"/>
      <c r="L445" s="920"/>
      <c r="M445" s="921"/>
      <c r="N445" s="922"/>
      <c r="O445" s="862"/>
      <c r="P445" s="923"/>
      <c r="Q445" s="924"/>
      <c r="R445" s="925"/>
      <c r="S445" s="505"/>
      <c r="T445" s="863"/>
      <c r="U445" s="926"/>
      <c r="V445" s="455">
        <f t="shared" ca="1" si="119"/>
        <v>370</v>
      </c>
      <c r="W445" s="456">
        <f t="shared" ref="W445:W450" ca="1" si="133">IF(LEFT(_xlfn.FORMULATEXT(V445),3)="=SO",1,IF(COUNTA(A445:U445)=0,0,2))</f>
        <v>0</v>
      </c>
      <c r="X445" s="456">
        <f t="shared" ref="X445:X450" ca="1" si="134">IF(COUNTA(OFFSET(A444,1,0))-COUNTA(A444)=-1,0,1)</f>
        <v>1</v>
      </c>
      <c r="Y445" s="457"/>
      <c r="Z445" s="457"/>
    </row>
    <row r="446" spans="1:26" s="458" customFormat="1" ht="15.75" x14ac:dyDescent="0.2">
      <c r="A446" s="436"/>
      <c r="B446" s="861"/>
      <c r="C446" s="459" t="s">
        <v>532</v>
      </c>
      <c r="D446" s="439"/>
      <c r="E446" s="440"/>
      <c r="F446" s="441"/>
      <c r="G446" s="442"/>
      <c r="H446" s="443"/>
      <c r="I446" s="444"/>
      <c r="J446" s="445"/>
      <c r="K446" s="990"/>
      <c r="L446" s="991"/>
      <c r="M446" s="448"/>
      <c r="N446" s="448"/>
      <c r="O446" s="450"/>
      <c r="P446" s="447"/>
      <c r="Q446" s="450"/>
      <c r="R446" s="451"/>
      <c r="S446" s="452"/>
      <c r="T446" s="863">
        <v>37</v>
      </c>
      <c r="U446" s="926"/>
      <c r="V446" s="455">
        <f t="shared" ca="1" si="119"/>
        <v>370</v>
      </c>
      <c r="W446" s="456">
        <f t="shared" ca="1" si="133"/>
        <v>2</v>
      </c>
      <c r="X446" s="456">
        <f t="shared" ca="1" si="134"/>
        <v>1</v>
      </c>
      <c r="Y446" s="457"/>
      <c r="Z446" s="457"/>
    </row>
    <row r="447" spans="1:26" s="458" customFormat="1" ht="25.5" x14ac:dyDescent="0.2">
      <c r="A447" s="436"/>
      <c r="B447" s="861"/>
      <c r="C447" s="312" t="s">
        <v>517</v>
      </c>
      <c r="D447" s="419">
        <v>57</v>
      </c>
      <c r="E447" s="316" t="s">
        <v>518</v>
      </c>
      <c r="F447" s="420">
        <v>16</v>
      </c>
      <c r="G447" s="419">
        <v>60</v>
      </c>
      <c r="H447" s="316" t="s">
        <v>518</v>
      </c>
      <c r="I447" s="420">
        <v>0</v>
      </c>
      <c r="J447" s="317"/>
      <c r="K447" s="433">
        <f>ABS((G447*20+I447)-(D447*20+F447))</f>
        <v>44</v>
      </c>
      <c r="L447" s="329">
        <v>12</v>
      </c>
      <c r="M447" s="422">
        <v>0.25</v>
      </c>
      <c r="N447" s="423">
        <f>L447*M447</f>
        <v>3</v>
      </c>
      <c r="O447" s="334"/>
      <c r="P447" s="328"/>
      <c r="Q447" s="334"/>
      <c r="R447" s="319">
        <f>K447*N447</f>
        <v>132</v>
      </c>
      <c r="S447" s="331" t="str">
        <f>$L$552</f>
        <v>m³</v>
      </c>
      <c r="T447" s="863">
        <v>37</v>
      </c>
      <c r="U447" s="424" t="s">
        <v>519</v>
      </c>
      <c r="V447" s="455">
        <f t="shared" ca="1" si="119"/>
        <v>370</v>
      </c>
      <c r="W447" s="456">
        <f t="shared" ca="1" si="133"/>
        <v>2</v>
      </c>
      <c r="X447" s="456">
        <f t="shared" ca="1" si="134"/>
        <v>1</v>
      </c>
      <c r="Y447" s="457"/>
      <c r="Z447" s="457"/>
    </row>
    <row r="448" spans="1:26" s="458" customFormat="1" ht="25.5" x14ac:dyDescent="0.2">
      <c r="A448" s="436"/>
      <c r="B448" s="861"/>
      <c r="C448" s="438" t="s">
        <v>520</v>
      </c>
      <c r="D448" s="419">
        <v>57</v>
      </c>
      <c r="E448" s="316" t="s">
        <v>518</v>
      </c>
      <c r="F448" s="420">
        <v>16</v>
      </c>
      <c r="G448" s="419">
        <v>60</v>
      </c>
      <c r="H448" s="316" t="s">
        <v>518</v>
      </c>
      <c r="I448" s="420">
        <v>0</v>
      </c>
      <c r="J448" s="445"/>
      <c r="K448" s="990">
        <f>ABS((G448*20+I448)-(D448*20+F448))</f>
        <v>44</v>
      </c>
      <c r="L448" s="991">
        <v>3</v>
      </c>
      <c r="M448" s="448">
        <v>0.25</v>
      </c>
      <c r="N448" s="449">
        <f>L448*M448</f>
        <v>0.75</v>
      </c>
      <c r="O448" s="450"/>
      <c r="P448" s="447"/>
      <c r="Q448" s="450"/>
      <c r="R448" s="451">
        <f>K448*N448</f>
        <v>33</v>
      </c>
      <c r="S448" s="331" t="str">
        <f>$L$552</f>
        <v>m³</v>
      </c>
      <c r="T448" s="863">
        <v>37</v>
      </c>
      <c r="U448" s="460" t="s">
        <v>519</v>
      </c>
      <c r="V448" s="455">
        <f t="shared" ca="1" si="119"/>
        <v>370</v>
      </c>
      <c r="W448" s="456">
        <f t="shared" ca="1" si="133"/>
        <v>2</v>
      </c>
      <c r="X448" s="456">
        <f t="shared" ca="1" si="134"/>
        <v>1</v>
      </c>
      <c r="Y448" s="457"/>
      <c r="Z448" s="457"/>
    </row>
    <row r="449" spans="1:26" s="458" customFormat="1" ht="25.5" x14ac:dyDescent="0.2">
      <c r="A449" s="436"/>
      <c r="B449" s="861"/>
      <c r="C449" s="438" t="s">
        <v>521</v>
      </c>
      <c r="D449" s="419">
        <v>57</v>
      </c>
      <c r="E449" s="316" t="s">
        <v>518</v>
      </c>
      <c r="F449" s="420">
        <v>16</v>
      </c>
      <c r="G449" s="419">
        <v>60</v>
      </c>
      <c r="H449" s="316" t="s">
        <v>518</v>
      </c>
      <c r="I449" s="420">
        <v>0</v>
      </c>
      <c r="J449" s="445"/>
      <c r="K449" s="990">
        <f>ABS((G449*20+I449)-(D449*20+F449))</f>
        <v>44</v>
      </c>
      <c r="L449" s="991">
        <v>3</v>
      </c>
      <c r="M449" s="448">
        <v>0.25</v>
      </c>
      <c r="N449" s="449">
        <f>L449*M449</f>
        <v>0.75</v>
      </c>
      <c r="O449" s="450"/>
      <c r="P449" s="447"/>
      <c r="Q449" s="450"/>
      <c r="R449" s="451">
        <f>K449*N449</f>
        <v>33</v>
      </c>
      <c r="S449" s="331" t="str">
        <f>$L$552</f>
        <v>m³</v>
      </c>
      <c r="T449" s="863">
        <v>37</v>
      </c>
      <c r="U449" s="460" t="s">
        <v>519</v>
      </c>
      <c r="V449" s="455">
        <f t="shared" ca="1" si="119"/>
        <v>370</v>
      </c>
      <c r="W449" s="456">
        <f t="shared" ca="1" si="133"/>
        <v>2</v>
      </c>
      <c r="X449" s="456">
        <f t="shared" ca="1" si="134"/>
        <v>1</v>
      </c>
      <c r="Y449" s="457"/>
      <c r="Z449" s="457"/>
    </row>
    <row r="450" spans="1:26" s="458" customFormat="1" ht="25.5" x14ac:dyDescent="0.2">
      <c r="A450" s="436"/>
      <c r="B450" s="861"/>
      <c r="C450" s="438" t="s">
        <v>526</v>
      </c>
      <c r="D450" s="419">
        <v>57</v>
      </c>
      <c r="E450" s="316" t="s">
        <v>518</v>
      </c>
      <c r="F450" s="420">
        <v>16</v>
      </c>
      <c r="G450" s="419">
        <v>60</v>
      </c>
      <c r="H450" s="316" t="s">
        <v>518</v>
      </c>
      <c r="I450" s="420">
        <v>0</v>
      </c>
      <c r="J450" s="445"/>
      <c r="K450" s="990">
        <f>ABS((G450*20+I450)-(D450*20+F450))</f>
        <v>44</v>
      </c>
      <c r="L450" s="991">
        <v>0.2</v>
      </c>
      <c r="M450" s="448">
        <v>0.2</v>
      </c>
      <c r="N450" s="449">
        <f>L450*M450</f>
        <v>4.0000000000000008E-2</v>
      </c>
      <c r="O450" s="450"/>
      <c r="P450" s="447"/>
      <c r="Q450" s="450"/>
      <c r="R450" s="451">
        <f>K450*N450</f>
        <v>1.7600000000000002</v>
      </c>
      <c r="S450" s="331" t="str">
        <f>$L$552</f>
        <v>m³</v>
      </c>
      <c r="T450" s="863">
        <v>37</v>
      </c>
      <c r="U450" s="460" t="s">
        <v>519</v>
      </c>
      <c r="V450" s="455">
        <f t="shared" ca="1" si="119"/>
        <v>370</v>
      </c>
      <c r="W450" s="456">
        <f t="shared" ca="1" si="133"/>
        <v>2</v>
      </c>
      <c r="X450" s="456">
        <f t="shared" ca="1" si="134"/>
        <v>1</v>
      </c>
      <c r="Y450" s="457"/>
      <c r="Z450" s="457"/>
    </row>
    <row r="451" spans="1:26" s="458" customFormat="1" ht="15" x14ac:dyDescent="0.2">
      <c r="A451" s="436"/>
      <c r="B451" s="861"/>
      <c r="C451" s="917"/>
      <c r="D451" s="496"/>
      <c r="E451" s="497"/>
      <c r="F451" s="498"/>
      <c r="G451" s="496"/>
      <c r="H451" s="497"/>
      <c r="I451" s="498"/>
      <c r="J451" s="918"/>
      <c r="K451" s="919"/>
      <c r="L451" s="920"/>
      <c r="M451" s="921"/>
      <c r="N451" s="922"/>
      <c r="O451" s="862"/>
      <c r="P451" s="923"/>
      <c r="Q451" s="924"/>
      <c r="R451" s="925"/>
      <c r="S451" s="505"/>
      <c r="T451" s="863"/>
      <c r="U451" s="926"/>
      <c r="V451" s="455">
        <f t="shared" ca="1" si="119"/>
        <v>370</v>
      </c>
      <c r="W451" s="456">
        <f t="shared" ref="W451:W464" ca="1" si="135">IF(LEFT(_xlfn.FORMULATEXT(V451),3)="=SO",1,IF(COUNTA(A451:U451)=0,0,2))</f>
        <v>0</v>
      </c>
      <c r="X451" s="456">
        <f t="shared" ref="X451:X464" ca="1" si="136">IF(COUNTA(OFFSET(A450,1,0))-COUNTA(A450)=-1,0,1)</f>
        <v>1</v>
      </c>
      <c r="Y451" s="457"/>
      <c r="Z451" s="457"/>
    </row>
    <row r="452" spans="1:26" s="458" customFormat="1" ht="15.75" x14ac:dyDescent="0.2">
      <c r="A452" s="436"/>
      <c r="B452" s="861"/>
      <c r="C452" s="459" t="s">
        <v>532</v>
      </c>
      <c r="D452" s="439"/>
      <c r="E452" s="440"/>
      <c r="F452" s="441"/>
      <c r="G452" s="442"/>
      <c r="H452" s="443"/>
      <c r="I452" s="444"/>
      <c r="J452" s="445"/>
      <c r="K452" s="990"/>
      <c r="L452" s="991"/>
      <c r="M452" s="448"/>
      <c r="N452" s="448"/>
      <c r="O452" s="450"/>
      <c r="P452" s="447"/>
      <c r="Q452" s="450"/>
      <c r="R452" s="451"/>
      <c r="S452" s="452"/>
      <c r="T452" s="863">
        <v>38</v>
      </c>
      <c r="U452" s="926"/>
      <c r="V452" s="455">
        <f t="shared" ca="1" si="119"/>
        <v>370</v>
      </c>
      <c r="W452" s="456">
        <f t="shared" ca="1" si="135"/>
        <v>2</v>
      </c>
      <c r="X452" s="456">
        <f t="shared" ca="1" si="136"/>
        <v>1</v>
      </c>
      <c r="Y452" s="457"/>
      <c r="Z452" s="457"/>
    </row>
    <row r="453" spans="1:26" s="458" customFormat="1" ht="25.5" x14ac:dyDescent="0.2">
      <c r="A453" s="436"/>
      <c r="B453" s="861"/>
      <c r="C453" s="312" t="s">
        <v>517</v>
      </c>
      <c r="D453" s="419">
        <v>55</v>
      </c>
      <c r="E453" s="316" t="s">
        <v>518</v>
      </c>
      <c r="F453" s="420">
        <v>10</v>
      </c>
      <c r="G453" s="419">
        <v>57</v>
      </c>
      <c r="H453" s="316" t="s">
        <v>518</v>
      </c>
      <c r="I453" s="420">
        <v>16</v>
      </c>
      <c r="J453" s="317"/>
      <c r="K453" s="433">
        <f>ABS((G453*20+I453)-(D453*20+F453))</f>
        <v>46</v>
      </c>
      <c r="L453" s="329">
        <v>12</v>
      </c>
      <c r="M453" s="422">
        <v>0.25</v>
      </c>
      <c r="N453" s="423">
        <f>L453*M453</f>
        <v>3</v>
      </c>
      <c r="O453" s="334"/>
      <c r="P453" s="328"/>
      <c r="Q453" s="334"/>
      <c r="R453" s="319">
        <f>K453*N453</f>
        <v>138</v>
      </c>
      <c r="S453" s="331" t="str">
        <f>$L$552</f>
        <v>m³</v>
      </c>
      <c r="T453" s="863">
        <v>38</v>
      </c>
      <c r="U453" s="424" t="s">
        <v>519</v>
      </c>
      <c r="V453" s="455">
        <f t="shared" ca="1" si="119"/>
        <v>370</v>
      </c>
      <c r="W453" s="456">
        <f t="shared" ca="1" si="135"/>
        <v>2</v>
      </c>
      <c r="X453" s="456">
        <f t="shared" ca="1" si="136"/>
        <v>1</v>
      </c>
      <c r="Y453" s="457"/>
      <c r="Z453" s="457"/>
    </row>
    <row r="454" spans="1:26" s="458" customFormat="1" ht="25.5" x14ac:dyDescent="0.2">
      <c r="A454" s="436"/>
      <c r="B454" s="861"/>
      <c r="C454" s="438" t="s">
        <v>520</v>
      </c>
      <c r="D454" s="419">
        <v>55</v>
      </c>
      <c r="E454" s="316" t="s">
        <v>518</v>
      </c>
      <c r="F454" s="420">
        <v>10</v>
      </c>
      <c r="G454" s="419">
        <v>57</v>
      </c>
      <c r="H454" s="316" t="s">
        <v>518</v>
      </c>
      <c r="I454" s="420">
        <v>16</v>
      </c>
      <c r="J454" s="445"/>
      <c r="K454" s="990">
        <f>ABS((G454*20+I454)-(D454*20+F454))</f>
        <v>46</v>
      </c>
      <c r="L454" s="991">
        <v>3</v>
      </c>
      <c r="M454" s="448">
        <v>0.25</v>
      </c>
      <c r="N454" s="449">
        <f>L454*M454</f>
        <v>0.75</v>
      </c>
      <c r="O454" s="450"/>
      <c r="P454" s="447"/>
      <c r="Q454" s="450"/>
      <c r="R454" s="451">
        <f>K454*N454</f>
        <v>34.5</v>
      </c>
      <c r="S454" s="331" t="str">
        <f t="shared" ref="S454:S456" si="137">$L$552</f>
        <v>m³</v>
      </c>
      <c r="T454" s="863">
        <v>38</v>
      </c>
      <c r="U454" s="460" t="s">
        <v>519</v>
      </c>
      <c r="V454" s="455">
        <f t="shared" ca="1" si="119"/>
        <v>370</v>
      </c>
      <c r="W454" s="456">
        <f t="shared" ca="1" si="135"/>
        <v>2</v>
      </c>
      <c r="X454" s="456">
        <f t="shared" ca="1" si="136"/>
        <v>1</v>
      </c>
      <c r="Y454" s="457"/>
      <c r="Z454" s="457"/>
    </row>
    <row r="455" spans="1:26" s="458" customFormat="1" ht="25.5" x14ac:dyDescent="0.2">
      <c r="A455" s="436"/>
      <c r="B455" s="861"/>
      <c r="C455" s="438" t="s">
        <v>521</v>
      </c>
      <c r="D455" s="419">
        <v>55</v>
      </c>
      <c r="E455" s="316" t="s">
        <v>518</v>
      </c>
      <c r="F455" s="420">
        <v>10</v>
      </c>
      <c r="G455" s="419">
        <v>57</v>
      </c>
      <c r="H455" s="316" t="s">
        <v>518</v>
      </c>
      <c r="I455" s="420">
        <v>16</v>
      </c>
      <c r="J455" s="445"/>
      <c r="K455" s="990">
        <f>ABS((G455*20+I455)-(D455*20+F455))</f>
        <v>46</v>
      </c>
      <c r="L455" s="991">
        <v>3</v>
      </c>
      <c r="M455" s="448">
        <v>0.25</v>
      </c>
      <c r="N455" s="449">
        <f>L455*M455</f>
        <v>0.75</v>
      </c>
      <c r="O455" s="450"/>
      <c r="P455" s="447"/>
      <c r="Q455" s="450"/>
      <c r="R455" s="451">
        <f>K455*N455</f>
        <v>34.5</v>
      </c>
      <c r="S455" s="331" t="str">
        <f t="shared" si="137"/>
        <v>m³</v>
      </c>
      <c r="T455" s="863">
        <v>38</v>
      </c>
      <c r="U455" s="460" t="s">
        <v>519</v>
      </c>
      <c r="V455" s="455">
        <f t="shared" ca="1" si="119"/>
        <v>370</v>
      </c>
      <c r="W455" s="456">
        <f t="shared" ca="1" si="135"/>
        <v>2</v>
      </c>
      <c r="X455" s="456">
        <f t="shared" ca="1" si="136"/>
        <v>1</v>
      </c>
      <c r="Y455" s="457"/>
      <c r="Z455" s="457"/>
    </row>
    <row r="456" spans="1:26" s="458" customFormat="1" ht="25.5" x14ac:dyDescent="0.2">
      <c r="A456" s="436"/>
      <c r="B456" s="861"/>
      <c r="C456" s="438" t="s">
        <v>526</v>
      </c>
      <c r="D456" s="419">
        <v>55</v>
      </c>
      <c r="E456" s="316" t="s">
        <v>518</v>
      </c>
      <c r="F456" s="420">
        <v>10</v>
      </c>
      <c r="G456" s="419">
        <v>57</v>
      </c>
      <c r="H456" s="316" t="s">
        <v>518</v>
      </c>
      <c r="I456" s="420">
        <v>16</v>
      </c>
      <c r="J456" s="445"/>
      <c r="K456" s="990">
        <f>ABS((G456*20+I456)-(D456*20+F456))</f>
        <v>46</v>
      </c>
      <c r="L456" s="991">
        <v>0.2</v>
      </c>
      <c r="M456" s="448">
        <v>0.2</v>
      </c>
      <c r="N456" s="449">
        <f>L456*M456</f>
        <v>4.0000000000000008E-2</v>
      </c>
      <c r="O456" s="450"/>
      <c r="P456" s="447"/>
      <c r="Q456" s="450"/>
      <c r="R456" s="451">
        <f>K456*N456</f>
        <v>1.8400000000000003</v>
      </c>
      <c r="S456" s="331" t="str">
        <f t="shared" si="137"/>
        <v>m³</v>
      </c>
      <c r="T456" s="863">
        <v>38</v>
      </c>
      <c r="U456" s="460" t="s">
        <v>519</v>
      </c>
      <c r="V456" s="455">
        <f t="shared" ca="1" si="119"/>
        <v>370</v>
      </c>
      <c r="W456" s="456">
        <f t="shared" ca="1" si="135"/>
        <v>2</v>
      </c>
      <c r="X456" s="456">
        <f t="shared" ca="1" si="136"/>
        <v>1</v>
      </c>
      <c r="Y456" s="457"/>
      <c r="Z456" s="457"/>
    </row>
    <row r="457" spans="1:26" s="458" customFormat="1" ht="15" x14ac:dyDescent="0.2">
      <c r="A457" s="436"/>
      <c r="B457" s="861"/>
      <c r="C457" s="917"/>
      <c r="D457" s="496"/>
      <c r="E457" s="497"/>
      <c r="F457" s="498"/>
      <c r="G457" s="496"/>
      <c r="H457" s="497"/>
      <c r="I457" s="498"/>
      <c r="J457" s="918"/>
      <c r="K457" s="919"/>
      <c r="L457" s="920"/>
      <c r="M457" s="921"/>
      <c r="N457" s="922"/>
      <c r="O457" s="862"/>
      <c r="P457" s="923"/>
      <c r="Q457" s="924"/>
      <c r="R457" s="925"/>
      <c r="S457" s="505"/>
      <c r="T457" s="863"/>
      <c r="U457" s="926"/>
      <c r="V457" s="455">
        <f t="shared" ca="1" si="119"/>
        <v>370</v>
      </c>
      <c r="W457" s="456">
        <f t="shared" ca="1" si="135"/>
        <v>0</v>
      </c>
      <c r="X457" s="456">
        <f t="shared" ca="1" si="136"/>
        <v>1</v>
      </c>
      <c r="Y457" s="457"/>
      <c r="Z457" s="457"/>
    </row>
    <row r="458" spans="1:26" s="458" customFormat="1" ht="15.75" x14ac:dyDescent="0.2">
      <c r="A458" s="436"/>
      <c r="B458" s="861"/>
      <c r="C458" s="432" t="s">
        <v>516</v>
      </c>
      <c r="D458" s="417"/>
      <c r="E458" s="314"/>
      <c r="F458" s="418"/>
      <c r="G458" s="419"/>
      <c r="H458" s="314"/>
      <c r="I458" s="420"/>
      <c r="J458" s="317"/>
      <c r="K458" s="433"/>
      <c r="L458" s="317"/>
      <c r="M458" s="433"/>
      <c r="N458" s="433"/>
      <c r="O458" s="317"/>
      <c r="P458" s="318"/>
      <c r="Q458" s="317"/>
      <c r="R458" s="319"/>
      <c r="S458" s="398"/>
      <c r="T458" s="320">
        <v>38</v>
      </c>
      <c r="U458" s="335"/>
      <c r="V458" s="455">
        <f t="shared" ca="1" si="119"/>
        <v>370</v>
      </c>
      <c r="W458" s="456">
        <f t="shared" ca="1" si="135"/>
        <v>2</v>
      </c>
      <c r="X458" s="456">
        <f t="shared" ca="1" si="136"/>
        <v>1</v>
      </c>
      <c r="Y458" s="457"/>
      <c r="Z458" s="457"/>
    </row>
    <row r="459" spans="1:26" s="458" customFormat="1" ht="25.5" x14ac:dyDescent="0.2">
      <c r="A459" s="436"/>
      <c r="B459" s="861"/>
      <c r="C459" s="312" t="s">
        <v>517</v>
      </c>
      <c r="D459" s="417">
        <v>4</v>
      </c>
      <c r="E459" s="314" t="s">
        <v>518</v>
      </c>
      <c r="F459" s="418">
        <v>16</v>
      </c>
      <c r="G459" s="417">
        <v>5</v>
      </c>
      <c r="H459" s="314" t="s">
        <v>518</v>
      </c>
      <c r="I459" s="418">
        <v>14.5</v>
      </c>
      <c r="J459" s="317"/>
      <c r="K459" s="421">
        <f t="shared" ref="K459:K464" si="138">ABS((G459*20+I459)-(D459*20+F459))</f>
        <v>18.5</v>
      </c>
      <c r="L459" s="328">
        <v>6</v>
      </c>
      <c r="M459" s="422">
        <v>0.25</v>
      </c>
      <c r="N459" s="423">
        <f t="shared" ref="N459:N464" si="139">L459*M459</f>
        <v>1.5</v>
      </c>
      <c r="O459" s="334"/>
      <c r="P459" s="328"/>
      <c r="Q459" s="334"/>
      <c r="R459" s="319">
        <f t="shared" ref="R459:R464" si="140">K459*N459</f>
        <v>27.75</v>
      </c>
      <c r="S459" s="331" t="str">
        <f t="shared" ref="S459:S464" si="141">$L$552</f>
        <v>m³</v>
      </c>
      <c r="T459" s="320">
        <v>38</v>
      </c>
      <c r="U459" s="424" t="s">
        <v>519</v>
      </c>
      <c r="V459" s="455">
        <f t="shared" ca="1" si="119"/>
        <v>370</v>
      </c>
      <c r="W459" s="456">
        <f t="shared" ca="1" si="135"/>
        <v>2</v>
      </c>
      <c r="X459" s="456">
        <f t="shared" ca="1" si="136"/>
        <v>1</v>
      </c>
      <c r="Y459" s="457"/>
      <c r="Z459" s="457"/>
    </row>
    <row r="460" spans="1:26" s="458" customFormat="1" ht="25.5" x14ac:dyDescent="0.2">
      <c r="A460" s="436"/>
      <c r="B460" s="861"/>
      <c r="C460" s="312" t="s">
        <v>520</v>
      </c>
      <c r="D460" s="417">
        <v>4</v>
      </c>
      <c r="E460" s="314" t="s">
        <v>518</v>
      </c>
      <c r="F460" s="418">
        <v>16</v>
      </c>
      <c r="G460" s="417">
        <v>5</v>
      </c>
      <c r="H460" s="314" t="s">
        <v>518</v>
      </c>
      <c r="I460" s="418">
        <v>14.5</v>
      </c>
      <c r="J460" s="317"/>
      <c r="K460" s="421">
        <f t="shared" si="138"/>
        <v>18.5</v>
      </c>
      <c r="L460" s="328">
        <v>2.2999999999999998</v>
      </c>
      <c r="M460" s="422">
        <v>0.25</v>
      </c>
      <c r="N460" s="423">
        <f t="shared" si="139"/>
        <v>0.57499999999999996</v>
      </c>
      <c r="O460" s="334"/>
      <c r="P460" s="328"/>
      <c r="Q460" s="334"/>
      <c r="R460" s="319">
        <f t="shared" si="140"/>
        <v>10.637499999999999</v>
      </c>
      <c r="S460" s="331" t="str">
        <f t="shared" si="141"/>
        <v>m³</v>
      </c>
      <c r="T460" s="320">
        <v>38</v>
      </c>
      <c r="U460" s="424" t="s">
        <v>519</v>
      </c>
      <c r="V460" s="455">
        <f t="shared" ca="1" si="119"/>
        <v>370</v>
      </c>
      <c r="W460" s="456">
        <f t="shared" ca="1" si="135"/>
        <v>2</v>
      </c>
      <c r="X460" s="456">
        <f t="shared" ca="1" si="136"/>
        <v>1</v>
      </c>
      <c r="Y460" s="457"/>
      <c r="Z460" s="457"/>
    </row>
    <row r="461" spans="1:26" s="458" customFormat="1" ht="25.5" x14ac:dyDescent="0.2">
      <c r="A461" s="436"/>
      <c r="B461" s="861"/>
      <c r="C461" s="312" t="s">
        <v>521</v>
      </c>
      <c r="D461" s="417">
        <v>4</v>
      </c>
      <c r="E461" s="314" t="s">
        <v>518</v>
      </c>
      <c r="F461" s="418">
        <v>16</v>
      </c>
      <c r="G461" s="417">
        <v>5</v>
      </c>
      <c r="H461" s="314" t="s">
        <v>518</v>
      </c>
      <c r="I461" s="418">
        <v>14.5</v>
      </c>
      <c r="J461" s="317"/>
      <c r="K461" s="421">
        <f t="shared" si="138"/>
        <v>18.5</v>
      </c>
      <c r="L461" s="328">
        <v>2.2999999999999998</v>
      </c>
      <c r="M461" s="422">
        <v>0.25</v>
      </c>
      <c r="N461" s="423">
        <f t="shared" si="139"/>
        <v>0.57499999999999996</v>
      </c>
      <c r="O461" s="334"/>
      <c r="P461" s="328"/>
      <c r="Q461" s="334"/>
      <c r="R461" s="319">
        <f t="shared" si="140"/>
        <v>10.637499999999999</v>
      </c>
      <c r="S461" s="331" t="str">
        <f t="shared" si="141"/>
        <v>m³</v>
      </c>
      <c r="T461" s="320">
        <v>38</v>
      </c>
      <c r="U461" s="424" t="s">
        <v>519</v>
      </c>
      <c r="V461" s="455">
        <f t="shared" ca="1" si="119"/>
        <v>370</v>
      </c>
      <c r="W461" s="456">
        <f t="shared" ca="1" si="135"/>
        <v>2</v>
      </c>
      <c r="X461" s="456">
        <f t="shared" ca="1" si="136"/>
        <v>1</v>
      </c>
      <c r="Y461" s="457"/>
      <c r="Z461" s="457"/>
    </row>
    <row r="462" spans="1:26" s="458" customFormat="1" ht="25.5" x14ac:dyDescent="0.2">
      <c r="A462" s="436"/>
      <c r="B462" s="861"/>
      <c r="C462" s="312" t="s">
        <v>522</v>
      </c>
      <c r="D462" s="417">
        <v>4</v>
      </c>
      <c r="E462" s="314" t="s">
        <v>518</v>
      </c>
      <c r="F462" s="418">
        <v>16</v>
      </c>
      <c r="G462" s="417">
        <v>5</v>
      </c>
      <c r="H462" s="314" t="s">
        <v>518</v>
      </c>
      <c r="I462" s="418">
        <v>14.5</v>
      </c>
      <c r="J462" s="317"/>
      <c r="K462" s="421">
        <f t="shared" si="138"/>
        <v>18.5</v>
      </c>
      <c r="L462" s="328">
        <v>0.2</v>
      </c>
      <c r="M462" s="422">
        <v>0.2</v>
      </c>
      <c r="N462" s="423">
        <f t="shared" si="139"/>
        <v>4.0000000000000008E-2</v>
      </c>
      <c r="O462" s="334"/>
      <c r="P462" s="328"/>
      <c r="Q462" s="334"/>
      <c r="R462" s="319">
        <f t="shared" si="140"/>
        <v>0.7400000000000001</v>
      </c>
      <c r="S462" s="331" t="str">
        <f t="shared" si="141"/>
        <v>m³</v>
      </c>
      <c r="T462" s="320">
        <v>38</v>
      </c>
      <c r="U462" s="424" t="s">
        <v>519</v>
      </c>
      <c r="V462" s="455">
        <f t="shared" ca="1" si="119"/>
        <v>370</v>
      </c>
      <c r="W462" s="456">
        <f t="shared" ca="1" si="135"/>
        <v>2</v>
      </c>
      <c r="X462" s="456">
        <f t="shared" ca="1" si="136"/>
        <v>1</v>
      </c>
      <c r="Y462" s="457"/>
      <c r="Z462" s="457"/>
    </row>
    <row r="463" spans="1:26" s="458" customFormat="1" ht="25.5" x14ac:dyDescent="0.2">
      <c r="A463" s="436"/>
      <c r="B463" s="861"/>
      <c r="C463" s="312" t="s">
        <v>523</v>
      </c>
      <c r="D463" s="417">
        <v>4</v>
      </c>
      <c r="E463" s="314" t="s">
        <v>518</v>
      </c>
      <c r="F463" s="418">
        <v>16</v>
      </c>
      <c r="G463" s="417">
        <v>5</v>
      </c>
      <c r="H463" s="314" t="s">
        <v>518</v>
      </c>
      <c r="I463" s="418">
        <v>14.5</v>
      </c>
      <c r="J463" s="317"/>
      <c r="K463" s="421">
        <f t="shared" si="138"/>
        <v>18.5</v>
      </c>
      <c r="L463" s="328">
        <v>0.2</v>
      </c>
      <c r="M463" s="422">
        <v>0.2</v>
      </c>
      <c r="N463" s="423">
        <f t="shared" si="139"/>
        <v>4.0000000000000008E-2</v>
      </c>
      <c r="O463" s="334"/>
      <c r="P463" s="328"/>
      <c r="Q463" s="334"/>
      <c r="R463" s="319">
        <f t="shared" si="140"/>
        <v>0.7400000000000001</v>
      </c>
      <c r="S463" s="331" t="str">
        <f t="shared" si="141"/>
        <v>m³</v>
      </c>
      <c r="T463" s="320">
        <v>38</v>
      </c>
      <c r="U463" s="424" t="s">
        <v>519</v>
      </c>
      <c r="V463" s="455">
        <f t="shared" ca="1" si="119"/>
        <v>370</v>
      </c>
      <c r="W463" s="456">
        <f t="shared" ca="1" si="135"/>
        <v>2</v>
      </c>
      <c r="X463" s="456">
        <f t="shared" ca="1" si="136"/>
        <v>1</v>
      </c>
      <c r="Y463" s="457"/>
      <c r="Z463" s="457"/>
    </row>
    <row r="464" spans="1:26" s="458" customFormat="1" ht="25.5" x14ac:dyDescent="0.2">
      <c r="A464" s="436"/>
      <c r="B464" s="861"/>
      <c r="C464" s="426" t="s">
        <v>524</v>
      </c>
      <c r="D464" s="417">
        <v>0</v>
      </c>
      <c r="E464" s="314" t="s">
        <v>518</v>
      </c>
      <c r="F464" s="418">
        <v>0</v>
      </c>
      <c r="G464" s="417">
        <v>0</v>
      </c>
      <c r="H464" s="314" t="s">
        <v>518</v>
      </c>
      <c r="I464" s="418">
        <v>0</v>
      </c>
      <c r="J464" s="427"/>
      <c r="K464" s="421">
        <f t="shared" si="138"/>
        <v>0</v>
      </c>
      <c r="L464" s="328">
        <v>6</v>
      </c>
      <c r="M464" s="422">
        <v>0.25</v>
      </c>
      <c r="N464" s="423">
        <f t="shared" si="139"/>
        <v>1.5</v>
      </c>
      <c r="O464" s="427"/>
      <c r="P464" s="428"/>
      <c r="Q464" s="427"/>
      <c r="R464" s="319">
        <f t="shared" si="140"/>
        <v>0</v>
      </c>
      <c r="S464" s="331" t="str">
        <f t="shared" si="141"/>
        <v>m³</v>
      </c>
      <c r="T464" s="320">
        <v>38</v>
      </c>
      <c r="U464" s="424" t="s">
        <v>519</v>
      </c>
      <c r="V464" s="455">
        <f t="shared" ca="1" si="119"/>
        <v>370</v>
      </c>
      <c r="W464" s="456">
        <f t="shared" ca="1" si="135"/>
        <v>2</v>
      </c>
      <c r="X464" s="456">
        <f t="shared" ca="1" si="136"/>
        <v>1</v>
      </c>
      <c r="Y464" s="457"/>
      <c r="Z464" s="457"/>
    </row>
    <row r="465" spans="1:26" s="458" customFormat="1" ht="15" x14ac:dyDescent="0.2">
      <c r="A465" s="436"/>
      <c r="B465" s="861"/>
      <c r="C465" s="865"/>
      <c r="D465" s="551"/>
      <c r="E465" s="552"/>
      <c r="F465" s="553"/>
      <c r="G465" s="551"/>
      <c r="H465" s="552"/>
      <c r="I465" s="553"/>
      <c r="J465" s="774"/>
      <c r="K465" s="500"/>
      <c r="L465" s="760"/>
      <c r="M465" s="555"/>
      <c r="N465" s="1105"/>
      <c r="O465" s="788"/>
      <c r="P465" s="789"/>
      <c r="Q465" s="786"/>
      <c r="R465" s="558"/>
      <c r="S465" s="505"/>
      <c r="T465" s="506"/>
      <c r="U465" s="507"/>
      <c r="V465" s="455">
        <f t="shared" ca="1" si="119"/>
        <v>370</v>
      </c>
      <c r="W465" s="456">
        <f t="shared" ref="W465:W478" ca="1" si="142">IF(LEFT(_xlfn.FORMULATEXT(V465),3)="=SO",1,IF(COUNTA(A465:U465)=0,0,2))</f>
        <v>0</v>
      </c>
      <c r="X465" s="456">
        <f t="shared" ref="X465:X478" ca="1" si="143">IF(COUNTA(OFFSET(A464,1,0))-COUNTA(A464)=-1,0,1)</f>
        <v>1</v>
      </c>
      <c r="Y465" s="457"/>
      <c r="Z465" s="457"/>
    </row>
    <row r="466" spans="1:26" s="458" customFormat="1" ht="15.75" x14ac:dyDescent="0.2">
      <c r="A466" s="436"/>
      <c r="B466" s="861"/>
      <c r="C466" s="459" t="s">
        <v>532</v>
      </c>
      <c r="D466" s="439"/>
      <c r="E466" s="440"/>
      <c r="F466" s="441"/>
      <c r="G466" s="442"/>
      <c r="H466" s="443"/>
      <c r="I466" s="444"/>
      <c r="J466" s="445"/>
      <c r="K466" s="990"/>
      <c r="L466" s="991"/>
      <c r="M466" s="448"/>
      <c r="N466" s="448"/>
      <c r="O466" s="450"/>
      <c r="P466" s="447"/>
      <c r="Q466" s="450"/>
      <c r="R466" s="451"/>
      <c r="S466" s="452"/>
      <c r="T466" s="863">
        <v>39</v>
      </c>
      <c r="U466" s="926"/>
      <c r="V466" s="455">
        <f t="shared" ca="1" si="119"/>
        <v>370</v>
      </c>
      <c r="W466" s="456">
        <f t="shared" ca="1" si="142"/>
        <v>2</v>
      </c>
      <c r="X466" s="456">
        <f t="shared" ca="1" si="143"/>
        <v>1</v>
      </c>
      <c r="Y466" s="457"/>
      <c r="Z466" s="457"/>
    </row>
    <row r="467" spans="1:26" s="458" customFormat="1" ht="25.5" x14ac:dyDescent="0.2">
      <c r="A467" s="436"/>
      <c r="B467" s="861"/>
      <c r="C467" s="312" t="s">
        <v>517</v>
      </c>
      <c r="D467" s="419">
        <v>51</v>
      </c>
      <c r="E467" s="316" t="s">
        <v>518</v>
      </c>
      <c r="F467" s="420">
        <v>8</v>
      </c>
      <c r="G467" s="419">
        <v>55</v>
      </c>
      <c r="H467" s="316" t="s">
        <v>518</v>
      </c>
      <c r="I467" s="420">
        <v>10</v>
      </c>
      <c r="J467" s="317"/>
      <c r="K467" s="433">
        <f>ABS((G467*20+I467)-(D467*20+F467))</f>
        <v>82</v>
      </c>
      <c r="L467" s="329">
        <v>12</v>
      </c>
      <c r="M467" s="422">
        <v>0.25</v>
      </c>
      <c r="N467" s="423">
        <f>L467*M467</f>
        <v>3</v>
      </c>
      <c r="O467" s="334"/>
      <c r="P467" s="328"/>
      <c r="Q467" s="334"/>
      <c r="R467" s="319">
        <f>K467*N467</f>
        <v>246</v>
      </c>
      <c r="S467" s="331" t="str">
        <f t="shared" ref="S467:S470" si="144">$L$552</f>
        <v>m³</v>
      </c>
      <c r="T467" s="863">
        <v>39</v>
      </c>
      <c r="U467" s="424" t="s">
        <v>519</v>
      </c>
      <c r="V467" s="455">
        <f t="shared" ca="1" si="119"/>
        <v>370</v>
      </c>
      <c r="W467" s="456">
        <f t="shared" ca="1" si="142"/>
        <v>2</v>
      </c>
      <c r="X467" s="456">
        <f t="shared" ca="1" si="143"/>
        <v>1</v>
      </c>
      <c r="Y467" s="457"/>
      <c r="Z467" s="457"/>
    </row>
    <row r="468" spans="1:26" s="458" customFormat="1" ht="25.5" x14ac:dyDescent="0.2">
      <c r="A468" s="436"/>
      <c r="B468" s="861"/>
      <c r="C468" s="438" t="s">
        <v>520</v>
      </c>
      <c r="D468" s="419">
        <v>51</v>
      </c>
      <c r="E468" s="316" t="s">
        <v>518</v>
      </c>
      <c r="F468" s="420">
        <v>8</v>
      </c>
      <c r="G468" s="419">
        <v>55</v>
      </c>
      <c r="H468" s="316" t="s">
        <v>518</v>
      </c>
      <c r="I468" s="420">
        <v>10</v>
      </c>
      <c r="J468" s="445"/>
      <c r="K468" s="990">
        <f>ABS((G468*20+I468)-(D468*20+F468))</f>
        <v>82</v>
      </c>
      <c r="L468" s="991">
        <v>3</v>
      </c>
      <c r="M468" s="448">
        <v>0.25</v>
      </c>
      <c r="N468" s="449">
        <f>L468*M468</f>
        <v>0.75</v>
      </c>
      <c r="O468" s="450"/>
      <c r="P468" s="447"/>
      <c r="Q468" s="450"/>
      <c r="R468" s="451">
        <f>K468*N468</f>
        <v>61.5</v>
      </c>
      <c r="S468" s="331" t="str">
        <f t="shared" si="144"/>
        <v>m³</v>
      </c>
      <c r="T468" s="863">
        <v>39</v>
      </c>
      <c r="U468" s="460" t="s">
        <v>519</v>
      </c>
      <c r="V468" s="455">
        <f t="shared" ca="1" si="119"/>
        <v>370</v>
      </c>
      <c r="W468" s="456">
        <f t="shared" ca="1" si="142"/>
        <v>2</v>
      </c>
      <c r="X468" s="456">
        <f t="shared" ca="1" si="143"/>
        <v>1</v>
      </c>
      <c r="Y468" s="457"/>
      <c r="Z468" s="457"/>
    </row>
    <row r="469" spans="1:26" s="458" customFormat="1" ht="25.5" x14ac:dyDescent="0.2">
      <c r="A469" s="436"/>
      <c r="B469" s="861"/>
      <c r="C469" s="438" t="s">
        <v>521</v>
      </c>
      <c r="D469" s="419">
        <v>51</v>
      </c>
      <c r="E469" s="316" t="s">
        <v>518</v>
      </c>
      <c r="F469" s="420">
        <v>8</v>
      </c>
      <c r="G469" s="419">
        <v>55</v>
      </c>
      <c r="H469" s="316" t="s">
        <v>518</v>
      </c>
      <c r="I469" s="420">
        <v>10</v>
      </c>
      <c r="J469" s="445"/>
      <c r="K469" s="990">
        <f>ABS((G469*20+I469)-(D469*20+F469))</f>
        <v>82</v>
      </c>
      <c r="L469" s="991">
        <v>3</v>
      </c>
      <c r="M469" s="448">
        <v>0.25</v>
      </c>
      <c r="N469" s="449">
        <f>L469*M469</f>
        <v>0.75</v>
      </c>
      <c r="O469" s="450"/>
      <c r="P469" s="447"/>
      <c r="Q469" s="450"/>
      <c r="R469" s="451">
        <f>K469*N469</f>
        <v>61.5</v>
      </c>
      <c r="S469" s="331" t="str">
        <f t="shared" si="144"/>
        <v>m³</v>
      </c>
      <c r="T469" s="863">
        <v>39</v>
      </c>
      <c r="U469" s="460" t="s">
        <v>519</v>
      </c>
      <c r="V469" s="455">
        <f t="shared" ca="1" si="119"/>
        <v>370</v>
      </c>
      <c r="W469" s="456">
        <f t="shared" ca="1" si="142"/>
        <v>2</v>
      </c>
      <c r="X469" s="456">
        <f t="shared" ca="1" si="143"/>
        <v>1</v>
      </c>
      <c r="Y469" s="457"/>
      <c r="Z469" s="457"/>
    </row>
    <row r="470" spans="1:26" s="458" customFormat="1" ht="25.5" x14ac:dyDescent="0.2">
      <c r="A470" s="436"/>
      <c r="B470" s="861"/>
      <c r="C470" s="438" t="s">
        <v>526</v>
      </c>
      <c r="D470" s="419">
        <v>51</v>
      </c>
      <c r="E470" s="316" t="s">
        <v>518</v>
      </c>
      <c r="F470" s="420">
        <v>8</v>
      </c>
      <c r="G470" s="419">
        <v>55</v>
      </c>
      <c r="H470" s="316" t="s">
        <v>518</v>
      </c>
      <c r="I470" s="420">
        <v>10</v>
      </c>
      <c r="J470" s="445"/>
      <c r="K470" s="990">
        <f>ABS((G470*20+I470)-(D470*20+F470))</f>
        <v>82</v>
      </c>
      <c r="L470" s="991">
        <v>0.2</v>
      </c>
      <c r="M470" s="448">
        <v>0.2</v>
      </c>
      <c r="N470" s="449">
        <f>L470*M470</f>
        <v>4.0000000000000008E-2</v>
      </c>
      <c r="O470" s="450"/>
      <c r="P470" s="447"/>
      <c r="Q470" s="450"/>
      <c r="R470" s="451">
        <f>K470*N470</f>
        <v>3.2800000000000007</v>
      </c>
      <c r="S470" s="331" t="str">
        <f t="shared" si="144"/>
        <v>m³</v>
      </c>
      <c r="T470" s="863">
        <v>39</v>
      </c>
      <c r="U470" s="460" t="s">
        <v>519</v>
      </c>
      <c r="V470" s="455">
        <f t="shared" ca="1" si="119"/>
        <v>370</v>
      </c>
      <c r="W470" s="456">
        <f t="shared" ca="1" si="142"/>
        <v>2</v>
      </c>
      <c r="X470" s="456">
        <f t="shared" ca="1" si="143"/>
        <v>1</v>
      </c>
      <c r="Y470" s="457"/>
      <c r="Z470" s="457"/>
    </row>
    <row r="471" spans="1:26" s="458" customFormat="1" ht="15" x14ac:dyDescent="0.2">
      <c r="A471" s="436"/>
      <c r="B471" s="861"/>
      <c r="C471" s="865"/>
      <c r="D471" s="551"/>
      <c r="E471" s="552"/>
      <c r="F471" s="553"/>
      <c r="G471" s="551"/>
      <c r="H471" s="552"/>
      <c r="I471" s="553"/>
      <c r="J471" s="774"/>
      <c r="K471" s="500"/>
      <c r="L471" s="760"/>
      <c r="M471" s="555"/>
      <c r="N471" s="1105"/>
      <c r="O471" s="788"/>
      <c r="P471" s="789"/>
      <c r="Q471" s="786"/>
      <c r="R471" s="558"/>
      <c r="S471" s="505"/>
      <c r="T471" s="506"/>
      <c r="U471" s="507"/>
      <c r="V471" s="455">
        <f t="shared" ca="1" si="119"/>
        <v>370</v>
      </c>
      <c r="W471" s="456">
        <f t="shared" ca="1" si="142"/>
        <v>0</v>
      </c>
      <c r="X471" s="456">
        <f t="shared" ca="1" si="143"/>
        <v>1</v>
      </c>
      <c r="Y471" s="457"/>
      <c r="Z471" s="457"/>
    </row>
    <row r="472" spans="1:26" s="458" customFormat="1" ht="15.75" x14ac:dyDescent="0.2">
      <c r="A472" s="436"/>
      <c r="B472" s="861"/>
      <c r="C472" s="432" t="s">
        <v>516</v>
      </c>
      <c r="D472" s="417"/>
      <c r="E472" s="314"/>
      <c r="F472" s="418"/>
      <c r="G472" s="419"/>
      <c r="H472" s="314"/>
      <c r="I472" s="420"/>
      <c r="J472" s="317"/>
      <c r="K472" s="433"/>
      <c r="L472" s="317"/>
      <c r="M472" s="433"/>
      <c r="N472" s="433"/>
      <c r="O472" s="317"/>
      <c r="P472" s="318"/>
      <c r="Q472" s="317"/>
      <c r="R472" s="319"/>
      <c r="S472" s="398"/>
      <c r="T472" s="320">
        <v>39</v>
      </c>
      <c r="U472" s="335"/>
      <c r="V472" s="455">
        <f t="shared" ca="1" si="119"/>
        <v>370</v>
      </c>
      <c r="W472" s="456">
        <f t="shared" ca="1" si="142"/>
        <v>2</v>
      </c>
      <c r="X472" s="456">
        <f t="shared" ca="1" si="143"/>
        <v>1</v>
      </c>
      <c r="Y472" s="457"/>
      <c r="Z472" s="457"/>
    </row>
    <row r="473" spans="1:26" s="458" customFormat="1" ht="25.5" x14ac:dyDescent="0.2">
      <c r="A473" s="436"/>
      <c r="B473" s="861"/>
      <c r="C473" s="312" t="s">
        <v>517</v>
      </c>
      <c r="D473" s="417">
        <v>4</v>
      </c>
      <c r="E473" s="314" t="s">
        <v>518</v>
      </c>
      <c r="F473" s="418">
        <v>0</v>
      </c>
      <c r="G473" s="417">
        <v>4</v>
      </c>
      <c r="H473" s="314" t="s">
        <v>518</v>
      </c>
      <c r="I473" s="418">
        <v>16</v>
      </c>
      <c r="J473" s="317"/>
      <c r="K473" s="421">
        <f t="shared" ref="K473:K478" si="145">ABS((G473*20+I473)-(D473*20+F473))</f>
        <v>16</v>
      </c>
      <c r="L473" s="328">
        <v>6</v>
      </c>
      <c r="M473" s="422">
        <v>0.25</v>
      </c>
      <c r="N473" s="423">
        <f t="shared" ref="N473:N478" si="146">L473*M473</f>
        <v>1.5</v>
      </c>
      <c r="O473" s="334"/>
      <c r="P473" s="328"/>
      <c r="Q473" s="334"/>
      <c r="R473" s="319">
        <f t="shared" ref="R473:R478" si="147">K473*N473</f>
        <v>24</v>
      </c>
      <c r="S473" s="331" t="str">
        <f t="shared" ref="S473:S478" si="148">$L$552</f>
        <v>m³</v>
      </c>
      <c r="T473" s="320">
        <v>39</v>
      </c>
      <c r="U473" s="424" t="s">
        <v>519</v>
      </c>
      <c r="V473" s="455">
        <f t="shared" ca="1" si="119"/>
        <v>370</v>
      </c>
      <c r="W473" s="456">
        <f t="shared" ca="1" si="142"/>
        <v>2</v>
      </c>
      <c r="X473" s="456">
        <f t="shared" ca="1" si="143"/>
        <v>1</v>
      </c>
      <c r="Y473" s="457"/>
      <c r="Z473" s="457"/>
    </row>
    <row r="474" spans="1:26" s="458" customFormat="1" ht="25.5" x14ac:dyDescent="0.2">
      <c r="A474" s="436"/>
      <c r="B474" s="861"/>
      <c r="C474" s="312" t="s">
        <v>520</v>
      </c>
      <c r="D474" s="417">
        <v>4</v>
      </c>
      <c r="E474" s="314" t="s">
        <v>518</v>
      </c>
      <c r="F474" s="418">
        <v>0</v>
      </c>
      <c r="G474" s="417">
        <v>4</v>
      </c>
      <c r="H474" s="314" t="s">
        <v>518</v>
      </c>
      <c r="I474" s="418">
        <v>16</v>
      </c>
      <c r="J474" s="317"/>
      <c r="K474" s="421">
        <f t="shared" si="145"/>
        <v>16</v>
      </c>
      <c r="L474" s="328">
        <v>2.2999999999999998</v>
      </c>
      <c r="M474" s="422">
        <v>0.25</v>
      </c>
      <c r="N474" s="423">
        <f t="shared" si="146"/>
        <v>0.57499999999999996</v>
      </c>
      <c r="O474" s="334"/>
      <c r="P474" s="328"/>
      <c r="Q474" s="334"/>
      <c r="R474" s="319">
        <f t="shared" si="147"/>
        <v>9.1999999999999993</v>
      </c>
      <c r="S474" s="331" t="str">
        <f t="shared" si="148"/>
        <v>m³</v>
      </c>
      <c r="T474" s="320">
        <v>39</v>
      </c>
      <c r="U474" s="424" t="s">
        <v>519</v>
      </c>
      <c r="V474" s="455">
        <f t="shared" ca="1" si="119"/>
        <v>370</v>
      </c>
      <c r="W474" s="456">
        <f t="shared" ca="1" si="142"/>
        <v>2</v>
      </c>
      <c r="X474" s="456">
        <f t="shared" ca="1" si="143"/>
        <v>1</v>
      </c>
      <c r="Y474" s="457"/>
      <c r="Z474" s="457"/>
    </row>
    <row r="475" spans="1:26" s="458" customFormat="1" ht="25.5" x14ac:dyDescent="0.2">
      <c r="A475" s="436"/>
      <c r="B475" s="861"/>
      <c r="C475" s="312" t="s">
        <v>521</v>
      </c>
      <c r="D475" s="417">
        <v>4</v>
      </c>
      <c r="E475" s="314" t="s">
        <v>518</v>
      </c>
      <c r="F475" s="418">
        <v>0</v>
      </c>
      <c r="G475" s="417">
        <v>4</v>
      </c>
      <c r="H475" s="314" t="s">
        <v>518</v>
      </c>
      <c r="I475" s="418">
        <v>16</v>
      </c>
      <c r="J475" s="317"/>
      <c r="K475" s="421">
        <f t="shared" si="145"/>
        <v>16</v>
      </c>
      <c r="L475" s="328">
        <v>2.2999999999999998</v>
      </c>
      <c r="M475" s="422">
        <v>0.25</v>
      </c>
      <c r="N475" s="423">
        <f t="shared" si="146"/>
        <v>0.57499999999999996</v>
      </c>
      <c r="O475" s="334"/>
      <c r="P475" s="328"/>
      <c r="Q475" s="334"/>
      <c r="R475" s="319">
        <f t="shared" si="147"/>
        <v>9.1999999999999993</v>
      </c>
      <c r="S475" s="331" t="str">
        <f t="shared" si="148"/>
        <v>m³</v>
      </c>
      <c r="T475" s="320">
        <v>39</v>
      </c>
      <c r="U475" s="424" t="s">
        <v>519</v>
      </c>
      <c r="V475" s="455">
        <f t="shared" ca="1" si="119"/>
        <v>370</v>
      </c>
      <c r="W475" s="456">
        <f t="shared" ca="1" si="142"/>
        <v>2</v>
      </c>
      <c r="X475" s="456">
        <f t="shared" ca="1" si="143"/>
        <v>1</v>
      </c>
      <c r="Y475" s="457"/>
      <c r="Z475" s="457"/>
    </row>
    <row r="476" spans="1:26" s="458" customFormat="1" ht="25.5" x14ac:dyDescent="0.2">
      <c r="A476" s="436"/>
      <c r="B476" s="861"/>
      <c r="C476" s="312" t="s">
        <v>522</v>
      </c>
      <c r="D476" s="417">
        <v>4</v>
      </c>
      <c r="E476" s="314" t="s">
        <v>518</v>
      </c>
      <c r="F476" s="418">
        <v>0</v>
      </c>
      <c r="G476" s="417">
        <v>4</v>
      </c>
      <c r="H476" s="314" t="s">
        <v>518</v>
      </c>
      <c r="I476" s="418">
        <v>16</v>
      </c>
      <c r="J476" s="317"/>
      <c r="K476" s="421">
        <f t="shared" si="145"/>
        <v>16</v>
      </c>
      <c r="L476" s="328">
        <v>0.2</v>
      </c>
      <c r="M476" s="422">
        <v>0.2</v>
      </c>
      <c r="N476" s="423">
        <f t="shared" si="146"/>
        <v>4.0000000000000008E-2</v>
      </c>
      <c r="O476" s="334"/>
      <c r="P476" s="328"/>
      <c r="Q476" s="334"/>
      <c r="R476" s="319">
        <f t="shared" si="147"/>
        <v>0.64000000000000012</v>
      </c>
      <c r="S476" s="331" t="str">
        <f t="shared" si="148"/>
        <v>m³</v>
      </c>
      <c r="T476" s="320">
        <v>39</v>
      </c>
      <c r="U476" s="424" t="s">
        <v>519</v>
      </c>
      <c r="V476" s="455">
        <f t="shared" ca="1" si="119"/>
        <v>370</v>
      </c>
      <c r="W476" s="456">
        <f t="shared" ca="1" si="142"/>
        <v>2</v>
      </c>
      <c r="X476" s="456">
        <f t="shared" ca="1" si="143"/>
        <v>1</v>
      </c>
      <c r="Y476" s="457"/>
      <c r="Z476" s="457"/>
    </row>
    <row r="477" spans="1:26" s="458" customFormat="1" ht="25.5" x14ac:dyDescent="0.2">
      <c r="A477" s="436"/>
      <c r="B477" s="861"/>
      <c r="C477" s="312" t="s">
        <v>523</v>
      </c>
      <c r="D477" s="417">
        <v>4</v>
      </c>
      <c r="E477" s="314" t="s">
        <v>518</v>
      </c>
      <c r="F477" s="418">
        <v>0</v>
      </c>
      <c r="G477" s="417">
        <v>4</v>
      </c>
      <c r="H477" s="314" t="s">
        <v>518</v>
      </c>
      <c r="I477" s="418">
        <v>16</v>
      </c>
      <c r="J477" s="317"/>
      <c r="K477" s="421">
        <f t="shared" si="145"/>
        <v>16</v>
      </c>
      <c r="L477" s="328">
        <v>0.2</v>
      </c>
      <c r="M477" s="422">
        <v>0.2</v>
      </c>
      <c r="N477" s="423">
        <f t="shared" si="146"/>
        <v>4.0000000000000008E-2</v>
      </c>
      <c r="O477" s="334"/>
      <c r="P477" s="328"/>
      <c r="Q477" s="334"/>
      <c r="R477" s="319">
        <f t="shared" si="147"/>
        <v>0.64000000000000012</v>
      </c>
      <c r="S477" s="331" t="str">
        <f t="shared" si="148"/>
        <v>m³</v>
      </c>
      <c r="T477" s="320">
        <v>39</v>
      </c>
      <c r="U477" s="424" t="s">
        <v>519</v>
      </c>
      <c r="V477" s="455">
        <f t="shared" ca="1" si="119"/>
        <v>370</v>
      </c>
      <c r="W477" s="456">
        <f t="shared" ca="1" si="142"/>
        <v>2</v>
      </c>
      <c r="X477" s="456">
        <f t="shared" ca="1" si="143"/>
        <v>1</v>
      </c>
      <c r="Y477" s="457"/>
      <c r="Z477" s="457"/>
    </row>
    <row r="478" spans="1:26" s="458" customFormat="1" ht="25.5" x14ac:dyDescent="0.2">
      <c r="A478" s="436"/>
      <c r="B478" s="861"/>
      <c r="C478" s="426" t="s">
        <v>524</v>
      </c>
      <c r="D478" s="417">
        <v>5</v>
      </c>
      <c r="E478" s="314" t="s">
        <v>518</v>
      </c>
      <c r="F478" s="418">
        <v>4.5</v>
      </c>
      <c r="G478" s="417">
        <v>5</v>
      </c>
      <c r="H478" s="314" t="s">
        <v>518</v>
      </c>
      <c r="I478" s="418">
        <v>14.5</v>
      </c>
      <c r="J478" s="1096"/>
      <c r="K478" s="421">
        <f t="shared" si="145"/>
        <v>10</v>
      </c>
      <c r="L478" s="328">
        <v>6</v>
      </c>
      <c r="M478" s="422">
        <v>0.25</v>
      </c>
      <c r="N478" s="423">
        <f t="shared" si="146"/>
        <v>1.5</v>
      </c>
      <c r="O478" s="1096"/>
      <c r="P478" s="428"/>
      <c r="Q478" s="1096"/>
      <c r="R478" s="319">
        <f t="shared" si="147"/>
        <v>15</v>
      </c>
      <c r="S478" s="331" t="str">
        <f t="shared" si="148"/>
        <v>m³</v>
      </c>
      <c r="T478" s="320">
        <v>39</v>
      </c>
      <c r="U478" s="424" t="s">
        <v>519</v>
      </c>
      <c r="V478" s="455">
        <f t="shared" ca="1" si="119"/>
        <v>370</v>
      </c>
      <c r="W478" s="456">
        <f t="shared" ca="1" si="142"/>
        <v>2</v>
      </c>
      <c r="X478" s="456">
        <f t="shared" ca="1" si="143"/>
        <v>1</v>
      </c>
      <c r="Y478" s="457"/>
      <c r="Z478" s="457"/>
    </row>
    <row r="479" spans="1:26" s="458" customFormat="1" ht="15" x14ac:dyDescent="0.2">
      <c r="A479" s="436"/>
      <c r="B479" s="861"/>
      <c r="C479" s="312"/>
      <c r="D479" s="417"/>
      <c r="E479" s="314"/>
      <c r="F479" s="418"/>
      <c r="G479" s="417"/>
      <c r="H479" s="314"/>
      <c r="I479" s="418"/>
      <c r="J479" s="317"/>
      <c r="K479" s="421"/>
      <c r="L479" s="328"/>
      <c r="M479" s="422"/>
      <c r="N479" s="423"/>
      <c r="O479" s="334"/>
      <c r="P479" s="328"/>
      <c r="Q479" s="334"/>
      <c r="R479" s="319"/>
      <c r="S479" s="331"/>
      <c r="T479" s="320"/>
      <c r="U479" s="424"/>
      <c r="V479" s="455">
        <f t="shared" ca="1" si="119"/>
        <v>370</v>
      </c>
      <c r="W479" s="456">
        <f t="shared" ref="W479:W493" ca="1" si="149">IF(LEFT(_xlfn.FORMULATEXT(V479),3)="=SO",1,IF(COUNTA(A479:U479)=0,0,2))</f>
        <v>0</v>
      </c>
      <c r="X479" s="456">
        <f t="shared" ref="X479:X493" ca="1" si="150">IF(COUNTA(OFFSET(A478,1,0))-COUNTA(A478)=-1,0,1)</f>
        <v>1</v>
      </c>
      <c r="Y479" s="457"/>
      <c r="Z479" s="457"/>
    </row>
    <row r="480" spans="1:26" s="458" customFormat="1" ht="15.75" x14ac:dyDescent="0.2">
      <c r="A480" s="436"/>
      <c r="B480" s="861"/>
      <c r="C480" s="459" t="s">
        <v>532</v>
      </c>
      <c r="D480" s="439"/>
      <c r="E480" s="440"/>
      <c r="F480" s="441"/>
      <c r="G480" s="442"/>
      <c r="H480" s="443"/>
      <c r="I480" s="444"/>
      <c r="J480" s="445"/>
      <c r="K480" s="990"/>
      <c r="L480" s="991"/>
      <c r="M480" s="448"/>
      <c r="N480" s="448"/>
      <c r="O480" s="450"/>
      <c r="P480" s="447"/>
      <c r="Q480" s="450"/>
      <c r="R480" s="451"/>
      <c r="S480" s="452"/>
      <c r="T480" s="863">
        <v>40</v>
      </c>
      <c r="U480" s="926"/>
      <c r="V480" s="455">
        <f t="shared" ca="1" si="119"/>
        <v>370</v>
      </c>
      <c r="W480" s="456">
        <f t="shared" ca="1" si="149"/>
        <v>2</v>
      </c>
      <c r="X480" s="456">
        <f t="shared" ca="1" si="150"/>
        <v>1</v>
      </c>
      <c r="Y480" s="457"/>
      <c r="Z480" s="457"/>
    </row>
    <row r="481" spans="1:26" s="458" customFormat="1" ht="25.5" x14ac:dyDescent="0.2">
      <c r="A481" s="436"/>
      <c r="B481" s="861"/>
      <c r="C481" s="312" t="s">
        <v>517</v>
      </c>
      <c r="D481" s="419">
        <v>49</v>
      </c>
      <c r="E481" s="316" t="s">
        <v>518</v>
      </c>
      <c r="F481" s="420">
        <v>13</v>
      </c>
      <c r="G481" s="419">
        <v>51</v>
      </c>
      <c r="H481" s="316" t="s">
        <v>518</v>
      </c>
      <c r="I481" s="420">
        <v>8</v>
      </c>
      <c r="J481" s="317"/>
      <c r="K481" s="433">
        <f>ABS((G481*20+I481)-(D481*20+F481))</f>
        <v>35</v>
      </c>
      <c r="L481" s="329">
        <v>12</v>
      </c>
      <c r="M481" s="422">
        <v>0.25</v>
      </c>
      <c r="N481" s="423">
        <f>L481*M481</f>
        <v>3</v>
      </c>
      <c r="O481" s="334"/>
      <c r="P481" s="328"/>
      <c r="Q481" s="334"/>
      <c r="R481" s="319">
        <f>K481*N481</f>
        <v>105</v>
      </c>
      <c r="S481" s="331">
        <f>$L$488</f>
        <v>2.2999999999999998</v>
      </c>
      <c r="T481" s="863">
        <v>40</v>
      </c>
      <c r="U481" s="424" t="s">
        <v>519</v>
      </c>
      <c r="V481" s="455">
        <f t="shared" ca="1" si="119"/>
        <v>370</v>
      </c>
      <c r="W481" s="456">
        <f t="shared" ca="1" si="149"/>
        <v>2</v>
      </c>
      <c r="X481" s="456">
        <f t="shared" ca="1" si="150"/>
        <v>1</v>
      </c>
      <c r="Y481" s="457"/>
      <c r="Z481" s="457"/>
    </row>
    <row r="482" spans="1:26" s="458" customFormat="1" ht="25.5" x14ac:dyDescent="0.2">
      <c r="A482" s="436"/>
      <c r="B482" s="861"/>
      <c r="C482" s="438" t="s">
        <v>520</v>
      </c>
      <c r="D482" s="419">
        <v>49</v>
      </c>
      <c r="E482" s="316" t="s">
        <v>518</v>
      </c>
      <c r="F482" s="420">
        <v>13</v>
      </c>
      <c r="G482" s="419">
        <v>51</v>
      </c>
      <c r="H482" s="316" t="s">
        <v>518</v>
      </c>
      <c r="I482" s="420">
        <v>8</v>
      </c>
      <c r="J482" s="445"/>
      <c r="K482" s="990">
        <f>ABS((G482*20+I482)-(D482*20+F482))</f>
        <v>35</v>
      </c>
      <c r="L482" s="991">
        <v>3</v>
      </c>
      <c r="M482" s="448">
        <v>0.25</v>
      </c>
      <c r="N482" s="449">
        <f>L482*M482</f>
        <v>0.75</v>
      </c>
      <c r="O482" s="450"/>
      <c r="P482" s="447"/>
      <c r="Q482" s="450"/>
      <c r="R482" s="451">
        <f>K482*N482</f>
        <v>26.25</v>
      </c>
      <c r="S482" s="331">
        <f>$L$488</f>
        <v>2.2999999999999998</v>
      </c>
      <c r="T482" s="863">
        <v>40</v>
      </c>
      <c r="U482" s="460" t="s">
        <v>519</v>
      </c>
      <c r="V482" s="455">
        <f t="shared" ca="1" si="119"/>
        <v>370</v>
      </c>
      <c r="W482" s="456">
        <f t="shared" ca="1" si="149"/>
        <v>2</v>
      </c>
      <c r="X482" s="456">
        <f t="shared" ca="1" si="150"/>
        <v>1</v>
      </c>
      <c r="Y482" s="457"/>
      <c r="Z482" s="457"/>
    </row>
    <row r="483" spans="1:26" s="458" customFormat="1" ht="25.5" x14ac:dyDescent="0.2">
      <c r="A483" s="436"/>
      <c r="B483" s="861"/>
      <c r="C483" s="438" t="s">
        <v>521</v>
      </c>
      <c r="D483" s="419">
        <v>49</v>
      </c>
      <c r="E483" s="316" t="s">
        <v>518</v>
      </c>
      <c r="F483" s="420">
        <v>13</v>
      </c>
      <c r="G483" s="419">
        <v>51</v>
      </c>
      <c r="H483" s="316" t="s">
        <v>518</v>
      </c>
      <c r="I483" s="420">
        <v>8</v>
      </c>
      <c r="J483" s="445"/>
      <c r="K483" s="990">
        <f>ABS((G483*20+I483)-(D483*20+F483))</f>
        <v>35</v>
      </c>
      <c r="L483" s="991">
        <v>3</v>
      </c>
      <c r="M483" s="448">
        <v>0.25</v>
      </c>
      <c r="N483" s="449">
        <f>L483*M483</f>
        <v>0.75</v>
      </c>
      <c r="O483" s="450"/>
      <c r="P483" s="447"/>
      <c r="Q483" s="450"/>
      <c r="R483" s="451">
        <f>K483*N483</f>
        <v>26.25</v>
      </c>
      <c r="S483" s="331">
        <f>$L$488</f>
        <v>2.2999999999999998</v>
      </c>
      <c r="T483" s="863">
        <v>40</v>
      </c>
      <c r="U483" s="460" t="s">
        <v>519</v>
      </c>
      <c r="V483" s="455">
        <f t="shared" ca="1" si="119"/>
        <v>370</v>
      </c>
      <c r="W483" s="456">
        <f t="shared" ca="1" si="149"/>
        <v>2</v>
      </c>
      <c r="X483" s="456">
        <f t="shared" ca="1" si="150"/>
        <v>1</v>
      </c>
      <c r="Y483" s="457"/>
      <c r="Z483" s="457"/>
    </row>
    <row r="484" spans="1:26" s="458" customFormat="1" ht="25.5" x14ac:dyDescent="0.2">
      <c r="A484" s="436"/>
      <c r="B484" s="861"/>
      <c r="C484" s="438" t="s">
        <v>526</v>
      </c>
      <c r="D484" s="419">
        <v>49</v>
      </c>
      <c r="E484" s="316" t="s">
        <v>518</v>
      </c>
      <c r="F484" s="420">
        <v>13</v>
      </c>
      <c r="G484" s="419">
        <v>51</v>
      </c>
      <c r="H484" s="316" t="s">
        <v>518</v>
      </c>
      <c r="I484" s="420">
        <v>8</v>
      </c>
      <c r="J484" s="445"/>
      <c r="K484" s="990">
        <f>ABS((G484*20+I484)-(D484*20+F484))</f>
        <v>35</v>
      </c>
      <c r="L484" s="991">
        <v>0.2</v>
      </c>
      <c r="M484" s="448">
        <v>0.2</v>
      </c>
      <c r="N484" s="449">
        <f>L484*M484</f>
        <v>4.0000000000000008E-2</v>
      </c>
      <c r="O484" s="450"/>
      <c r="P484" s="447"/>
      <c r="Q484" s="450"/>
      <c r="R484" s="451">
        <f>K484*N484</f>
        <v>1.4000000000000004</v>
      </c>
      <c r="S484" s="331">
        <f>$L$488</f>
        <v>2.2999999999999998</v>
      </c>
      <c r="T484" s="863">
        <v>40</v>
      </c>
      <c r="U484" s="460" t="s">
        <v>519</v>
      </c>
      <c r="V484" s="455">
        <f t="shared" ca="1" si="119"/>
        <v>370</v>
      </c>
      <c r="W484" s="456">
        <f t="shared" ca="1" si="149"/>
        <v>2</v>
      </c>
      <c r="X484" s="456">
        <f t="shared" ca="1" si="150"/>
        <v>1</v>
      </c>
      <c r="Y484" s="457"/>
      <c r="Z484" s="457"/>
    </row>
    <row r="485" spans="1:26" s="458" customFormat="1" ht="15" x14ac:dyDescent="0.2">
      <c r="A485" s="436"/>
      <c r="B485" s="861"/>
      <c r="C485" s="1133"/>
      <c r="D485" s="1134"/>
      <c r="E485" s="1076"/>
      <c r="F485" s="1077"/>
      <c r="G485" s="1134"/>
      <c r="H485" s="1076"/>
      <c r="I485" s="1077"/>
      <c r="J485" s="1135"/>
      <c r="K485" s="1136"/>
      <c r="L485" s="1137"/>
      <c r="M485" s="1138"/>
      <c r="N485" s="1139"/>
      <c r="O485" s="1140"/>
      <c r="P485" s="1141"/>
      <c r="Q485" s="1140"/>
      <c r="R485" s="1142"/>
      <c r="S485" s="1143"/>
      <c r="T485" s="1144"/>
      <c r="U485" s="1145"/>
      <c r="V485" s="455">
        <f t="shared" ca="1" si="119"/>
        <v>370</v>
      </c>
      <c r="W485" s="456">
        <f t="shared" ca="1" si="149"/>
        <v>0</v>
      </c>
      <c r="X485" s="456">
        <f t="shared" ca="1" si="150"/>
        <v>1</v>
      </c>
      <c r="Y485" s="457"/>
      <c r="Z485" s="457"/>
    </row>
    <row r="486" spans="1:26" s="458" customFormat="1" ht="15.75" x14ac:dyDescent="0.2">
      <c r="A486" s="436"/>
      <c r="B486" s="861"/>
      <c r="C486" s="432" t="s">
        <v>516</v>
      </c>
      <c r="D486" s="417"/>
      <c r="E486" s="314"/>
      <c r="F486" s="418"/>
      <c r="G486" s="419"/>
      <c r="H486" s="314"/>
      <c r="I486" s="420"/>
      <c r="J486" s="317"/>
      <c r="K486" s="433"/>
      <c r="L486" s="317"/>
      <c r="M486" s="433"/>
      <c r="N486" s="433"/>
      <c r="O486" s="317"/>
      <c r="P486" s="318"/>
      <c r="Q486" s="317"/>
      <c r="R486" s="319"/>
      <c r="S486" s="398"/>
      <c r="T486" s="320">
        <v>40</v>
      </c>
      <c r="U486" s="335"/>
      <c r="V486" s="455">
        <f t="shared" ca="1" si="119"/>
        <v>370</v>
      </c>
      <c r="W486" s="456">
        <f t="shared" ca="1" si="149"/>
        <v>2</v>
      </c>
      <c r="X486" s="456">
        <f t="shared" ca="1" si="150"/>
        <v>1</v>
      </c>
      <c r="Y486" s="457"/>
      <c r="Z486" s="457"/>
    </row>
    <row r="487" spans="1:26" s="458" customFormat="1" ht="25.5" x14ac:dyDescent="0.2">
      <c r="A487" s="436"/>
      <c r="B487" s="861"/>
      <c r="C487" s="312" t="s">
        <v>517</v>
      </c>
      <c r="D487" s="417">
        <v>3</v>
      </c>
      <c r="E487" s="314" t="s">
        <v>518</v>
      </c>
      <c r="F487" s="418">
        <v>4</v>
      </c>
      <c r="G487" s="417">
        <v>4</v>
      </c>
      <c r="H487" s="314" t="s">
        <v>518</v>
      </c>
      <c r="I487" s="418">
        <v>0</v>
      </c>
      <c r="J487" s="317"/>
      <c r="K487" s="421">
        <f t="shared" ref="K487:K492" si="151">ABS((G487*20+I487)-(D487*20+F487))</f>
        <v>16</v>
      </c>
      <c r="L487" s="328">
        <v>6</v>
      </c>
      <c r="M487" s="422">
        <v>0.25</v>
      </c>
      <c r="N487" s="423">
        <f t="shared" ref="N487:N492" si="152">L487*M487</f>
        <v>1.5</v>
      </c>
      <c r="O487" s="334"/>
      <c r="P487" s="328"/>
      <c r="Q487" s="334"/>
      <c r="R487" s="319">
        <f t="shared" ref="R487:R492" si="153">K487*N487</f>
        <v>24</v>
      </c>
      <c r="S487" s="331" t="str">
        <f t="shared" ref="S487:S492" si="154">$S$567</f>
        <v xml:space="preserve"> m³</v>
      </c>
      <c r="T487" s="320">
        <v>40</v>
      </c>
      <c r="U487" s="424" t="s">
        <v>519</v>
      </c>
      <c r="V487" s="455">
        <f t="shared" ca="1" si="119"/>
        <v>370</v>
      </c>
      <c r="W487" s="456">
        <f t="shared" ca="1" si="149"/>
        <v>2</v>
      </c>
      <c r="X487" s="456">
        <f t="shared" ca="1" si="150"/>
        <v>1</v>
      </c>
      <c r="Y487" s="457"/>
      <c r="Z487" s="457"/>
    </row>
    <row r="488" spans="1:26" s="458" customFormat="1" ht="25.5" x14ac:dyDescent="0.2">
      <c r="A488" s="436"/>
      <c r="B488" s="861"/>
      <c r="C488" s="312" t="s">
        <v>520</v>
      </c>
      <c r="D488" s="417">
        <v>3</v>
      </c>
      <c r="E488" s="314" t="s">
        <v>518</v>
      </c>
      <c r="F488" s="418">
        <v>4</v>
      </c>
      <c r="G488" s="417">
        <v>4</v>
      </c>
      <c r="H488" s="314" t="s">
        <v>518</v>
      </c>
      <c r="I488" s="418">
        <v>0</v>
      </c>
      <c r="J488" s="317"/>
      <c r="K488" s="421">
        <f t="shared" si="151"/>
        <v>16</v>
      </c>
      <c r="L488" s="328">
        <v>2.2999999999999998</v>
      </c>
      <c r="M488" s="422">
        <v>0.25</v>
      </c>
      <c r="N488" s="423">
        <f t="shared" si="152"/>
        <v>0.57499999999999996</v>
      </c>
      <c r="O488" s="334"/>
      <c r="P488" s="328"/>
      <c r="Q488" s="334"/>
      <c r="R488" s="319">
        <f t="shared" si="153"/>
        <v>9.1999999999999993</v>
      </c>
      <c r="S488" s="331" t="str">
        <f t="shared" si="154"/>
        <v xml:space="preserve"> m³</v>
      </c>
      <c r="T488" s="320">
        <v>40</v>
      </c>
      <c r="U488" s="424" t="s">
        <v>519</v>
      </c>
      <c r="V488" s="455">
        <f t="shared" ca="1" si="119"/>
        <v>370</v>
      </c>
      <c r="W488" s="456">
        <f t="shared" ca="1" si="149"/>
        <v>2</v>
      </c>
      <c r="X488" s="456">
        <f t="shared" ca="1" si="150"/>
        <v>1</v>
      </c>
      <c r="Y488" s="457"/>
      <c r="Z488" s="457"/>
    </row>
    <row r="489" spans="1:26" s="458" customFormat="1" ht="25.5" x14ac:dyDescent="0.2">
      <c r="A489" s="436"/>
      <c r="B489" s="861"/>
      <c r="C489" s="312" t="s">
        <v>521</v>
      </c>
      <c r="D489" s="417">
        <v>3</v>
      </c>
      <c r="E489" s="314" t="s">
        <v>518</v>
      </c>
      <c r="F489" s="418">
        <v>4</v>
      </c>
      <c r="G489" s="417">
        <v>4</v>
      </c>
      <c r="H489" s="314" t="s">
        <v>518</v>
      </c>
      <c r="I489" s="418">
        <v>0</v>
      </c>
      <c r="J489" s="317"/>
      <c r="K489" s="421">
        <f t="shared" si="151"/>
        <v>16</v>
      </c>
      <c r="L489" s="328">
        <v>2.2999999999999998</v>
      </c>
      <c r="M489" s="422">
        <v>0.25</v>
      </c>
      <c r="N489" s="423">
        <f t="shared" si="152"/>
        <v>0.57499999999999996</v>
      </c>
      <c r="O489" s="334"/>
      <c r="P489" s="328"/>
      <c r="Q489" s="334"/>
      <c r="R489" s="319">
        <f t="shared" si="153"/>
        <v>9.1999999999999993</v>
      </c>
      <c r="S489" s="331" t="str">
        <f t="shared" si="154"/>
        <v xml:space="preserve"> m³</v>
      </c>
      <c r="T489" s="320">
        <v>40</v>
      </c>
      <c r="U489" s="424" t="s">
        <v>519</v>
      </c>
      <c r="V489" s="455">
        <f t="shared" ca="1" si="119"/>
        <v>370</v>
      </c>
      <c r="W489" s="456">
        <f t="shared" ca="1" si="149"/>
        <v>2</v>
      </c>
      <c r="X489" s="456">
        <f t="shared" ca="1" si="150"/>
        <v>1</v>
      </c>
      <c r="Y489" s="457"/>
      <c r="Z489" s="457"/>
    </row>
    <row r="490" spans="1:26" s="458" customFormat="1" ht="25.5" x14ac:dyDescent="0.2">
      <c r="A490" s="436"/>
      <c r="B490" s="861"/>
      <c r="C490" s="312" t="s">
        <v>522</v>
      </c>
      <c r="D490" s="417">
        <v>3</v>
      </c>
      <c r="E490" s="314" t="s">
        <v>518</v>
      </c>
      <c r="F490" s="418">
        <v>4</v>
      </c>
      <c r="G490" s="417">
        <v>4</v>
      </c>
      <c r="H490" s="314" t="s">
        <v>518</v>
      </c>
      <c r="I490" s="418">
        <v>0</v>
      </c>
      <c r="J490" s="317"/>
      <c r="K490" s="421">
        <f t="shared" si="151"/>
        <v>16</v>
      </c>
      <c r="L490" s="328">
        <v>0.2</v>
      </c>
      <c r="M490" s="422">
        <v>0.2</v>
      </c>
      <c r="N490" s="423">
        <f t="shared" si="152"/>
        <v>4.0000000000000008E-2</v>
      </c>
      <c r="O490" s="334"/>
      <c r="P490" s="328"/>
      <c r="Q490" s="334"/>
      <c r="R490" s="319">
        <f t="shared" si="153"/>
        <v>0.64000000000000012</v>
      </c>
      <c r="S490" s="331" t="str">
        <f t="shared" si="154"/>
        <v xml:space="preserve"> m³</v>
      </c>
      <c r="T490" s="320">
        <v>40</v>
      </c>
      <c r="U490" s="424" t="s">
        <v>519</v>
      </c>
      <c r="V490" s="455">
        <f t="shared" ca="1" si="119"/>
        <v>370</v>
      </c>
      <c r="W490" s="456">
        <f t="shared" ca="1" si="149"/>
        <v>2</v>
      </c>
      <c r="X490" s="456">
        <f t="shared" ca="1" si="150"/>
        <v>1</v>
      </c>
      <c r="Y490" s="457"/>
      <c r="Z490" s="457"/>
    </row>
    <row r="491" spans="1:26" s="458" customFormat="1" ht="25.5" x14ac:dyDescent="0.2">
      <c r="A491" s="436"/>
      <c r="B491" s="861"/>
      <c r="C491" s="312" t="s">
        <v>523</v>
      </c>
      <c r="D491" s="417">
        <v>3</v>
      </c>
      <c r="E491" s="314" t="s">
        <v>518</v>
      </c>
      <c r="F491" s="418">
        <v>4</v>
      </c>
      <c r="G491" s="417">
        <v>4</v>
      </c>
      <c r="H491" s="314" t="s">
        <v>518</v>
      </c>
      <c r="I491" s="418">
        <v>0</v>
      </c>
      <c r="J491" s="317"/>
      <c r="K491" s="421">
        <f t="shared" si="151"/>
        <v>16</v>
      </c>
      <c r="L491" s="328">
        <v>0.2</v>
      </c>
      <c r="M491" s="422">
        <v>0.2</v>
      </c>
      <c r="N491" s="423">
        <f t="shared" si="152"/>
        <v>4.0000000000000008E-2</v>
      </c>
      <c r="O491" s="334"/>
      <c r="P491" s="328"/>
      <c r="Q491" s="334"/>
      <c r="R491" s="319">
        <f t="shared" si="153"/>
        <v>0.64000000000000012</v>
      </c>
      <c r="S491" s="331" t="str">
        <f t="shared" si="154"/>
        <v xml:space="preserve"> m³</v>
      </c>
      <c r="T491" s="320">
        <v>40</v>
      </c>
      <c r="U491" s="424" t="s">
        <v>519</v>
      </c>
      <c r="V491" s="455">
        <f t="shared" ca="1" si="119"/>
        <v>370</v>
      </c>
      <c r="W491" s="456">
        <f t="shared" ca="1" si="149"/>
        <v>2</v>
      </c>
      <c r="X491" s="456">
        <f t="shared" ca="1" si="150"/>
        <v>1</v>
      </c>
      <c r="Y491" s="457"/>
      <c r="Z491" s="457"/>
    </row>
    <row r="492" spans="1:26" s="458" customFormat="1" ht="25.5" x14ac:dyDescent="0.2">
      <c r="A492" s="436"/>
      <c r="B492" s="861"/>
      <c r="C492" s="426" t="s">
        <v>524</v>
      </c>
      <c r="D492" s="419">
        <v>3</v>
      </c>
      <c r="E492" s="316" t="s">
        <v>518</v>
      </c>
      <c r="F492" s="420">
        <v>15</v>
      </c>
      <c r="G492" s="417">
        <v>5</v>
      </c>
      <c r="H492" s="314" t="s">
        <v>518</v>
      </c>
      <c r="I492" s="418">
        <v>4.5</v>
      </c>
      <c r="J492" s="1110"/>
      <c r="K492" s="421">
        <f t="shared" si="151"/>
        <v>29.5</v>
      </c>
      <c r="L492" s="328">
        <v>6</v>
      </c>
      <c r="M492" s="422">
        <v>0.25</v>
      </c>
      <c r="N492" s="423">
        <f t="shared" si="152"/>
        <v>1.5</v>
      </c>
      <c r="O492" s="1110"/>
      <c r="P492" s="428"/>
      <c r="Q492" s="1110"/>
      <c r="R492" s="319">
        <f t="shared" si="153"/>
        <v>44.25</v>
      </c>
      <c r="S492" s="331" t="str">
        <f t="shared" si="154"/>
        <v xml:space="preserve"> m³</v>
      </c>
      <c r="T492" s="320">
        <v>40</v>
      </c>
      <c r="U492" s="424" t="s">
        <v>519</v>
      </c>
      <c r="V492" s="455">
        <f t="shared" ca="1" si="119"/>
        <v>370</v>
      </c>
      <c r="W492" s="456">
        <f t="shared" ca="1" si="149"/>
        <v>2</v>
      </c>
      <c r="X492" s="456">
        <f t="shared" ca="1" si="150"/>
        <v>1</v>
      </c>
      <c r="Y492" s="457"/>
      <c r="Z492" s="457"/>
    </row>
    <row r="493" spans="1:26" s="458" customFormat="1" ht="15" x14ac:dyDescent="0.2">
      <c r="A493" s="436"/>
      <c r="B493" s="861"/>
      <c r="C493" s="312"/>
      <c r="D493" s="417"/>
      <c r="E493" s="314"/>
      <c r="F493" s="418"/>
      <c r="G493" s="417"/>
      <c r="H493" s="314"/>
      <c r="I493" s="418"/>
      <c r="J493" s="317"/>
      <c r="K493" s="421"/>
      <c r="L493" s="328"/>
      <c r="M493" s="422"/>
      <c r="N493" s="423"/>
      <c r="O493" s="334"/>
      <c r="P493" s="328"/>
      <c r="Q493" s="334"/>
      <c r="R493" s="319"/>
      <c r="S493" s="331"/>
      <c r="T493" s="320"/>
      <c r="U493" s="424"/>
      <c r="V493" s="455">
        <f t="shared" ca="1" si="119"/>
        <v>370</v>
      </c>
      <c r="W493" s="456">
        <f t="shared" ca="1" si="149"/>
        <v>0</v>
      </c>
      <c r="X493" s="456">
        <f t="shared" ca="1" si="150"/>
        <v>1</v>
      </c>
      <c r="Y493" s="457"/>
      <c r="Z493" s="457"/>
    </row>
    <row r="494" spans="1:26" s="458" customFormat="1" ht="15.75" x14ac:dyDescent="0.2">
      <c r="A494" s="436"/>
      <c r="B494" s="861"/>
      <c r="C494" s="459" t="s">
        <v>532</v>
      </c>
      <c r="D494" s="439"/>
      <c r="E494" s="440"/>
      <c r="F494" s="441"/>
      <c r="G494" s="442"/>
      <c r="H494" s="443"/>
      <c r="I494" s="444"/>
      <c r="J494" s="445"/>
      <c r="K494" s="990"/>
      <c r="L494" s="991"/>
      <c r="M494" s="448"/>
      <c r="N494" s="448"/>
      <c r="O494" s="450"/>
      <c r="P494" s="447"/>
      <c r="Q494" s="450"/>
      <c r="R494" s="451"/>
      <c r="S494" s="452"/>
      <c r="T494" s="863">
        <v>41</v>
      </c>
      <c r="U494" s="926"/>
      <c r="V494" s="455">
        <f t="shared" ca="1" si="119"/>
        <v>370</v>
      </c>
      <c r="W494" s="456">
        <f t="shared" ref="W494:W506" ca="1" si="155">IF(LEFT(_xlfn.FORMULATEXT(V494),3)="=SO",1,IF(COUNTA(A494:U494)=0,0,2))</f>
        <v>2</v>
      </c>
      <c r="X494" s="456">
        <f t="shared" ref="X494:X506" ca="1" si="156">IF(COUNTA(OFFSET(A493,1,0))-COUNTA(A493)=-1,0,1)</f>
        <v>1</v>
      </c>
      <c r="Y494" s="457"/>
      <c r="Z494" s="457"/>
    </row>
    <row r="495" spans="1:26" s="458" customFormat="1" ht="25.5" x14ac:dyDescent="0.2">
      <c r="A495" s="436"/>
      <c r="B495" s="861"/>
      <c r="C495" s="312" t="s">
        <v>517</v>
      </c>
      <c r="D495" s="419">
        <v>48</v>
      </c>
      <c r="E495" s="316" t="s">
        <v>518</v>
      </c>
      <c r="F495" s="420">
        <v>8</v>
      </c>
      <c r="G495" s="419">
        <v>49</v>
      </c>
      <c r="H495" s="316" t="s">
        <v>518</v>
      </c>
      <c r="I495" s="420">
        <v>13</v>
      </c>
      <c r="J495" s="317"/>
      <c r="K495" s="433">
        <f>ABS((G495*20+I495)-(D495*20+F495))</f>
        <v>25</v>
      </c>
      <c r="L495" s="329">
        <v>12</v>
      </c>
      <c r="M495" s="422">
        <v>0.25</v>
      </c>
      <c r="N495" s="423">
        <f>L495*M495</f>
        <v>3</v>
      </c>
      <c r="O495" s="334"/>
      <c r="P495" s="328"/>
      <c r="Q495" s="334"/>
      <c r="R495" s="319">
        <f>K495*N495</f>
        <v>75</v>
      </c>
      <c r="S495" s="331" t="str">
        <f>$L$552</f>
        <v>m³</v>
      </c>
      <c r="T495" s="863">
        <v>41</v>
      </c>
      <c r="U495" s="424" t="s">
        <v>519</v>
      </c>
      <c r="V495" s="455">
        <f t="shared" ca="1" si="119"/>
        <v>370</v>
      </c>
      <c r="W495" s="456">
        <f t="shared" ca="1" si="155"/>
        <v>2</v>
      </c>
      <c r="X495" s="456">
        <f t="shared" ca="1" si="156"/>
        <v>1</v>
      </c>
      <c r="Y495" s="457"/>
      <c r="Z495" s="457"/>
    </row>
    <row r="496" spans="1:26" s="458" customFormat="1" ht="25.5" x14ac:dyDescent="0.2">
      <c r="A496" s="436"/>
      <c r="B496" s="861"/>
      <c r="C496" s="438" t="s">
        <v>520</v>
      </c>
      <c r="D496" s="419">
        <v>48</v>
      </c>
      <c r="E496" s="316" t="s">
        <v>518</v>
      </c>
      <c r="F496" s="420">
        <v>8</v>
      </c>
      <c r="G496" s="419">
        <v>49</v>
      </c>
      <c r="H496" s="316" t="s">
        <v>518</v>
      </c>
      <c r="I496" s="420">
        <v>13</v>
      </c>
      <c r="J496" s="445"/>
      <c r="K496" s="990">
        <f>ABS((G496*20+I496)-(D496*20+F496))</f>
        <v>25</v>
      </c>
      <c r="L496" s="991">
        <v>3</v>
      </c>
      <c r="M496" s="448">
        <v>0.25</v>
      </c>
      <c r="N496" s="449">
        <f>L496*M496</f>
        <v>0.75</v>
      </c>
      <c r="O496" s="450"/>
      <c r="P496" s="447"/>
      <c r="Q496" s="450"/>
      <c r="R496" s="451">
        <f>K496*N496</f>
        <v>18.75</v>
      </c>
      <c r="S496" s="331" t="str">
        <f t="shared" ref="S496:S498" si="157">$L$552</f>
        <v>m³</v>
      </c>
      <c r="T496" s="863">
        <v>41</v>
      </c>
      <c r="U496" s="460" t="s">
        <v>519</v>
      </c>
      <c r="V496" s="455">
        <f t="shared" ca="1" si="119"/>
        <v>370</v>
      </c>
      <c r="W496" s="456">
        <f t="shared" ca="1" si="155"/>
        <v>2</v>
      </c>
      <c r="X496" s="456">
        <f t="shared" ca="1" si="156"/>
        <v>1</v>
      </c>
      <c r="Y496" s="457"/>
      <c r="Z496" s="457"/>
    </row>
    <row r="497" spans="1:26" s="458" customFormat="1" ht="25.5" x14ac:dyDescent="0.2">
      <c r="A497" s="436"/>
      <c r="B497" s="861"/>
      <c r="C497" s="438" t="s">
        <v>521</v>
      </c>
      <c r="D497" s="419">
        <v>48</v>
      </c>
      <c r="E497" s="316" t="s">
        <v>518</v>
      </c>
      <c r="F497" s="420">
        <v>8</v>
      </c>
      <c r="G497" s="419">
        <v>49</v>
      </c>
      <c r="H497" s="316" t="s">
        <v>518</v>
      </c>
      <c r="I497" s="420">
        <v>13</v>
      </c>
      <c r="J497" s="445"/>
      <c r="K497" s="990">
        <f>ABS((G497*20+I497)-(D497*20+F497))</f>
        <v>25</v>
      </c>
      <c r="L497" s="991">
        <v>3</v>
      </c>
      <c r="M497" s="448">
        <v>0.25</v>
      </c>
      <c r="N497" s="449">
        <f>L497*M497</f>
        <v>0.75</v>
      </c>
      <c r="O497" s="450"/>
      <c r="P497" s="447"/>
      <c r="Q497" s="450"/>
      <c r="R497" s="451">
        <f>K497*N497</f>
        <v>18.75</v>
      </c>
      <c r="S497" s="331" t="str">
        <f t="shared" si="157"/>
        <v>m³</v>
      </c>
      <c r="T497" s="863">
        <v>41</v>
      </c>
      <c r="U497" s="460" t="s">
        <v>519</v>
      </c>
      <c r="V497" s="455">
        <f t="shared" ca="1" si="119"/>
        <v>370</v>
      </c>
      <c r="W497" s="456">
        <f t="shared" ca="1" si="155"/>
        <v>2</v>
      </c>
      <c r="X497" s="456">
        <f t="shared" ca="1" si="156"/>
        <v>1</v>
      </c>
      <c r="Y497" s="457"/>
      <c r="Z497" s="457"/>
    </row>
    <row r="498" spans="1:26" s="458" customFormat="1" ht="25.5" x14ac:dyDescent="0.2">
      <c r="A498" s="436"/>
      <c r="B498" s="861"/>
      <c r="C498" s="438" t="s">
        <v>526</v>
      </c>
      <c r="D498" s="419">
        <v>48</v>
      </c>
      <c r="E498" s="316" t="s">
        <v>518</v>
      </c>
      <c r="F498" s="420">
        <v>8</v>
      </c>
      <c r="G498" s="419">
        <v>49</v>
      </c>
      <c r="H498" s="316" t="s">
        <v>518</v>
      </c>
      <c r="I498" s="420">
        <v>13</v>
      </c>
      <c r="J498" s="445"/>
      <c r="K498" s="990">
        <f>ABS((G498*20+I498)-(D498*20+F498))</f>
        <v>25</v>
      </c>
      <c r="L498" s="991">
        <v>0.2</v>
      </c>
      <c r="M498" s="448">
        <v>0.2</v>
      </c>
      <c r="N498" s="449">
        <f>L498*M498</f>
        <v>4.0000000000000008E-2</v>
      </c>
      <c r="O498" s="450"/>
      <c r="P498" s="447"/>
      <c r="Q498" s="450"/>
      <c r="R498" s="451">
        <f>K498*N498</f>
        <v>1.0000000000000002</v>
      </c>
      <c r="S498" s="331" t="str">
        <f t="shared" si="157"/>
        <v>m³</v>
      </c>
      <c r="T498" s="863">
        <v>41</v>
      </c>
      <c r="U498" s="460" t="s">
        <v>519</v>
      </c>
      <c r="V498" s="455">
        <f t="shared" ca="1" si="119"/>
        <v>370</v>
      </c>
      <c r="W498" s="456">
        <f t="shared" ca="1" si="155"/>
        <v>2</v>
      </c>
      <c r="X498" s="456">
        <f t="shared" ca="1" si="156"/>
        <v>1</v>
      </c>
      <c r="Y498" s="457"/>
      <c r="Z498" s="457"/>
    </row>
    <row r="499" spans="1:26" s="458" customFormat="1" ht="15" x14ac:dyDescent="0.2">
      <c r="A499" s="436"/>
      <c r="B499" s="861"/>
      <c r="C499" s="1133"/>
      <c r="D499" s="1134"/>
      <c r="E499" s="1076"/>
      <c r="F499" s="1077"/>
      <c r="G499" s="1134"/>
      <c r="H499" s="1076"/>
      <c r="I499" s="1077"/>
      <c r="J499" s="1135"/>
      <c r="K499" s="1136"/>
      <c r="L499" s="1137"/>
      <c r="M499" s="1138"/>
      <c r="N499" s="1139"/>
      <c r="O499" s="1140"/>
      <c r="P499" s="1141"/>
      <c r="Q499" s="1140"/>
      <c r="R499" s="1142"/>
      <c r="S499" s="1143"/>
      <c r="T499" s="1144"/>
      <c r="U499" s="1145"/>
      <c r="V499" s="455">
        <f t="shared" ca="1" si="119"/>
        <v>370</v>
      </c>
      <c r="W499" s="456">
        <f t="shared" ca="1" si="155"/>
        <v>0</v>
      </c>
      <c r="X499" s="456">
        <f t="shared" ca="1" si="156"/>
        <v>1</v>
      </c>
      <c r="Y499" s="457"/>
      <c r="Z499" s="457"/>
    </row>
    <row r="500" spans="1:26" s="458" customFormat="1" ht="15.75" x14ac:dyDescent="0.2">
      <c r="A500" s="436"/>
      <c r="B500" s="861"/>
      <c r="C500" s="432" t="s">
        <v>516</v>
      </c>
      <c r="D500" s="417"/>
      <c r="E500" s="314"/>
      <c r="F500" s="418"/>
      <c r="G500" s="419"/>
      <c r="H500" s="314"/>
      <c r="I500" s="420"/>
      <c r="J500" s="317"/>
      <c r="K500" s="433"/>
      <c r="L500" s="317"/>
      <c r="M500" s="433"/>
      <c r="N500" s="433"/>
      <c r="O500" s="317"/>
      <c r="P500" s="318"/>
      <c r="Q500" s="317"/>
      <c r="R500" s="319"/>
      <c r="S500" s="398"/>
      <c r="T500" s="320">
        <v>41</v>
      </c>
      <c r="U500" s="335"/>
      <c r="V500" s="455">
        <f t="shared" ca="1" si="119"/>
        <v>370</v>
      </c>
      <c r="W500" s="456">
        <f t="shared" ca="1" si="155"/>
        <v>2</v>
      </c>
      <c r="X500" s="456">
        <f t="shared" ca="1" si="156"/>
        <v>1</v>
      </c>
      <c r="Y500" s="457"/>
      <c r="Z500" s="457"/>
    </row>
    <row r="501" spans="1:26" s="458" customFormat="1" ht="25.5" x14ac:dyDescent="0.2">
      <c r="A501" s="436"/>
      <c r="B501" s="861"/>
      <c r="C501" s="312" t="s">
        <v>517</v>
      </c>
      <c r="D501" s="417">
        <v>2</v>
      </c>
      <c r="E501" s="314" t="s">
        <v>518</v>
      </c>
      <c r="F501" s="418">
        <v>6</v>
      </c>
      <c r="G501" s="417">
        <v>3</v>
      </c>
      <c r="H501" s="314" t="s">
        <v>518</v>
      </c>
      <c r="I501" s="418">
        <v>4</v>
      </c>
      <c r="J501" s="317"/>
      <c r="K501" s="421">
        <f t="shared" ref="K501:K506" si="158">ABS((G501*20+I501)-(D501*20+F501))</f>
        <v>18</v>
      </c>
      <c r="L501" s="328">
        <v>6</v>
      </c>
      <c r="M501" s="422">
        <v>0.25</v>
      </c>
      <c r="N501" s="423">
        <f t="shared" ref="N501:N506" si="159">L501*M501</f>
        <v>1.5</v>
      </c>
      <c r="O501" s="334"/>
      <c r="P501" s="328"/>
      <c r="Q501" s="334"/>
      <c r="R501" s="319">
        <f t="shared" ref="R501:R506" si="160">K501*N501</f>
        <v>27</v>
      </c>
      <c r="S501" s="331" t="str">
        <f>$L$552</f>
        <v>m³</v>
      </c>
      <c r="T501" s="320">
        <v>41</v>
      </c>
      <c r="U501" s="424" t="s">
        <v>519</v>
      </c>
      <c r="V501" s="455">
        <f t="shared" ca="1" si="119"/>
        <v>370</v>
      </c>
      <c r="W501" s="456">
        <f t="shared" ca="1" si="155"/>
        <v>2</v>
      </c>
      <c r="X501" s="456">
        <f t="shared" ca="1" si="156"/>
        <v>1</v>
      </c>
      <c r="Y501" s="457"/>
      <c r="Z501" s="457"/>
    </row>
    <row r="502" spans="1:26" s="458" customFormat="1" ht="25.5" x14ac:dyDescent="0.2">
      <c r="A502" s="436"/>
      <c r="B502" s="861"/>
      <c r="C502" s="312" t="s">
        <v>520</v>
      </c>
      <c r="D502" s="417">
        <v>2</v>
      </c>
      <c r="E502" s="314" t="s">
        <v>518</v>
      </c>
      <c r="F502" s="418">
        <v>6</v>
      </c>
      <c r="G502" s="417">
        <v>3</v>
      </c>
      <c r="H502" s="314" t="s">
        <v>518</v>
      </c>
      <c r="I502" s="418">
        <v>4</v>
      </c>
      <c r="J502" s="317"/>
      <c r="K502" s="421">
        <f t="shared" si="158"/>
        <v>18</v>
      </c>
      <c r="L502" s="328">
        <v>2.2999999999999998</v>
      </c>
      <c r="M502" s="422">
        <v>0.25</v>
      </c>
      <c r="N502" s="423">
        <f t="shared" si="159"/>
        <v>0.57499999999999996</v>
      </c>
      <c r="O502" s="334"/>
      <c r="P502" s="328"/>
      <c r="Q502" s="334"/>
      <c r="R502" s="319">
        <f t="shared" si="160"/>
        <v>10.35</v>
      </c>
      <c r="S502" s="331" t="str">
        <f t="shared" ref="S502:S506" si="161">$L$552</f>
        <v>m³</v>
      </c>
      <c r="T502" s="320">
        <v>41</v>
      </c>
      <c r="U502" s="424" t="s">
        <v>519</v>
      </c>
      <c r="V502" s="455">
        <f t="shared" ca="1" si="119"/>
        <v>370</v>
      </c>
      <c r="W502" s="456">
        <f t="shared" ca="1" si="155"/>
        <v>2</v>
      </c>
      <c r="X502" s="456">
        <f t="shared" ca="1" si="156"/>
        <v>1</v>
      </c>
      <c r="Y502" s="457"/>
      <c r="Z502" s="457"/>
    </row>
    <row r="503" spans="1:26" s="458" customFormat="1" ht="25.5" x14ac:dyDescent="0.2">
      <c r="A503" s="436"/>
      <c r="B503" s="861"/>
      <c r="C503" s="312" t="s">
        <v>521</v>
      </c>
      <c r="D503" s="417">
        <v>2</v>
      </c>
      <c r="E503" s="314" t="s">
        <v>518</v>
      </c>
      <c r="F503" s="418">
        <v>6</v>
      </c>
      <c r="G503" s="417">
        <v>3</v>
      </c>
      <c r="H503" s="314" t="s">
        <v>518</v>
      </c>
      <c r="I503" s="418">
        <v>4</v>
      </c>
      <c r="J503" s="317"/>
      <c r="K503" s="421">
        <f t="shared" si="158"/>
        <v>18</v>
      </c>
      <c r="L503" s="328">
        <v>2.2999999999999998</v>
      </c>
      <c r="M503" s="422">
        <v>0.25</v>
      </c>
      <c r="N503" s="423">
        <f t="shared" si="159"/>
        <v>0.57499999999999996</v>
      </c>
      <c r="O503" s="334"/>
      <c r="P503" s="328"/>
      <c r="Q503" s="334"/>
      <c r="R503" s="319">
        <f t="shared" si="160"/>
        <v>10.35</v>
      </c>
      <c r="S503" s="331" t="str">
        <f t="shared" si="161"/>
        <v>m³</v>
      </c>
      <c r="T503" s="320">
        <v>41</v>
      </c>
      <c r="U503" s="424" t="s">
        <v>519</v>
      </c>
      <c r="V503" s="455">
        <f t="shared" ca="1" si="119"/>
        <v>370</v>
      </c>
      <c r="W503" s="456">
        <f t="shared" ca="1" si="155"/>
        <v>2</v>
      </c>
      <c r="X503" s="456">
        <f t="shared" ca="1" si="156"/>
        <v>1</v>
      </c>
      <c r="Y503" s="457"/>
      <c r="Z503" s="457"/>
    </row>
    <row r="504" spans="1:26" s="458" customFormat="1" ht="25.5" x14ac:dyDescent="0.2">
      <c r="A504" s="436"/>
      <c r="B504" s="861"/>
      <c r="C504" s="312" t="s">
        <v>522</v>
      </c>
      <c r="D504" s="417">
        <v>2</v>
      </c>
      <c r="E504" s="314" t="s">
        <v>518</v>
      </c>
      <c r="F504" s="418">
        <v>6</v>
      </c>
      <c r="G504" s="417">
        <v>3</v>
      </c>
      <c r="H504" s="314" t="s">
        <v>518</v>
      </c>
      <c r="I504" s="418">
        <v>4</v>
      </c>
      <c r="J504" s="317"/>
      <c r="K504" s="421">
        <f t="shared" si="158"/>
        <v>18</v>
      </c>
      <c r="L504" s="328">
        <v>0.2</v>
      </c>
      <c r="M504" s="422">
        <v>0.2</v>
      </c>
      <c r="N504" s="423">
        <f t="shared" si="159"/>
        <v>4.0000000000000008E-2</v>
      </c>
      <c r="O504" s="334"/>
      <c r="P504" s="328"/>
      <c r="Q504" s="334"/>
      <c r="R504" s="319">
        <f t="shared" si="160"/>
        <v>0.7200000000000002</v>
      </c>
      <c r="S504" s="331" t="str">
        <f t="shared" si="161"/>
        <v>m³</v>
      </c>
      <c r="T504" s="320">
        <v>41</v>
      </c>
      <c r="U504" s="424" t="s">
        <v>519</v>
      </c>
      <c r="V504" s="455">
        <f t="shared" ca="1" si="119"/>
        <v>370</v>
      </c>
      <c r="W504" s="456">
        <f t="shared" ca="1" si="155"/>
        <v>2</v>
      </c>
      <c r="X504" s="456">
        <f t="shared" ca="1" si="156"/>
        <v>1</v>
      </c>
      <c r="Y504" s="457"/>
      <c r="Z504" s="457"/>
    </row>
    <row r="505" spans="1:26" s="458" customFormat="1" ht="25.5" x14ac:dyDescent="0.2">
      <c r="A505" s="436"/>
      <c r="B505" s="861"/>
      <c r="C505" s="312" t="s">
        <v>523</v>
      </c>
      <c r="D505" s="417">
        <v>2</v>
      </c>
      <c r="E505" s="314" t="s">
        <v>518</v>
      </c>
      <c r="F505" s="418">
        <v>6</v>
      </c>
      <c r="G505" s="417">
        <v>3</v>
      </c>
      <c r="H505" s="314" t="s">
        <v>518</v>
      </c>
      <c r="I505" s="418">
        <v>4</v>
      </c>
      <c r="J505" s="317"/>
      <c r="K505" s="421">
        <f t="shared" si="158"/>
        <v>18</v>
      </c>
      <c r="L505" s="328">
        <v>0.2</v>
      </c>
      <c r="M505" s="422">
        <v>0.2</v>
      </c>
      <c r="N505" s="423">
        <f t="shared" si="159"/>
        <v>4.0000000000000008E-2</v>
      </c>
      <c r="O505" s="334"/>
      <c r="P505" s="328"/>
      <c r="Q505" s="334"/>
      <c r="R505" s="319">
        <f t="shared" si="160"/>
        <v>0.7200000000000002</v>
      </c>
      <c r="S505" s="331" t="str">
        <f t="shared" si="161"/>
        <v>m³</v>
      </c>
      <c r="T505" s="320">
        <v>41</v>
      </c>
      <c r="U505" s="424" t="s">
        <v>519</v>
      </c>
      <c r="V505" s="455">
        <f t="shared" ca="1" si="119"/>
        <v>370</v>
      </c>
      <c r="W505" s="456">
        <f t="shared" ca="1" si="155"/>
        <v>2</v>
      </c>
      <c r="X505" s="456">
        <f t="shared" ca="1" si="156"/>
        <v>1</v>
      </c>
      <c r="Y505" s="457"/>
      <c r="Z505" s="457"/>
    </row>
    <row r="506" spans="1:26" s="458" customFormat="1" ht="25.5" x14ac:dyDescent="0.2">
      <c r="A506" s="436"/>
      <c r="B506" s="861"/>
      <c r="C506" s="426" t="s">
        <v>524</v>
      </c>
      <c r="D506" s="417">
        <v>2</v>
      </c>
      <c r="E506" s="314" t="s">
        <v>518</v>
      </c>
      <c r="F506" s="418">
        <v>6</v>
      </c>
      <c r="G506" s="417">
        <v>3</v>
      </c>
      <c r="H506" s="314" t="s">
        <v>518</v>
      </c>
      <c r="I506" s="418">
        <v>4</v>
      </c>
      <c r="J506" s="1110"/>
      <c r="K506" s="421">
        <f t="shared" si="158"/>
        <v>18</v>
      </c>
      <c r="L506" s="328">
        <v>6</v>
      </c>
      <c r="M506" s="422">
        <v>0.25</v>
      </c>
      <c r="N506" s="423">
        <f t="shared" si="159"/>
        <v>1.5</v>
      </c>
      <c r="O506" s="1110"/>
      <c r="P506" s="428"/>
      <c r="Q506" s="1110"/>
      <c r="R506" s="319">
        <f t="shared" si="160"/>
        <v>27</v>
      </c>
      <c r="S506" s="331" t="str">
        <f t="shared" si="161"/>
        <v>m³</v>
      </c>
      <c r="T506" s="320">
        <v>41</v>
      </c>
      <c r="U506" s="424" t="s">
        <v>519</v>
      </c>
      <c r="V506" s="455">
        <f t="shared" ca="1" si="119"/>
        <v>370</v>
      </c>
      <c r="W506" s="456">
        <f t="shared" ca="1" si="155"/>
        <v>2</v>
      </c>
      <c r="X506" s="456">
        <f t="shared" ca="1" si="156"/>
        <v>1</v>
      </c>
      <c r="Y506" s="457"/>
      <c r="Z506" s="457"/>
    </row>
    <row r="507" spans="1:26" s="458" customFormat="1" ht="15" x14ac:dyDescent="0.2">
      <c r="A507" s="436"/>
      <c r="B507" s="861"/>
      <c r="C507" s="426"/>
      <c r="D507" s="417"/>
      <c r="E507" s="314"/>
      <c r="F507" s="418"/>
      <c r="G507" s="417"/>
      <c r="H507" s="314"/>
      <c r="I507" s="418"/>
      <c r="J507" s="1110"/>
      <c r="K507" s="421"/>
      <c r="L507" s="328"/>
      <c r="M507" s="422"/>
      <c r="N507" s="423"/>
      <c r="O507" s="1110"/>
      <c r="P507" s="428"/>
      <c r="Q507" s="1110"/>
      <c r="R507" s="319"/>
      <c r="S507" s="331"/>
      <c r="T507" s="320"/>
      <c r="U507" s="424"/>
      <c r="V507" s="455">
        <f t="shared" ca="1" si="119"/>
        <v>370</v>
      </c>
      <c r="W507" s="456">
        <f t="shared" ref="W507:W519" ca="1" si="162">IF(LEFT(_xlfn.FORMULATEXT(V507),3)="=SO",1,IF(COUNTA(A507:U507)=0,0,2))</f>
        <v>0</v>
      </c>
      <c r="X507" s="456">
        <f t="shared" ref="X507:X519" ca="1" si="163">IF(COUNTA(OFFSET(A506,1,0))-COUNTA(A506)=-1,0,1)</f>
        <v>1</v>
      </c>
      <c r="Y507" s="457"/>
      <c r="Z507" s="457"/>
    </row>
    <row r="508" spans="1:26" s="458" customFormat="1" ht="15.75" x14ac:dyDescent="0.2">
      <c r="A508" s="436"/>
      <c r="B508" s="861"/>
      <c r="C508" s="459" t="s">
        <v>532</v>
      </c>
      <c r="D508" s="439"/>
      <c r="E508" s="440"/>
      <c r="F508" s="441"/>
      <c r="G508" s="442"/>
      <c r="H508" s="443"/>
      <c r="I508" s="444"/>
      <c r="J508" s="445"/>
      <c r="K508" s="990"/>
      <c r="L508" s="991"/>
      <c r="M508" s="448"/>
      <c r="N508" s="448"/>
      <c r="O508" s="450"/>
      <c r="P508" s="447"/>
      <c r="Q508" s="450"/>
      <c r="R508" s="451"/>
      <c r="S508" s="452"/>
      <c r="T508" s="863">
        <v>42</v>
      </c>
      <c r="U508" s="926"/>
      <c r="V508" s="455">
        <f t="shared" ca="1" si="119"/>
        <v>370</v>
      </c>
      <c r="W508" s="456">
        <f t="shared" ca="1" si="162"/>
        <v>2</v>
      </c>
      <c r="X508" s="456">
        <f t="shared" ca="1" si="163"/>
        <v>1</v>
      </c>
      <c r="Y508" s="457"/>
      <c r="Z508" s="457"/>
    </row>
    <row r="509" spans="1:26" s="458" customFormat="1" ht="25.5" x14ac:dyDescent="0.2">
      <c r="A509" s="436"/>
      <c r="B509" s="861"/>
      <c r="C509" s="312" t="s">
        <v>517</v>
      </c>
      <c r="D509" s="419">
        <v>45</v>
      </c>
      <c r="E509" s="316" t="s">
        <v>518</v>
      </c>
      <c r="F509" s="420">
        <v>6</v>
      </c>
      <c r="G509" s="419">
        <v>48</v>
      </c>
      <c r="H509" s="316" t="s">
        <v>518</v>
      </c>
      <c r="I509" s="420">
        <v>8</v>
      </c>
      <c r="J509" s="317"/>
      <c r="K509" s="433">
        <f>ABS((G509*20+I509)-(D509*20+F509))</f>
        <v>62</v>
      </c>
      <c r="L509" s="329">
        <v>12</v>
      </c>
      <c r="M509" s="422">
        <v>0.25</v>
      </c>
      <c r="N509" s="423">
        <f>L509*M509</f>
        <v>3</v>
      </c>
      <c r="O509" s="334"/>
      <c r="P509" s="328"/>
      <c r="Q509" s="334"/>
      <c r="R509" s="319">
        <f>K509*N509</f>
        <v>186</v>
      </c>
      <c r="S509" s="331" t="str">
        <f t="shared" ref="S509:S512" si="164">$L$552</f>
        <v>m³</v>
      </c>
      <c r="T509" s="863">
        <v>42</v>
      </c>
      <c r="U509" s="424" t="s">
        <v>519</v>
      </c>
      <c r="V509" s="455">
        <f t="shared" ca="1" si="119"/>
        <v>370</v>
      </c>
      <c r="W509" s="456">
        <f t="shared" ca="1" si="162"/>
        <v>2</v>
      </c>
      <c r="X509" s="456">
        <f t="shared" ca="1" si="163"/>
        <v>1</v>
      </c>
      <c r="Y509" s="457"/>
      <c r="Z509" s="457"/>
    </row>
    <row r="510" spans="1:26" s="458" customFormat="1" ht="25.5" x14ac:dyDescent="0.2">
      <c r="A510" s="436"/>
      <c r="B510" s="861"/>
      <c r="C510" s="438" t="s">
        <v>520</v>
      </c>
      <c r="D510" s="419">
        <v>45</v>
      </c>
      <c r="E510" s="316" t="s">
        <v>518</v>
      </c>
      <c r="F510" s="420">
        <v>6</v>
      </c>
      <c r="G510" s="419">
        <v>48</v>
      </c>
      <c r="H510" s="316" t="s">
        <v>518</v>
      </c>
      <c r="I510" s="420">
        <v>8</v>
      </c>
      <c r="J510" s="445"/>
      <c r="K510" s="990">
        <f>ABS((G510*20+I510)-(D510*20+F510))</f>
        <v>62</v>
      </c>
      <c r="L510" s="991">
        <v>3</v>
      </c>
      <c r="M510" s="448">
        <v>0.25</v>
      </c>
      <c r="N510" s="449">
        <f>L510*M510</f>
        <v>0.75</v>
      </c>
      <c r="O510" s="450"/>
      <c r="P510" s="447"/>
      <c r="Q510" s="450"/>
      <c r="R510" s="451">
        <f>K510*N510</f>
        <v>46.5</v>
      </c>
      <c r="S510" s="331" t="str">
        <f t="shared" si="164"/>
        <v>m³</v>
      </c>
      <c r="T510" s="863">
        <v>42</v>
      </c>
      <c r="U510" s="460" t="s">
        <v>519</v>
      </c>
      <c r="V510" s="455">
        <f t="shared" ca="1" si="119"/>
        <v>370</v>
      </c>
      <c r="W510" s="456">
        <f t="shared" ca="1" si="162"/>
        <v>2</v>
      </c>
      <c r="X510" s="456">
        <f t="shared" ca="1" si="163"/>
        <v>1</v>
      </c>
      <c r="Y510" s="457"/>
      <c r="Z510" s="457"/>
    </row>
    <row r="511" spans="1:26" s="458" customFormat="1" ht="25.5" x14ac:dyDescent="0.2">
      <c r="A511" s="436"/>
      <c r="B511" s="861"/>
      <c r="C511" s="438" t="s">
        <v>521</v>
      </c>
      <c r="D511" s="419">
        <v>45</v>
      </c>
      <c r="E511" s="316" t="s">
        <v>518</v>
      </c>
      <c r="F511" s="420">
        <v>6</v>
      </c>
      <c r="G511" s="419">
        <v>48</v>
      </c>
      <c r="H511" s="316" t="s">
        <v>518</v>
      </c>
      <c r="I511" s="420">
        <v>8</v>
      </c>
      <c r="J511" s="445"/>
      <c r="K511" s="990">
        <f>ABS((G511*20+I511)-(D511*20+F511))</f>
        <v>62</v>
      </c>
      <c r="L511" s="991">
        <v>3</v>
      </c>
      <c r="M511" s="448">
        <v>0.25</v>
      </c>
      <c r="N511" s="449">
        <f>L511*M511</f>
        <v>0.75</v>
      </c>
      <c r="O511" s="450"/>
      <c r="P511" s="447"/>
      <c r="Q511" s="450"/>
      <c r="R511" s="451">
        <f>K511*N511</f>
        <v>46.5</v>
      </c>
      <c r="S511" s="331" t="str">
        <f t="shared" si="164"/>
        <v>m³</v>
      </c>
      <c r="T511" s="863">
        <v>42</v>
      </c>
      <c r="U511" s="460" t="s">
        <v>519</v>
      </c>
      <c r="V511" s="455">
        <f t="shared" ca="1" si="119"/>
        <v>370</v>
      </c>
      <c r="W511" s="456">
        <f t="shared" ca="1" si="162"/>
        <v>2</v>
      </c>
      <c r="X511" s="456">
        <f t="shared" ca="1" si="163"/>
        <v>1</v>
      </c>
      <c r="Y511" s="457"/>
      <c r="Z511" s="457"/>
    </row>
    <row r="512" spans="1:26" s="458" customFormat="1" ht="25.5" x14ac:dyDescent="0.2">
      <c r="A512" s="436"/>
      <c r="B512" s="861"/>
      <c r="C512" s="438" t="s">
        <v>526</v>
      </c>
      <c r="D512" s="419">
        <v>45</v>
      </c>
      <c r="E512" s="316" t="s">
        <v>518</v>
      </c>
      <c r="F512" s="420">
        <v>6</v>
      </c>
      <c r="G512" s="419">
        <v>48</v>
      </c>
      <c r="H512" s="316" t="s">
        <v>518</v>
      </c>
      <c r="I512" s="420">
        <v>8</v>
      </c>
      <c r="J512" s="445"/>
      <c r="K512" s="990">
        <f>ABS((G512*20+I512)-(D512*20+F512))</f>
        <v>62</v>
      </c>
      <c r="L512" s="991">
        <v>0.2</v>
      </c>
      <c r="M512" s="448">
        <v>0.2</v>
      </c>
      <c r="N512" s="449">
        <f>L512*M512</f>
        <v>4.0000000000000008E-2</v>
      </c>
      <c r="O512" s="450"/>
      <c r="P512" s="447"/>
      <c r="Q512" s="450"/>
      <c r="R512" s="451">
        <f>K512*N512</f>
        <v>2.4800000000000004</v>
      </c>
      <c r="S512" s="331" t="str">
        <f t="shared" si="164"/>
        <v>m³</v>
      </c>
      <c r="T512" s="863">
        <v>42</v>
      </c>
      <c r="U512" s="460" t="s">
        <v>519</v>
      </c>
      <c r="V512" s="455">
        <f t="shared" ca="1" si="119"/>
        <v>370</v>
      </c>
      <c r="W512" s="456">
        <f t="shared" ca="1" si="162"/>
        <v>2</v>
      </c>
      <c r="X512" s="456">
        <f t="shared" ca="1" si="163"/>
        <v>1</v>
      </c>
      <c r="Y512" s="457"/>
      <c r="Z512" s="457"/>
    </row>
    <row r="513" spans="1:26" s="458" customFormat="1" ht="15" x14ac:dyDescent="0.2">
      <c r="A513" s="436"/>
      <c r="B513" s="861"/>
      <c r="C513" s="1133"/>
      <c r="D513" s="1134"/>
      <c r="E513" s="1076"/>
      <c r="F513" s="1077"/>
      <c r="G513" s="1134"/>
      <c r="H513" s="1076"/>
      <c r="I513" s="1077"/>
      <c r="J513" s="1135"/>
      <c r="K513" s="1136"/>
      <c r="L513" s="1137"/>
      <c r="M513" s="1138"/>
      <c r="N513" s="1139"/>
      <c r="O513" s="1140"/>
      <c r="P513" s="1141"/>
      <c r="Q513" s="1140"/>
      <c r="R513" s="1142"/>
      <c r="S513" s="1143"/>
      <c r="T513" s="1144"/>
      <c r="U513" s="1145"/>
      <c r="V513" s="455">
        <f t="shared" ca="1" si="119"/>
        <v>370</v>
      </c>
      <c r="W513" s="456">
        <f t="shared" ca="1" si="162"/>
        <v>0</v>
      </c>
      <c r="X513" s="456">
        <f t="shared" ca="1" si="163"/>
        <v>1</v>
      </c>
      <c r="Y513" s="457"/>
      <c r="Z513" s="457"/>
    </row>
    <row r="514" spans="1:26" s="458" customFormat="1" ht="15.75" x14ac:dyDescent="0.2">
      <c r="A514" s="436"/>
      <c r="B514" s="861"/>
      <c r="C514" s="432" t="s">
        <v>516</v>
      </c>
      <c r="D514" s="417"/>
      <c r="E514" s="314"/>
      <c r="F514" s="418"/>
      <c r="G514" s="419"/>
      <c r="H514" s="314"/>
      <c r="I514" s="420"/>
      <c r="J514" s="317"/>
      <c r="K514" s="433"/>
      <c r="L514" s="317"/>
      <c r="M514" s="433"/>
      <c r="N514" s="433"/>
      <c r="O514" s="317"/>
      <c r="P514" s="318"/>
      <c r="Q514" s="317"/>
      <c r="R514" s="319"/>
      <c r="S514" s="398"/>
      <c r="T514" s="320">
        <v>42</v>
      </c>
      <c r="U514" s="335"/>
      <c r="V514" s="455">
        <f t="shared" ca="1" si="119"/>
        <v>370</v>
      </c>
      <c r="W514" s="456">
        <f t="shared" ca="1" si="162"/>
        <v>2</v>
      </c>
      <c r="X514" s="456">
        <f t="shared" ca="1" si="163"/>
        <v>1</v>
      </c>
      <c r="Y514" s="457"/>
      <c r="Z514" s="457"/>
    </row>
    <row r="515" spans="1:26" s="458" customFormat="1" ht="25.5" x14ac:dyDescent="0.2">
      <c r="A515" s="436"/>
      <c r="B515" s="861"/>
      <c r="C515" s="312" t="s">
        <v>517</v>
      </c>
      <c r="D515" s="417">
        <v>2</v>
      </c>
      <c r="E515" s="314" t="s">
        <v>518</v>
      </c>
      <c r="F515" s="418">
        <v>0</v>
      </c>
      <c r="G515" s="417">
        <v>2</v>
      </c>
      <c r="H515" s="314" t="s">
        <v>518</v>
      </c>
      <c r="I515" s="418">
        <v>6</v>
      </c>
      <c r="J515" s="317"/>
      <c r="K515" s="421">
        <f t="shared" ref="K515:K520" si="165">ABS((G515*20+I515)-(D515*20+F515))</f>
        <v>6</v>
      </c>
      <c r="L515" s="328">
        <v>6</v>
      </c>
      <c r="M515" s="422">
        <v>0.25</v>
      </c>
      <c r="N515" s="423">
        <f t="shared" ref="N515:N520" si="166">L515*M515</f>
        <v>1.5</v>
      </c>
      <c r="O515" s="334"/>
      <c r="P515" s="328"/>
      <c r="Q515" s="334"/>
      <c r="R515" s="319">
        <f t="shared" ref="R515:R520" si="167">K515*N515</f>
        <v>9</v>
      </c>
      <c r="S515" s="331" t="str">
        <f t="shared" ref="S515:S520" si="168">$L$552</f>
        <v>m³</v>
      </c>
      <c r="T515" s="320">
        <v>42</v>
      </c>
      <c r="U515" s="424" t="s">
        <v>519</v>
      </c>
      <c r="V515" s="455">
        <f t="shared" ca="1" si="119"/>
        <v>370</v>
      </c>
      <c r="W515" s="456">
        <f t="shared" ca="1" si="162"/>
        <v>2</v>
      </c>
      <c r="X515" s="456">
        <f t="shared" ca="1" si="163"/>
        <v>1</v>
      </c>
      <c r="Y515" s="457"/>
      <c r="Z515" s="457"/>
    </row>
    <row r="516" spans="1:26" s="458" customFormat="1" ht="25.5" x14ac:dyDescent="0.2">
      <c r="A516" s="436"/>
      <c r="B516" s="861"/>
      <c r="C516" s="312" t="s">
        <v>520</v>
      </c>
      <c r="D516" s="417">
        <v>2</v>
      </c>
      <c r="E516" s="314" t="s">
        <v>518</v>
      </c>
      <c r="F516" s="418">
        <v>0</v>
      </c>
      <c r="G516" s="417">
        <v>2</v>
      </c>
      <c r="H516" s="314" t="s">
        <v>518</v>
      </c>
      <c r="I516" s="418">
        <v>6</v>
      </c>
      <c r="J516" s="317"/>
      <c r="K516" s="421">
        <f t="shared" si="165"/>
        <v>6</v>
      </c>
      <c r="L516" s="328">
        <v>2.2999999999999998</v>
      </c>
      <c r="M516" s="422">
        <v>0.25</v>
      </c>
      <c r="N516" s="423">
        <f t="shared" si="166"/>
        <v>0.57499999999999996</v>
      </c>
      <c r="O516" s="334"/>
      <c r="P516" s="328"/>
      <c r="Q516" s="334"/>
      <c r="R516" s="319">
        <f t="shared" si="167"/>
        <v>3.4499999999999997</v>
      </c>
      <c r="S516" s="331" t="str">
        <f t="shared" si="168"/>
        <v>m³</v>
      </c>
      <c r="T516" s="320">
        <v>42</v>
      </c>
      <c r="U516" s="424" t="s">
        <v>519</v>
      </c>
      <c r="V516" s="455">
        <f t="shared" ca="1" si="119"/>
        <v>370</v>
      </c>
      <c r="W516" s="456">
        <f t="shared" ca="1" si="162"/>
        <v>2</v>
      </c>
      <c r="X516" s="456">
        <f t="shared" ca="1" si="163"/>
        <v>1</v>
      </c>
      <c r="Y516" s="457"/>
      <c r="Z516" s="457"/>
    </row>
    <row r="517" spans="1:26" s="458" customFormat="1" ht="25.5" x14ac:dyDescent="0.2">
      <c r="A517" s="436"/>
      <c r="B517" s="861"/>
      <c r="C517" s="312" t="s">
        <v>521</v>
      </c>
      <c r="D517" s="417">
        <v>2</v>
      </c>
      <c r="E517" s="314" t="s">
        <v>518</v>
      </c>
      <c r="F517" s="418">
        <v>0</v>
      </c>
      <c r="G517" s="417">
        <v>2</v>
      </c>
      <c r="H517" s="314" t="s">
        <v>518</v>
      </c>
      <c r="I517" s="418">
        <v>6</v>
      </c>
      <c r="J517" s="317"/>
      <c r="K517" s="421">
        <f t="shared" si="165"/>
        <v>6</v>
      </c>
      <c r="L517" s="328">
        <v>2.2999999999999998</v>
      </c>
      <c r="M517" s="422">
        <v>0.25</v>
      </c>
      <c r="N517" s="423">
        <f t="shared" si="166"/>
        <v>0.57499999999999996</v>
      </c>
      <c r="O517" s="334"/>
      <c r="P517" s="328"/>
      <c r="Q517" s="334"/>
      <c r="R517" s="319">
        <f t="shared" si="167"/>
        <v>3.4499999999999997</v>
      </c>
      <c r="S517" s="331" t="str">
        <f t="shared" si="168"/>
        <v>m³</v>
      </c>
      <c r="T517" s="320">
        <v>42</v>
      </c>
      <c r="U517" s="424" t="s">
        <v>519</v>
      </c>
      <c r="V517" s="455">
        <f t="shared" ca="1" si="119"/>
        <v>370</v>
      </c>
      <c r="W517" s="456">
        <f t="shared" ca="1" si="162"/>
        <v>2</v>
      </c>
      <c r="X517" s="456">
        <f t="shared" ca="1" si="163"/>
        <v>1</v>
      </c>
      <c r="Y517" s="457"/>
      <c r="Z517" s="457"/>
    </row>
    <row r="518" spans="1:26" s="458" customFormat="1" ht="25.5" x14ac:dyDescent="0.2">
      <c r="A518" s="436"/>
      <c r="B518" s="861"/>
      <c r="C518" s="312" t="s">
        <v>522</v>
      </c>
      <c r="D518" s="417">
        <v>2</v>
      </c>
      <c r="E518" s="314" t="s">
        <v>518</v>
      </c>
      <c r="F518" s="418">
        <v>0</v>
      </c>
      <c r="G518" s="417">
        <v>2</v>
      </c>
      <c r="H518" s="314" t="s">
        <v>518</v>
      </c>
      <c r="I518" s="418">
        <v>6</v>
      </c>
      <c r="J518" s="317"/>
      <c r="K518" s="421">
        <f t="shared" si="165"/>
        <v>6</v>
      </c>
      <c r="L518" s="328">
        <v>0.2</v>
      </c>
      <c r="M518" s="422">
        <v>0.2</v>
      </c>
      <c r="N518" s="423">
        <f t="shared" si="166"/>
        <v>4.0000000000000008E-2</v>
      </c>
      <c r="O518" s="334"/>
      <c r="P518" s="328"/>
      <c r="Q518" s="334"/>
      <c r="R518" s="319">
        <f t="shared" si="167"/>
        <v>0.24000000000000005</v>
      </c>
      <c r="S518" s="331" t="str">
        <f t="shared" si="168"/>
        <v>m³</v>
      </c>
      <c r="T518" s="320">
        <v>42</v>
      </c>
      <c r="U518" s="424" t="s">
        <v>519</v>
      </c>
      <c r="V518" s="455">
        <f t="shared" ca="1" si="119"/>
        <v>370</v>
      </c>
      <c r="W518" s="456">
        <f t="shared" ca="1" si="162"/>
        <v>2</v>
      </c>
      <c r="X518" s="456">
        <f t="shared" ca="1" si="163"/>
        <v>1</v>
      </c>
      <c r="Y518" s="457"/>
      <c r="Z518" s="457"/>
    </row>
    <row r="519" spans="1:26" s="458" customFormat="1" ht="25.5" x14ac:dyDescent="0.2">
      <c r="A519" s="436"/>
      <c r="B519" s="861"/>
      <c r="C519" s="312" t="s">
        <v>523</v>
      </c>
      <c r="D519" s="417">
        <v>2</v>
      </c>
      <c r="E519" s="314" t="s">
        <v>518</v>
      </c>
      <c r="F519" s="418">
        <v>0</v>
      </c>
      <c r="G519" s="417">
        <v>2</v>
      </c>
      <c r="H519" s="314" t="s">
        <v>518</v>
      </c>
      <c r="I519" s="418">
        <v>6</v>
      </c>
      <c r="J519" s="317"/>
      <c r="K519" s="421">
        <f t="shared" si="165"/>
        <v>6</v>
      </c>
      <c r="L519" s="328">
        <v>0.2</v>
      </c>
      <c r="M519" s="422">
        <v>0.2</v>
      </c>
      <c r="N519" s="423">
        <f t="shared" si="166"/>
        <v>4.0000000000000008E-2</v>
      </c>
      <c r="O519" s="334"/>
      <c r="P519" s="328"/>
      <c r="Q519" s="334"/>
      <c r="R519" s="319">
        <f t="shared" si="167"/>
        <v>0.24000000000000005</v>
      </c>
      <c r="S519" s="331" t="str">
        <f t="shared" si="168"/>
        <v>m³</v>
      </c>
      <c r="T519" s="320">
        <v>42</v>
      </c>
      <c r="U519" s="424" t="s">
        <v>519</v>
      </c>
      <c r="V519" s="455">
        <f t="shared" ca="1" si="119"/>
        <v>370</v>
      </c>
      <c r="W519" s="456">
        <f t="shared" ca="1" si="162"/>
        <v>2</v>
      </c>
      <c r="X519" s="456">
        <f t="shared" ca="1" si="163"/>
        <v>1</v>
      </c>
      <c r="Y519" s="457"/>
      <c r="Z519" s="457"/>
    </row>
    <row r="520" spans="1:26" s="458" customFormat="1" ht="25.5" x14ac:dyDescent="0.2">
      <c r="A520" s="436"/>
      <c r="B520" s="861"/>
      <c r="C520" s="426" t="s">
        <v>524</v>
      </c>
      <c r="D520" s="417">
        <v>2</v>
      </c>
      <c r="E520" s="314" t="s">
        <v>518</v>
      </c>
      <c r="F520" s="418">
        <v>0</v>
      </c>
      <c r="G520" s="417">
        <v>2</v>
      </c>
      <c r="H520" s="314" t="s">
        <v>518</v>
      </c>
      <c r="I520" s="418">
        <v>6</v>
      </c>
      <c r="J520" s="1110"/>
      <c r="K520" s="421">
        <f t="shared" si="165"/>
        <v>6</v>
      </c>
      <c r="L520" s="328">
        <v>6</v>
      </c>
      <c r="M520" s="422">
        <v>0.25</v>
      </c>
      <c r="N520" s="423">
        <f t="shared" si="166"/>
        <v>1.5</v>
      </c>
      <c r="O520" s="1110"/>
      <c r="P520" s="428"/>
      <c r="Q520" s="1110"/>
      <c r="R520" s="319">
        <f t="shared" si="167"/>
        <v>9</v>
      </c>
      <c r="S520" s="331" t="str">
        <f t="shared" si="168"/>
        <v>m³</v>
      </c>
      <c r="T520" s="320">
        <v>42</v>
      </c>
      <c r="U520" s="424" t="s">
        <v>519</v>
      </c>
      <c r="V520" s="455">
        <f t="shared" ca="1" si="119"/>
        <v>370</v>
      </c>
      <c r="W520" s="456">
        <f t="shared" ref="W520:W533" ca="1" si="169">IF(LEFT(_xlfn.FORMULATEXT(V520),3)="=SO",1,IF(COUNTA(A520:U520)=0,0,2))</f>
        <v>2</v>
      </c>
      <c r="X520" s="456">
        <f t="shared" ref="X520:X533" ca="1" si="170">IF(COUNTA(OFFSET(A519,1,0))-COUNTA(A519)=-1,0,1)</f>
        <v>1</v>
      </c>
      <c r="Y520" s="457"/>
      <c r="Z520" s="457"/>
    </row>
    <row r="521" spans="1:26" s="458" customFormat="1" ht="15" x14ac:dyDescent="0.2">
      <c r="A521" s="436"/>
      <c r="B521" s="861"/>
      <c r="C521" s="426"/>
      <c r="D521" s="417"/>
      <c r="E521" s="314"/>
      <c r="F521" s="418"/>
      <c r="G521" s="417"/>
      <c r="H521" s="314"/>
      <c r="I521" s="418"/>
      <c r="J521" s="1110"/>
      <c r="K521" s="421"/>
      <c r="L521" s="328"/>
      <c r="M521" s="422"/>
      <c r="N521" s="423"/>
      <c r="O521" s="1110"/>
      <c r="P521" s="428"/>
      <c r="Q521" s="1110"/>
      <c r="R521" s="319"/>
      <c r="S521" s="331"/>
      <c r="T521" s="320"/>
      <c r="U521" s="424"/>
      <c r="V521" s="455">
        <f t="shared" ca="1" si="119"/>
        <v>370</v>
      </c>
      <c r="W521" s="456">
        <f t="shared" ca="1" si="169"/>
        <v>0</v>
      </c>
      <c r="X521" s="456">
        <f t="shared" ca="1" si="170"/>
        <v>1</v>
      </c>
      <c r="Y521" s="457"/>
      <c r="Z521" s="457"/>
    </row>
    <row r="522" spans="1:26" s="458" customFormat="1" ht="15.75" x14ac:dyDescent="0.2">
      <c r="A522" s="436"/>
      <c r="B522" s="861"/>
      <c r="C522" s="459" t="s">
        <v>532</v>
      </c>
      <c r="D522" s="439"/>
      <c r="E522" s="440"/>
      <c r="F522" s="441"/>
      <c r="G522" s="442"/>
      <c r="H522" s="443"/>
      <c r="I522" s="444"/>
      <c r="J522" s="445"/>
      <c r="K522" s="990"/>
      <c r="L522" s="991"/>
      <c r="M522" s="448"/>
      <c r="N522" s="448"/>
      <c r="O522" s="450"/>
      <c r="P522" s="447"/>
      <c r="Q522" s="450"/>
      <c r="R522" s="451"/>
      <c r="S522" s="452"/>
      <c r="T522" s="863">
        <v>43</v>
      </c>
      <c r="U522" s="926"/>
      <c r="V522" s="455">
        <f t="shared" ca="1" si="119"/>
        <v>370</v>
      </c>
      <c r="W522" s="456">
        <f t="shared" ca="1" si="169"/>
        <v>2</v>
      </c>
      <c r="X522" s="456">
        <f t="shared" ca="1" si="170"/>
        <v>1</v>
      </c>
      <c r="Y522" s="457"/>
      <c r="Z522" s="457"/>
    </row>
    <row r="523" spans="1:26" s="458" customFormat="1" ht="25.5" x14ac:dyDescent="0.2">
      <c r="A523" s="436"/>
      <c r="B523" s="861"/>
      <c r="C523" s="312" t="s">
        <v>517</v>
      </c>
      <c r="D523" s="419">
        <v>42</v>
      </c>
      <c r="E523" s="316" t="s">
        <v>518</v>
      </c>
      <c r="F523" s="420">
        <v>3</v>
      </c>
      <c r="G523" s="419">
        <v>45</v>
      </c>
      <c r="H523" s="316" t="s">
        <v>518</v>
      </c>
      <c r="I523" s="420">
        <v>6</v>
      </c>
      <c r="J523" s="317"/>
      <c r="K523" s="433">
        <f>ABS((G523*20+I523)-(D523*20+F523))</f>
        <v>63</v>
      </c>
      <c r="L523" s="329">
        <v>12</v>
      </c>
      <c r="M523" s="422">
        <v>0.25</v>
      </c>
      <c r="N523" s="423">
        <f>L523*M523</f>
        <v>3</v>
      </c>
      <c r="O523" s="334"/>
      <c r="P523" s="328"/>
      <c r="Q523" s="334"/>
      <c r="R523" s="319">
        <f>K523*N523</f>
        <v>189</v>
      </c>
      <c r="S523" s="331" t="str">
        <f t="shared" ref="S523:S526" si="171">$L$552</f>
        <v>m³</v>
      </c>
      <c r="T523" s="863">
        <v>43</v>
      </c>
      <c r="U523" s="424" t="s">
        <v>519</v>
      </c>
      <c r="V523" s="455">
        <f t="shared" ca="1" si="119"/>
        <v>370</v>
      </c>
      <c r="W523" s="456">
        <f t="shared" ca="1" si="169"/>
        <v>2</v>
      </c>
      <c r="X523" s="456">
        <f t="shared" ca="1" si="170"/>
        <v>1</v>
      </c>
      <c r="Y523" s="457"/>
      <c r="Z523" s="457"/>
    </row>
    <row r="524" spans="1:26" s="458" customFormat="1" ht="25.5" x14ac:dyDescent="0.2">
      <c r="A524" s="436"/>
      <c r="B524" s="861"/>
      <c r="C524" s="438" t="s">
        <v>520</v>
      </c>
      <c r="D524" s="419">
        <v>42</v>
      </c>
      <c r="E524" s="316" t="s">
        <v>518</v>
      </c>
      <c r="F524" s="420">
        <v>3</v>
      </c>
      <c r="G524" s="419">
        <v>45</v>
      </c>
      <c r="H524" s="316" t="s">
        <v>518</v>
      </c>
      <c r="I524" s="420">
        <v>6</v>
      </c>
      <c r="J524" s="445"/>
      <c r="K524" s="990">
        <f>ABS((G524*20+I524)-(D524*20+F524))</f>
        <v>63</v>
      </c>
      <c r="L524" s="991">
        <v>3</v>
      </c>
      <c r="M524" s="448">
        <v>0.25</v>
      </c>
      <c r="N524" s="449">
        <f>L524*M524</f>
        <v>0.75</v>
      </c>
      <c r="O524" s="450"/>
      <c r="P524" s="447"/>
      <c r="Q524" s="450"/>
      <c r="R524" s="451">
        <f>K524*N524</f>
        <v>47.25</v>
      </c>
      <c r="S524" s="331" t="str">
        <f t="shared" si="171"/>
        <v>m³</v>
      </c>
      <c r="T524" s="863">
        <v>43</v>
      </c>
      <c r="U524" s="460" t="s">
        <v>519</v>
      </c>
      <c r="V524" s="455">
        <f t="shared" ca="1" si="119"/>
        <v>370</v>
      </c>
      <c r="W524" s="456">
        <f t="shared" ca="1" si="169"/>
        <v>2</v>
      </c>
      <c r="X524" s="456">
        <f t="shared" ca="1" si="170"/>
        <v>1</v>
      </c>
      <c r="Y524" s="457"/>
      <c r="Z524" s="457"/>
    </row>
    <row r="525" spans="1:26" s="458" customFormat="1" ht="25.5" x14ac:dyDescent="0.2">
      <c r="A525" s="436"/>
      <c r="B525" s="861"/>
      <c r="C525" s="438" t="s">
        <v>521</v>
      </c>
      <c r="D525" s="419">
        <v>42</v>
      </c>
      <c r="E525" s="316" t="s">
        <v>518</v>
      </c>
      <c r="F525" s="420">
        <v>3</v>
      </c>
      <c r="G525" s="419">
        <v>45</v>
      </c>
      <c r="H525" s="316" t="s">
        <v>518</v>
      </c>
      <c r="I525" s="420">
        <v>6</v>
      </c>
      <c r="J525" s="445"/>
      <c r="K525" s="990">
        <f>ABS((G525*20+I525)-(D525*20+F525))</f>
        <v>63</v>
      </c>
      <c r="L525" s="991">
        <v>3</v>
      </c>
      <c r="M525" s="448">
        <v>0.25</v>
      </c>
      <c r="N525" s="449">
        <f>L525*M525</f>
        <v>0.75</v>
      </c>
      <c r="O525" s="450"/>
      <c r="P525" s="447"/>
      <c r="Q525" s="450"/>
      <c r="R525" s="451">
        <f>K525*N525</f>
        <v>47.25</v>
      </c>
      <c r="S525" s="331" t="str">
        <f t="shared" si="171"/>
        <v>m³</v>
      </c>
      <c r="T525" s="863">
        <v>43</v>
      </c>
      <c r="U525" s="460" t="s">
        <v>519</v>
      </c>
      <c r="V525" s="455">
        <f t="shared" ca="1" si="119"/>
        <v>370</v>
      </c>
      <c r="W525" s="456">
        <f t="shared" ca="1" si="169"/>
        <v>2</v>
      </c>
      <c r="X525" s="456">
        <f t="shared" ca="1" si="170"/>
        <v>1</v>
      </c>
      <c r="Y525" s="457"/>
      <c r="Z525" s="457"/>
    </row>
    <row r="526" spans="1:26" s="458" customFormat="1" ht="25.5" x14ac:dyDescent="0.2">
      <c r="A526" s="436"/>
      <c r="B526" s="861"/>
      <c r="C526" s="438" t="s">
        <v>526</v>
      </c>
      <c r="D526" s="419">
        <v>42</v>
      </c>
      <c r="E526" s="316" t="s">
        <v>518</v>
      </c>
      <c r="F526" s="420">
        <v>3</v>
      </c>
      <c r="G526" s="419">
        <v>45</v>
      </c>
      <c r="H526" s="316" t="s">
        <v>518</v>
      </c>
      <c r="I526" s="420">
        <v>6</v>
      </c>
      <c r="J526" s="445"/>
      <c r="K526" s="990">
        <f>ABS((G526*20+I526)-(D526*20+F526))</f>
        <v>63</v>
      </c>
      <c r="L526" s="991">
        <v>0.2</v>
      </c>
      <c r="M526" s="448">
        <v>0.2</v>
      </c>
      <c r="N526" s="449">
        <f>L526*M526</f>
        <v>4.0000000000000008E-2</v>
      </c>
      <c r="O526" s="450"/>
      <c r="P526" s="447"/>
      <c r="Q526" s="450"/>
      <c r="R526" s="451">
        <f>K526*N526</f>
        <v>2.5200000000000005</v>
      </c>
      <c r="S526" s="331" t="str">
        <f t="shared" si="171"/>
        <v>m³</v>
      </c>
      <c r="T526" s="863">
        <v>43</v>
      </c>
      <c r="U526" s="460" t="s">
        <v>519</v>
      </c>
      <c r="V526" s="455">
        <f t="shared" ca="1" si="119"/>
        <v>370</v>
      </c>
      <c r="W526" s="456">
        <f t="shared" ca="1" si="169"/>
        <v>2</v>
      </c>
      <c r="X526" s="456">
        <f t="shared" ca="1" si="170"/>
        <v>1</v>
      </c>
      <c r="Y526" s="457"/>
      <c r="Z526" s="457"/>
    </row>
    <row r="527" spans="1:26" s="458" customFormat="1" ht="15" x14ac:dyDescent="0.2">
      <c r="A527" s="436"/>
      <c r="B527" s="861"/>
      <c r="C527" s="1133"/>
      <c r="D527" s="1134"/>
      <c r="E527" s="1076"/>
      <c r="F527" s="1077"/>
      <c r="G527" s="1134"/>
      <c r="H527" s="1076"/>
      <c r="I527" s="1077"/>
      <c r="J527" s="1135"/>
      <c r="K527" s="1136"/>
      <c r="L527" s="1137"/>
      <c r="M527" s="1138"/>
      <c r="N527" s="1139"/>
      <c r="O527" s="1140"/>
      <c r="P527" s="1141"/>
      <c r="Q527" s="1140"/>
      <c r="R527" s="1142"/>
      <c r="S527" s="1143"/>
      <c r="T527" s="1144"/>
      <c r="U527" s="1145"/>
      <c r="V527" s="455">
        <f t="shared" ca="1" si="119"/>
        <v>370</v>
      </c>
      <c r="W527" s="456">
        <f t="shared" ca="1" si="169"/>
        <v>0</v>
      </c>
      <c r="X527" s="456">
        <f t="shared" ca="1" si="170"/>
        <v>1</v>
      </c>
      <c r="Y527" s="457"/>
      <c r="Z527" s="457"/>
    </row>
    <row r="528" spans="1:26" s="458" customFormat="1" ht="15.75" x14ac:dyDescent="0.2">
      <c r="A528" s="436"/>
      <c r="B528" s="861"/>
      <c r="C528" s="432" t="s">
        <v>516</v>
      </c>
      <c r="D528" s="417"/>
      <c r="E528" s="314"/>
      <c r="F528" s="418"/>
      <c r="G528" s="419"/>
      <c r="H528" s="314"/>
      <c r="I528" s="420"/>
      <c r="J528" s="317"/>
      <c r="K528" s="433"/>
      <c r="L528" s="317"/>
      <c r="M528" s="433"/>
      <c r="N528" s="433"/>
      <c r="O528" s="317"/>
      <c r="P528" s="318"/>
      <c r="Q528" s="317"/>
      <c r="R528" s="319"/>
      <c r="S528" s="398"/>
      <c r="T528" s="320">
        <v>43</v>
      </c>
      <c r="U528" s="335"/>
      <c r="V528" s="455">
        <f t="shared" ca="1" si="119"/>
        <v>370</v>
      </c>
      <c r="W528" s="456">
        <f t="shared" ca="1" si="169"/>
        <v>2</v>
      </c>
      <c r="X528" s="456">
        <f t="shared" ca="1" si="170"/>
        <v>1</v>
      </c>
      <c r="Y528" s="457"/>
      <c r="Z528" s="457"/>
    </row>
    <row r="529" spans="1:26" s="458" customFormat="1" ht="25.5" x14ac:dyDescent="0.2">
      <c r="A529" s="436"/>
      <c r="B529" s="861"/>
      <c r="C529" s="312" t="s">
        <v>517</v>
      </c>
      <c r="D529" s="417">
        <v>1</v>
      </c>
      <c r="E529" s="314" t="s">
        <v>518</v>
      </c>
      <c r="F529" s="418">
        <v>8</v>
      </c>
      <c r="G529" s="417">
        <v>2</v>
      </c>
      <c r="H529" s="314" t="s">
        <v>518</v>
      </c>
      <c r="I529" s="418">
        <v>0</v>
      </c>
      <c r="J529" s="317"/>
      <c r="K529" s="421">
        <f t="shared" ref="K529:K534" si="172">ABS((G529*20+I529)-(D529*20+F529))</f>
        <v>12</v>
      </c>
      <c r="L529" s="328">
        <v>6</v>
      </c>
      <c r="M529" s="422">
        <v>0.25</v>
      </c>
      <c r="N529" s="423">
        <f t="shared" ref="N529:N534" si="173">L529*M529</f>
        <v>1.5</v>
      </c>
      <c r="O529" s="334"/>
      <c r="P529" s="328"/>
      <c r="Q529" s="334"/>
      <c r="R529" s="319">
        <f t="shared" ref="R529:R534" si="174">K529*N529</f>
        <v>18</v>
      </c>
      <c r="S529" s="331" t="str">
        <f t="shared" ref="S529:S534" si="175">$L$552</f>
        <v>m³</v>
      </c>
      <c r="T529" s="320">
        <v>43</v>
      </c>
      <c r="U529" s="424" t="s">
        <v>519</v>
      </c>
      <c r="V529" s="455">
        <f t="shared" ca="1" si="119"/>
        <v>370</v>
      </c>
      <c r="W529" s="456">
        <f t="shared" ca="1" si="169"/>
        <v>2</v>
      </c>
      <c r="X529" s="456">
        <f t="shared" ca="1" si="170"/>
        <v>1</v>
      </c>
      <c r="Y529" s="457"/>
      <c r="Z529" s="457"/>
    </row>
    <row r="530" spans="1:26" s="458" customFormat="1" ht="25.5" x14ac:dyDescent="0.2">
      <c r="A530" s="436"/>
      <c r="B530" s="861"/>
      <c r="C530" s="312" t="s">
        <v>520</v>
      </c>
      <c r="D530" s="417">
        <v>1</v>
      </c>
      <c r="E530" s="314" t="s">
        <v>518</v>
      </c>
      <c r="F530" s="418">
        <v>8</v>
      </c>
      <c r="G530" s="417">
        <v>2</v>
      </c>
      <c r="H530" s="314" t="s">
        <v>518</v>
      </c>
      <c r="I530" s="418">
        <v>0</v>
      </c>
      <c r="J530" s="317"/>
      <c r="K530" s="421">
        <f t="shared" si="172"/>
        <v>12</v>
      </c>
      <c r="L530" s="328">
        <v>2.2999999999999998</v>
      </c>
      <c r="M530" s="422">
        <v>0.25</v>
      </c>
      <c r="N530" s="423">
        <f t="shared" si="173"/>
        <v>0.57499999999999996</v>
      </c>
      <c r="O530" s="334"/>
      <c r="P530" s="328"/>
      <c r="Q530" s="334"/>
      <c r="R530" s="319">
        <f t="shared" si="174"/>
        <v>6.8999999999999995</v>
      </c>
      <c r="S530" s="331" t="str">
        <f t="shared" si="175"/>
        <v>m³</v>
      </c>
      <c r="T530" s="320">
        <v>43</v>
      </c>
      <c r="U530" s="424" t="s">
        <v>519</v>
      </c>
      <c r="V530" s="455">
        <f t="shared" ca="1" si="119"/>
        <v>370</v>
      </c>
      <c r="W530" s="456">
        <f t="shared" ca="1" si="169"/>
        <v>2</v>
      </c>
      <c r="X530" s="456">
        <f t="shared" ca="1" si="170"/>
        <v>1</v>
      </c>
      <c r="Y530" s="457"/>
      <c r="Z530" s="457"/>
    </row>
    <row r="531" spans="1:26" s="458" customFormat="1" ht="25.5" x14ac:dyDescent="0.2">
      <c r="A531" s="436"/>
      <c r="B531" s="861"/>
      <c r="C531" s="312" t="s">
        <v>521</v>
      </c>
      <c r="D531" s="417">
        <v>1</v>
      </c>
      <c r="E531" s="314" t="s">
        <v>518</v>
      </c>
      <c r="F531" s="418">
        <v>8</v>
      </c>
      <c r="G531" s="417">
        <v>2</v>
      </c>
      <c r="H531" s="314" t="s">
        <v>518</v>
      </c>
      <c r="I531" s="418">
        <v>0</v>
      </c>
      <c r="J531" s="317"/>
      <c r="K531" s="421">
        <f t="shared" si="172"/>
        <v>12</v>
      </c>
      <c r="L531" s="328">
        <v>2.2999999999999998</v>
      </c>
      <c r="M531" s="422">
        <v>0.25</v>
      </c>
      <c r="N531" s="423">
        <f t="shared" si="173"/>
        <v>0.57499999999999996</v>
      </c>
      <c r="O531" s="334"/>
      <c r="P531" s="328"/>
      <c r="Q531" s="334"/>
      <c r="R531" s="319">
        <f t="shared" si="174"/>
        <v>6.8999999999999995</v>
      </c>
      <c r="S531" s="331" t="str">
        <f t="shared" si="175"/>
        <v>m³</v>
      </c>
      <c r="T531" s="320">
        <v>43</v>
      </c>
      <c r="U531" s="424" t="s">
        <v>519</v>
      </c>
      <c r="V531" s="455">
        <f t="shared" ca="1" si="119"/>
        <v>370</v>
      </c>
      <c r="W531" s="456">
        <f t="shared" ca="1" si="169"/>
        <v>2</v>
      </c>
      <c r="X531" s="456">
        <f t="shared" ca="1" si="170"/>
        <v>1</v>
      </c>
      <c r="Y531" s="457"/>
      <c r="Z531" s="457"/>
    </row>
    <row r="532" spans="1:26" s="458" customFormat="1" ht="25.5" x14ac:dyDescent="0.2">
      <c r="A532" s="436"/>
      <c r="B532" s="861"/>
      <c r="C532" s="312" t="s">
        <v>522</v>
      </c>
      <c r="D532" s="417">
        <v>1</v>
      </c>
      <c r="E532" s="314" t="s">
        <v>518</v>
      </c>
      <c r="F532" s="418">
        <v>8</v>
      </c>
      <c r="G532" s="417">
        <v>2</v>
      </c>
      <c r="H532" s="314" t="s">
        <v>518</v>
      </c>
      <c r="I532" s="418">
        <v>0</v>
      </c>
      <c r="J532" s="317"/>
      <c r="K532" s="421">
        <f t="shared" si="172"/>
        <v>12</v>
      </c>
      <c r="L532" s="328">
        <v>0.2</v>
      </c>
      <c r="M532" s="422">
        <v>0.2</v>
      </c>
      <c r="N532" s="423">
        <f t="shared" si="173"/>
        <v>4.0000000000000008E-2</v>
      </c>
      <c r="O532" s="334"/>
      <c r="P532" s="328"/>
      <c r="Q532" s="334"/>
      <c r="R532" s="319">
        <f t="shared" si="174"/>
        <v>0.48000000000000009</v>
      </c>
      <c r="S532" s="331" t="str">
        <f t="shared" si="175"/>
        <v>m³</v>
      </c>
      <c r="T532" s="320">
        <v>43</v>
      </c>
      <c r="U532" s="424" t="s">
        <v>519</v>
      </c>
      <c r="V532" s="455">
        <f t="shared" ca="1" si="119"/>
        <v>370</v>
      </c>
      <c r="W532" s="456">
        <f t="shared" ca="1" si="169"/>
        <v>2</v>
      </c>
      <c r="X532" s="456">
        <f t="shared" ca="1" si="170"/>
        <v>1</v>
      </c>
      <c r="Y532" s="457"/>
      <c r="Z532" s="457"/>
    </row>
    <row r="533" spans="1:26" s="458" customFormat="1" ht="25.5" x14ac:dyDescent="0.2">
      <c r="A533" s="436"/>
      <c r="B533" s="861"/>
      <c r="C533" s="312" t="s">
        <v>523</v>
      </c>
      <c r="D533" s="417">
        <v>1</v>
      </c>
      <c r="E533" s="314" t="s">
        <v>518</v>
      </c>
      <c r="F533" s="418">
        <v>8</v>
      </c>
      <c r="G533" s="417">
        <v>2</v>
      </c>
      <c r="H533" s="314" t="s">
        <v>518</v>
      </c>
      <c r="I533" s="418">
        <v>0</v>
      </c>
      <c r="J533" s="317"/>
      <c r="K533" s="421">
        <f t="shared" si="172"/>
        <v>12</v>
      </c>
      <c r="L533" s="328">
        <v>0.2</v>
      </c>
      <c r="M533" s="422">
        <v>0.2</v>
      </c>
      <c r="N533" s="423">
        <f t="shared" si="173"/>
        <v>4.0000000000000008E-2</v>
      </c>
      <c r="O533" s="334"/>
      <c r="P533" s="328"/>
      <c r="Q533" s="334"/>
      <c r="R533" s="319">
        <f t="shared" si="174"/>
        <v>0.48000000000000009</v>
      </c>
      <c r="S533" s="331" t="str">
        <f t="shared" si="175"/>
        <v>m³</v>
      </c>
      <c r="T533" s="320">
        <v>43</v>
      </c>
      <c r="U533" s="424" t="s">
        <v>519</v>
      </c>
      <c r="V533" s="455">
        <f t="shared" ca="1" si="119"/>
        <v>370</v>
      </c>
      <c r="W533" s="456">
        <f t="shared" ca="1" si="169"/>
        <v>2</v>
      </c>
      <c r="X533" s="456">
        <f t="shared" ca="1" si="170"/>
        <v>1</v>
      </c>
      <c r="Y533" s="457"/>
      <c r="Z533" s="457"/>
    </row>
    <row r="534" spans="1:26" s="458" customFormat="1" ht="25.5" x14ac:dyDescent="0.2">
      <c r="A534" s="436"/>
      <c r="B534" s="861"/>
      <c r="C534" s="426" t="s">
        <v>524</v>
      </c>
      <c r="D534" s="417">
        <v>1</v>
      </c>
      <c r="E534" s="314" t="s">
        <v>518</v>
      </c>
      <c r="F534" s="418">
        <v>8</v>
      </c>
      <c r="G534" s="417">
        <v>2</v>
      </c>
      <c r="H534" s="314" t="s">
        <v>518</v>
      </c>
      <c r="I534" s="418">
        <v>0</v>
      </c>
      <c r="J534" s="1110"/>
      <c r="K534" s="421">
        <f t="shared" si="172"/>
        <v>12</v>
      </c>
      <c r="L534" s="328">
        <v>6</v>
      </c>
      <c r="M534" s="422">
        <v>0.25</v>
      </c>
      <c r="N534" s="423">
        <f t="shared" si="173"/>
        <v>1.5</v>
      </c>
      <c r="O534" s="1110"/>
      <c r="P534" s="428"/>
      <c r="Q534" s="1110"/>
      <c r="R534" s="319">
        <f t="shared" si="174"/>
        <v>18</v>
      </c>
      <c r="S534" s="331" t="str">
        <f t="shared" si="175"/>
        <v>m³</v>
      </c>
      <c r="T534" s="320">
        <v>43</v>
      </c>
      <c r="U534" s="424" t="s">
        <v>519</v>
      </c>
      <c r="V534" s="455">
        <f t="shared" ca="1" si="119"/>
        <v>370</v>
      </c>
      <c r="W534" s="456">
        <f t="shared" ref="W534:W539" ca="1" si="176">IF(LEFT(_xlfn.FORMULATEXT(V534),3)="=SO",1,IF(COUNTA(A534:U534)=0,0,2))</f>
        <v>2</v>
      </c>
      <c r="X534" s="456">
        <f t="shared" ref="X534:X539" ca="1" si="177">IF(COUNTA(OFFSET(A533,1,0))-COUNTA(A533)=-1,0,1)</f>
        <v>1</v>
      </c>
      <c r="Y534" s="457"/>
      <c r="Z534" s="457"/>
    </row>
    <row r="535" spans="1:26" s="458" customFormat="1" ht="15" x14ac:dyDescent="0.2">
      <c r="A535" s="436"/>
      <c r="B535" s="861"/>
      <c r="C535" s="426"/>
      <c r="D535" s="417"/>
      <c r="E535" s="314"/>
      <c r="F535" s="418"/>
      <c r="G535" s="417"/>
      <c r="H535" s="314"/>
      <c r="I535" s="418"/>
      <c r="J535" s="1110"/>
      <c r="K535" s="421"/>
      <c r="L535" s="328"/>
      <c r="M535" s="422"/>
      <c r="N535" s="423"/>
      <c r="O535" s="1110"/>
      <c r="P535" s="428"/>
      <c r="Q535" s="1110"/>
      <c r="R535" s="319"/>
      <c r="S535" s="331"/>
      <c r="T535" s="320"/>
      <c r="U535" s="424"/>
      <c r="V535" s="455">
        <f t="shared" ca="1" si="119"/>
        <v>370</v>
      </c>
      <c r="W535" s="456">
        <f t="shared" ca="1" si="176"/>
        <v>0</v>
      </c>
      <c r="X535" s="456">
        <f t="shared" ca="1" si="177"/>
        <v>1</v>
      </c>
      <c r="Y535" s="457"/>
      <c r="Z535" s="457"/>
    </row>
    <row r="536" spans="1:26" s="458" customFormat="1" ht="15.75" x14ac:dyDescent="0.2">
      <c r="A536" s="436"/>
      <c r="B536" s="861"/>
      <c r="C536" s="459" t="s">
        <v>532</v>
      </c>
      <c r="D536" s="439"/>
      <c r="E536" s="440"/>
      <c r="F536" s="441"/>
      <c r="G536" s="442"/>
      <c r="H536" s="443"/>
      <c r="I536" s="444"/>
      <c r="J536" s="445"/>
      <c r="K536" s="990"/>
      <c r="L536" s="991"/>
      <c r="M536" s="448"/>
      <c r="N536" s="448"/>
      <c r="O536" s="450"/>
      <c r="P536" s="447"/>
      <c r="Q536" s="450"/>
      <c r="R536" s="451"/>
      <c r="S536" s="452"/>
      <c r="T536" s="863">
        <v>44</v>
      </c>
      <c r="U536" s="926"/>
      <c r="V536" s="455">
        <f t="shared" ca="1" si="119"/>
        <v>370</v>
      </c>
      <c r="W536" s="456">
        <f t="shared" ca="1" si="176"/>
        <v>2</v>
      </c>
      <c r="X536" s="456">
        <f t="shared" ca="1" si="177"/>
        <v>1</v>
      </c>
      <c r="Y536" s="457"/>
      <c r="Z536" s="457"/>
    </row>
    <row r="537" spans="1:26" s="458" customFormat="1" ht="25.5" x14ac:dyDescent="0.2">
      <c r="A537" s="436"/>
      <c r="B537" s="861"/>
      <c r="C537" s="312" t="s">
        <v>517</v>
      </c>
      <c r="D537" s="419">
        <v>39</v>
      </c>
      <c r="E537" s="316" t="s">
        <v>518</v>
      </c>
      <c r="F537" s="420">
        <v>2</v>
      </c>
      <c r="G537" s="419">
        <v>42</v>
      </c>
      <c r="H537" s="316" t="s">
        <v>518</v>
      </c>
      <c r="I537" s="420">
        <v>3</v>
      </c>
      <c r="J537" s="317"/>
      <c r="K537" s="433">
        <f>ABS((G537*20+I537)-(D537*20+F537))</f>
        <v>61</v>
      </c>
      <c r="L537" s="329">
        <v>12</v>
      </c>
      <c r="M537" s="422">
        <v>0.25</v>
      </c>
      <c r="N537" s="423">
        <f>L537*M537</f>
        <v>3</v>
      </c>
      <c r="O537" s="334"/>
      <c r="P537" s="328"/>
      <c r="Q537" s="334"/>
      <c r="R537" s="319">
        <f>K537*N537</f>
        <v>183</v>
      </c>
      <c r="S537" s="331" t="str">
        <f t="shared" ref="S537:S540" si="178">$L$552</f>
        <v>m³</v>
      </c>
      <c r="T537" s="863">
        <v>44</v>
      </c>
      <c r="U537" s="424" t="s">
        <v>519</v>
      </c>
      <c r="V537" s="455">
        <f t="shared" ca="1" si="119"/>
        <v>370</v>
      </c>
      <c r="W537" s="456">
        <f t="shared" ca="1" si="176"/>
        <v>2</v>
      </c>
      <c r="X537" s="456">
        <f t="shared" ca="1" si="177"/>
        <v>1</v>
      </c>
      <c r="Y537" s="457"/>
      <c r="Z537" s="457"/>
    </row>
    <row r="538" spans="1:26" s="458" customFormat="1" ht="25.5" x14ac:dyDescent="0.2">
      <c r="A538" s="436"/>
      <c r="B538" s="861"/>
      <c r="C538" s="438" t="s">
        <v>520</v>
      </c>
      <c r="D538" s="419">
        <v>39</v>
      </c>
      <c r="E538" s="316" t="s">
        <v>518</v>
      </c>
      <c r="F538" s="420">
        <v>2</v>
      </c>
      <c r="G538" s="419">
        <v>42</v>
      </c>
      <c r="H538" s="316" t="s">
        <v>518</v>
      </c>
      <c r="I538" s="420">
        <v>3</v>
      </c>
      <c r="J538" s="445"/>
      <c r="K538" s="990">
        <f>ABS((G538*20+I538)-(D538*20+F538))</f>
        <v>61</v>
      </c>
      <c r="L538" s="991">
        <v>3</v>
      </c>
      <c r="M538" s="448">
        <v>0.25</v>
      </c>
      <c r="N538" s="449">
        <f>L538*M538</f>
        <v>0.75</v>
      </c>
      <c r="O538" s="450"/>
      <c r="P538" s="447"/>
      <c r="Q538" s="450"/>
      <c r="R538" s="451">
        <f>K538*N538</f>
        <v>45.75</v>
      </c>
      <c r="S538" s="331" t="str">
        <f t="shared" si="178"/>
        <v>m³</v>
      </c>
      <c r="T538" s="863">
        <v>44</v>
      </c>
      <c r="U538" s="460" t="s">
        <v>519</v>
      </c>
      <c r="V538" s="455">
        <f t="shared" ca="1" si="119"/>
        <v>370</v>
      </c>
      <c r="W538" s="456">
        <f t="shared" ca="1" si="176"/>
        <v>2</v>
      </c>
      <c r="X538" s="456">
        <f t="shared" ca="1" si="177"/>
        <v>1</v>
      </c>
      <c r="Y538" s="457"/>
      <c r="Z538" s="457"/>
    </row>
    <row r="539" spans="1:26" s="458" customFormat="1" ht="25.5" x14ac:dyDescent="0.2">
      <c r="A539" s="436"/>
      <c r="B539" s="861"/>
      <c r="C539" s="438" t="s">
        <v>521</v>
      </c>
      <c r="D539" s="419">
        <v>39</v>
      </c>
      <c r="E539" s="316" t="s">
        <v>518</v>
      </c>
      <c r="F539" s="420">
        <v>2</v>
      </c>
      <c r="G539" s="419">
        <v>42</v>
      </c>
      <c r="H539" s="316" t="s">
        <v>518</v>
      </c>
      <c r="I539" s="420">
        <v>3</v>
      </c>
      <c r="J539" s="445"/>
      <c r="K539" s="990">
        <f>ABS((G539*20+I539)-(D539*20+F539))</f>
        <v>61</v>
      </c>
      <c r="L539" s="991">
        <v>3</v>
      </c>
      <c r="M539" s="448">
        <v>0.25</v>
      </c>
      <c r="N539" s="449">
        <f>L539*M539</f>
        <v>0.75</v>
      </c>
      <c r="O539" s="450"/>
      <c r="P539" s="447"/>
      <c r="Q539" s="450"/>
      <c r="R539" s="451">
        <f>K539*N539</f>
        <v>45.75</v>
      </c>
      <c r="S539" s="331" t="str">
        <f t="shared" si="178"/>
        <v>m³</v>
      </c>
      <c r="T539" s="863">
        <v>44</v>
      </c>
      <c r="U539" s="460" t="s">
        <v>519</v>
      </c>
      <c r="V539" s="455">
        <f t="shared" ca="1" si="119"/>
        <v>370</v>
      </c>
      <c r="W539" s="456">
        <f t="shared" ca="1" si="176"/>
        <v>2</v>
      </c>
      <c r="X539" s="456">
        <f t="shared" ca="1" si="177"/>
        <v>1</v>
      </c>
      <c r="Y539" s="457"/>
      <c r="Z539" s="457"/>
    </row>
    <row r="540" spans="1:26" s="458" customFormat="1" ht="25.5" x14ac:dyDescent="0.2">
      <c r="A540" s="436"/>
      <c r="B540" s="861"/>
      <c r="C540" s="438" t="s">
        <v>526</v>
      </c>
      <c r="D540" s="419">
        <v>39</v>
      </c>
      <c r="E540" s="316" t="s">
        <v>518</v>
      </c>
      <c r="F540" s="420">
        <v>2</v>
      </c>
      <c r="G540" s="419">
        <v>42</v>
      </c>
      <c r="H540" s="316" t="s">
        <v>518</v>
      </c>
      <c r="I540" s="420">
        <v>3</v>
      </c>
      <c r="J540" s="445"/>
      <c r="K540" s="990">
        <f>ABS((G540*20+I540)-(D540*20+F540))</f>
        <v>61</v>
      </c>
      <c r="L540" s="991">
        <v>0.2</v>
      </c>
      <c r="M540" s="448">
        <v>0.2</v>
      </c>
      <c r="N540" s="449">
        <f>L540*M540</f>
        <v>4.0000000000000008E-2</v>
      </c>
      <c r="O540" s="450"/>
      <c r="P540" s="447"/>
      <c r="Q540" s="450"/>
      <c r="R540" s="451">
        <f>K540*N540</f>
        <v>2.4400000000000004</v>
      </c>
      <c r="S540" s="331" t="str">
        <f t="shared" si="178"/>
        <v>m³</v>
      </c>
      <c r="T540" s="863">
        <v>44</v>
      </c>
      <c r="U540" s="460" t="s">
        <v>519</v>
      </c>
      <c r="V540" s="455">
        <f t="shared" ca="1" si="119"/>
        <v>370</v>
      </c>
      <c r="W540" s="456">
        <f t="shared" ref="W540:W554" ca="1" si="179">IF(LEFT(_xlfn.FORMULATEXT(V540),3)="=SO",1,IF(COUNTA(A540:U540)=0,0,2))</f>
        <v>2</v>
      </c>
      <c r="X540" s="456">
        <f t="shared" ref="X540:X554" ca="1" si="180">IF(COUNTA(OFFSET(A539,1,0))-COUNTA(A539)=-1,0,1)</f>
        <v>1</v>
      </c>
      <c r="Y540" s="457"/>
      <c r="Z540" s="457"/>
    </row>
    <row r="541" spans="1:26" s="458" customFormat="1" ht="15" x14ac:dyDescent="0.2">
      <c r="A541" s="436"/>
      <c r="B541" s="861"/>
      <c r="C541" s="1185"/>
      <c r="D541" s="1134"/>
      <c r="E541" s="1076"/>
      <c r="F541" s="1077"/>
      <c r="G541" s="1134"/>
      <c r="H541" s="1076"/>
      <c r="I541" s="1077"/>
      <c r="J541" s="1186"/>
      <c r="K541" s="1187"/>
      <c r="L541" s="1137"/>
      <c r="M541" s="1188"/>
      <c r="N541" s="1189"/>
      <c r="O541" s="1190"/>
      <c r="P541" s="1191"/>
      <c r="Q541" s="1190"/>
      <c r="R541" s="1192"/>
      <c r="S541" s="1143"/>
      <c r="T541" s="1193"/>
      <c r="U541" s="1194"/>
      <c r="V541" s="455">
        <f t="shared" ca="1" si="119"/>
        <v>370</v>
      </c>
      <c r="W541" s="456">
        <f t="shared" ca="1" si="179"/>
        <v>0</v>
      </c>
      <c r="X541" s="456">
        <f t="shared" ca="1" si="180"/>
        <v>1</v>
      </c>
      <c r="Y541" s="457"/>
      <c r="Z541" s="457"/>
    </row>
    <row r="542" spans="1:26" s="458" customFormat="1" ht="15.75" x14ac:dyDescent="0.2">
      <c r="A542" s="436"/>
      <c r="B542" s="861"/>
      <c r="C542" s="432" t="s">
        <v>516</v>
      </c>
      <c r="D542" s="417"/>
      <c r="E542" s="314"/>
      <c r="F542" s="418"/>
      <c r="G542" s="419"/>
      <c r="H542" s="314"/>
      <c r="I542" s="420"/>
      <c r="J542" s="317"/>
      <c r="K542" s="433"/>
      <c r="L542" s="317"/>
      <c r="M542" s="433"/>
      <c r="N542" s="433"/>
      <c r="O542" s="317"/>
      <c r="P542" s="318"/>
      <c r="Q542" s="317"/>
      <c r="R542" s="319"/>
      <c r="S542" s="398"/>
      <c r="T542" s="320">
        <v>44</v>
      </c>
      <c r="U542" s="335"/>
      <c r="V542" s="455">
        <f t="shared" ca="1" si="119"/>
        <v>370</v>
      </c>
      <c r="W542" s="456">
        <f t="shared" ca="1" si="179"/>
        <v>2</v>
      </c>
      <c r="X542" s="456">
        <f t="shared" ca="1" si="180"/>
        <v>1</v>
      </c>
      <c r="Y542" s="457"/>
      <c r="Z542" s="457"/>
    </row>
    <row r="543" spans="1:26" s="458" customFormat="1" ht="25.5" x14ac:dyDescent="0.2">
      <c r="A543" s="436"/>
      <c r="B543" s="861"/>
      <c r="C543" s="312" t="s">
        <v>517</v>
      </c>
      <c r="D543" s="417">
        <v>0</v>
      </c>
      <c r="E543" s="314" t="s">
        <v>518</v>
      </c>
      <c r="F543" s="418">
        <v>6</v>
      </c>
      <c r="G543" s="417">
        <v>1</v>
      </c>
      <c r="H543" s="314" t="s">
        <v>518</v>
      </c>
      <c r="I543" s="418">
        <v>8</v>
      </c>
      <c r="J543" s="317"/>
      <c r="K543" s="421">
        <f t="shared" ref="K543:K548" si="181">ABS((G543*20+I543)-(D543*20+F543))</f>
        <v>22</v>
      </c>
      <c r="L543" s="328">
        <v>6</v>
      </c>
      <c r="M543" s="422">
        <v>0.25</v>
      </c>
      <c r="N543" s="423">
        <f t="shared" ref="N543:N548" si="182">L543*M543</f>
        <v>1.5</v>
      </c>
      <c r="O543" s="334"/>
      <c r="P543" s="328"/>
      <c r="Q543" s="334"/>
      <c r="R543" s="319">
        <f t="shared" ref="R543:R548" si="183">K543*N543</f>
        <v>33</v>
      </c>
      <c r="S543" s="331" t="str">
        <f t="shared" ref="S543:S548" si="184">$L$552</f>
        <v>m³</v>
      </c>
      <c r="T543" s="320">
        <v>44</v>
      </c>
      <c r="U543" s="424" t="s">
        <v>519</v>
      </c>
      <c r="V543" s="455">
        <f t="shared" ca="1" si="119"/>
        <v>370</v>
      </c>
      <c r="W543" s="456">
        <f t="shared" ca="1" si="179"/>
        <v>2</v>
      </c>
      <c r="X543" s="456">
        <f t="shared" ca="1" si="180"/>
        <v>1</v>
      </c>
      <c r="Y543" s="457"/>
      <c r="Z543" s="457"/>
    </row>
    <row r="544" spans="1:26" s="458" customFormat="1" ht="25.5" x14ac:dyDescent="0.2">
      <c r="A544" s="436"/>
      <c r="B544" s="861"/>
      <c r="C544" s="312" t="s">
        <v>520</v>
      </c>
      <c r="D544" s="417">
        <v>0</v>
      </c>
      <c r="E544" s="314" t="s">
        <v>518</v>
      </c>
      <c r="F544" s="418">
        <v>6</v>
      </c>
      <c r="G544" s="417">
        <v>1</v>
      </c>
      <c r="H544" s="314" t="s">
        <v>518</v>
      </c>
      <c r="I544" s="418">
        <v>8</v>
      </c>
      <c r="J544" s="317"/>
      <c r="K544" s="421">
        <f t="shared" si="181"/>
        <v>22</v>
      </c>
      <c r="L544" s="328">
        <v>2.2999999999999998</v>
      </c>
      <c r="M544" s="422">
        <v>0.25</v>
      </c>
      <c r="N544" s="423">
        <f t="shared" si="182"/>
        <v>0.57499999999999996</v>
      </c>
      <c r="O544" s="334"/>
      <c r="P544" s="328"/>
      <c r="Q544" s="334"/>
      <c r="R544" s="319">
        <f t="shared" si="183"/>
        <v>12.649999999999999</v>
      </c>
      <c r="S544" s="331" t="str">
        <f t="shared" si="184"/>
        <v>m³</v>
      </c>
      <c r="T544" s="320">
        <v>44</v>
      </c>
      <c r="U544" s="424" t="s">
        <v>519</v>
      </c>
      <c r="V544" s="455">
        <f t="shared" ca="1" si="119"/>
        <v>370</v>
      </c>
      <c r="W544" s="456">
        <f t="shared" ca="1" si="179"/>
        <v>2</v>
      </c>
      <c r="X544" s="456">
        <f t="shared" ca="1" si="180"/>
        <v>1</v>
      </c>
      <c r="Y544" s="457"/>
      <c r="Z544" s="457"/>
    </row>
    <row r="545" spans="1:29" s="458" customFormat="1" ht="25.5" x14ac:dyDescent="0.2">
      <c r="A545" s="436"/>
      <c r="B545" s="861"/>
      <c r="C545" s="312" t="s">
        <v>521</v>
      </c>
      <c r="D545" s="417">
        <v>0</v>
      </c>
      <c r="E545" s="314" t="s">
        <v>518</v>
      </c>
      <c r="F545" s="418">
        <v>6</v>
      </c>
      <c r="G545" s="417">
        <v>1</v>
      </c>
      <c r="H545" s="314" t="s">
        <v>518</v>
      </c>
      <c r="I545" s="418">
        <v>8</v>
      </c>
      <c r="J545" s="317"/>
      <c r="K545" s="421">
        <f t="shared" si="181"/>
        <v>22</v>
      </c>
      <c r="L545" s="328">
        <v>2.2999999999999998</v>
      </c>
      <c r="M545" s="422">
        <v>0.25</v>
      </c>
      <c r="N545" s="423">
        <f t="shared" si="182"/>
        <v>0.57499999999999996</v>
      </c>
      <c r="O545" s="334"/>
      <c r="P545" s="328"/>
      <c r="Q545" s="334"/>
      <c r="R545" s="319">
        <f t="shared" si="183"/>
        <v>12.649999999999999</v>
      </c>
      <c r="S545" s="331" t="str">
        <f t="shared" si="184"/>
        <v>m³</v>
      </c>
      <c r="T545" s="320">
        <v>44</v>
      </c>
      <c r="U545" s="424" t="s">
        <v>519</v>
      </c>
      <c r="V545" s="455">
        <f t="shared" ca="1" si="119"/>
        <v>370</v>
      </c>
      <c r="W545" s="456">
        <f t="shared" ca="1" si="179"/>
        <v>2</v>
      </c>
      <c r="X545" s="456">
        <f t="shared" ca="1" si="180"/>
        <v>1</v>
      </c>
      <c r="Y545" s="457"/>
      <c r="Z545" s="457"/>
    </row>
    <row r="546" spans="1:29" s="458" customFormat="1" ht="25.5" x14ac:dyDescent="0.2">
      <c r="A546" s="436"/>
      <c r="B546" s="861"/>
      <c r="C546" s="312" t="s">
        <v>522</v>
      </c>
      <c r="D546" s="417">
        <v>0</v>
      </c>
      <c r="E546" s="314" t="s">
        <v>518</v>
      </c>
      <c r="F546" s="418">
        <v>6</v>
      </c>
      <c r="G546" s="417">
        <v>1</v>
      </c>
      <c r="H546" s="314" t="s">
        <v>518</v>
      </c>
      <c r="I546" s="418">
        <v>8</v>
      </c>
      <c r="J546" s="317"/>
      <c r="K546" s="421">
        <f t="shared" si="181"/>
        <v>22</v>
      </c>
      <c r="L546" s="328">
        <v>0.2</v>
      </c>
      <c r="M546" s="422">
        <v>0.2</v>
      </c>
      <c r="N546" s="423">
        <f t="shared" si="182"/>
        <v>4.0000000000000008E-2</v>
      </c>
      <c r="O546" s="334"/>
      <c r="P546" s="328"/>
      <c r="Q546" s="334"/>
      <c r="R546" s="319">
        <f t="shared" si="183"/>
        <v>0.88000000000000012</v>
      </c>
      <c r="S546" s="331" t="str">
        <f t="shared" si="184"/>
        <v>m³</v>
      </c>
      <c r="T546" s="320">
        <v>44</v>
      </c>
      <c r="U546" s="424" t="s">
        <v>519</v>
      </c>
      <c r="V546" s="455">
        <f t="shared" ca="1" si="119"/>
        <v>370</v>
      </c>
      <c r="W546" s="456">
        <f t="shared" ca="1" si="179"/>
        <v>2</v>
      </c>
      <c r="X546" s="456">
        <f t="shared" ca="1" si="180"/>
        <v>1</v>
      </c>
      <c r="Y546" s="457"/>
      <c r="Z546" s="457"/>
    </row>
    <row r="547" spans="1:29" s="458" customFormat="1" ht="25.5" x14ac:dyDescent="0.2">
      <c r="A547" s="436"/>
      <c r="B547" s="861"/>
      <c r="C547" s="312" t="s">
        <v>523</v>
      </c>
      <c r="D547" s="417">
        <v>0</v>
      </c>
      <c r="E547" s="314" t="s">
        <v>518</v>
      </c>
      <c r="F547" s="418">
        <v>6</v>
      </c>
      <c r="G547" s="417">
        <v>1</v>
      </c>
      <c r="H547" s="314" t="s">
        <v>518</v>
      </c>
      <c r="I547" s="418">
        <v>8</v>
      </c>
      <c r="J547" s="317"/>
      <c r="K547" s="421">
        <f t="shared" si="181"/>
        <v>22</v>
      </c>
      <c r="L547" s="328">
        <v>0.2</v>
      </c>
      <c r="M547" s="422">
        <v>0.2</v>
      </c>
      <c r="N547" s="423">
        <f t="shared" si="182"/>
        <v>4.0000000000000008E-2</v>
      </c>
      <c r="O547" s="334"/>
      <c r="P547" s="328"/>
      <c r="Q547" s="334"/>
      <c r="R547" s="319">
        <f t="shared" si="183"/>
        <v>0.88000000000000012</v>
      </c>
      <c r="S547" s="331" t="str">
        <f t="shared" si="184"/>
        <v>m³</v>
      </c>
      <c r="T547" s="320">
        <v>44</v>
      </c>
      <c r="U547" s="424" t="s">
        <v>519</v>
      </c>
      <c r="V547" s="455">
        <f t="shared" ca="1" si="119"/>
        <v>370</v>
      </c>
      <c r="W547" s="456">
        <f t="shared" ca="1" si="179"/>
        <v>2</v>
      </c>
      <c r="X547" s="456">
        <f t="shared" ca="1" si="180"/>
        <v>1</v>
      </c>
      <c r="Y547" s="457"/>
      <c r="Z547" s="457"/>
    </row>
    <row r="548" spans="1:29" s="458" customFormat="1" ht="25.5" x14ac:dyDescent="0.2">
      <c r="A548" s="436"/>
      <c r="B548" s="861"/>
      <c r="C548" s="426" t="s">
        <v>524</v>
      </c>
      <c r="D548" s="417">
        <v>0</v>
      </c>
      <c r="E548" s="314" t="s">
        <v>518</v>
      </c>
      <c r="F548" s="418">
        <v>6</v>
      </c>
      <c r="G548" s="417">
        <v>1</v>
      </c>
      <c r="H548" s="314" t="s">
        <v>518</v>
      </c>
      <c r="I548" s="418">
        <v>8</v>
      </c>
      <c r="J548" s="1110"/>
      <c r="K548" s="421">
        <f t="shared" si="181"/>
        <v>22</v>
      </c>
      <c r="L548" s="328">
        <v>6</v>
      </c>
      <c r="M548" s="422">
        <v>0.25</v>
      </c>
      <c r="N548" s="423">
        <f t="shared" si="182"/>
        <v>1.5</v>
      </c>
      <c r="O548" s="1110"/>
      <c r="P548" s="428"/>
      <c r="Q548" s="1110"/>
      <c r="R548" s="319">
        <f t="shared" si="183"/>
        <v>33</v>
      </c>
      <c r="S548" s="331" t="str">
        <f t="shared" si="184"/>
        <v>m³</v>
      </c>
      <c r="T548" s="320">
        <v>44</v>
      </c>
      <c r="U548" s="424" t="s">
        <v>519</v>
      </c>
      <c r="V548" s="455">
        <f t="shared" ca="1" si="119"/>
        <v>370</v>
      </c>
      <c r="W548" s="456">
        <f t="shared" ca="1" si="179"/>
        <v>2</v>
      </c>
      <c r="X548" s="456">
        <f t="shared" ca="1" si="180"/>
        <v>1</v>
      </c>
      <c r="Y548" s="457"/>
      <c r="Z548" s="457"/>
    </row>
    <row r="549" spans="1:29" s="458" customFormat="1" ht="15" x14ac:dyDescent="0.2">
      <c r="A549" s="436"/>
      <c r="B549" s="861"/>
      <c r="C549" s="426"/>
      <c r="D549" s="417"/>
      <c r="E549" s="314"/>
      <c r="F549" s="418"/>
      <c r="G549" s="417"/>
      <c r="H549" s="314"/>
      <c r="I549" s="418"/>
      <c r="J549" s="1110"/>
      <c r="K549" s="421"/>
      <c r="L549" s="328"/>
      <c r="M549" s="422"/>
      <c r="N549" s="423"/>
      <c r="O549" s="1110"/>
      <c r="P549" s="428"/>
      <c r="Q549" s="1110"/>
      <c r="R549" s="319"/>
      <c r="S549" s="331"/>
      <c r="T549" s="320"/>
      <c r="U549" s="424"/>
      <c r="V549" s="455">
        <f t="shared" ca="1" si="119"/>
        <v>370</v>
      </c>
      <c r="W549" s="456">
        <f t="shared" ca="1" si="179"/>
        <v>0</v>
      </c>
      <c r="X549" s="456">
        <f t="shared" ca="1" si="180"/>
        <v>1</v>
      </c>
      <c r="Y549" s="457"/>
      <c r="Z549" s="457"/>
    </row>
    <row r="550" spans="1:29" s="458" customFormat="1" ht="15" x14ac:dyDescent="0.2">
      <c r="A550" s="436"/>
      <c r="B550" s="861"/>
      <c r="C550" s="312"/>
      <c r="D550" s="417"/>
      <c r="E550" s="314"/>
      <c r="F550" s="418"/>
      <c r="G550" s="417"/>
      <c r="H550" s="314"/>
      <c r="I550" s="418"/>
      <c r="J550" s="317"/>
      <c r="K550" s="421"/>
      <c r="L550" s="328"/>
      <c r="M550" s="422"/>
      <c r="N550" s="423"/>
      <c r="O550" s="334"/>
      <c r="P550" s="328"/>
      <c r="Q550" s="334"/>
      <c r="R550" s="319"/>
      <c r="S550" s="331"/>
      <c r="T550" s="320"/>
      <c r="U550" s="424"/>
      <c r="V550" s="455">
        <f t="shared" ca="1" si="119"/>
        <v>370</v>
      </c>
      <c r="W550" s="456">
        <f t="shared" ca="1" si="179"/>
        <v>0</v>
      </c>
      <c r="X550" s="456">
        <f t="shared" ca="1" si="180"/>
        <v>1</v>
      </c>
      <c r="Y550" s="457"/>
      <c r="Z550" s="457"/>
    </row>
    <row r="551" spans="1:29" s="458" customFormat="1" ht="15" x14ac:dyDescent="0.2">
      <c r="A551" s="436"/>
      <c r="B551" s="861"/>
      <c r="C551" s="312"/>
      <c r="D551" s="417"/>
      <c r="E551" s="314"/>
      <c r="F551" s="418"/>
      <c r="G551" s="417"/>
      <c r="H551" s="314"/>
      <c r="I551" s="418"/>
      <c r="J551" s="317"/>
      <c r="K551" s="421"/>
      <c r="L551" s="328"/>
      <c r="M551" s="422"/>
      <c r="N551" s="423"/>
      <c r="O551" s="334"/>
      <c r="P551" s="328"/>
      <c r="Q551" s="334"/>
      <c r="R551" s="319"/>
      <c r="S551" s="331"/>
      <c r="T551" s="320"/>
      <c r="U551" s="424"/>
      <c r="V551" s="455">
        <f t="shared" ca="1" si="119"/>
        <v>370</v>
      </c>
      <c r="W551" s="456">
        <f t="shared" ca="1" si="179"/>
        <v>0</v>
      </c>
      <c r="X551" s="456">
        <f t="shared" ca="1" si="180"/>
        <v>1</v>
      </c>
      <c r="Y551" s="457"/>
      <c r="Z551" s="457"/>
    </row>
    <row r="552" spans="1:29" s="458" customFormat="1" ht="15.75" x14ac:dyDescent="0.2">
      <c r="A552" s="436" t="s">
        <v>25</v>
      </c>
      <c r="B552" s="464"/>
      <c r="C552" s="465"/>
      <c r="D552" s="1444" t="s">
        <v>492</v>
      </c>
      <c r="E552" s="1445"/>
      <c r="F552" s="1445"/>
      <c r="G552" s="1445"/>
      <c r="H552" s="1445"/>
      <c r="I552" s="1446"/>
      <c r="J552" s="1447">
        <f>VLOOKUP(A554,'11 - FINANCEIRO'!_xlnm.Print_Area,6,FALSE)</f>
        <v>8681</v>
      </c>
      <c r="K552" s="1448"/>
      <c r="L552" s="466" t="str">
        <f>VLOOKUP(A554,'11 - FINANCEIRO'!_xlnm.Print_Area,4,FALSE)</f>
        <v>m³</v>
      </c>
      <c r="M552" s="1441" t="s">
        <v>493</v>
      </c>
      <c r="N552" s="1442"/>
      <c r="O552" s="1442"/>
      <c r="P552" s="1442"/>
      <c r="Q552" s="1443"/>
      <c r="R552" s="467">
        <f>TRUNC(SUM(R357:R551),3)</f>
        <v>7972.8689999999997</v>
      </c>
      <c r="S552" s="468" t="str">
        <f>L552</f>
        <v>m³</v>
      </c>
      <c r="T552" s="469"/>
      <c r="U552" s="470"/>
      <c r="V552" s="455">
        <f t="shared" ca="1" si="119"/>
        <v>370</v>
      </c>
      <c r="W552" s="456">
        <f t="shared" ca="1" si="179"/>
        <v>2</v>
      </c>
      <c r="X552" s="456">
        <f t="shared" ca="1" si="180"/>
        <v>1</v>
      </c>
      <c r="Y552" s="457"/>
      <c r="Z552" s="457"/>
    </row>
    <row r="553" spans="1:29" s="477" customFormat="1" ht="15.75" x14ac:dyDescent="0.2">
      <c r="A553" s="436" t="s">
        <v>26</v>
      </c>
      <c r="B553" s="471"/>
      <c r="C553" s="472"/>
      <c r="D553" s="1362" t="s">
        <v>494</v>
      </c>
      <c r="E553" s="1363"/>
      <c r="F553" s="1363"/>
      <c r="G553" s="1363"/>
      <c r="H553" s="1363"/>
      <c r="I553" s="1364"/>
      <c r="J553" s="1365">
        <f>R552/J552</f>
        <v>0.91842748531275198</v>
      </c>
      <c r="K553" s="1366"/>
      <c r="L553" s="1369"/>
      <c r="M553" s="1441" t="s">
        <v>495</v>
      </c>
      <c r="N553" s="1442"/>
      <c r="O553" s="1442"/>
      <c r="P553" s="1442"/>
      <c r="Q553" s="1443"/>
      <c r="R553" s="467">
        <f>VLOOKUP(A554,'11 - FINANCEIRO'!_xlnm.Print_Area,8,FALSE)</f>
        <v>7602.8689999999997</v>
      </c>
      <c r="S553" s="473" t="str">
        <f>L552</f>
        <v>m³</v>
      </c>
      <c r="T553" s="474"/>
      <c r="U553" s="475"/>
      <c r="V553" s="455">
        <f t="shared" ca="1" si="119"/>
        <v>370</v>
      </c>
      <c r="W553" s="456">
        <f t="shared" ca="1" si="179"/>
        <v>2</v>
      </c>
      <c r="X553" s="456">
        <f t="shared" ca="1" si="180"/>
        <v>1</v>
      </c>
      <c r="Y553" s="456"/>
      <c r="Z553" s="456"/>
      <c r="AA553" s="476"/>
      <c r="AB553" s="476"/>
      <c r="AC553" s="476"/>
    </row>
    <row r="554" spans="1:29" s="293" customFormat="1" ht="15.75" x14ac:dyDescent="0.2">
      <c r="A554" s="288" t="s">
        <v>27</v>
      </c>
      <c r="B554" s="364"/>
      <c r="C554" s="365"/>
      <c r="D554" s="1354"/>
      <c r="E554" s="1355"/>
      <c r="F554" s="1355"/>
      <c r="G554" s="1355"/>
      <c r="H554" s="1355"/>
      <c r="I554" s="1356"/>
      <c r="J554" s="1367"/>
      <c r="K554" s="1368"/>
      <c r="L554" s="1370"/>
      <c r="M554" s="1371" t="s">
        <v>496</v>
      </c>
      <c r="N554" s="1372"/>
      <c r="O554" s="1372"/>
      <c r="P554" s="1372"/>
      <c r="Q554" s="1373"/>
      <c r="R554" s="362">
        <f>R552-R553</f>
        <v>370</v>
      </c>
      <c r="S554" s="363" t="str">
        <f>L552</f>
        <v>m³</v>
      </c>
      <c r="T554" s="366"/>
      <c r="U554" s="367"/>
      <c r="V554" s="455">
        <f t="shared" ca="1" si="119"/>
        <v>370</v>
      </c>
      <c r="W554" s="456">
        <f t="shared" ca="1" si="179"/>
        <v>2</v>
      </c>
      <c r="X554" s="456">
        <f t="shared" ca="1" si="180"/>
        <v>1</v>
      </c>
      <c r="Y554" s="256"/>
      <c r="Z554" s="256"/>
      <c r="AA554" s="292"/>
      <c r="AB554" s="292"/>
      <c r="AC554" s="292"/>
    </row>
    <row r="555" spans="1:29" s="111" customFormat="1" ht="15.75" x14ac:dyDescent="0.2">
      <c r="A555" s="288"/>
      <c r="B555" s="368"/>
      <c r="C555" s="365"/>
      <c r="D555" s="369"/>
      <c r="E555" s="370"/>
      <c r="F555" s="369"/>
      <c r="G555" s="369"/>
      <c r="H555" s="369"/>
      <c r="I555" s="369"/>
      <c r="J555" s="371"/>
      <c r="K555" s="372"/>
      <c r="L555" s="373"/>
      <c r="M555" s="374"/>
      <c r="N555" s="374"/>
      <c r="O555" s="374"/>
      <c r="P555" s="374"/>
      <c r="Q555" s="374"/>
      <c r="R555" s="375"/>
      <c r="S555" s="376"/>
      <c r="T555" s="377"/>
      <c r="U555" s="378"/>
      <c r="V555" s="379">
        <f ca="1">SUM(V355:V554)</f>
        <v>74000</v>
      </c>
      <c r="W555" s="256">
        <f t="shared" ca="1" si="89"/>
        <v>1</v>
      </c>
      <c r="X555" s="256">
        <f t="shared" ca="1" si="90"/>
        <v>0</v>
      </c>
      <c r="Y555" s="250"/>
      <c r="Z555" s="250"/>
    </row>
    <row r="556" spans="1:29" s="293" customFormat="1" ht="15.75" customHeight="1" x14ac:dyDescent="0.25">
      <c r="A556" s="288"/>
      <c r="B556" s="1374" t="str">
        <f>VLOOKUP(A586,'11 - FINANCEIRO'!_xlnm.Print_Area,1,FALSE)</f>
        <v>2.1.2</v>
      </c>
      <c r="C556" s="1376" t="str">
        <f>VLOOKUP(A586,'11 - FINANCEIRO'!_xlnm.Print_Area,3,FALSE)</f>
        <v>Servico De Bombeamento De Concreto Com Consumo Minimo De 40 M3</v>
      </c>
      <c r="D556" s="1378" t="s">
        <v>477</v>
      </c>
      <c r="E556" s="1379"/>
      <c r="F556" s="1379"/>
      <c r="G556" s="1379"/>
      <c r="H556" s="1379"/>
      <c r="I556" s="1380"/>
      <c r="J556" s="1338" t="s">
        <v>478</v>
      </c>
      <c r="K556" s="1338" t="s">
        <v>479</v>
      </c>
      <c r="L556" s="1338" t="s">
        <v>480</v>
      </c>
      <c r="M556" s="1338" t="s">
        <v>481</v>
      </c>
      <c r="N556" s="1338" t="s">
        <v>533</v>
      </c>
      <c r="O556" s="1338" t="s">
        <v>482</v>
      </c>
      <c r="P556" s="478" t="s">
        <v>484</v>
      </c>
      <c r="Q556" s="1338" t="s">
        <v>1114</v>
      </c>
      <c r="R556" s="1336" t="s">
        <v>296</v>
      </c>
      <c r="S556" s="1338" t="s">
        <v>486</v>
      </c>
      <c r="T556" s="1338" t="s">
        <v>487</v>
      </c>
      <c r="U556" s="1340" t="s">
        <v>488</v>
      </c>
      <c r="V556" s="291">
        <f t="shared" ref="V556:V586" ca="1" si="185">IF(OFFSET(V556,1,1)=1,OFFSET(V556,0,-4),OFFSET(V556,1,0))</f>
        <v>370</v>
      </c>
      <c r="W556" s="256">
        <f t="shared" ca="1" si="89"/>
        <v>2</v>
      </c>
      <c r="X556" s="256">
        <f t="shared" ca="1" si="90"/>
        <v>1</v>
      </c>
      <c r="Y556" s="256"/>
      <c r="Z556" s="256"/>
      <c r="AA556" s="292"/>
      <c r="AB556" s="292"/>
      <c r="AC556" s="292"/>
    </row>
    <row r="557" spans="1:29" s="293" customFormat="1" ht="15.75" x14ac:dyDescent="0.2">
      <c r="A557" s="288"/>
      <c r="B557" s="1375"/>
      <c r="C557" s="1377"/>
      <c r="D557" s="1342" t="s">
        <v>489</v>
      </c>
      <c r="E557" s="1343"/>
      <c r="F557" s="1344"/>
      <c r="G557" s="1345" t="s">
        <v>490</v>
      </c>
      <c r="H557" s="1346"/>
      <c r="I557" s="1347"/>
      <c r="J557" s="1339"/>
      <c r="K557" s="1339"/>
      <c r="L557" s="1339"/>
      <c r="M557" s="1339"/>
      <c r="N557" s="1339"/>
      <c r="O557" s="1339"/>
      <c r="P557" s="295" t="s">
        <v>491</v>
      </c>
      <c r="Q557" s="1339"/>
      <c r="R557" s="1337"/>
      <c r="S557" s="1339"/>
      <c r="T557" s="1339"/>
      <c r="U557" s="1341"/>
      <c r="V557" s="291">
        <f t="shared" ca="1" si="185"/>
        <v>370</v>
      </c>
      <c r="W557" s="256">
        <f t="shared" ca="1" si="89"/>
        <v>2</v>
      </c>
      <c r="X557" s="256">
        <f t="shared" ref="X557:X588" ca="1" si="186">IF(COUNTA(OFFSET(A556,1,0))-COUNTA(A556)=-1,0,1)</f>
        <v>1</v>
      </c>
      <c r="Y557" s="256"/>
      <c r="Z557" s="256"/>
      <c r="AA557" s="292"/>
      <c r="AB557" s="292"/>
      <c r="AC557" s="292"/>
    </row>
    <row r="558" spans="1:29" s="111" customFormat="1" ht="30" x14ac:dyDescent="0.2">
      <c r="A558" s="399"/>
      <c r="B558" s="479"/>
      <c r="C558" s="816" t="s">
        <v>534</v>
      </c>
      <c r="D558" s="412">
        <v>5</v>
      </c>
      <c r="E558" s="299" t="s">
        <v>518</v>
      </c>
      <c r="F558" s="413">
        <v>14.9</v>
      </c>
      <c r="G558" s="414">
        <v>31</v>
      </c>
      <c r="H558" s="302" t="s">
        <v>518</v>
      </c>
      <c r="I558" s="415">
        <v>10</v>
      </c>
      <c r="J558" s="304"/>
      <c r="K558" s="590">
        <f>ABS((G558*20+I558)-(D558*20+F558))</f>
        <v>515.1</v>
      </c>
      <c r="L558" s="827"/>
      <c r="M558" s="481"/>
      <c r="N558" s="482"/>
      <c r="O558" s="483"/>
      <c r="P558" s="482"/>
      <c r="Q558" s="483">
        <v>2039.4185000000002</v>
      </c>
      <c r="R558" s="307">
        <f>Q558</f>
        <v>2039.4185000000002</v>
      </c>
      <c r="S558" s="483" t="str">
        <f>$L$584</f>
        <v xml:space="preserve"> m³</v>
      </c>
      <c r="T558" s="309">
        <v>17</v>
      </c>
      <c r="U558" s="383" t="s">
        <v>535</v>
      </c>
      <c r="V558" s="815">
        <f t="shared" ca="1" si="185"/>
        <v>370</v>
      </c>
      <c r="W558" s="250">
        <f t="shared" ca="1" si="89"/>
        <v>2</v>
      </c>
      <c r="X558" s="250">
        <f t="shared" ca="1" si="186"/>
        <v>1</v>
      </c>
      <c r="Y558" s="250"/>
      <c r="Z558" s="250"/>
    </row>
    <row r="559" spans="1:29" s="111" customFormat="1" ht="15" x14ac:dyDescent="0.2">
      <c r="A559" s="288"/>
      <c r="B559" s="322"/>
      <c r="C559" s="550" t="s">
        <v>534</v>
      </c>
      <c r="D559" s="496">
        <v>80</v>
      </c>
      <c r="E559" s="497" t="s">
        <v>518</v>
      </c>
      <c r="F559" s="498">
        <v>8</v>
      </c>
      <c r="G559" s="496">
        <v>99</v>
      </c>
      <c r="H559" s="497" t="s">
        <v>518</v>
      </c>
      <c r="I559" s="498">
        <v>6.4</v>
      </c>
      <c r="J559" s="560"/>
      <c r="K559" s="500">
        <f>ABS((G559*20+I559)-(D559*20+F559))</f>
        <v>378.40000000000009</v>
      </c>
      <c r="L559" s="508"/>
      <c r="M559" s="760"/>
      <c r="N559" s="761"/>
      <c r="O559" s="505"/>
      <c r="P559" s="501"/>
      <c r="Q559" s="334">
        <v>1717.9360000000006</v>
      </c>
      <c r="R559" s="319">
        <f t="shared" ref="R559:R562" si="187">Q559</f>
        <v>1717.9360000000006</v>
      </c>
      <c r="S559" s="334" t="str">
        <f t="shared" ref="S559:S577" si="188">$L$584</f>
        <v xml:space="preserve"> m³</v>
      </c>
      <c r="T559" s="320">
        <v>28</v>
      </c>
      <c r="U559" s="335"/>
      <c r="V559" s="815">
        <f t="shared" ca="1" si="185"/>
        <v>370</v>
      </c>
      <c r="W559" s="250">
        <f t="shared" ref="W559:W586" ca="1" si="189">IF(LEFT(_xlfn.FORMULATEXT(V559),3)="=SO",1,IF(COUNTA(A559:U559)=0,0,2))</f>
        <v>2</v>
      </c>
      <c r="X559" s="250">
        <f t="shared" ref="X559:X586" ca="1" si="190">IF(COUNTA(OFFSET(A558,1,0))-COUNTA(A558)=-1,0,1)</f>
        <v>1</v>
      </c>
      <c r="Y559" s="250"/>
      <c r="Z559" s="250"/>
    </row>
    <row r="560" spans="1:29" s="111" customFormat="1" ht="15" x14ac:dyDescent="0.2">
      <c r="A560" s="288"/>
      <c r="B560" s="322"/>
      <c r="C560" s="550" t="s">
        <v>534</v>
      </c>
      <c r="D560" s="496">
        <v>72</v>
      </c>
      <c r="E560" s="497" t="s">
        <v>518</v>
      </c>
      <c r="F560" s="498">
        <v>17</v>
      </c>
      <c r="G560" s="496">
        <v>80</v>
      </c>
      <c r="H560" s="497" t="s">
        <v>518</v>
      </c>
      <c r="I560" s="498">
        <v>8</v>
      </c>
      <c r="J560" s="560"/>
      <c r="K560" s="500">
        <f>ABS((G560*20+I560)-(D560*20+F560))</f>
        <v>151</v>
      </c>
      <c r="L560" s="508"/>
      <c r="M560" s="760"/>
      <c r="N560" s="761"/>
      <c r="O560" s="505"/>
      <c r="P560" s="501"/>
      <c r="Q560" s="334">
        <v>708.56</v>
      </c>
      <c r="R560" s="319">
        <f t="shared" si="187"/>
        <v>708.56</v>
      </c>
      <c r="S560" s="334" t="str">
        <f t="shared" si="188"/>
        <v xml:space="preserve"> m³</v>
      </c>
      <c r="T560" s="320">
        <v>31</v>
      </c>
      <c r="U560" s="335"/>
      <c r="V560" s="815">
        <f t="shared" ca="1" si="185"/>
        <v>370</v>
      </c>
      <c r="W560" s="250">
        <f t="shared" ca="1" si="189"/>
        <v>2</v>
      </c>
      <c r="X560" s="250">
        <f t="shared" ca="1" si="190"/>
        <v>1</v>
      </c>
      <c r="Y560" s="250"/>
      <c r="Z560" s="250"/>
    </row>
    <row r="561" spans="1:26" s="111" customFormat="1" ht="15" x14ac:dyDescent="0.2">
      <c r="A561" s="288"/>
      <c r="B561" s="322"/>
      <c r="C561" s="550" t="s">
        <v>534</v>
      </c>
      <c r="D561" s="496">
        <v>71</v>
      </c>
      <c r="E561" s="497" t="s">
        <v>518</v>
      </c>
      <c r="F561" s="498">
        <v>7</v>
      </c>
      <c r="G561" s="496">
        <v>72</v>
      </c>
      <c r="H561" s="497" t="s">
        <v>518</v>
      </c>
      <c r="I561" s="498">
        <v>17</v>
      </c>
      <c r="J561" s="560"/>
      <c r="K561" s="500">
        <f>ABS((G561*20+I561)-(D561*20+F561))</f>
        <v>30</v>
      </c>
      <c r="L561" s="508"/>
      <c r="M561" s="760"/>
      <c r="N561" s="761"/>
      <c r="O561" s="505"/>
      <c r="P561" s="501"/>
      <c r="Q561" s="334">
        <v>136.19999999999999</v>
      </c>
      <c r="R561" s="319">
        <f t="shared" si="187"/>
        <v>136.19999999999999</v>
      </c>
      <c r="S561" s="334" t="str">
        <f t="shared" si="188"/>
        <v xml:space="preserve"> m³</v>
      </c>
      <c r="T561" s="320">
        <v>32</v>
      </c>
      <c r="U561" s="335"/>
      <c r="V561" s="815">
        <f t="shared" ca="1" si="185"/>
        <v>370</v>
      </c>
      <c r="W561" s="250">
        <f t="shared" ca="1" si="189"/>
        <v>2</v>
      </c>
      <c r="X561" s="250">
        <f t="shared" ca="1" si="190"/>
        <v>1</v>
      </c>
      <c r="Y561" s="250"/>
      <c r="Z561" s="250"/>
    </row>
    <row r="562" spans="1:26" s="111" customFormat="1" ht="15" x14ac:dyDescent="0.2">
      <c r="A562" s="288"/>
      <c r="B562" s="322"/>
      <c r="C562" s="550" t="s">
        <v>534</v>
      </c>
      <c r="D562" s="496">
        <v>68</v>
      </c>
      <c r="E562" s="497" t="s">
        <v>518</v>
      </c>
      <c r="F562" s="498">
        <v>7</v>
      </c>
      <c r="G562" s="496">
        <v>71</v>
      </c>
      <c r="H562" s="497" t="s">
        <v>518</v>
      </c>
      <c r="I562" s="498">
        <v>7</v>
      </c>
      <c r="J562" s="560"/>
      <c r="K562" s="500">
        <f>ABS((G562*20+I562)-(D562*20+F562))</f>
        <v>60</v>
      </c>
      <c r="L562" s="508"/>
      <c r="M562" s="760"/>
      <c r="N562" s="761"/>
      <c r="O562" s="505"/>
      <c r="P562" s="501"/>
      <c r="Q562" s="334">
        <v>272.39999999999998</v>
      </c>
      <c r="R562" s="319">
        <f t="shared" si="187"/>
        <v>272.39999999999998</v>
      </c>
      <c r="S562" s="334" t="str">
        <f t="shared" si="188"/>
        <v xml:space="preserve"> m³</v>
      </c>
      <c r="T562" s="320">
        <v>33</v>
      </c>
      <c r="U562" s="335"/>
      <c r="V562" s="815">
        <f t="shared" ca="1" si="185"/>
        <v>370</v>
      </c>
      <c r="W562" s="250">
        <f t="shared" ca="1" si="189"/>
        <v>2</v>
      </c>
      <c r="X562" s="250">
        <f t="shared" ca="1" si="190"/>
        <v>1</v>
      </c>
      <c r="Y562" s="250"/>
      <c r="Z562" s="250"/>
    </row>
    <row r="563" spans="1:26" s="111" customFormat="1" ht="15" x14ac:dyDescent="0.2">
      <c r="A563" s="288"/>
      <c r="B563" s="322"/>
      <c r="C563" s="550" t="s">
        <v>534</v>
      </c>
      <c r="D563" s="496">
        <v>66</v>
      </c>
      <c r="E563" s="497" t="s">
        <v>518</v>
      </c>
      <c r="F563" s="498">
        <v>17</v>
      </c>
      <c r="G563" s="496">
        <v>68</v>
      </c>
      <c r="H563" s="497" t="s">
        <v>518</v>
      </c>
      <c r="I563" s="498">
        <v>7</v>
      </c>
      <c r="J563" s="560"/>
      <c r="K563" s="500">
        <f t="shared" ref="K563:K581" si="191">ABS((G563*20+I563)-(D563*20+F563))</f>
        <v>30</v>
      </c>
      <c r="L563" s="508">
        <f>SUM(R423:R426)</f>
        <v>136.19999999999999</v>
      </c>
      <c r="M563" s="760"/>
      <c r="N563" s="761"/>
      <c r="O563" s="505"/>
      <c r="P563" s="501"/>
      <c r="Q563" s="334"/>
      <c r="R563" s="319">
        <f t="shared" ref="R563:R581" si="192">L563</f>
        <v>136.19999999999999</v>
      </c>
      <c r="S563" s="334" t="str">
        <f t="shared" si="188"/>
        <v xml:space="preserve"> m³</v>
      </c>
      <c r="T563" s="320">
        <v>33</v>
      </c>
      <c r="U563" s="335"/>
      <c r="V563" s="815">
        <f t="shared" ca="1" si="185"/>
        <v>370</v>
      </c>
      <c r="W563" s="250">
        <f t="shared" ca="1" si="189"/>
        <v>2</v>
      </c>
      <c r="X563" s="250">
        <f t="shared" ca="1" si="190"/>
        <v>1</v>
      </c>
      <c r="Y563" s="250"/>
      <c r="Z563" s="250"/>
    </row>
    <row r="564" spans="1:26" s="111" customFormat="1" ht="15" x14ac:dyDescent="0.2">
      <c r="A564" s="288"/>
      <c r="B564" s="322"/>
      <c r="C564" s="550" t="s">
        <v>534</v>
      </c>
      <c r="D564" s="496">
        <v>65</v>
      </c>
      <c r="E564" s="497" t="s">
        <v>518</v>
      </c>
      <c r="F564" s="498">
        <v>5</v>
      </c>
      <c r="G564" s="496">
        <v>66</v>
      </c>
      <c r="H564" s="497" t="s">
        <v>518</v>
      </c>
      <c r="I564" s="498">
        <v>17</v>
      </c>
      <c r="J564" s="560"/>
      <c r="K564" s="500">
        <f t="shared" si="191"/>
        <v>32</v>
      </c>
      <c r="L564" s="508">
        <f>SUM(R429:R432)</f>
        <v>145.28</v>
      </c>
      <c r="M564" s="760"/>
      <c r="N564" s="761"/>
      <c r="O564" s="505"/>
      <c r="P564" s="501"/>
      <c r="Q564" s="334"/>
      <c r="R564" s="319">
        <f t="shared" si="192"/>
        <v>145.28</v>
      </c>
      <c r="S564" s="334" t="str">
        <f t="shared" si="188"/>
        <v xml:space="preserve"> m³</v>
      </c>
      <c r="T564" s="320">
        <v>34</v>
      </c>
      <c r="U564" s="335"/>
      <c r="V564" s="815">
        <f t="shared" ca="1" si="185"/>
        <v>370</v>
      </c>
      <c r="W564" s="250">
        <f t="shared" ca="1" si="189"/>
        <v>2</v>
      </c>
      <c r="X564" s="250">
        <f t="shared" ca="1" si="190"/>
        <v>1</v>
      </c>
      <c r="Y564" s="250"/>
      <c r="Z564" s="250"/>
    </row>
    <row r="565" spans="1:26" s="111" customFormat="1" ht="15" x14ac:dyDescent="0.2">
      <c r="A565" s="288"/>
      <c r="B565" s="322"/>
      <c r="C565" s="382" t="s">
        <v>534</v>
      </c>
      <c r="D565" s="419">
        <v>62</v>
      </c>
      <c r="E565" s="316" t="s">
        <v>518</v>
      </c>
      <c r="F565" s="420">
        <v>5</v>
      </c>
      <c r="G565" s="419">
        <v>65</v>
      </c>
      <c r="H565" s="316" t="s">
        <v>518</v>
      </c>
      <c r="I565" s="420">
        <v>5</v>
      </c>
      <c r="J565" s="317"/>
      <c r="K565" s="421">
        <f t="shared" si="191"/>
        <v>60</v>
      </c>
      <c r="L565" s="433">
        <f>SUM(R435:R438)</f>
        <v>272.39999999999998</v>
      </c>
      <c r="M565" s="328"/>
      <c r="N565" s="328"/>
      <c r="O565" s="334"/>
      <c r="P565" s="328"/>
      <c r="Q565" s="334"/>
      <c r="R565" s="333">
        <f t="shared" si="192"/>
        <v>272.39999999999998</v>
      </c>
      <c r="S565" s="334" t="str">
        <f t="shared" si="188"/>
        <v xml:space="preserve"> m³</v>
      </c>
      <c r="T565" s="320">
        <v>35</v>
      </c>
      <c r="U565" s="335"/>
      <c r="V565" s="815">
        <f t="shared" ca="1" si="185"/>
        <v>370</v>
      </c>
      <c r="W565" s="250">
        <f t="shared" ca="1" si="189"/>
        <v>2</v>
      </c>
      <c r="X565" s="250">
        <f t="shared" ca="1" si="190"/>
        <v>1</v>
      </c>
      <c r="Y565" s="250"/>
      <c r="Z565" s="250"/>
    </row>
    <row r="566" spans="1:26" s="111" customFormat="1" ht="15" x14ac:dyDescent="0.2">
      <c r="A566" s="288"/>
      <c r="B566" s="322"/>
      <c r="C566" s="382" t="s">
        <v>534</v>
      </c>
      <c r="D566" s="419">
        <v>60</v>
      </c>
      <c r="E566" s="316" t="s">
        <v>518</v>
      </c>
      <c r="F566" s="420">
        <v>0</v>
      </c>
      <c r="G566" s="419">
        <v>62</v>
      </c>
      <c r="H566" s="316" t="s">
        <v>518</v>
      </c>
      <c r="I566" s="420">
        <v>5</v>
      </c>
      <c r="J566" s="317"/>
      <c r="K566" s="421">
        <f t="shared" si="191"/>
        <v>45</v>
      </c>
      <c r="L566" s="433">
        <f>SUM(R441:R444)</f>
        <v>204.3</v>
      </c>
      <c r="M566" s="328"/>
      <c r="N566" s="328"/>
      <c r="O566" s="334"/>
      <c r="P566" s="328"/>
      <c r="Q566" s="334"/>
      <c r="R566" s="333">
        <f t="shared" si="192"/>
        <v>204.3</v>
      </c>
      <c r="S566" s="334" t="str">
        <f t="shared" si="188"/>
        <v xml:space="preserve"> m³</v>
      </c>
      <c r="T566" s="320">
        <v>36</v>
      </c>
      <c r="U566" s="335"/>
      <c r="V566" s="815">
        <f t="shared" ca="1" si="185"/>
        <v>370</v>
      </c>
      <c r="W566" s="250">
        <f t="shared" ca="1" si="189"/>
        <v>2</v>
      </c>
      <c r="X566" s="250">
        <f t="shared" ca="1" si="190"/>
        <v>1</v>
      </c>
      <c r="Y566" s="250"/>
      <c r="Z566" s="250"/>
    </row>
    <row r="567" spans="1:26" s="111" customFormat="1" ht="15" x14ac:dyDescent="0.2">
      <c r="A567" s="288"/>
      <c r="B567" s="494"/>
      <c r="C567" s="382" t="s">
        <v>534</v>
      </c>
      <c r="D567" s="419">
        <v>57</v>
      </c>
      <c r="E567" s="316" t="s">
        <v>518</v>
      </c>
      <c r="F567" s="420">
        <v>16</v>
      </c>
      <c r="G567" s="419">
        <v>60</v>
      </c>
      <c r="H567" s="316" t="s">
        <v>518</v>
      </c>
      <c r="I567" s="420">
        <v>0</v>
      </c>
      <c r="J567" s="317"/>
      <c r="K567" s="421">
        <f t="shared" si="191"/>
        <v>44</v>
      </c>
      <c r="L567" s="433">
        <f>SUM(R447:R450)</f>
        <v>199.76</v>
      </c>
      <c r="M567" s="328"/>
      <c r="N567" s="328"/>
      <c r="O567" s="334"/>
      <c r="P567" s="328"/>
      <c r="Q567" s="334"/>
      <c r="R567" s="333">
        <f t="shared" si="192"/>
        <v>199.76</v>
      </c>
      <c r="S567" s="334" t="str">
        <f t="shared" si="188"/>
        <v xml:space="preserve"> m³</v>
      </c>
      <c r="T567" s="320">
        <v>37</v>
      </c>
      <c r="U567" s="574"/>
      <c r="V567" s="815">
        <f t="shared" ca="1" si="185"/>
        <v>370</v>
      </c>
      <c r="W567" s="250">
        <f t="shared" ca="1" si="189"/>
        <v>2</v>
      </c>
      <c r="X567" s="250">
        <f t="shared" ca="1" si="190"/>
        <v>1</v>
      </c>
      <c r="Y567" s="250"/>
      <c r="Z567" s="250"/>
    </row>
    <row r="568" spans="1:26" s="111" customFormat="1" ht="15" x14ac:dyDescent="0.2">
      <c r="A568" s="288"/>
      <c r="B568" s="494"/>
      <c r="C568" s="382" t="s">
        <v>534</v>
      </c>
      <c r="D568" s="419">
        <v>55</v>
      </c>
      <c r="E568" s="316" t="s">
        <v>518</v>
      </c>
      <c r="F568" s="420">
        <v>10</v>
      </c>
      <c r="G568" s="419">
        <v>57</v>
      </c>
      <c r="H568" s="316" t="s">
        <v>518</v>
      </c>
      <c r="I568" s="420">
        <v>16</v>
      </c>
      <c r="J568" s="317"/>
      <c r="K568" s="421">
        <f t="shared" si="191"/>
        <v>46</v>
      </c>
      <c r="L568" s="433">
        <f>SUM(R453:R456)</f>
        <v>208.84</v>
      </c>
      <c r="M568" s="328"/>
      <c r="N568" s="328"/>
      <c r="O568" s="334"/>
      <c r="P568" s="328"/>
      <c r="Q568" s="334"/>
      <c r="R568" s="333">
        <f t="shared" si="192"/>
        <v>208.84</v>
      </c>
      <c r="S568" s="334" t="str">
        <f t="shared" si="188"/>
        <v xml:space="preserve"> m³</v>
      </c>
      <c r="T568" s="320">
        <v>38</v>
      </c>
      <c r="U568" s="574"/>
      <c r="V568" s="815">
        <f t="shared" ca="1" si="185"/>
        <v>370</v>
      </c>
      <c r="W568" s="250">
        <f t="shared" ca="1" si="189"/>
        <v>2</v>
      </c>
      <c r="X568" s="250">
        <f t="shared" ca="1" si="190"/>
        <v>1</v>
      </c>
      <c r="Y568" s="250"/>
      <c r="Z568" s="250"/>
    </row>
    <row r="569" spans="1:26" s="111" customFormat="1" ht="15" x14ac:dyDescent="0.2">
      <c r="A569" s="288"/>
      <c r="B569" s="494"/>
      <c r="C569" s="382" t="s">
        <v>534</v>
      </c>
      <c r="D569" s="417">
        <v>4</v>
      </c>
      <c r="E569" s="314" t="s">
        <v>518</v>
      </c>
      <c r="F569" s="418">
        <v>16</v>
      </c>
      <c r="G569" s="417">
        <v>5</v>
      </c>
      <c r="H569" s="314" t="s">
        <v>518</v>
      </c>
      <c r="I569" s="418">
        <v>14.5</v>
      </c>
      <c r="J569" s="317"/>
      <c r="K569" s="421">
        <f t="shared" si="191"/>
        <v>18.5</v>
      </c>
      <c r="L569" s="433">
        <f>SUM(R459:R464)</f>
        <v>50.50500000000001</v>
      </c>
      <c r="M569" s="328"/>
      <c r="N569" s="328"/>
      <c r="O569" s="334"/>
      <c r="P569" s="328"/>
      <c r="Q569" s="334"/>
      <c r="R569" s="333">
        <f t="shared" si="192"/>
        <v>50.50500000000001</v>
      </c>
      <c r="S569" s="334" t="str">
        <f t="shared" si="188"/>
        <v xml:space="preserve"> m³</v>
      </c>
      <c r="T569" s="320">
        <v>38</v>
      </c>
      <c r="U569" s="574"/>
      <c r="V569" s="815">
        <f t="shared" ca="1" si="185"/>
        <v>370</v>
      </c>
      <c r="W569" s="250">
        <f t="shared" ca="1" si="189"/>
        <v>2</v>
      </c>
      <c r="X569" s="250">
        <f t="shared" ca="1" si="190"/>
        <v>1</v>
      </c>
      <c r="Y569" s="250"/>
      <c r="Z569" s="250"/>
    </row>
    <row r="570" spans="1:26" s="111" customFormat="1" ht="15" x14ac:dyDescent="0.2">
      <c r="A570" s="288"/>
      <c r="B570" s="494"/>
      <c r="C570" s="382" t="s">
        <v>534</v>
      </c>
      <c r="D570" s="419">
        <v>51</v>
      </c>
      <c r="E570" s="316" t="s">
        <v>518</v>
      </c>
      <c r="F570" s="420">
        <v>8</v>
      </c>
      <c r="G570" s="419">
        <v>55</v>
      </c>
      <c r="H570" s="316" t="s">
        <v>518</v>
      </c>
      <c r="I570" s="420">
        <v>10</v>
      </c>
      <c r="J570" s="317"/>
      <c r="K570" s="421">
        <f t="shared" si="191"/>
        <v>82</v>
      </c>
      <c r="L570" s="433">
        <f>SUM(R467:R470)</f>
        <v>372.28</v>
      </c>
      <c r="M570" s="328"/>
      <c r="N570" s="328"/>
      <c r="O570" s="334"/>
      <c r="P570" s="328"/>
      <c r="Q570" s="334"/>
      <c r="R570" s="333">
        <f t="shared" si="192"/>
        <v>372.28</v>
      </c>
      <c r="S570" s="334" t="str">
        <f t="shared" si="188"/>
        <v xml:space="preserve"> m³</v>
      </c>
      <c r="T570" s="320">
        <v>39</v>
      </c>
      <c r="U570" s="574" t="s">
        <v>1238</v>
      </c>
      <c r="V570" s="815">
        <f t="shared" ca="1" si="185"/>
        <v>370</v>
      </c>
      <c r="W570" s="250">
        <f t="shared" ca="1" si="189"/>
        <v>2</v>
      </c>
      <c r="X570" s="250">
        <f t="shared" ca="1" si="190"/>
        <v>1</v>
      </c>
      <c r="Y570" s="250"/>
      <c r="Z570" s="250"/>
    </row>
    <row r="571" spans="1:26" s="111" customFormat="1" ht="15" x14ac:dyDescent="0.2">
      <c r="A571" s="288"/>
      <c r="B571" s="494"/>
      <c r="C571" s="382" t="s">
        <v>534</v>
      </c>
      <c r="D571" s="417">
        <v>4</v>
      </c>
      <c r="E571" s="314" t="s">
        <v>518</v>
      </c>
      <c r="F571" s="418">
        <v>0</v>
      </c>
      <c r="G571" s="417">
        <v>4</v>
      </c>
      <c r="H571" s="314" t="s">
        <v>518</v>
      </c>
      <c r="I571" s="418">
        <v>16</v>
      </c>
      <c r="J571" s="317"/>
      <c r="K571" s="421">
        <f t="shared" si="191"/>
        <v>16</v>
      </c>
      <c r="L571" s="433">
        <f>SUM(R473:R478)</f>
        <v>58.680000000000007</v>
      </c>
      <c r="M571" s="328"/>
      <c r="N571" s="328"/>
      <c r="O571" s="334"/>
      <c r="P571" s="328"/>
      <c r="Q571" s="334"/>
      <c r="R571" s="333">
        <f t="shared" si="192"/>
        <v>58.680000000000007</v>
      </c>
      <c r="S571" s="334" t="str">
        <f t="shared" si="188"/>
        <v xml:space="preserve"> m³</v>
      </c>
      <c r="T571" s="320">
        <v>39</v>
      </c>
      <c r="U571" s="574" t="s">
        <v>1239</v>
      </c>
      <c r="V571" s="815">
        <f t="shared" ca="1" si="185"/>
        <v>370</v>
      </c>
      <c r="W571" s="250">
        <f t="shared" ca="1" si="189"/>
        <v>2</v>
      </c>
      <c r="X571" s="250">
        <f t="shared" ca="1" si="190"/>
        <v>1</v>
      </c>
      <c r="Y571" s="250"/>
      <c r="Z571" s="250"/>
    </row>
    <row r="572" spans="1:26" s="111" customFormat="1" ht="15" x14ac:dyDescent="0.2">
      <c r="A572" s="288"/>
      <c r="B572" s="494"/>
      <c r="C572" s="382" t="s">
        <v>534</v>
      </c>
      <c r="D572" s="419">
        <v>49</v>
      </c>
      <c r="E572" s="316" t="s">
        <v>518</v>
      </c>
      <c r="F572" s="420">
        <v>13</v>
      </c>
      <c r="G572" s="419">
        <v>51</v>
      </c>
      <c r="H572" s="316" t="s">
        <v>518</v>
      </c>
      <c r="I572" s="420">
        <v>8</v>
      </c>
      <c r="J572" s="317"/>
      <c r="K572" s="421">
        <f t="shared" si="191"/>
        <v>35</v>
      </c>
      <c r="L572" s="433">
        <f>SUM(R481:R484)</f>
        <v>158.9</v>
      </c>
      <c r="M572" s="328"/>
      <c r="N572" s="328"/>
      <c r="O572" s="334"/>
      <c r="P572" s="328"/>
      <c r="Q572" s="334"/>
      <c r="R572" s="333">
        <f t="shared" si="192"/>
        <v>158.9</v>
      </c>
      <c r="S572" s="334" t="str">
        <f t="shared" si="188"/>
        <v xml:space="preserve"> m³</v>
      </c>
      <c r="T572" s="320">
        <v>40</v>
      </c>
      <c r="U572" s="574" t="s">
        <v>1238</v>
      </c>
      <c r="V572" s="815">
        <f t="shared" ca="1" si="185"/>
        <v>370</v>
      </c>
      <c r="W572" s="250">
        <f t="shared" ca="1" si="189"/>
        <v>2</v>
      </c>
      <c r="X572" s="250">
        <f t="shared" ca="1" si="190"/>
        <v>1</v>
      </c>
      <c r="Y572" s="250"/>
      <c r="Z572" s="250"/>
    </row>
    <row r="573" spans="1:26" s="111" customFormat="1" ht="15" x14ac:dyDescent="0.2">
      <c r="A573" s="288"/>
      <c r="B573" s="494"/>
      <c r="C573" s="382" t="s">
        <v>534</v>
      </c>
      <c r="D573" s="417">
        <v>3</v>
      </c>
      <c r="E573" s="314" t="s">
        <v>518</v>
      </c>
      <c r="F573" s="418">
        <v>4</v>
      </c>
      <c r="G573" s="417">
        <v>4</v>
      </c>
      <c r="H573" s="314" t="s">
        <v>518</v>
      </c>
      <c r="I573" s="418">
        <v>0</v>
      </c>
      <c r="J573" s="317"/>
      <c r="K573" s="421">
        <f t="shared" si="191"/>
        <v>16</v>
      </c>
      <c r="L573" s="433">
        <f>SUM(R487:R492)</f>
        <v>87.93</v>
      </c>
      <c r="M573" s="328"/>
      <c r="N573" s="328"/>
      <c r="O573" s="334"/>
      <c r="P573" s="328"/>
      <c r="Q573" s="334"/>
      <c r="R573" s="333">
        <f t="shared" si="192"/>
        <v>87.93</v>
      </c>
      <c r="S573" s="334" t="str">
        <f t="shared" si="188"/>
        <v xml:space="preserve"> m³</v>
      </c>
      <c r="T573" s="320">
        <v>40</v>
      </c>
      <c r="U573" s="574" t="s">
        <v>1239</v>
      </c>
      <c r="V573" s="815">
        <f t="shared" ca="1" si="185"/>
        <v>370</v>
      </c>
      <c r="W573" s="250">
        <f t="shared" ca="1" si="189"/>
        <v>2</v>
      </c>
      <c r="X573" s="250">
        <f t="shared" ca="1" si="190"/>
        <v>1</v>
      </c>
      <c r="Y573" s="250"/>
      <c r="Z573" s="250"/>
    </row>
    <row r="574" spans="1:26" s="111" customFormat="1" ht="15" x14ac:dyDescent="0.2">
      <c r="A574" s="288"/>
      <c r="B574" s="494"/>
      <c r="C574" s="382" t="s">
        <v>534</v>
      </c>
      <c r="D574" s="419">
        <v>49</v>
      </c>
      <c r="E574" s="316" t="s">
        <v>518</v>
      </c>
      <c r="F574" s="420">
        <v>13</v>
      </c>
      <c r="G574" s="419">
        <v>51</v>
      </c>
      <c r="H574" s="316" t="s">
        <v>518</v>
      </c>
      <c r="I574" s="420">
        <v>8</v>
      </c>
      <c r="J574" s="317"/>
      <c r="K574" s="421">
        <f t="shared" si="191"/>
        <v>35</v>
      </c>
      <c r="L574" s="433">
        <f>SUM(R495:R498)</f>
        <v>113.5</v>
      </c>
      <c r="M574" s="328"/>
      <c r="N574" s="328"/>
      <c r="O574" s="334"/>
      <c r="P574" s="328"/>
      <c r="Q574" s="334"/>
      <c r="R574" s="333">
        <f t="shared" si="192"/>
        <v>113.5</v>
      </c>
      <c r="S574" s="334" t="str">
        <f t="shared" si="188"/>
        <v xml:space="preserve"> m³</v>
      </c>
      <c r="T574" s="320">
        <v>41</v>
      </c>
      <c r="U574" s="574"/>
      <c r="V574" s="815">
        <f t="shared" ca="1" si="185"/>
        <v>370</v>
      </c>
      <c r="W574" s="250">
        <f t="shared" ca="1" si="189"/>
        <v>2</v>
      </c>
      <c r="X574" s="250">
        <f t="shared" ca="1" si="190"/>
        <v>1</v>
      </c>
      <c r="Y574" s="250"/>
      <c r="Z574" s="250"/>
    </row>
    <row r="575" spans="1:26" s="111" customFormat="1" ht="15" x14ac:dyDescent="0.2">
      <c r="A575" s="288"/>
      <c r="B575" s="494"/>
      <c r="C575" s="382" t="s">
        <v>534</v>
      </c>
      <c r="D575" s="417">
        <v>3</v>
      </c>
      <c r="E575" s="314" t="s">
        <v>518</v>
      </c>
      <c r="F575" s="418">
        <v>4</v>
      </c>
      <c r="G575" s="417">
        <v>4</v>
      </c>
      <c r="H575" s="314" t="s">
        <v>518</v>
      </c>
      <c r="I575" s="418">
        <v>0</v>
      </c>
      <c r="J575" s="317"/>
      <c r="K575" s="421">
        <f t="shared" si="191"/>
        <v>16</v>
      </c>
      <c r="L575" s="433">
        <f>SUM(R501:R506)</f>
        <v>76.14</v>
      </c>
      <c r="M575" s="328"/>
      <c r="N575" s="328"/>
      <c r="O575" s="334"/>
      <c r="P575" s="328"/>
      <c r="Q575" s="334"/>
      <c r="R575" s="333">
        <f t="shared" si="192"/>
        <v>76.14</v>
      </c>
      <c r="S575" s="334" t="str">
        <f t="shared" si="188"/>
        <v xml:space="preserve"> m³</v>
      </c>
      <c r="T575" s="320">
        <v>41</v>
      </c>
      <c r="U575" s="574"/>
      <c r="V575" s="815">
        <f t="shared" ca="1" si="185"/>
        <v>370</v>
      </c>
      <c r="W575" s="250">
        <f t="shared" ca="1" si="189"/>
        <v>2</v>
      </c>
      <c r="X575" s="250">
        <f t="shared" ca="1" si="190"/>
        <v>1</v>
      </c>
      <c r="Y575" s="250"/>
      <c r="Z575" s="250"/>
    </row>
    <row r="576" spans="1:26" s="111" customFormat="1" ht="15" x14ac:dyDescent="0.2">
      <c r="A576" s="288"/>
      <c r="B576" s="494"/>
      <c r="C576" s="382" t="s">
        <v>534</v>
      </c>
      <c r="D576" s="419">
        <v>45</v>
      </c>
      <c r="E576" s="316" t="s">
        <v>518</v>
      </c>
      <c r="F576" s="420">
        <v>6</v>
      </c>
      <c r="G576" s="419">
        <v>48</v>
      </c>
      <c r="H576" s="316" t="s">
        <v>518</v>
      </c>
      <c r="I576" s="420">
        <v>8</v>
      </c>
      <c r="J576" s="317"/>
      <c r="K576" s="421">
        <f t="shared" si="191"/>
        <v>62</v>
      </c>
      <c r="L576" s="433">
        <f>SUM(R509:R512)</f>
        <v>281.48</v>
      </c>
      <c r="M576" s="328"/>
      <c r="N576" s="328"/>
      <c r="O576" s="334"/>
      <c r="P576" s="328"/>
      <c r="Q576" s="334"/>
      <c r="R576" s="333">
        <f t="shared" si="192"/>
        <v>281.48</v>
      </c>
      <c r="S576" s="334" t="str">
        <f t="shared" si="188"/>
        <v xml:space="preserve"> m³</v>
      </c>
      <c r="T576" s="320">
        <v>42</v>
      </c>
      <c r="U576" s="574"/>
      <c r="V576" s="815">
        <f t="shared" ca="1" si="185"/>
        <v>370</v>
      </c>
      <c r="W576" s="250">
        <f t="shared" ca="1" si="189"/>
        <v>2</v>
      </c>
      <c r="X576" s="250">
        <f t="shared" ca="1" si="190"/>
        <v>1</v>
      </c>
      <c r="Y576" s="250"/>
      <c r="Z576" s="250"/>
    </row>
    <row r="577" spans="1:29" s="111" customFormat="1" ht="15" x14ac:dyDescent="0.2">
      <c r="A577" s="288"/>
      <c r="B577" s="494"/>
      <c r="C577" s="382" t="s">
        <v>534</v>
      </c>
      <c r="D577" s="417">
        <v>2</v>
      </c>
      <c r="E577" s="314" t="s">
        <v>518</v>
      </c>
      <c r="F577" s="418">
        <v>0</v>
      </c>
      <c r="G577" s="417">
        <v>2</v>
      </c>
      <c r="H577" s="314" t="s">
        <v>518</v>
      </c>
      <c r="I577" s="418">
        <v>6</v>
      </c>
      <c r="J577" s="317"/>
      <c r="K577" s="421">
        <f t="shared" si="191"/>
        <v>6</v>
      </c>
      <c r="L577" s="433">
        <f>SUM(R515:R520)</f>
        <v>25.379999999999995</v>
      </c>
      <c r="M577" s="328"/>
      <c r="N577" s="328"/>
      <c r="O577" s="334"/>
      <c r="P577" s="328"/>
      <c r="Q577" s="334"/>
      <c r="R577" s="333">
        <f t="shared" si="192"/>
        <v>25.379999999999995</v>
      </c>
      <c r="S577" s="334" t="str">
        <f t="shared" si="188"/>
        <v xml:space="preserve"> m³</v>
      </c>
      <c r="T577" s="320">
        <v>42</v>
      </c>
      <c r="U577" s="574"/>
      <c r="V577" s="815">
        <f t="shared" ca="1" si="185"/>
        <v>370</v>
      </c>
      <c r="W577" s="250">
        <f t="shared" ca="1" si="189"/>
        <v>2</v>
      </c>
      <c r="X577" s="250">
        <f t="shared" ca="1" si="190"/>
        <v>1</v>
      </c>
      <c r="Y577" s="250"/>
      <c r="Z577" s="250"/>
    </row>
    <row r="578" spans="1:29" s="111" customFormat="1" ht="15" x14ac:dyDescent="0.2">
      <c r="A578" s="288"/>
      <c r="B578" s="494"/>
      <c r="C578" s="382" t="s">
        <v>534</v>
      </c>
      <c r="D578" s="419">
        <v>42</v>
      </c>
      <c r="E578" s="316" t="s">
        <v>518</v>
      </c>
      <c r="F578" s="420">
        <v>3</v>
      </c>
      <c r="G578" s="419">
        <v>45</v>
      </c>
      <c r="H578" s="316" t="s">
        <v>518</v>
      </c>
      <c r="I578" s="420">
        <v>6</v>
      </c>
      <c r="J578" s="317"/>
      <c r="K578" s="421">
        <f t="shared" si="191"/>
        <v>63</v>
      </c>
      <c r="L578" s="433">
        <f>SUM(R523:R526)</f>
        <v>286.02</v>
      </c>
      <c r="M578" s="328"/>
      <c r="N578" s="328"/>
      <c r="O578" s="334"/>
      <c r="P578" s="328"/>
      <c r="Q578" s="334"/>
      <c r="R578" s="333">
        <f t="shared" si="192"/>
        <v>286.02</v>
      </c>
      <c r="S578" s="929" t="str">
        <f t="shared" ref="S578:S579" si="193">$S$559</f>
        <v xml:space="preserve"> m³</v>
      </c>
      <c r="T578" s="320">
        <v>43</v>
      </c>
      <c r="U578" s="574"/>
      <c r="V578" s="815">
        <f t="shared" ca="1" si="185"/>
        <v>370</v>
      </c>
      <c r="W578" s="250">
        <f t="shared" ca="1" si="189"/>
        <v>2</v>
      </c>
      <c r="X578" s="250">
        <f t="shared" ca="1" si="190"/>
        <v>1</v>
      </c>
      <c r="Y578" s="250"/>
      <c r="Z578" s="250"/>
    </row>
    <row r="579" spans="1:29" s="111" customFormat="1" ht="15" x14ac:dyDescent="0.2">
      <c r="A579" s="288"/>
      <c r="B579" s="494"/>
      <c r="C579" s="382" t="s">
        <v>534</v>
      </c>
      <c r="D579" s="417">
        <v>1</v>
      </c>
      <c r="E579" s="314" t="s">
        <v>518</v>
      </c>
      <c r="F579" s="418">
        <v>8</v>
      </c>
      <c r="G579" s="417">
        <v>2</v>
      </c>
      <c r="H579" s="314" t="s">
        <v>518</v>
      </c>
      <c r="I579" s="418">
        <v>0</v>
      </c>
      <c r="J579" s="317"/>
      <c r="K579" s="421">
        <f t="shared" si="191"/>
        <v>12</v>
      </c>
      <c r="L579" s="433">
        <f>SUM(R529:R534)</f>
        <v>50.759999999999991</v>
      </c>
      <c r="M579" s="328"/>
      <c r="N579" s="328"/>
      <c r="O579" s="334"/>
      <c r="P579" s="328"/>
      <c r="Q579" s="334"/>
      <c r="R579" s="333">
        <f t="shared" si="192"/>
        <v>50.759999999999991</v>
      </c>
      <c r="S579" s="929" t="str">
        <f t="shared" si="193"/>
        <v xml:space="preserve"> m³</v>
      </c>
      <c r="T579" s="320">
        <v>43</v>
      </c>
      <c r="U579" s="574"/>
      <c r="V579" s="815">
        <f t="shared" ca="1" si="185"/>
        <v>370</v>
      </c>
      <c r="W579" s="250">
        <f t="shared" ca="1" si="189"/>
        <v>2</v>
      </c>
      <c r="X579" s="250">
        <f t="shared" ca="1" si="190"/>
        <v>1</v>
      </c>
      <c r="Y579" s="250"/>
      <c r="Z579" s="250"/>
    </row>
    <row r="580" spans="1:29" s="111" customFormat="1" ht="15" x14ac:dyDescent="0.2">
      <c r="A580" s="288"/>
      <c r="B580" s="494"/>
      <c r="C580" s="382" t="s">
        <v>534</v>
      </c>
      <c r="D580" s="419">
        <v>39</v>
      </c>
      <c r="E580" s="316" t="s">
        <v>518</v>
      </c>
      <c r="F580" s="420">
        <v>2</v>
      </c>
      <c r="G580" s="419">
        <v>42</v>
      </c>
      <c r="H580" s="316" t="s">
        <v>518</v>
      </c>
      <c r="I580" s="420">
        <v>3</v>
      </c>
      <c r="J580" s="317"/>
      <c r="K580" s="421">
        <f t="shared" si="191"/>
        <v>61</v>
      </c>
      <c r="L580" s="433">
        <f>SUM(R536:R540)</f>
        <v>276.94</v>
      </c>
      <c r="M580" s="328"/>
      <c r="N580" s="328"/>
      <c r="O580" s="334"/>
      <c r="P580" s="328"/>
      <c r="Q580" s="334"/>
      <c r="R580" s="333">
        <f t="shared" si="192"/>
        <v>276.94</v>
      </c>
      <c r="S580" s="929" t="s">
        <v>325</v>
      </c>
      <c r="T580" s="320">
        <v>44</v>
      </c>
      <c r="U580" s="574"/>
      <c r="V580" s="815">
        <f t="shared" ca="1" si="185"/>
        <v>370</v>
      </c>
      <c r="W580" s="250">
        <f t="shared" ca="1" si="189"/>
        <v>2</v>
      </c>
      <c r="X580" s="250">
        <f t="shared" ca="1" si="190"/>
        <v>1</v>
      </c>
      <c r="Y580" s="250"/>
      <c r="Z580" s="250"/>
    </row>
    <row r="581" spans="1:29" s="111" customFormat="1" ht="15" x14ac:dyDescent="0.2">
      <c r="A581" s="288"/>
      <c r="B581" s="494"/>
      <c r="C581" s="382" t="s">
        <v>534</v>
      </c>
      <c r="D581" s="417">
        <v>0</v>
      </c>
      <c r="E581" s="314" t="s">
        <v>518</v>
      </c>
      <c r="F581" s="418">
        <v>6</v>
      </c>
      <c r="G581" s="417">
        <v>1</v>
      </c>
      <c r="H581" s="314" t="s">
        <v>518</v>
      </c>
      <c r="I581" s="418">
        <v>8</v>
      </c>
      <c r="J581" s="317"/>
      <c r="K581" s="421">
        <f t="shared" si="191"/>
        <v>22</v>
      </c>
      <c r="L581" s="433">
        <f>SUM(R542:R548)</f>
        <v>93.06</v>
      </c>
      <c r="M581" s="328"/>
      <c r="N581" s="328"/>
      <c r="O581" s="334"/>
      <c r="P581" s="328"/>
      <c r="Q581" s="334"/>
      <c r="R581" s="333">
        <f t="shared" si="192"/>
        <v>93.06</v>
      </c>
      <c r="S581" s="929" t="s">
        <v>325</v>
      </c>
      <c r="T581" s="320">
        <v>44</v>
      </c>
      <c r="U581" s="574"/>
      <c r="V581" s="815">
        <f t="shared" ca="1" si="185"/>
        <v>370</v>
      </c>
      <c r="W581" s="250">
        <f t="shared" ca="1" si="189"/>
        <v>2</v>
      </c>
      <c r="X581" s="250">
        <f t="shared" ca="1" si="190"/>
        <v>1</v>
      </c>
      <c r="Y581" s="250"/>
      <c r="Z581" s="250"/>
    </row>
    <row r="582" spans="1:29" s="111" customFormat="1" ht="15" x14ac:dyDescent="0.2">
      <c r="A582" s="288"/>
      <c r="B582" s="494"/>
      <c r="C582" s="1108"/>
      <c r="D582" s="496"/>
      <c r="E582" s="497"/>
      <c r="F582" s="498"/>
      <c r="G582" s="496"/>
      <c r="H582" s="497"/>
      <c r="I582" s="498"/>
      <c r="J582" s="1109"/>
      <c r="K582" s="500"/>
      <c r="L582" s="508"/>
      <c r="M582" s="760"/>
      <c r="N582" s="761"/>
      <c r="O582" s="505"/>
      <c r="P582" s="501"/>
      <c r="Q582" s="739"/>
      <c r="R582" s="558"/>
      <c r="S582" s="505"/>
      <c r="T582" s="506"/>
      <c r="U582" s="574"/>
      <c r="V582" s="815">
        <f t="shared" ca="1" si="185"/>
        <v>370</v>
      </c>
      <c r="W582" s="250">
        <f t="shared" ca="1" si="189"/>
        <v>0</v>
      </c>
      <c r="X582" s="250">
        <f t="shared" ca="1" si="190"/>
        <v>1</v>
      </c>
      <c r="Y582" s="250"/>
      <c r="Z582" s="250"/>
    </row>
    <row r="583" spans="1:29" s="111" customFormat="1" ht="15" x14ac:dyDescent="0.2">
      <c r="A583" s="288"/>
      <c r="B583" s="338"/>
      <c r="C583" s="339"/>
      <c r="D583" s="340"/>
      <c r="E583" s="341"/>
      <c r="F583" s="342"/>
      <c r="G583" s="340"/>
      <c r="H583" s="341"/>
      <c r="I583" s="342"/>
      <c r="J583" s="343"/>
      <c r="K583" s="344"/>
      <c r="L583" s="345"/>
      <c r="M583" s="346"/>
      <c r="N583" s="347"/>
      <c r="O583" s="348"/>
      <c r="P583" s="345"/>
      <c r="Q583" s="349"/>
      <c r="R583" s="350"/>
      <c r="S583" s="351"/>
      <c r="T583" s="352"/>
      <c r="U583" s="353"/>
      <c r="V583" s="815">
        <f t="shared" ca="1" si="185"/>
        <v>370</v>
      </c>
      <c r="W583" s="250">
        <f t="shared" ca="1" si="189"/>
        <v>0</v>
      </c>
      <c r="X583" s="250">
        <f t="shared" ca="1" si="190"/>
        <v>1</v>
      </c>
      <c r="Y583" s="250"/>
      <c r="Z583" s="250"/>
    </row>
    <row r="584" spans="1:29" s="111" customFormat="1" ht="15.75" x14ac:dyDescent="0.2">
      <c r="A584" s="288"/>
      <c r="B584" s="485"/>
      <c r="C584" s="486"/>
      <c r="D584" s="1397" t="s">
        <v>492</v>
      </c>
      <c r="E584" s="1398"/>
      <c r="F584" s="1398"/>
      <c r="G584" s="1398"/>
      <c r="H584" s="1398"/>
      <c r="I584" s="1399"/>
      <c r="J584" s="1400">
        <f>VLOOKUP(A586,'11 - FINANCEIRO'!_xlnm.Print_Area,6,FALSE)</f>
        <v>8681</v>
      </c>
      <c r="K584" s="1401"/>
      <c r="L584" s="487" t="str">
        <f>VLOOKUP(A586,'11 - FINANCEIRO'!_xlnm.Print_Area,4,FALSE)</f>
        <v xml:space="preserve"> m³</v>
      </c>
      <c r="M584" s="1371" t="s">
        <v>493</v>
      </c>
      <c r="N584" s="1372"/>
      <c r="O584" s="1372"/>
      <c r="P584" s="1372"/>
      <c r="Q584" s="1373"/>
      <c r="R584" s="362">
        <f>TRUNC(SUM(R558:R583),3)</f>
        <v>7972.8689999999997</v>
      </c>
      <c r="S584" s="488" t="str">
        <f>L584</f>
        <v xml:space="preserve"> m³</v>
      </c>
      <c r="T584" s="489"/>
      <c r="U584" s="490"/>
      <c r="V584" s="815">
        <f t="shared" ca="1" si="185"/>
        <v>370</v>
      </c>
      <c r="W584" s="250">
        <f t="shared" ca="1" si="189"/>
        <v>2</v>
      </c>
      <c r="X584" s="250">
        <f t="shared" ca="1" si="190"/>
        <v>1</v>
      </c>
      <c r="Y584" s="250"/>
      <c r="Z584" s="250"/>
    </row>
    <row r="585" spans="1:29" s="293" customFormat="1" ht="15.75" x14ac:dyDescent="0.2">
      <c r="A585" s="288"/>
      <c r="B585" s="354"/>
      <c r="C585" s="361"/>
      <c r="D585" s="1362" t="s">
        <v>494</v>
      </c>
      <c r="E585" s="1363"/>
      <c r="F585" s="1363"/>
      <c r="G585" s="1363"/>
      <c r="H585" s="1363"/>
      <c r="I585" s="1364"/>
      <c r="J585" s="1365">
        <f>R584/J584</f>
        <v>0.91842748531275198</v>
      </c>
      <c r="K585" s="1366"/>
      <c r="L585" s="1369"/>
      <c r="M585" s="1371" t="s">
        <v>495</v>
      </c>
      <c r="N585" s="1372"/>
      <c r="O585" s="1372"/>
      <c r="P585" s="1372"/>
      <c r="Q585" s="1373"/>
      <c r="R585" s="362">
        <f>VLOOKUP(A586,'11 - FINANCEIRO'!_xlnm.Print_Area,8,FALSE)</f>
        <v>7602.8689999999997</v>
      </c>
      <c r="S585" s="363" t="str">
        <f>L584</f>
        <v xml:space="preserve"> m³</v>
      </c>
      <c r="T585" s="359"/>
      <c r="U585" s="360"/>
      <c r="V585" s="815">
        <f t="shared" ca="1" si="185"/>
        <v>370</v>
      </c>
      <c r="W585" s="250">
        <f t="shared" ca="1" si="189"/>
        <v>2</v>
      </c>
      <c r="X585" s="250">
        <f t="shared" ca="1" si="190"/>
        <v>1</v>
      </c>
      <c r="Y585" s="256"/>
      <c r="Z585" s="256"/>
      <c r="AA585" s="292"/>
      <c r="AB585" s="292"/>
      <c r="AC585" s="292"/>
    </row>
    <row r="586" spans="1:29" s="293" customFormat="1" ht="15.75" x14ac:dyDescent="0.2">
      <c r="A586" s="288" t="s">
        <v>28</v>
      </c>
      <c r="B586" s="364"/>
      <c r="C586" s="365"/>
      <c r="D586" s="1354"/>
      <c r="E586" s="1355"/>
      <c r="F586" s="1355"/>
      <c r="G586" s="1355"/>
      <c r="H586" s="1355"/>
      <c r="I586" s="1356"/>
      <c r="J586" s="1367"/>
      <c r="K586" s="1368"/>
      <c r="L586" s="1370"/>
      <c r="M586" s="1371" t="s">
        <v>496</v>
      </c>
      <c r="N586" s="1372"/>
      <c r="O586" s="1372"/>
      <c r="P586" s="1372"/>
      <c r="Q586" s="1373"/>
      <c r="R586" s="362">
        <f>R584-R585</f>
        <v>370</v>
      </c>
      <c r="S586" s="363" t="str">
        <f>L584</f>
        <v xml:space="preserve"> m³</v>
      </c>
      <c r="T586" s="366"/>
      <c r="U586" s="367"/>
      <c r="V586" s="815">
        <f t="shared" ca="1" si="185"/>
        <v>370</v>
      </c>
      <c r="W586" s="250">
        <f t="shared" ca="1" si="189"/>
        <v>2</v>
      </c>
      <c r="X586" s="250">
        <f t="shared" ca="1" si="190"/>
        <v>1</v>
      </c>
      <c r="Y586" s="256"/>
      <c r="Z586" s="256"/>
      <c r="AA586" s="292"/>
      <c r="AB586" s="292"/>
      <c r="AC586" s="292"/>
    </row>
    <row r="587" spans="1:29" s="111" customFormat="1" ht="15.75" x14ac:dyDescent="0.2">
      <c r="A587" s="288"/>
      <c r="B587" s="368"/>
      <c r="C587" s="365"/>
      <c r="D587" s="369"/>
      <c r="E587" s="370"/>
      <c r="F587" s="369"/>
      <c r="G587" s="369"/>
      <c r="H587" s="369"/>
      <c r="I587" s="369"/>
      <c r="J587" s="371"/>
      <c r="K587" s="372"/>
      <c r="L587" s="373"/>
      <c r="M587" s="374"/>
      <c r="N587" s="374"/>
      <c r="O587" s="374"/>
      <c r="P587" s="374"/>
      <c r="Q587" s="374"/>
      <c r="R587" s="375"/>
      <c r="S587" s="376"/>
      <c r="T587" s="377"/>
      <c r="U587" s="378"/>
      <c r="V587" s="379">
        <f ca="1">SUM(V556:V586)</f>
        <v>11470</v>
      </c>
      <c r="W587" s="256">
        <f t="shared" ref="W587:W588" ca="1" si="194">IF(LEFT(_xlfn.FORMULATEXT(V587),3)="=SO",1,IF(COUNTA(A587:U587)=0,0,2))</f>
        <v>1</v>
      </c>
      <c r="X587" s="256">
        <f t="shared" ca="1" si="186"/>
        <v>0</v>
      </c>
      <c r="Y587" s="250"/>
      <c r="Z587" s="250"/>
    </row>
    <row r="588" spans="1:29" s="293" customFormat="1" ht="15.75" customHeight="1" x14ac:dyDescent="0.25">
      <c r="A588" s="288"/>
      <c r="B588" s="1374" t="str">
        <f>VLOOKUP(A946,'11 - FINANCEIRO'!_xlnm.Print_Area,1,FALSE)</f>
        <v>2.1.3</v>
      </c>
      <c r="C588" s="1376" t="str">
        <f>VLOOKUP(A946,'11 - FINANCEIRO'!_xlnm.Print_Area,3,FALSE)</f>
        <v>Fôrmas De Compensado Plastificado 12 Mm - Uso Geral - Utilização De 2 Vezes - Confecção, Instalação E Retirada</v>
      </c>
      <c r="D588" s="1378" t="s">
        <v>477</v>
      </c>
      <c r="E588" s="1379"/>
      <c r="F588" s="1379"/>
      <c r="G588" s="1379"/>
      <c r="H588" s="1379"/>
      <c r="I588" s="1380"/>
      <c r="J588" s="1338" t="s">
        <v>296</v>
      </c>
      <c r="K588" s="1338" t="s">
        <v>479</v>
      </c>
      <c r="L588" s="1338" t="s">
        <v>512</v>
      </c>
      <c r="M588" s="1338" t="s">
        <v>480</v>
      </c>
      <c r="N588" s="1338" t="s">
        <v>514</v>
      </c>
      <c r="O588" s="1338" t="s">
        <v>482</v>
      </c>
      <c r="P588" s="290"/>
      <c r="Q588" s="1338"/>
      <c r="R588" s="1336" t="s">
        <v>296</v>
      </c>
      <c r="S588" s="1338" t="s">
        <v>486</v>
      </c>
      <c r="T588" s="1338" t="s">
        <v>487</v>
      </c>
      <c r="U588" s="1340" t="s">
        <v>488</v>
      </c>
      <c r="V588" s="455">
        <f ca="1">IF(OFFSET(V588,1,1)=1,OFFSET(V588,0,-4),OFFSET(V588,1,0))</f>
        <v>1251.6500000000015</v>
      </c>
      <c r="W588" s="456">
        <f t="shared" ca="1" si="194"/>
        <v>2</v>
      </c>
      <c r="X588" s="456">
        <f t="shared" ca="1" si="186"/>
        <v>1</v>
      </c>
      <c r="Y588" s="256"/>
      <c r="Z588" s="256"/>
      <c r="AA588" s="292"/>
      <c r="AB588" s="292"/>
      <c r="AC588" s="292"/>
    </row>
    <row r="589" spans="1:29" s="293" customFormat="1" ht="15.75" x14ac:dyDescent="0.2">
      <c r="A589" s="288"/>
      <c r="B589" s="1375"/>
      <c r="C589" s="1377"/>
      <c r="D589" s="1342" t="s">
        <v>489</v>
      </c>
      <c r="E589" s="1343"/>
      <c r="F589" s="1344"/>
      <c r="G589" s="1345" t="s">
        <v>490</v>
      </c>
      <c r="H589" s="1346"/>
      <c r="I589" s="1347"/>
      <c r="J589" s="1339"/>
      <c r="K589" s="1339"/>
      <c r="L589" s="1339"/>
      <c r="M589" s="1339"/>
      <c r="N589" s="1339"/>
      <c r="O589" s="1339"/>
      <c r="P589" s="295"/>
      <c r="Q589" s="1339"/>
      <c r="R589" s="1337"/>
      <c r="S589" s="1339"/>
      <c r="T589" s="1339"/>
      <c r="U589" s="1341"/>
      <c r="V589" s="455">
        <f t="shared" ref="V589:V652" ca="1" si="195">IF(OFFSET(V589,1,1)=1,OFFSET(V589,0,-4),OFFSET(V589,1,0))</f>
        <v>1251.6500000000015</v>
      </c>
      <c r="W589" s="456">
        <f t="shared" ref="W589:W652" ca="1" si="196">IF(LEFT(_xlfn.FORMULATEXT(V589),3)="=SO",1,IF(COUNTA(A589:U589)=0,0,2))</f>
        <v>2</v>
      </c>
      <c r="X589" s="456">
        <f t="shared" ref="X589:X652" ca="1" si="197">IF(COUNTA(OFFSET(A588,1,0))-COUNTA(A588)=-1,0,1)</f>
        <v>1</v>
      </c>
      <c r="Y589" s="256"/>
      <c r="Z589" s="256"/>
      <c r="AA589" s="292"/>
      <c r="AB589" s="292"/>
      <c r="AC589" s="292"/>
    </row>
    <row r="590" spans="1:29" s="110" customFormat="1" ht="15.75" x14ac:dyDescent="0.2">
      <c r="A590" s="403"/>
      <c r="B590" s="322"/>
      <c r="C590" s="434" t="s">
        <v>516</v>
      </c>
      <c r="D590" s="417">
        <v>5</v>
      </c>
      <c r="E590" s="314" t="s">
        <v>518</v>
      </c>
      <c r="F590" s="418">
        <v>14.9</v>
      </c>
      <c r="G590" s="419">
        <v>6</v>
      </c>
      <c r="H590" s="316" t="s">
        <v>518</v>
      </c>
      <c r="I590" s="420">
        <v>10</v>
      </c>
      <c r="J590" s="491"/>
      <c r="K590" s="416"/>
      <c r="L590" s="433"/>
      <c r="M590" s="433"/>
      <c r="N590" s="328"/>
      <c r="O590" s="328"/>
      <c r="P590" s="328"/>
      <c r="Q590" s="334"/>
      <c r="R590" s="333"/>
      <c r="S590" s="331"/>
      <c r="T590" s="320">
        <v>8</v>
      </c>
      <c r="U590" s="335"/>
      <c r="V590" s="455">
        <f t="shared" ca="1" si="195"/>
        <v>1251.6500000000015</v>
      </c>
      <c r="W590" s="456">
        <f t="shared" ca="1" si="196"/>
        <v>2</v>
      </c>
      <c r="X590" s="456">
        <f t="shared" ca="1" si="197"/>
        <v>1</v>
      </c>
      <c r="Y590" s="492"/>
      <c r="Z590" s="492"/>
    </row>
    <row r="591" spans="1:29" s="111" customFormat="1" ht="25.5" x14ac:dyDescent="0.2">
      <c r="A591" s="288"/>
      <c r="B591" s="322"/>
      <c r="C591" s="312" t="s">
        <v>536</v>
      </c>
      <c r="D591" s="417">
        <v>5</v>
      </c>
      <c r="E591" s="314" t="s">
        <v>518</v>
      </c>
      <c r="F591" s="418">
        <v>14.9</v>
      </c>
      <c r="G591" s="419">
        <v>6</v>
      </c>
      <c r="H591" s="316" t="s">
        <v>518</v>
      </c>
      <c r="I591" s="420">
        <v>10</v>
      </c>
      <c r="J591" s="431">
        <v>2</v>
      </c>
      <c r="K591" s="421">
        <f>ABS((G591*20+I591)-(D591*20+F591))</f>
        <v>15.099999999999994</v>
      </c>
      <c r="L591" s="328"/>
      <c r="M591" s="328">
        <v>0.35</v>
      </c>
      <c r="N591" s="328"/>
      <c r="O591" s="493">
        <f>M591*K591*J591</f>
        <v>10.569999999999995</v>
      </c>
      <c r="P591" s="328"/>
      <c r="Q591" s="334"/>
      <c r="R591" s="333">
        <f t="shared" ref="R591:R603" si="198">O591</f>
        <v>10.569999999999995</v>
      </c>
      <c r="S591" s="331" t="str">
        <f t="shared" ref="S591:S603" si="199">$L$944</f>
        <v>m²</v>
      </c>
      <c r="T591" s="320">
        <v>9</v>
      </c>
      <c r="U591" s="424" t="s">
        <v>519</v>
      </c>
      <c r="V591" s="455">
        <f t="shared" ca="1" si="195"/>
        <v>1251.6500000000015</v>
      </c>
      <c r="W591" s="456">
        <f t="shared" ca="1" si="196"/>
        <v>2</v>
      </c>
      <c r="X591" s="456">
        <f t="shared" ca="1" si="197"/>
        <v>1</v>
      </c>
      <c r="Y591" s="250"/>
      <c r="Z591" s="250"/>
    </row>
    <row r="592" spans="1:29" s="111" customFormat="1" ht="25.5" x14ac:dyDescent="0.2">
      <c r="A592" s="288"/>
      <c r="B592" s="322"/>
      <c r="C592" s="312" t="s">
        <v>537</v>
      </c>
      <c r="D592" s="417">
        <v>5</v>
      </c>
      <c r="E592" s="314" t="s">
        <v>518</v>
      </c>
      <c r="F592" s="418">
        <v>14.9</v>
      </c>
      <c r="G592" s="419">
        <v>6</v>
      </c>
      <c r="H592" s="316" t="s">
        <v>518</v>
      </c>
      <c r="I592" s="420">
        <v>10</v>
      </c>
      <c r="J592" s="431">
        <f>ROUNDUP(K592/30,0)+1</f>
        <v>2</v>
      </c>
      <c r="K592" s="421">
        <f>ABS((G592*20+I592)-(D592*20+F592))</f>
        <v>15.099999999999994</v>
      </c>
      <c r="L592" s="328">
        <v>6</v>
      </c>
      <c r="M592" s="328">
        <v>0.25</v>
      </c>
      <c r="N592" s="328"/>
      <c r="O592" s="493">
        <f>M592*L592*J592</f>
        <v>3</v>
      </c>
      <c r="P592" s="328"/>
      <c r="Q592" s="334"/>
      <c r="R592" s="333">
        <f t="shared" si="198"/>
        <v>3</v>
      </c>
      <c r="S592" s="331" t="str">
        <f t="shared" si="199"/>
        <v>m²</v>
      </c>
      <c r="T592" s="320">
        <v>8</v>
      </c>
      <c r="U592" s="424" t="s">
        <v>519</v>
      </c>
      <c r="V592" s="455">
        <f t="shared" ca="1" si="195"/>
        <v>1251.6500000000015</v>
      </c>
      <c r="W592" s="456">
        <f t="shared" ca="1" si="196"/>
        <v>2</v>
      </c>
      <c r="X592" s="456">
        <f t="shared" ca="1" si="197"/>
        <v>1</v>
      </c>
      <c r="Y592" s="250"/>
      <c r="Z592" s="250"/>
    </row>
    <row r="593" spans="1:26" s="111" customFormat="1" ht="25.5" x14ac:dyDescent="0.2">
      <c r="A593" s="288"/>
      <c r="B593" s="322"/>
      <c r="C593" s="312" t="s">
        <v>538</v>
      </c>
      <c r="D593" s="417">
        <v>5</v>
      </c>
      <c r="E593" s="314" t="s">
        <v>518</v>
      </c>
      <c r="F593" s="418">
        <v>14.9</v>
      </c>
      <c r="G593" s="419">
        <v>6</v>
      </c>
      <c r="H593" s="316" t="s">
        <v>518</v>
      </c>
      <c r="I593" s="420">
        <v>10</v>
      </c>
      <c r="J593" s="431">
        <v>2</v>
      </c>
      <c r="K593" s="421">
        <f>ABS((G593*20+I593)-(D593*20+F593))</f>
        <v>15.099999999999994</v>
      </c>
      <c r="L593" s="328"/>
      <c r="M593" s="328">
        <v>0.25</v>
      </c>
      <c r="N593" s="328"/>
      <c r="O593" s="493">
        <f>M593*K593*J593</f>
        <v>7.5499999999999972</v>
      </c>
      <c r="P593" s="328"/>
      <c r="Q593" s="334"/>
      <c r="R593" s="333">
        <f t="shared" si="198"/>
        <v>7.5499999999999972</v>
      </c>
      <c r="S593" s="331" t="str">
        <f t="shared" si="199"/>
        <v>m²</v>
      </c>
      <c r="T593" s="320">
        <v>8</v>
      </c>
      <c r="U593" s="424" t="s">
        <v>519</v>
      </c>
      <c r="V593" s="455">
        <f t="shared" ca="1" si="195"/>
        <v>1251.6500000000015</v>
      </c>
      <c r="W593" s="456">
        <f t="shared" ca="1" si="196"/>
        <v>2</v>
      </c>
      <c r="X593" s="456">
        <f t="shared" ca="1" si="197"/>
        <v>1</v>
      </c>
      <c r="Y593" s="250"/>
      <c r="Z593" s="250"/>
    </row>
    <row r="594" spans="1:26" s="111" customFormat="1" ht="25.5" x14ac:dyDescent="0.2">
      <c r="A594" s="288"/>
      <c r="B594" s="322"/>
      <c r="C594" s="312" t="s">
        <v>539</v>
      </c>
      <c r="D594" s="417">
        <v>5</v>
      </c>
      <c r="E594" s="314" t="s">
        <v>518</v>
      </c>
      <c r="F594" s="418">
        <v>14.9</v>
      </c>
      <c r="G594" s="419">
        <v>6</v>
      </c>
      <c r="H594" s="316" t="s">
        <v>518</v>
      </c>
      <c r="I594" s="420">
        <v>10</v>
      </c>
      <c r="J594" s="431">
        <v>2</v>
      </c>
      <c r="K594" s="421">
        <f>ABS((G594*20+I594)-(D594*20+F594))</f>
        <v>15.099999999999994</v>
      </c>
      <c r="L594" s="328">
        <v>0.28299999999999997</v>
      </c>
      <c r="M594" s="328"/>
      <c r="N594" s="328"/>
      <c r="O594" s="493">
        <f>J594*K594*L594</f>
        <v>8.5465999999999962</v>
      </c>
      <c r="P594" s="328"/>
      <c r="Q594" s="334"/>
      <c r="R594" s="333">
        <f t="shared" si="198"/>
        <v>8.5465999999999962</v>
      </c>
      <c r="S594" s="331" t="str">
        <f t="shared" si="199"/>
        <v>m²</v>
      </c>
      <c r="T594" s="320">
        <v>8</v>
      </c>
      <c r="U594" s="424" t="s">
        <v>519</v>
      </c>
      <c r="V594" s="455">
        <f t="shared" ca="1" si="195"/>
        <v>1251.6500000000015</v>
      </c>
      <c r="W594" s="456">
        <f t="shared" ca="1" si="196"/>
        <v>2</v>
      </c>
      <c r="X594" s="456">
        <f t="shared" ca="1" si="197"/>
        <v>1</v>
      </c>
      <c r="Y594" s="250"/>
      <c r="Z594" s="250"/>
    </row>
    <row r="595" spans="1:26" s="111" customFormat="1" ht="25.5" x14ac:dyDescent="0.2">
      <c r="A595" s="288"/>
      <c r="B595" s="322"/>
      <c r="C595" s="312" t="s">
        <v>540</v>
      </c>
      <c r="D595" s="417">
        <v>5</v>
      </c>
      <c r="E595" s="314" t="s">
        <v>518</v>
      </c>
      <c r="F595" s="418">
        <v>14.9</v>
      </c>
      <c r="G595" s="419">
        <v>6</v>
      </c>
      <c r="H595" s="316" t="s">
        <v>518</v>
      </c>
      <c r="I595" s="420">
        <v>10</v>
      </c>
      <c r="J595" s="431">
        <f>(ROUNDUP(K595/30,0)+1)*2</f>
        <v>4</v>
      </c>
      <c r="K595" s="421">
        <f t="shared" ref="K595:K601" si="200">ABS((G595*20+I595)-(D595*20+F595))</f>
        <v>15.099999999999994</v>
      </c>
      <c r="L595" s="328"/>
      <c r="M595" s="328"/>
      <c r="N595" s="493">
        <f>(2.3*0.25)+(2*((0.2*0.2)/2))</f>
        <v>0.61499999999999999</v>
      </c>
      <c r="O595" s="493">
        <f>N595*J595</f>
        <v>2.46</v>
      </c>
      <c r="P595" s="328"/>
      <c r="Q595" s="334"/>
      <c r="R595" s="333">
        <f t="shared" si="198"/>
        <v>2.46</v>
      </c>
      <c r="S595" s="331" t="str">
        <f t="shared" si="199"/>
        <v>m²</v>
      </c>
      <c r="T595" s="320">
        <v>8</v>
      </c>
      <c r="U595" s="424" t="s">
        <v>519</v>
      </c>
      <c r="V595" s="455">
        <f t="shared" ca="1" si="195"/>
        <v>1251.6500000000015</v>
      </c>
      <c r="W595" s="456">
        <f t="shared" ca="1" si="196"/>
        <v>2</v>
      </c>
      <c r="X595" s="456">
        <f t="shared" ca="1" si="197"/>
        <v>1</v>
      </c>
      <c r="Y595" s="250"/>
      <c r="Z595" s="250"/>
    </row>
    <row r="596" spans="1:26" s="111" customFormat="1" ht="25.5" x14ac:dyDescent="0.2">
      <c r="A596" s="288"/>
      <c r="B596" s="322"/>
      <c r="C596" s="312" t="s">
        <v>541</v>
      </c>
      <c r="D596" s="417">
        <v>5</v>
      </c>
      <c r="E596" s="314" t="s">
        <v>518</v>
      </c>
      <c r="F596" s="418">
        <v>14.9</v>
      </c>
      <c r="G596" s="419">
        <v>6</v>
      </c>
      <c r="H596" s="316" t="s">
        <v>518</v>
      </c>
      <c r="I596" s="420">
        <v>10</v>
      </c>
      <c r="J596" s="431"/>
      <c r="K596" s="421">
        <f t="shared" si="200"/>
        <v>15.099999999999994</v>
      </c>
      <c r="L596" s="328">
        <v>1.9</v>
      </c>
      <c r="M596" s="328"/>
      <c r="N596" s="328"/>
      <c r="O596" s="493">
        <f>K596*L596</f>
        <v>28.689999999999987</v>
      </c>
      <c r="P596" s="328"/>
      <c r="Q596" s="334"/>
      <c r="R596" s="333">
        <f t="shared" si="198"/>
        <v>28.689999999999987</v>
      </c>
      <c r="S596" s="331" t="str">
        <f t="shared" si="199"/>
        <v>m²</v>
      </c>
      <c r="T596" s="320">
        <v>8</v>
      </c>
      <c r="U596" s="424" t="s">
        <v>519</v>
      </c>
      <c r="V596" s="455">
        <f t="shared" ca="1" si="195"/>
        <v>1251.6500000000015</v>
      </c>
      <c r="W596" s="456">
        <f t="shared" ca="1" si="196"/>
        <v>2</v>
      </c>
      <c r="X596" s="456">
        <f t="shared" ca="1" si="197"/>
        <v>1</v>
      </c>
      <c r="Y596" s="250"/>
      <c r="Z596" s="250"/>
    </row>
    <row r="597" spans="1:26" s="111" customFormat="1" ht="25.5" x14ac:dyDescent="0.2">
      <c r="A597" s="288"/>
      <c r="B597" s="322"/>
      <c r="C597" s="312" t="s">
        <v>542</v>
      </c>
      <c r="D597" s="417">
        <v>5</v>
      </c>
      <c r="E597" s="314" t="s">
        <v>518</v>
      </c>
      <c r="F597" s="418">
        <v>14.9</v>
      </c>
      <c r="G597" s="419">
        <v>6</v>
      </c>
      <c r="H597" s="316" t="s">
        <v>518</v>
      </c>
      <c r="I597" s="420">
        <v>10</v>
      </c>
      <c r="J597" s="431"/>
      <c r="K597" s="421">
        <f t="shared" si="200"/>
        <v>15.099999999999994</v>
      </c>
      <c r="L597" s="328">
        <v>2.2999999999999998</v>
      </c>
      <c r="M597" s="328"/>
      <c r="N597" s="328"/>
      <c r="O597" s="493">
        <f>K597*L597</f>
        <v>34.729999999999983</v>
      </c>
      <c r="P597" s="328"/>
      <c r="Q597" s="334"/>
      <c r="R597" s="333">
        <f t="shared" si="198"/>
        <v>34.729999999999983</v>
      </c>
      <c r="S597" s="331" t="str">
        <f t="shared" si="199"/>
        <v>m²</v>
      </c>
      <c r="T597" s="320">
        <v>8</v>
      </c>
      <c r="U597" s="424" t="s">
        <v>519</v>
      </c>
      <c r="V597" s="455">
        <f t="shared" ca="1" si="195"/>
        <v>1251.6500000000015</v>
      </c>
      <c r="W597" s="456">
        <f t="shared" ca="1" si="196"/>
        <v>2</v>
      </c>
      <c r="X597" s="456">
        <f t="shared" ca="1" si="197"/>
        <v>1</v>
      </c>
      <c r="Y597" s="250"/>
      <c r="Z597" s="250"/>
    </row>
    <row r="598" spans="1:26" s="111" customFormat="1" ht="25.5" x14ac:dyDescent="0.2">
      <c r="A598" s="288"/>
      <c r="B598" s="322"/>
      <c r="C598" s="312" t="s">
        <v>543</v>
      </c>
      <c r="D598" s="417">
        <v>5</v>
      </c>
      <c r="E598" s="314" t="s">
        <v>518</v>
      </c>
      <c r="F598" s="418">
        <v>14.9</v>
      </c>
      <c r="G598" s="419">
        <v>6</v>
      </c>
      <c r="H598" s="316" t="s">
        <v>518</v>
      </c>
      <c r="I598" s="420">
        <v>10</v>
      </c>
      <c r="J598" s="431"/>
      <c r="K598" s="421">
        <f t="shared" si="200"/>
        <v>15.099999999999994</v>
      </c>
      <c r="L598" s="328">
        <v>1.9</v>
      </c>
      <c r="M598" s="328"/>
      <c r="N598" s="328"/>
      <c r="O598" s="493">
        <f>K598*L598</f>
        <v>28.689999999999987</v>
      </c>
      <c r="P598" s="328"/>
      <c r="Q598" s="334"/>
      <c r="R598" s="333">
        <f t="shared" si="198"/>
        <v>28.689999999999987</v>
      </c>
      <c r="S598" s="331" t="str">
        <f t="shared" si="199"/>
        <v>m²</v>
      </c>
      <c r="T598" s="320">
        <v>8</v>
      </c>
      <c r="U598" s="424" t="s">
        <v>519</v>
      </c>
      <c r="V598" s="455">
        <f t="shared" ca="1" si="195"/>
        <v>1251.6500000000015</v>
      </c>
      <c r="W598" s="456">
        <f t="shared" ca="1" si="196"/>
        <v>2</v>
      </c>
      <c r="X598" s="456">
        <f t="shared" ca="1" si="197"/>
        <v>1</v>
      </c>
      <c r="Y598" s="250"/>
      <c r="Z598" s="250"/>
    </row>
    <row r="599" spans="1:26" s="111" customFormat="1" ht="25.5" x14ac:dyDescent="0.2">
      <c r="A599" s="288"/>
      <c r="B599" s="322"/>
      <c r="C599" s="312" t="s">
        <v>544</v>
      </c>
      <c r="D599" s="417">
        <v>5</v>
      </c>
      <c r="E599" s="314" t="s">
        <v>518</v>
      </c>
      <c r="F599" s="418">
        <v>14.9</v>
      </c>
      <c r="G599" s="419">
        <v>6</v>
      </c>
      <c r="H599" s="316" t="s">
        <v>518</v>
      </c>
      <c r="I599" s="420">
        <v>10</v>
      </c>
      <c r="J599" s="431"/>
      <c r="K599" s="421">
        <f t="shared" si="200"/>
        <v>15.099999999999994</v>
      </c>
      <c r="L599" s="328">
        <v>2.2999999999999998</v>
      </c>
      <c r="M599" s="328"/>
      <c r="N599" s="328"/>
      <c r="O599" s="493">
        <f>K599*L599</f>
        <v>34.729999999999983</v>
      </c>
      <c r="P599" s="328"/>
      <c r="Q599" s="334"/>
      <c r="R599" s="333">
        <f t="shared" si="198"/>
        <v>34.729999999999983</v>
      </c>
      <c r="S599" s="331" t="str">
        <f t="shared" si="199"/>
        <v>m²</v>
      </c>
      <c r="T599" s="320">
        <v>8</v>
      </c>
      <c r="U599" s="424" t="s">
        <v>519</v>
      </c>
      <c r="V599" s="455">
        <f t="shared" ca="1" si="195"/>
        <v>1251.6500000000015</v>
      </c>
      <c r="W599" s="456">
        <f t="shared" ca="1" si="196"/>
        <v>2</v>
      </c>
      <c r="X599" s="456">
        <f t="shared" ca="1" si="197"/>
        <v>1</v>
      </c>
      <c r="Y599" s="250"/>
      <c r="Z599" s="250"/>
    </row>
    <row r="600" spans="1:26" s="111" customFormat="1" ht="25.5" x14ac:dyDescent="0.2">
      <c r="A600" s="288"/>
      <c r="B600" s="322"/>
      <c r="C600" s="312" t="s">
        <v>545</v>
      </c>
      <c r="D600" s="417">
        <v>5</v>
      </c>
      <c r="E600" s="314" t="s">
        <v>518</v>
      </c>
      <c r="F600" s="418">
        <v>14.9</v>
      </c>
      <c r="G600" s="419">
        <v>6</v>
      </c>
      <c r="H600" s="316" t="s">
        <v>518</v>
      </c>
      <c r="I600" s="420">
        <v>10</v>
      </c>
      <c r="J600" s="431">
        <v>2</v>
      </c>
      <c r="K600" s="421">
        <f t="shared" si="200"/>
        <v>15.099999999999994</v>
      </c>
      <c r="L600" s="328">
        <v>0.28299999999999997</v>
      </c>
      <c r="M600" s="328"/>
      <c r="N600" s="328"/>
      <c r="O600" s="493">
        <f>J600*K600*L600</f>
        <v>8.5465999999999962</v>
      </c>
      <c r="P600" s="328"/>
      <c r="Q600" s="334"/>
      <c r="R600" s="333">
        <f t="shared" si="198"/>
        <v>8.5465999999999962</v>
      </c>
      <c r="S600" s="331" t="str">
        <f t="shared" si="199"/>
        <v>m²</v>
      </c>
      <c r="T600" s="320">
        <v>8</v>
      </c>
      <c r="U600" s="424" t="s">
        <v>519</v>
      </c>
      <c r="V600" s="455">
        <f t="shared" ca="1" si="195"/>
        <v>1251.6500000000015</v>
      </c>
      <c r="W600" s="456">
        <f t="shared" ca="1" si="196"/>
        <v>2</v>
      </c>
      <c r="X600" s="456">
        <f t="shared" ca="1" si="197"/>
        <v>1</v>
      </c>
      <c r="Y600" s="250"/>
      <c r="Z600" s="250"/>
    </row>
    <row r="601" spans="1:26" s="111" customFormat="1" ht="25.5" x14ac:dyDescent="0.2">
      <c r="A601" s="288"/>
      <c r="B601" s="322"/>
      <c r="C601" s="426" t="s">
        <v>546</v>
      </c>
      <c r="D601" s="417">
        <v>5</v>
      </c>
      <c r="E601" s="314" t="s">
        <v>518</v>
      </c>
      <c r="F601" s="418">
        <v>14.9</v>
      </c>
      <c r="G601" s="419">
        <v>6</v>
      </c>
      <c r="H601" s="316" t="s">
        <v>518</v>
      </c>
      <c r="I601" s="420">
        <v>10</v>
      </c>
      <c r="J601" s="431"/>
      <c r="K601" s="421">
        <f t="shared" si="200"/>
        <v>15.099999999999994</v>
      </c>
      <c r="L601" s="328">
        <v>6</v>
      </c>
      <c r="M601" s="328"/>
      <c r="N601" s="328"/>
      <c r="O601" s="493">
        <f>K601*L601</f>
        <v>90.599999999999966</v>
      </c>
      <c r="P601" s="328"/>
      <c r="Q601" s="334"/>
      <c r="R601" s="333">
        <f t="shared" si="198"/>
        <v>90.599999999999966</v>
      </c>
      <c r="S601" s="331" t="str">
        <f t="shared" si="199"/>
        <v>m²</v>
      </c>
      <c r="T601" s="320">
        <v>8</v>
      </c>
      <c r="U601" s="424" t="s">
        <v>519</v>
      </c>
      <c r="V601" s="455">
        <f t="shared" ca="1" si="195"/>
        <v>1251.6500000000015</v>
      </c>
      <c r="W601" s="456">
        <f t="shared" ca="1" si="196"/>
        <v>2</v>
      </c>
      <c r="X601" s="456">
        <f t="shared" ca="1" si="197"/>
        <v>1</v>
      </c>
      <c r="Y601" s="250"/>
      <c r="Z601" s="250"/>
    </row>
    <row r="602" spans="1:26" s="111" customFormat="1" ht="25.5" x14ac:dyDescent="0.2">
      <c r="A602" s="288"/>
      <c r="B602" s="322"/>
      <c r="C602" s="312" t="s">
        <v>547</v>
      </c>
      <c r="D602" s="417">
        <v>5</v>
      </c>
      <c r="E602" s="314" t="s">
        <v>518</v>
      </c>
      <c r="F602" s="418">
        <v>14.9</v>
      </c>
      <c r="G602" s="419">
        <v>6</v>
      </c>
      <c r="H602" s="316" t="s">
        <v>518</v>
      </c>
      <c r="I602" s="420">
        <v>10</v>
      </c>
      <c r="J602" s="431">
        <f>ROUNDUP(K602/20,0)+1</f>
        <v>2</v>
      </c>
      <c r="K602" s="421">
        <f>ABS((G602*20+I602)-(D602*20+F602))</f>
        <v>15.099999999999994</v>
      </c>
      <c r="L602" s="328">
        <v>6</v>
      </c>
      <c r="M602" s="328">
        <v>0.25</v>
      </c>
      <c r="N602" s="328"/>
      <c r="O602" s="493">
        <f>M602*L602*J602</f>
        <v>3</v>
      </c>
      <c r="P602" s="328"/>
      <c r="Q602" s="334"/>
      <c r="R602" s="333">
        <f t="shared" si="198"/>
        <v>3</v>
      </c>
      <c r="S602" s="331" t="str">
        <f t="shared" si="199"/>
        <v>m²</v>
      </c>
      <c r="T602" s="320">
        <v>8</v>
      </c>
      <c r="U602" s="424" t="s">
        <v>519</v>
      </c>
      <c r="V602" s="455">
        <f t="shared" ca="1" si="195"/>
        <v>1251.6500000000015</v>
      </c>
      <c r="W602" s="456">
        <f t="shared" ca="1" si="196"/>
        <v>2</v>
      </c>
      <c r="X602" s="456">
        <f t="shared" ca="1" si="197"/>
        <v>1</v>
      </c>
      <c r="Y602" s="250"/>
      <c r="Z602" s="250"/>
    </row>
    <row r="603" spans="1:26" s="111" customFormat="1" ht="25.5" x14ac:dyDescent="0.2">
      <c r="A603" s="288"/>
      <c r="B603" s="322"/>
      <c r="C603" s="312" t="s">
        <v>548</v>
      </c>
      <c r="D603" s="417">
        <v>5</v>
      </c>
      <c r="E603" s="314" t="s">
        <v>518</v>
      </c>
      <c r="F603" s="418">
        <v>14.9</v>
      </c>
      <c r="G603" s="419">
        <v>6</v>
      </c>
      <c r="H603" s="316" t="s">
        <v>518</v>
      </c>
      <c r="I603" s="420">
        <v>10</v>
      </c>
      <c r="J603" s="431">
        <v>2</v>
      </c>
      <c r="K603" s="421">
        <f>ABS((G603*20+I603)-(D603*20+F603))</f>
        <v>15.099999999999994</v>
      </c>
      <c r="L603" s="328"/>
      <c r="M603" s="328">
        <v>0.25</v>
      </c>
      <c r="N603" s="328"/>
      <c r="O603" s="493">
        <f>M603*K603*J603</f>
        <v>7.5499999999999972</v>
      </c>
      <c r="P603" s="328"/>
      <c r="Q603" s="334"/>
      <c r="R603" s="333">
        <f t="shared" si="198"/>
        <v>7.5499999999999972</v>
      </c>
      <c r="S603" s="331" t="str">
        <f t="shared" si="199"/>
        <v>m²</v>
      </c>
      <c r="T603" s="320">
        <v>8</v>
      </c>
      <c r="U603" s="424" t="s">
        <v>519</v>
      </c>
      <c r="V603" s="455">
        <f t="shared" ca="1" si="195"/>
        <v>1251.6500000000015</v>
      </c>
      <c r="W603" s="456">
        <f t="shared" ca="1" si="196"/>
        <v>2</v>
      </c>
      <c r="X603" s="456">
        <f t="shared" ca="1" si="197"/>
        <v>1</v>
      </c>
      <c r="Y603" s="250"/>
      <c r="Z603" s="250"/>
    </row>
    <row r="604" spans="1:26" s="111" customFormat="1" ht="15" x14ac:dyDescent="0.2">
      <c r="A604" s="288"/>
      <c r="B604" s="322"/>
      <c r="C604" s="312"/>
      <c r="D604" s="417"/>
      <c r="E604" s="314"/>
      <c r="F604" s="418"/>
      <c r="G604" s="419"/>
      <c r="H604" s="316"/>
      <c r="I604" s="420"/>
      <c r="J604" s="431"/>
      <c r="K604" s="421"/>
      <c r="L604" s="328"/>
      <c r="M604" s="328"/>
      <c r="N604" s="328"/>
      <c r="O604" s="493"/>
      <c r="P604" s="328"/>
      <c r="Q604" s="334"/>
      <c r="R604" s="333"/>
      <c r="S604" s="331"/>
      <c r="T604" s="320"/>
      <c r="U604" s="335"/>
      <c r="V604" s="455">
        <f t="shared" ca="1" si="195"/>
        <v>1251.6500000000015</v>
      </c>
      <c r="W604" s="456">
        <f t="shared" ca="1" si="196"/>
        <v>0</v>
      </c>
      <c r="X604" s="456">
        <f t="shared" ca="1" si="197"/>
        <v>1</v>
      </c>
      <c r="Y604" s="250"/>
      <c r="Z604" s="250"/>
    </row>
    <row r="605" spans="1:26" s="110" customFormat="1" ht="15.75" x14ac:dyDescent="0.2">
      <c r="A605" s="403"/>
      <c r="B605" s="322"/>
      <c r="C605" s="434" t="s">
        <v>525</v>
      </c>
      <c r="D605" s="417">
        <v>6</v>
      </c>
      <c r="E605" s="314" t="s">
        <v>518</v>
      </c>
      <c r="F605" s="418">
        <v>10</v>
      </c>
      <c r="G605" s="419">
        <v>12</v>
      </c>
      <c r="H605" s="316" t="s">
        <v>518</v>
      </c>
      <c r="I605" s="420">
        <v>6.42</v>
      </c>
      <c r="J605" s="431"/>
      <c r="K605" s="421"/>
      <c r="L605" s="433"/>
      <c r="M605" s="433"/>
      <c r="N605" s="328"/>
      <c r="O605" s="328"/>
      <c r="P605" s="328"/>
      <c r="Q605" s="334"/>
      <c r="R605" s="333"/>
      <c r="S605" s="331"/>
      <c r="T605" s="320">
        <v>8</v>
      </c>
      <c r="U605" s="335"/>
      <c r="V605" s="455">
        <f t="shared" ca="1" si="195"/>
        <v>1251.6500000000015</v>
      </c>
      <c r="W605" s="456">
        <f t="shared" ca="1" si="196"/>
        <v>2</v>
      </c>
      <c r="X605" s="456">
        <f t="shared" ca="1" si="197"/>
        <v>1</v>
      </c>
      <c r="Y605" s="492"/>
      <c r="Z605" s="492"/>
    </row>
    <row r="606" spans="1:26" s="111" customFormat="1" ht="25.5" x14ac:dyDescent="0.2">
      <c r="A606" s="288"/>
      <c r="B606" s="322"/>
      <c r="C606" s="312" t="s">
        <v>536</v>
      </c>
      <c r="D606" s="417">
        <v>6</v>
      </c>
      <c r="E606" s="314" t="s">
        <v>518</v>
      </c>
      <c r="F606" s="418">
        <v>10</v>
      </c>
      <c r="G606" s="419">
        <v>12</v>
      </c>
      <c r="H606" s="316" t="s">
        <v>518</v>
      </c>
      <c r="I606" s="420">
        <v>6.42</v>
      </c>
      <c r="J606" s="431">
        <v>2</v>
      </c>
      <c r="K606" s="421">
        <f t="shared" ref="K606:K614" si="201">ABS((G606*20+I606)-(D606*20+F606))</f>
        <v>116.41999999999999</v>
      </c>
      <c r="L606" s="328"/>
      <c r="M606" s="328">
        <v>0.35</v>
      </c>
      <c r="N606" s="328"/>
      <c r="O606" s="493">
        <f>M606*K606*J606</f>
        <v>81.493999999999986</v>
      </c>
      <c r="P606" s="328"/>
      <c r="Q606" s="334"/>
      <c r="R606" s="333">
        <f t="shared" ref="R606:R614" si="202">O606</f>
        <v>81.493999999999986</v>
      </c>
      <c r="S606" s="331" t="str">
        <f t="shared" ref="S606:S614" si="203">$L$944</f>
        <v>m²</v>
      </c>
      <c r="T606" s="320">
        <v>9</v>
      </c>
      <c r="U606" s="424" t="s">
        <v>519</v>
      </c>
      <c r="V606" s="455">
        <f t="shared" ca="1" si="195"/>
        <v>1251.6500000000015</v>
      </c>
      <c r="W606" s="456">
        <f t="shared" ca="1" si="196"/>
        <v>2</v>
      </c>
      <c r="X606" s="456">
        <f t="shared" ca="1" si="197"/>
        <v>1</v>
      </c>
      <c r="Y606" s="250"/>
      <c r="Z606" s="250"/>
    </row>
    <row r="607" spans="1:26" s="111" customFormat="1" ht="25.5" x14ac:dyDescent="0.2">
      <c r="A607" s="288"/>
      <c r="B607" s="322"/>
      <c r="C607" s="312" t="s">
        <v>537</v>
      </c>
      <c r="D607" s="417">
        <v>6</v>
      </c>
      <c r="E607" s="314" t="s">
        <v>518</v>
      </c>
      <c r="F607" s="418">
        <v>10</v>
      </c>
      <c r="G607" s="419">
        <v>12</v>
      </c>
      <c r="H607" s="316" t="s">
        <v>518</v>
      </c>
      <c r="I607" s="420">
        <v>6.42</v>
      </c>
      <c r="J607" s="431">
        <f>ROUNDUP(K607/30,0)+1</f>
        <v>5</v>
      </c>
      <c r="K607" s="421">
        <f t="shared" si="201"/>
        <v>116.41999999999999</v>
      </c>
      <c r="L607" s="328">
        <v>8</v>
      </c>
      <c r="M607" s="328">
        <v>0.25</v>
      </c>
      <c r="N607" s="328"/>
      <c r="O607" s="493">
        <f>M607*L607*J607</f>
        <v>10</v>
      </c>
      <c r="P607" s="328"/>
      <c r="Q607" s="334"/>
      <c r="R607" s="333">
        <f t="shared" si="202"/>
        <v>10</v>
      </c>
      <c r="S607" s="331" t="str">
        <f t="shared" si="203"/>
        <v>m²</v>
      </c>
      <c r="T607" s="320">
        <v>8</v>
      </c>
      <c r="U607" s="424" t="s">
        <v>519</v>
      </c>
      <c r="V607" s="455">
        <f t="shared" ca="1" si="195"/>
        <v>1251.6500000000015</v>
      </c>
      <c r="W607" s="456">
        <f t="shared" ca="1" si="196"/>
        <v>2</v>
      </c>
      <c r="X607" s="456">
        <f t="shared" ca="1" si="197"/>
        <v>1</v>
      </c>
      <c r="Y607" s="250"/>
      <c r="Z607" s="250"/>
    </row>
    <row r="608" spans="1:26" s="111" customFormat="1" ht="25.5" x14ac:dyDescent="0.2">
      <c r="A608" s="288"/>
      <c r="B608" s="322"/>
      <c r="C608" s="312" t="s">
        <v>538</v>
      </c>
      <c r="D608" s="417">
        <v>6</v>
      </c>
      <c r="E608" s="314" t="s">
        <v>518</v>
      </c>
      <c r="F608" s="418">
        <v>10</v>
      </c>
      <c r="G608" s="419">
        <v>12</v>
      </c>
      <c r="H608" s="316" t="s">
        <v>518</v>
      </c>
      <c r="I608" s="420">
        <v>6.42</v>
      </c>
      <c r="J608" s="431">
        <v>2</v>
      </c>
      <c r="K608" s="421">
        <f t="shared" si="201"/>
        <v>116.41999999999999</v>
      </c>
      <c r="L608" s="328"/>
      <c r="M608" s="328">
        <v>0.25</v>
      </c>
      <c r="N608" s="328"/>
      <c r="O608" s="493">
        <f>M608*K608*J608</f>
        <v>58.209999999999994</v>
      </c>
      <c r="P608" s="328"/>
      <c r="Q608" s="334"/>
      <c r="R608" s="333">
        <f t="shared" si="202"/>
        <v>58.209999999999994</v>
      </c>
      <c r="S608" s="331" t="str">
        <f t="shared" si="203"/>
        <v>m²</v>
      </c>
      <c r="T608" s="320">
        <v>8</v>
      </c>
      <c r="U608" s="424" t="s">
        <v>519</v>
      </c>
      <c r="V608" s="455">
        <f t="shared" ca="1" si="195"/>
        <v>1251.6500000000015</v>
      </c>
      <c r="W608" s="456">
        <f t="shared" ca="1" si="196"/>
        <v>2</v>
      </c>
      <c r="X608" s="456">
        <f t="shared" ca="1" si="197"/>
        <v>1</v>
      </c>
      <c r="Y608" s="250"/>
      <c r="Z608" s="250"/>
    </row>
    <row r="609" spans="1:26" s="111" customFormat="1" ht="25.5" x14ac:dyDescent="0.2">
      <c r="A609" s="288"/>
      <c r="B609" s="322"/>
      <c r="C609" s="312" t="s">
        <v>539</v>
      </c>
      <c r="D609" s="417">
        <v>6</v>
      </c>
      <c r="E609" s="314" t="s">
        <v>518</v>
      </c>
      <c r="F609" s="418">
        <v>10</v>
      </c>
      <c r="G609" s="419">
        <v>12</v>
      </c>
      <c r="H609" s="316" t="s">
        <v>518</v>
      </c>
      <c r="I609" s="420">
        <v>6.42</v>
      </c>
      <c r="J609" s="431">
        <v>2</v>
      </c>
      <c r="K609" s="421">
        <f t="shared" si="201"/>
        <v>116.41999999999999</v>
      </c>
      <c r="L609" s="328">
        <v>0.28299999999999997</v>
      </c>
      <c r="M609" s="328"/>
      <c r="N609" s="328"/>
      <c r="O609" s="493">
        <f>J609*K609*L609</f>
        <v>65.893719999999988</v>
      </c>
      <c r="P609" s="328"/>
      <c r="Q609" s="334"/>
      <c r="R609" s="333">
        <f t="shared" si="202"/>
        <v>65.893719999999988</v>
      </c>
      <c r="S609" s="331" t="str">
        <f t="shared" si="203"/>
        <v>m²</v>
      </c>
      <c r="T609" s="320">
        <v>8</v>
      </c>
      <c r="U609" s="424" t="s">
        <v>519</v>
      </c>
      <c r="V609" s="455">
        <f t="shared" ca="1" si="195"/>
        <v>1251.6500000000015</v>
      </c>
      <c r="W609" s="456">
        <f t="shared" ca="1" si="196"/>
        <v>2</v>
      </c>
      <c r="X609" s="456">
        <f t="shared" ca="1" si="197"/>
        <v>1</v>
      </c>
      <c r="Y609" s="250"/>
      <c r="Z609" s="250"/>
    </row>
    <row r="610" spans="1:26" s="111" customFormat="1" ht="25.5" x14ac:dyDescent="0.2">
      <c r="A610" s="288"/>
      <c r="B610" s="322"/>
      <c r="C610" s="312" t="s">
        <v>540</v>
      </c>
      <c r="D610" s="417">
        <v>6</v>
      </c>
      <c r="E610" s="314" t="s">
        <v>518</v>
      </c>
      <c r="F610" s="418">
        <v>10</v>
      </c>
      <c r="G610" s="419">
        <v>12</v>
      </c>
      <c r="H610" s="316" t="s">
        <v>518</v>
      </c>
      <c r="I610" s="420">
        <v>6.42</v>
      </c>
      <c r="J610" s="431">
        <f>(ROUNDUP(K610/30,0)+1)*2</f>
        <v>10</v>
      </c>
      <c r="K610" s="421">
        <f t="shared" si="201"/>
        <v>116.41999999999999</v>
      </c>
      <c r="L610" s="328"/>
      <c r="M610" s="328"/>
      <c r="N610" s="493">
        <f>(2.3*0.25)+((0.2*0.2)/2)</f>
        <v>0.59499999999999997</v>
      </c>
      <c r="O610" s="493">
        <f>N610*J610</f>
        <v>5.9499999999999993</v>
      </c>
      <c r="P610" s="328"/>
      <c r="Q610" s="334"/>
      <c r="R610" s="333">
        <f t="shared" si="202"/>
        <v>5.9499999999999993</v>
      </c>
      <c r="S610" s="331" t="str">
        <f t="shared" si="203"/>
        <v>m²</v>
      </c>
      <c r="T610" s="320">
        <v>8</v>
      </c>
      <c r="U610" s="424" t="s">
        <v>519</v>
      </c>
      <c r="V610" s="455">
        <f t="shared" ca="1" si="195"/>
        <v>1251.6500000000015</v>
      </c>
      <c r="W610" s="456">
        <f t="shared" ca="1" si="196"/>
        <v>2</v>
      </c>
      <c r="X610" s="456">
        <f t="shared" ca="1" si="197"/>
        <v>1</v>
      </c>
      <c r="Y610" s="250"/>
      <c r="Z610" s="250"/>
    </row>
    <row r="611" spans="1:26" s="111" customFormat="1" ht="25.5" x14ac:dyDescent="0.2">
      <c r="A611" s="288"/>
      <c r="B611" s="322"/>
      <c r="C611" s="312" t="s">
        <v>541</v>
      </c>
      <c r="D611" s="417">
        <v>6</v>
      </c>
      <c r="E611" s="314" t="s">
        <v>518</v>
      </c>
      <c r="F611" s="418">
        <v>10</v>
      </c>
      <c r="G611" s="419">
        <v>12</v>
      </c>
      <c r="H611" s="316" t="s">
        <v>518</v>
      </c>
      <c r="I611" s="420">
        <v>6.42</v>
      </c>
      <c r="J611" s="431"/>
      <c r="K611" s="421">
        <f t="shared" si="201"/>
        <v>116.41999999999999</v>
      </c>
      <c r="L611" s="328">
        <v>2.1</v>
      </c>
      <c r="M611" s="328"/>
      <c r="N611" s="328"/>
      <c r="O611" s="493">
        <f>K611*L611</f>
        <v>244.48199999999997</v>
      </c>
      <c r="P611" s="328"/>
      <c r="Q611" s="334"/>
      <c r="R611" s="333">
        <f t="shared" si="202"/>
        <v>244.48199999999997</v>
      </c>
      <c r="S611" s="331" t="str">
        <f t="shared" si="203"/>
        <v>m²</v>
      </c>
      <c r="T611" s="320">
        <v>8</v>
      </c>
      <c r="U611" s="424" t="s">
        <v>519</v>
      </c>
      <c r="V611" s="455">
        <f t="shared" ca="1" si="195"/>
        <v>1251.6500000000015</v>
      </c>
      <c r="W611" s="456">
        <f t="shared" ca="1" si="196"/>
        <v>2</v>
      </c>
      <c r="X611" s="456">
        <f t="shared" ca="1" si="197"/>
        <v>1</v>
      </c>
      <c r="Y611" s="250"/>
      <c r="Z611" s="250"/>
    </row>
    <row r="612" spans="1:26" s="111" customFormat="1" ht="25.5" x14ac:dyDescent="0.2">
      <c r="A612" s="288"/>
      <c r="B612" s="322"/>
      <c r="C612" s="312" t="s">
        <v>542</v>
      </c>
      <c r="D612" s="417">
        <v>6</v>
      </c>
      <c r="E612" s="314" t="s">
        <v>518</v>
      </c>
      <c r="F612" s="418">
        <v>10</v>
      </c>
      <c r="G612" s="419">
        <v>12</v>
      </c>
      <c r="H612" s="316" t="s">
        <v>518</v>
      </c>
      <c r="I612" s="420">
        <v>6.42</v>
      </c>
      <c r="J612" s="431"/>
      <c r="K612" s="421">
        <f t="shared" si="201"/>
        <v>116.41999999999999</v>
      </c>
      <c r="L612" s="328">
        <v>2.2999999999999998</v>
      </c>
      <c r="M612" s="328"/>
      <c r="N612" s="328"/>
      <c r="O612" s="493">
        <f>K612*L612</f>
        <v>267.76599999999996</v>
      </c>
      <c r="P612" s="328"/>
      <c r="Q612" s="334"/>
      <c r="R612" s="333">
        <f t="shared" si="202"/>
        <v>267.76599999999996</v>
      </c>
      <c r="S612" s="331" t="str">
        <f t="shared" si="203"/>
        <v>m²</v>
      </c>
      <c r="T612" s="320">
        <v>8</v>
      </c>
      <c r="U612" s="424" t="s">
        <v>519</v>
      </c>
      <c r="V612" s="455">
        <f t="shared" ca="1" si="195"/>
        <v>1251.6500000000015</v>
      </c>
      <c r="W612" s="456">
        <f t="shared" ca="1" si="196"/>
        <v>2</v>
      </c>
      <c r="X612" s="456">
        <f t="shared" ca="1" si="197"/>
        <v>1</v>
      </c>
      <c r="Y612" s="250"/>
      <c r="Z612" s="250"/>
    </row>
    <row r="613" spans="1:26" s="111" customFormat="1" ht="25.5" x14ac:dyDescent="0.2">
      <c r="A613" s="288"/>
      <c r="B613" s="322"/>
      <c r="C613" s="312" t="s">
        <v>543</v>
      </c>
      <c r="D613" s="417">
        <v>6</v>
      </c>
      <c r="E613" s="314" t="s">
        <v>518</v>
      </c>
      <c r="F613" s="418">
        <v>10</v>
      </c>
      <c r="G613" s="419">
        <v>12</v>
      </c>
      <c r="H613" s="316" t="s">
        <v>518</v>
      </c>
      <c r="I613" s="420">
        <v>6.42</v>
      </c>
      <c r="J613" s="431"/>
      <c r="K613" s="421">
        <f t="shared" si="201"/>
        <v>116.41999999999999</v>
      </c>
      <c r="L613" s="328">
        <v>2.1</v>
      </c>
      <c r="M613" s="328"/>
      <c r="N613" s="328"/>
      <c r="O613" s="493">
        <f>K613*L613</f>
        <v>244.48199999999997</v>
      </c>
      <c r="P613" s="328"/>
      <c r="Q613" s="334"/>
      <c r="R613" s="333">
        <f t="shared" si="202"/>
        <v>244.48199999999997</v>
      </c>
      <c r="S613" s="331" t="str">
        <f t="shared" si="203"/>
        <v>m²</v>
      </c>
      <c r="T613" s="320">
        <v>8</v>
      </c>
      <c r="U613" s="424" t="s">
        <v>519</v>
      </c>
      <c r="V613" s="455">
        <f t="shared" ca="1" si="195"/>
        <v>1251.6500000000015</v>
      </c>
      <c r="W613" s="456">
        <f t="shared" ca="1" si="196"/>
        <v>2</v>
      </c>
      <c r="X613" s="456">
        <f t="shared" ca="1" si="197"/>
        <v>1</v>
      </c>
      <c r="Y613" s="250"/>
      <c r="Z613" s="250"/>
    </row>
    <row r="614" spans="1:26" s="111" customFormat="1" ht="25.5" x14ac:dyDescent="0.2">
      <c r="A614" s="288"/>
      <c r="B614" s="322"/>
      <c r="C614" s="312" t="s">
        <v>544</v>
      </c>
      <c r="D614" s="417">
        <v>6</v>
      </c>
      <c r="E614" s="314" t="s">
        <v>518</v>
      </c>
      <c r="F614" s="418">
        <v>10</v>
      </c>
      <c r="G614" s="419">
        <v>12</v>
      </c>
      <c r="H614" s="316" t="s">
        <v>518</v>
      </c>
      <c r="I614" s="420">
        <v>6.42</v>
      </c>
      <c r="J614" s="431"/>
      <c r="K614" s="421">
        <f t="shared" si="201"/>
        <v>116.41999999999999</v>
      </c>
      <c r="L614" s="328">
        <v>2.2999999999999998</v>
      </c>
      <c r="M614" s="328"/>
      <c r="N614" s="328"/>
      <c r="O614" s="493">
        <f>K614*L614</f>
        <v>267.76599999999996</v>
      </c>
      <c r="P614" s="328"/>
      <c r="Q614" s="334"/>
      <c r="R614" s="333">
        <f t="shared" si="202"/>
        <v>267.76599999999996</v>
      </c>
      <c r="S614" s="331" t="str">
        <f t="shared" si="203"/>
        <v>m²</v>
      </c>
      <c r="T614" s="320">
        <v>8</v>
      </c>
      <c r="U614" s="424" t="s">
        <v>519</v>
      </c>
      <c r="V614" s="455">
        <f t="shared" ca="1" si="195"/>
        <v>1251.6500000000015</v>
      </c>
      <c r="W614" s="456">
        <f t="shared" ca="1" si="196"/>
        <v>2</v>
      </c>
      <c r="X614" s="456">
        <f t="shared" ca="1" si="197"/>
        <v>1</v>
      </c>
      <c r="Y614" s="250"/>
      <c r="Z614" s="250"/>
    </row>
    <row r="615" spans="1:26" s="111" customFormat="1" ht="15" x14ac:dyDescent="0.2">
      <c r="A615" s="288"/>
      <c r="B615" s="322"/>
      <c r="C615" s="312"/>
      <c r="D615" s="417"/>
      <c r="E615" s="314"/>
      <c r="F615" s="418"/>
      <c r="G615" s="419"/>
      <c r="H615" s="316"/>
      <c r="I615" s="420"/>
      <c r="J615" s="431"/>
      <c r="K615" s="421"/>
      <c r="L615" s="328"/>
      <c r="M615" s="328"/>
      <c r="N615" s="328"/>
      <c r="O615" s="493"/>
      <c r="P615" s="328"/>
      <c r="Q615" s="334"/>
      <c r="R615" s="333"/>
      <c r="S615" s="331"/>
      <c r="T615" s="320"/>
      <c r="U615" s="335"/>
      <c r="V615" s="455">
        <f t="shared" ca="1" si="195"/>
        <v>1251.6500000000015</v>
      </c>
      <c r="W615" s="456">
        <f t="shared" ca="1" si="196"/>
        <v>0</v>
      </c>
      <c r="X615" s="456">
        <f t="shared" ca="1" si="197"/>
        <v>1</v>
      </c>
      <c r="Y615" s="250"/>
      <c r="Z615" s="250"/>
    </row>
    <row r="616" spans="1:26" s="110" customFormat="1" ht="15.75" x14ac:dyDescent="0.2">
      <c r="A616" s="403"/>
      <c r="B616" s="322"/>
      <c r="C616" s="434" t="s">
        <v>527</v>
      </c>
      <c r="D616" s="417"/>
      <c r="E616" s="314"/>
      <c r="F616" s="418"/>
      <c r="G616" s="419"/>
      <c r="H616" s="316"/>
      <c r="I616" s="420"/>
      <c r="J616" s="431"/>
      <c r="K616" s="433"/>
      <c r="L616" s="433"/>
      <c r="M616" s="433"/>
      <c r="N616" s="328"/>
      <c r="O616" s="328"/>
      <c r="P616" s="328"/>
      <c r="Q616" s="334"/>
      <c r="R616" s="333"/>
      <c r="S616" s="331"/>
      <c r="T616" s="320">
        <v>9</v>
      </c>
      <c r="U616" s="335"/>
      <c r="V616" s="455">
        <f t="shared" ca="1" si="195"/>
        <v>1251.6500000000015</v>
      </c>
      <c r="W616" s="456">
        <f t="shared" ca="1" si="196"/>
        <v>2</v>
      </c>
      <c r="X616" s="456">
        <f t="shared" ca="1" si="197"/>
        <v>1</v>
      </c>
      <c r="Y616" s="492"/>
      <c r="Z616" s="492"/>
    </row>
    <row r="617" spans="1:26" s="111" customFormat="1" ht="25.5" x14ac:dyDescent="0.2">
      <c r="A617" s="288"/>
      <c r="B617" s="322"/>
      <c r="C617" s="312" t="s">
        <v>536</v>
      </c>
      <c r="D617" s="417">
        <v>12</v>
      </c>
      <c r="E617" s="314" t="s">
        <v>518</v>
      </c>
      <c r="F617" s="418">
        <v>6.42</v>
      </c>
      <c r="G617" s="419">
        <v>17</v>
      </c>
      <c r="H617" s="316" t="s">
        <v>518</v>
      </c>
      <c r="I617" s="420">
        <v>4.42</v>
      </c>
      <c r="J617" s="431">
        <v>2</v>
      </c>
      <c r="K617" s="421">
        <f t="shared" ref="K617:K625" si="204">ABS((G617*20+I617)-(D617*20+F617))</f>
        <v>98.000000000000028</v>
      </c>
      <c r="L617" s="328"/>
      <c r="M617" s="328">
        <v>0.35</v>
      </c>
      <c r="N617" s="328"/>
      <c r="O617" s="493">
        <f>M617*K617*J617</f>
        <v>68.600000000000009</v>
      </c>
      <c r="P617" s="328"/>
      <c r="Q617" s="334"/>
      <c r="R617" s="333">
        <f t="shared" ref="R617:R625" si="205">O617</f>
        <v>68.600000000000009</v>
      </c>
      <c r="S617" s="331" t="str">
        <f t="shared" ref="S617:S625" si="206">$L$944</f>
        <v>m²</v>
      </c>
      <c r="T617" s="320">
        <v>9</v>
      </c>
      <c r="U617" s="424" t="s">
        <v>519</v>
      </c>
      <c r="V617" s="455">
        <f t="shared" ca="1" si="195"/>
        <v>1251.6500000000015</v>
      </c>
      <c r="W617" s="456">
        <f t="shared" ca="1" si="196"/>
        <v>2</v>
      </c>
      <c r="X617" s="456">
        <f t="shared" ca="1" si="197"/>
        <v>1</v>
      </c>
      <c r="Y617" s="250"/>
      <c r="Z617" s="250"/>
    </row>
    <row r="618" spans="1:26" s="111" customFormat="1" ht="25.5" x14ac:dyDescent="0.2">
      <c r="A618" s="288"/>
      <c r="B618" s="322"/>
      <c r="C618" s="312" t="s">
        <v>537</v>
      </c>
      <c r="D618" s="417">
        <v>12</v>
      </c>
      <c r="E618" s="314" t="s">
        <v>518</v>
      </c>
      <c r="F618" s="418">
        <v>6.42</v>
      </c>
      <c r="G618" s="419">
        <v>17</v>
      </c>
      <c r="H618" s="316" t="s">
        <v>518</v>
      </c>
      <c r="I618" s="420">
        <v>4.42</v>
      </c>
      <c r="J618" s="431">
        <f>ROUNDUP(K618/30,0)+1</f>
        <v>5</v>
      </c>
      <c r="K618" s="421">
        <f t="shared" si="204"/>
        <v>98.000000000000028</v>
      </c>
      <c r="L618" s="328">
        <v>10</v>
      </c>
      <c r="M618" s="328">
        <v>0.25</v>
      </c>
      <c r="N618" s="328"/>
      <c r="O618" s="493">
        <f>M618*L618*J618</f>
        <v>12.5</v>
      </c>
      <c r="P618" s="328"/>
      <c r="Q618" s="334"/>
      <c r="R618" s="333">
        <f t="shared" si="205"/>
        <v>12.5</v>
      </c>
      <c r="S618" s="331" t="str">
        <f t="shared" si="206"/>
        <v>m²</v>
      </c>
      <c r="T618" s="320">
        <v>9</v>
      </c>
      <c r="U618" s="424" t="s">
        <v>519</v>
      </c>
      <c r="V618" s="455">
        <f t="shared" ca="1" si="195"/>
        <v>1251.6500000000015</v>
      </c>
      <c r="W618" s="456">
        <f t="shared" ca="1" si="196"/>
        <v>2</v>
      </c>
      <c r="X618" s="456">
        <f t="shared" ca="1" si="197"/>
        <v>1</v>
      </c>
      <c r="Y618" s="250"/>
      <c r="Z618" s="250"/>
    </row>
    <row r="619" spans="1:26" s="111" customFormat="1" ht="25.5" x14ac:dyDescent="0.2">
      <c r="A619" s="288"/>
      <c r="B619" s="322"/>
      <c r="C619" s="312" t="s">
        <v>538</v>
      </c>
      <c r="D619" s="417">
        <v>12</v>
      </c>
      <c r="E619" s="314" t="s">
        <v>518</v>
      </c>
      <c r="F619" s="418">
        <v>6.42</v>
      </c>
      <c r="G619" s="419">
        <v>17</v>
      </c>
      <c r="H619" s="316" t="s">
        <v>518</v>
      </c>
      <c r="I619" s="420">
        <v>4.42</v>
      </c>
      <c r="J619" s="431">
        <v>2</v>
      </c>
      <c r="K619" s="421">
        <f t="shared" si="204"/>
        <v>98.000000000000028</v>
      </c>
      <c r="L619" s="328"/>
      <c r="M619" s="328">
        <v>0.25</v>
      </c>
      <c r="N619" s="328"/>
      <c r="O619" s="493">
        <f>M619*K619*J619</f>
        <v>49.000000000000014</v>
      </c>
      <c r="P619" s="328"/>
      <c r="Q619" s="334"/>
      <c r="R619" s="333">
        <f t="shared" si="205"/>
        <v>49.000000000000014</v>
      </c>
      <c r="S619" s="331" t="str">
        <f t="shared" si="206"/>
        <v>m²</v>
      </c>
      <c r="T619" s="320">
        <v>9</v>
      </c>
      <c r="U619" s="424" t="s">
        <v>519</v>
      </c>
      <c r="V619" s="455">
        <f t="shared" ca="1" si="195"/>
        <v>1251.6500000000015</v>
      </c>
      <c r="W619" s="456">
        <f t="shared" ca="1" si="196"/>
        <v>2</v>
      </c>
      <c r="X619" s="456">
        <f t="shared" ca="1" si="197"/>
        <v>1</v>
      </c>
      <c r="Y619" s="250"/>
      <c r="Z619" s="250"/>
    </row>
    <row r="620" spans="1:26" s="111" customFormat="1" ht="25.5" x14ac:dyDescent="0.2">
      <c r="A620" s="288"/>
      <c r="B620" s="322"/>
      <c r="C620" s="312" t="s">
        <v>539</v>
      </c>
      <c r="D620" s="417">
        <v>12</v>
      </c>
      <c r="E620" s="314" t="s">
        <v>518</v>
      </c>
      <c r="F620" s="418">
        <v>6.42</v>
      </c>
      <c r="G620" s="419">
        <v>17</v>
      </c>
      <c r="H620" s="316" t="s">
        <v>518</v>
      </c>
      <c r="I620" s="420">
        <v>4.42</v>
      </c>
      <c r="J620" s="431">
        <v>2</v>
      </c>
      <c r="K620" s="421">
        <f t="shared" si="204"/>
        <v>98.000000000000028</v>
      </c>
      <c r="L620" s="328">
        <v>0.28299999999999997</v>
      </c>
      <c r="M620" s="328"/>
      <c r="N620" s="328"/>
      <c r="O620" s="493">
        <f>J620*K620*L620</f>
        <v>55.468000000000011</v>
      </c>
      <c r="P620" s="328"/>
      <c r="Q620" s="334"/>
      <c r="R620" s="333">
        <f t="shared" si="205"/>
        <v>55.468000000000011</v>
      </c>
      <c r="S620" s="331" t="str">
        <f t="shared" si="206"/>
        <v>m²</v>
      </c>
      <c r="T620" s="320">
        <v>9</v>
      </c>
      <c r="U620" s="424" t="s">
        <v>519</v>
      </c>
      <c r="V620" s="455">
        <f t="shared" ca="1" si="195"/>
        <v>1251.6500000000015</v>
      </c>
      <c r="W620" s="456">
        <f t="shared" ca="1" si="196"/>
        <v>2</v>
      </c>
      <c r="X620" s="456">
        <f t="shared" ca="1" si="197"/>
        <v>1</v>
      </c>
      <c r="Y620" s="250"/>
      <c r="Z620" s="250"/>
    </row>
    <row r="621" spans="1:26" s="111" customFormat="1" ht="25.5" x14ac:dyDescent="0.2">
      <c r="A621" s="288"/>
      <c r="B621" s="322"/>
      <c r="C621" s="312" t="s">
        <v>540</v>
      </c>
      <c r="D621" s="417">
        <v>12</v>
      </c>
      <c r="E621" s="314" t="s">
        <v>518</v>
      </c>
      <c r="F621" s="418">
        <v>6.42</v>
      </c>
      <c r="G621" s="419">
        <v>17</v>
      </c>
      <c r="H621" s="316" t="s">
        <v>518</v>
      </c>
      <c r="I621" s="420">
        <v>4.42</v>
      </c>
      <c r="J621" s="431">
        <f>(ROUNDUP(K621/30,0)+1)*2</f>
        <v>10</v>
      </c>
      <c r="K621" s="421">
        <f t="shared" si="204"/>
        <v>98.000000000000028</v>
      </c>
      <c r="L621" s="328"/>
      <c r="M621" s="328"/>
      <c r="N621" s="493">
        <f>(2.3*0.25)+((0.2*0.2)/2)</f>
        <v>0.59499999999999997</v>
      </c>
      <c r="O621" s="493">
        <f>N621*J621</f>
        <v>5.9499999999999993</v>
      </c>
      <c r="P621" s="328"/>
      <c r="Q621" s="334"/>
      <c r="R621" s="333">
        <f t="shared" si="205"/>
        <v>5.9499999999999993</v>
      </c>
      <c r="S621" s="331" t="str">
        <f t="shared" si="206"/>
        <v>m²</v>
      </c>
      <c r="T621" s="320">
        <v>9</v>
      </c>
      <c r="U621" s="424" t="s">
        <v>519</v>
      </c>
      <c r="V621" s="455">
        <f t="shared" ca="1" si="195"/>
        <v>1251.6500000000015</v>
      </c>
      <c r="W621" s="456">
        <f t="shared" ca="1" si="196"/>
        <v>2</v>
      </c>
      <c r="X621" s="456">
        <f t="shared" ca="1" si="197"/>
        <v>1</v>
      </c>
      <c r="Y621" s="250"/>
      <c r="Z621" s="250"/>
    </row>
    <row r="622" spans="1:26" s="111" customFormat="1" ht="25.5" x14ac:dyDescent="0.2">
      <c r="A622" s="288"/>
      <c r="B622" s="322"/>
      <c r="C622" s="312" t="s">
        <v>541</v>
      </c>
      <c r="D622" s="417">
        <v>12</v>
      </c>
      <c r="E622" s="314" t="s">
        <v>518</v>
      </c>
      <c r="F622" s="418">
        <v>6.42</v>
      </c>
      <c r="G622" s="419">
        <v>17</v>
      </c>
      <c r="H622" s="316" t="s">
        <v>518</v>
      </c>
      <c r="I622" s="420">
        <v>4.42</v>
      </c>
      <c r="J622" s="431"/>
      <c r="K622" s="421">
        <f t="shared" si="204"/>
        <v>98.000000000000028</v>
      </c>
      <c r="L622" s="328">
        <v>2.1</v>
      </c>
      <c r="M622" s="328"/>
      <c r="N622" s="328"/>
      <c r="O622" s="493">
        <f>K622*L622</f>
        <v>205.80000000000007</v>
      </c>
      <c r="P622" s="328"/>
      <c r="Q622" s="334"/>
      <c r="R622" s="333">
        <f t="shared" si="205"/>
        <v>205.80000000000007</v>
      </c>
      <c r="S622" s="331" t="str">
        <f t="shared" si="206"/>
        <v>m²</v>
      </c>
      <c r="T622" s="320">
        <v>9</v>
      </c>
      <c r="U622" s="424" t="s">
        <v>519</v>
      </c>
      <c r="V622" s="455">
        <f t="shared" ca="1" si="195"/>
        <v>1251.6500000000015</v>
      </c>
      <c r="W622" s="456">
        <f t="shared" ca="1" si="196"/>
        <v>2</v>
      </c>
      <c r="X622" s="456">
        <f t="shared" ca="1" si="197"/>
        <v>1</v>
      </c>
      <c r="Y622" s="250"/>
      <c r="Z622" s="250"/>
    </row>
    <row r="623" spans="1:26" s="111" customFormat="1" ht="25.5" x14ac:dyDescent="0.2">
      <c r="A623" s="288"/>
      <c r="B623" s="322"/>
      <c r="C623" s="312" t="s">
        <v>542</v>
      </c>
      <c r="D623" s="417">
        <v>12</v>
      </c>
      <c r="E623" s="314" t="s">
        <v>518</v>
      </c>
      <c r="F623" s="418">
        <v>6.42</v>
      </c>
      <c r="G623" s="419">
        <v>17</v>
      </c>
      <c r="H623" s="316" t="s">
        <v>518</v>
      </c>
      <c r="I623" s="420">
        <v>4.42</v>
      </c>
      <c r="J623" s="431"/>
      <c r="K623" s="421">
        <f t="shared" si="204"/>
        <v>98.000000000000028</v>
      </c>
      <c r="L623" s="328">
        <v>2.2999999999999998</v>
      </c>
      <c r="M623" s="328"/>
      <c r="N623" s="328"/>
      <c r="O623" s="493">
        <f>K623*L623</f>
        <v>225.40000000000003</v>
      </c>
      <c r="P623" s="328"/>
      <c r="Q623" s="334"/>
      <c r="R623" s="333">
        <f t="shared" si="205"/>
        <v>225.40000000000003</v>
      </c>
      <c r="S623" s="331" t="str">
        <f t="shared" si="206"/>
        <v>m²</v>
      </c>
      <c r="T623" s="320">
        <v>9</v>
      </c>
      <c r="U623" s="424" t="s">
        <v>519</v>
      </c>
      <c r="V623" s="455">
        <f t="shared" ca="1" si="195"/>
        <v>1251.6500000000015</v>
      </c>
      <c r="W623" s="456">
        <f t="shared" ca="1" si="196"/>
        <v>2</v>
      </c>
      <c r="X623" s="456">
        <f t="shared" ca="1" si="197"/>
        <v>1</v>
      </c>
      <c r="Y623" s="250"/>
      <c r="Z623" s="250"/>
    </row>
    <row r="624" spans="1:26" s="111" customFormat="1" ht="25.5" x14ac:dyDescent="0.2">
      <c r="A624" s="288"/>
      <c r="B624" s="322"/>
      <c r="C624" s="312" t="s">
        <v>543</v>
      </c>
      <c r="D624" s="417">
        <v>12</v>
      </c>
      <c r="E624" s="314" t="s">
        <v>518</v>
      </c>
      <c r="F624" s="418">
        <v>6.42</v>
      </c>
      <c r="G624" s="419">
        <v>17</v>
      </c>
      <c r="H624" s="316" t="s">
        <v>518</v>
      </c>
      <c r="I624" s="420">
        <v>4.42</v>
      </c>
      <c r="J624" s="431"/>
      <c r="K624" s="421">
        <f t="shared" si="204"/>
        <v>98.000000000000028</v>
      </c>
      <c r="L624" s="328">
        <v>2.1</v>
      </c>
      <c r="M624" s="328"/>
      <c r="N624" s="328"/>
      <c r="O624" s="493">
        <f>K624*L624</f>
        <v>205.80000000000007</v>
      </c>
      <c r="P624" s="328"/>
      <c r="Q624" s="334"/>
      <c r="R624" s="333">
        <f t="shared" si="205"/>
        <v>205.80000000000007</v>
      </c>
      <c r="S624" s="331" t="str">
        <f t="shared" si="206"/>
        <v>m²</v>
      </c>
      <c r="T624" s="320">
        <v>9</v>
      </c>
      <c r="U624" s="424" t="s">
        <v>519</v>
      </c>
      <c r="V624" s="455">
        <f t="shared" ca="1" si="195"/>
        <v>1251.6500000000015</v>
      </c>
      <c r="W624" s="456">
        <f t="shared" ca="1" si="196"/>
        <v>2</v>
      </c>
      <c r="X624" s="456">
        <f t="shared" ca="1" si="197"/>
        <v>1</v>
      </c>
      <c r="Y624" s="250"/>
      <c r="Z624" s="250"/>
    </row>
    <row r="625" spans="1:26" s="111" customFormat="1" ht="25.5" x14ac:dyDescent="0.2">
      <c r="A625" s="288"/>
      <c r="B625" s="322"/>
      <c r="C625" s="312" t="s">
        <v>544</v>
      </c>
      <c r="D625" s="417">
        <v>12</v>
      </c>
      <c r="E625" s="314" t="s">
        <v>518</v>
      </c>
      <c r="F625" s="418">
        <v>6.42</v>
      </c>
      <c r="G625" s="419">
        <v>17</v>
      </c>
      <c r="H625" s="316" t="s">
        <v>518</v>
      </c>
      <c r="I625" s="420">
        <v>4.42</v>
      </c>
      <c r="J625" s="431"/>
      <c r="K625" s="421">
        <f t="shared" si="204"/>
        <v>98.000000000000028</v>
      </c>
      <c r="L625" s="328">
        <v>2.2999999999999998</v>
      </c>
      <c r="M625" s="328"/>
      <c r="N625" s="328"/>
      <c r="O625" s="493">
        <f>K625*L625</f>
        <v>225.40000000000003</v>
      </c>
      <c r="P625" s="328"/>
      <c r="Q625" s="334"/>
      <c r="R625" s="333">
        <f t="shared" si="205"/>
        <v>225.40000000000003</v>
      </c>
      <c r="S625" s="331" t="str">
        <f t="shared" si="206"/>
        <v>m²</v>
      </c>
      <c r="T625" s="320">
        <v>9</v>
      </c>
      <c r="U625" s="424" t="s">
        <v>519</v>
      </c>
      <c r="V625" s="455">
        <f t="shared" ca="1" si="195"/>
        <v>1251.6500000000015</v>
      </c>
      <c r="W625" s="456">
        <f t="shared" ca="1" si="196"/>
        <v>2</v>
      </c>
      <c r="X625" s="456">
        <f t="shared" ca="1" si="197"/>
        <v>1</v>
      </c>
      <c r="Y625" s="250"/>
      <c r="Z625" s="250"/>
    </row>
    <row r="626" spans="1:26" s="111" customFormat="1" ht="15" x14ac:dyDescent="0.2">
      <c r="A626" s="288"/>
      <c r="B626" s="322"/>
      <c r="C626" s="312"/>
      <c r="D626" s="417"/>
      <c r="E626" s="314"/>
      <c r="F626" s="418"/>
      <c r="G626" s="419"/>
      <c r="H626" s="316"/>
      <c r="I626" s="420"/>
      <c r="J626" s="431"/>
      <c r="K626" s="421"/>
      <c r="L626" s="328"/>
      <c r="M626" s="328"/>
      <c r="N626" s="328"/>
      <c r="O626" s="493"/>
      <c r="P626" s="328"/>
      <c r="Q626" s="334"/>
      <c r="R626" s="333"/>
      <c r="S626" s="331"/>
      <c r="T626" s="320"/>
      <c r="U626" s="335"/>
      <c r="V626" s="455">
        <f t="shared" ca="1" si="195"/>
        <v>1251.6500000000015</v>
      </c>
      <c r="W626" s="456">
        <f t="shared" ca="1" si="196"/>
        <v>0</v>
      </c>
      <c r="X626" s="456">
        <f t="shared" ca="1" si="197"/>
        <v>1</v>
      </c>
      <c r="Y626" s="250"/>
      <c r="Z626" s="250"/>
    </row>
    <row r="627" spans="1:26" s="110" customFormat="1" ht="15.75" x14ac:dyDescent="0.2">
      <c r="A627" s="403"/>
      <c r="B627" s="322"/>
      <c r="C627" s="434" t="s">
        <v>528</v>
      </c>
      <c r="D627" s="417"/>
      <c r="E627" s="314"/>
      <c r="F627" s="418"/>
      <c r="G627" s="419"/>
      <c r="H627" s="316"/>
      <c r="I627" s="420"/>
      <c r="J627" s="431"/>
      <c r="K627" s="433"/>
      <c r="L627" s="433"/>
      <c r="M627" s="433"/>
      <c r="N627" s="328"/>
      <c r="O627" s="328"/>
      <c r="P627" s="328"/>
      <c r="Q627" s="334"/>
      <c r="R627" s="333"/>
      <c r="S627" s="331"/>
      <c r="T627" s="320">
        <v>12</v>
      </c>
      <c r="U627" s="335"/>
      <c r="V627" s="455">
        <f t="shared" ca="1" si="195"/>
        <v>1251.6500000000015</v>
      </c>
      <c r="W627" s="456">
        <f t="shared" ca="1" si="196"/>
        <v>2</v>
      </c>
      <c r="X627" s="456">
        <f t="shared" ca="1" si="197"/>
        <v>1</v>
      </c>
      <c r="Y627" s="492"/>
      <c r="Z627" s="492"/>
    </row>
    <row r="628" spans="1:26" s="111" customFormat="1" ht="25.5" x14ac:dyDescent="0.2">
      <c r="A628" s="288"/>
      <c r="B628" s="322"/>
      <c r="C628" s="312" t="s">
        <v>536</v>
      </c>
      <c r="D628" s="419">
        <v>17</v>
      </c>
      <c r="E628" s="316" t="s">
        <v>518</v>
      </c>
      <c r="F628" s="420">
        <v>4.42</v>
      </c>
      <c r="G628" s="419">
        <v>25</v>
      </c>
      <c r="H628" s="316" t="s">
        <v>518</v>
      </c>
      <c r="I628" s="420">
        <v>4.42</v>
      </c>
      <c r="J628" s="431">
        <v>2</v>
      </c>
      <c r="K628" s="421">
        <f t="shared" ref="K628:K636" si="207">ABS((G628*20+I628)-(D628*20+F628))</f>
        <v>160</v>
      </c>
      <c r="L628" s="328"/>
      <c r="M628" s="328">
        <v>0.35</v>
      </c>
      <c r="N628" s="328"/>
      <c r="O628" s="493">
        <f>M628*K628*J628</f>
        <v>112</v>
      </c>
      <c r="P628" s="328"/>
      <c r="Q628" s="334"/>
      <c r="R628" s="333">
        <f t="shared" ref="R628:R636" si="208">O628</f>
        <v>112</v>
      </c>
      <c r="S628" s="331" t="str">
        <f t="shared" ref="S628:S636" si="209">$L$944</f>
        <v>m²</v>
      </c>
      <c r="T628" s="320">
        <v>12</v>
      </c>
      <c r="U628" s="424" t="s">
        <v>519</v>
      </c>
      <c r="V628" s="455">
        <f t="shared" ca="1" si="195"/>
        <v>1251.6500000000015</v>
      </c>
      <c r="W628" s="456">
        <f t="shared" ca="1" si="196"/>
        <v>2</v>
      </c>
      <c r="X628" s="456">
        <f t="shared" ca="1" si="197"/>
        <v>1</v>
      </c>
      <c r="Y628" s="250"/>
      <c r="Z628" s="250"/>
    </row>
    <row r="629" spans="1:26" s="111" customFormat="1" ht="25.5" x14ac:dyDescent="0.2">
      <c r="A629" s="288"/>
      <c r="B629" s="322"/>
      <c r="C629" s="312" t="s">
        <v>537</v>
      </c>
      <c r="D629" s="419">
        <v>17</v>
      </c>
      <c r="E629" s="316" t="s">
        <v>518</v>
      </c>
      <c r="F629" s="420">
        <v>4.42</v>
      </c>
      <c r="G629" s="419">
        <v>25</v>
      </c>
      <c r="H629" s="316" t="s">
        <v>518</v>
      </c>
      <c r="I629" s="420">
        <v>4.42</v>
      </c>
      <c r="J629" s="431">
        <f>ROUNDUP(K629/30,0)+1</f>
        <v>7</v>
      </c>
      <c r="K629" s="421">
        <f t="shared" si="207"/>
        <v>160</v>
      </c>
      <c r="L629" s="328">
        <v>12</v>
      </c>
      <c r="M629" s="328">
        <v>0.25</v>
      </c>
      <c r="N629" s="328"/>
      <c r="O629" s="493">
        <f>M629*L629*J629</f>
        <v>21</v>
      </c>
      <c r="P629" s="328"/>
      <c r="Q629" s="334"/>
      <c r="R629" s="333">
        <f t="shared" si="208"/>
        <v>21</v>
      </c>
      <c r="S629" s="331" t="str">
        <f t="shared" si="209"/>
        <v>m²</v>
      </c>
      <c r="T629" s="320">
        <v>12</v>
      </c>
      <c r="U629" s="424" t="s">
        <v>519</v>
      </c>
      <c r="V629" s="455">
        <f t="shared" ca="1" si="195"/>
        <v>1251.6500000000015</v>
      </c>
      <c r="W629" s="456">
        <f t="shared" ca="1" si="196"/>
        <v>2</v>
      </c>
      <c r="X629" s="456">
        <f t="shared" ca="1" si="197"/>
        <v>1</v>
      </c>
      <c r="Y629" s="250"/>
      <c r="Z629" s="250"/>
    </row>
    <row r="630" spans="1:26" s="111" customFormat="1" ht="25.5" x14ac:dyDescent="0.2">
      <c r="A630" s="288"/>
      <c r="B630" s="322"/>
      <c r="C630" s="312" t="s">
        <v>538</v>
      </c>
      <c r="D630" s="419">
        <v>17</v>
      </c>
      <c r="E630" s="316" t="s">
        <v>518</v>
      </c>
      <c r="F630" s="420">
        <v>4.42</v>
      </c>
      <c r="G630" s="419">
        <v>25</v>
      </c>
      <c r="H630" s="316" t="s">
        <v>518</v>
      </c>
      <c r="I630" s="420">
        <v>4.42</v>
      </c>
      <c r="J630" s="431">
        <v>2</v>
      </c>
      <c r="K630" s="421">
        <f t="shared" si="207"/>
        <v>160</v>
      </c>
      <c r="L630" s="328"/>
      <c r="M630" s="328">
        <v>0.25</v>
      </c>
      <c r="N630" s="328"/>
      <c r="O630" s="493">
        <f>M630*K630*J630</f>
        <v>80</v>
      </c>
      <c r="P630" s="328"/>
      <c r="Q630" s="334"/>
      <c r="R630" s="333">
        <f t="shared" si="208"/>
        <v>80</v>
      </c>
      <c r="S630" s="331" t="str">
        <f t="shared" si="209"/>
        <v>m²</v>
      </c>
      <c r="T630" s="320">
        <v>12</v>
      </c>
      <c r="U630" s="424" t="s">
        <v>519</v>
      </c>
      <c r="V630" s="455">
        <f t="shared" ca="1" si="195"/>
        <v>1251.6500000000015</v>
      </c>
      <c r="W630" s="456">
        <f t="shared" ca="1" si="196"/>
        <v>2</v>
      </c>
      <c r="X630" s="456">
        <f t="shared" ca="1" si="197"/>
        <v>1</v>
      </c>
      <c r="Y630" s="250"/>
      <c r="Z630" s="250"/>
    </row>
    <row r="631" spans="1:26" s="111" customFormat="1" ht="25.5" x14ac:dyDescent="0.2">
      <c r="A631" s="288"/>
      <c r="B631" s="322"/>
      <c r="C631" s="312" t="s">
        <v>539</v>
      </c>
      <c r="D631" s="419">
        <v>17</v>
      </c>
      <c r="E631" s="316" t="s">
        <v>518</v>
      </c>
      <c r="F631" s="420">
        <v>4.42</v>
      </c>
      <c r="G631" s="419">
        <v>25</v>
      </c>
      <c r="H631" s="316" t="s">
        <v>518</v>
      </c>
      <c r="I631" s="420">
        <v>4.42</v>
      </c>
      <c r="J631" s="431">
        <v>2</v>
      </c>
      <c r="K631" s="421">
        <f t="shared" si="207"/>
        <v>160</v>
      </c>
      <c r="L631" s="328">
        <v>0.28299999999999997</v>
      </c>
      <c r="M631" s="328"/>
      <c r="N631" s="328"/>
      <c r="O631" s="493">
        <f>J631*K631*L631</f>
        <v>90.559999999999988</v>
      </c>
      <c r="P631" s="328"/>
      <c r="Q631" s="334"/>
      <c r="R631" s="333">
        <f t="shared" si="208"/>
        <v>90.559999999999988</v>
      </c>
      <c r="S631" s="331" t="str">
        <f t="shared" si="209"/>
        <v>m²</v>
      </c>
      <c r="T631" s="320">
        <v>12</v>
      </c>
      <c r="U631" s="424" t="s">
        <v>519</v>
      </c>
      <c r="V631" s="455">
        <f t="shared" ca="1" si="195"/>
        <v>1251.6500000000015</v>
      </c>
      <c r="W631" s="456">
        <f t="shared" ca="1" si="196"/>
        <v>2</v>
      </c>
      <c r="X631" s="456">
        <f t="shared" ca="1" si="197"/>
        <v>1</v>
      </c>
      <c r="Y631" s="250"/>
      <c r="Z631" s="250"/>
    </row>
    <row r="632" spans="1:26" s="111" customFormat="1" ht="25.5" x14ac:dyDescent="0.2">
      <c r="A632" s="288"/>
      <c r="B632" s="322"/>
      <c r="C632" s="312" t="s">
        <v>540</v>
      </c>
      <c r="D632" s="419">
        <v>17</v>
      </c>
      <c r="E632" s="316" t="s">
        <v>518</v>
      </c>
      <c r="F632" s="420">
        <v>4.42</v>
      </c>
      <c r="G632" s="419">
        <v>25</v>
      </c>
      <c r="H632" s="316" t="s">
        <v>518</v>
      </c>
      <c r="I632" s="420">
        <v>4.42</v>
      </c>
      <c r="J632" s="431">
        <f>(ROUNDUP(K632/30,0)+1)*2</f>
        <v>14</v>
      </c>
      <c r="K632" s="421">
        <f t="shared" si="207"/>
        <v>160</v>
      </c>
      <c r="L632" s="328"/>
      <c r="M632" s="328"/>
      <c r="N632" s="493">
        <f>(2.3*0.25)+((0.2*0.2)/2)</f>
        <v>0.59499999999999997</v>
      </c>
      <c r="O632" s="493">
        <f>N632*J632</f>
        <v>8.33</v>
      </c>
      <c r="P632" s="328"/>
      <c r="Q632" s="334"/>
      <c r="R632" s="333">
        <f t="shared" si="208"/>
        <v>8.33</v>
      </c>
      <c r="S632" s="331" t="str">
        <f t="shared" si="209"/>
        <v>m²</v>
      </c>
      <c r="T632" s="320">
        <v>12</v>
      </c>
      <c r="U632" s="424" t="s">
        <v>519</v>
      </c>
      <c r="V632" s="455">
        <f t="shared" ca="1" si="195"/>
        <v>1251.6500000000015</v>
      </c>
      <c r="W632" s="456">
        <f t="shared" ca="1" si="196"/>
        <v>2</v>
      </c>
      <c r="X632" s="456">
        <f t="shared" ca="1" si="197"/>
        <v>1</v>
      </c>
      <c r="Y632" s="250"/>
      <c r="Z632" s="250"/>
    </row>
    <row r="633" spans="1:26" s="111" customFormat="1" ht="25.5" x14ac:dyDescent="0.2">
      <c r="A633" s="288"/>
      <c r="B633" s="322"/>
      <c r="C633" s="312" t="s">
        <v>541</v>
      </c>
      <c r="D633" s="419">
        <v>17</v>
      </c>
      <c r="E633" s="316" t="s">
        <v>518</v>
      </c>
      <c r="F633" s="420">
        <v>4.42</v>
      </c>
      <c r="G633" s="419">
        <v>25</v>
      </c>
      <c r="H633" s="316" t="s">
        <v>518</v>
      </c>
      <c r="I633" s="420">
        <v>4.42</v>
      </c>
      <c r="J633" s="431"/>
      <c r="K633" s="421">
        <f t="shared" si="207"/>
        <v>160</v>
      </c>
      <c r="L633" s="328">
        <v>2.1</v>
      </c>
      <c r="M633" s="328"/>
      <c r="N633" s="328"/>
      <c r="O633" s="493">
        <f>K633*L633</f>
        <v>336</v>
      </c>
      <c r="P633" s="328"/>
      <c r="Q633" s="334"/>
      <c r="R633" s="333">
        <f t="shared" si="208"/>
        <v>336</v>
      </c>
      <c r="S633" s="331" t="str">
        <f t="shared" si="209"/>
        <v>m²</v>
      </c>
      <c r="T633" s="320">
        <v>12</v>
      </c>
      <c r="U633" s="424" t="s">
        <v>519</v>
      </c>
      <c r="V633" s="455">
        <f t="shared" ca="1" si="195"/>
        <v>1251.6500000000015</v>
      </c>
      <c r="W633" s="456">
        <f t="shared" ca="1" si="196"/>
        <v>2</v>
      </c>
      <c r="X633" s="456">
        <f t="shared" ca="1" si="197"/>
        <v>1</v>
      </c>
      <c r="Y633" s="250"/>
      <c r="Z633" s="250"/>
    </row>
    <row r="634" spans="1:26" s="111" customFormat="1" ht="25.5" x14ac:dyDescent="0.2">
      <c r="A634" s="288"/>
      <c r="B634" s="322"/>
      <c r="C634" s="312" t="s">
        <v>542</v>
      </c>
      <c r="D634" s="419">
        <v>17</v>
      </c>
      <c r="E634" s="316" t="s">
        <v>518</v>
      </c>
      <c r="F634" s="420">
        <v>4.42</v>
      </c>
      <c r="G634" s="419">
        <v>25</v>
      </c>
      <c r="H634" s="316" t="s">
        <v>518</v>
      </c>
      <c r="I634" s="420">
        <v>4.42</v>
      </c>
      <c r="J634" s="431"/>
      <c r="K634" s="421">
        <f t="shared" si="207"/>
        <v>160</v>
      </c>
      <c r="L634" s="328">
        <v>2.2999999999999998</v>
      </c>
      <c r="M634" s="328"/>
      <c r="N634" s="328"/>
      <c r="O634" s="493">
        <f>K634*L634</f>
        <v>368</v>
      </c>
      <c r="P634" s="328"/>
      <c r="Q634" s="334"/>
      <c r="R634" s="333">
        <f t="shared" si="208"/>
        <v>368</v>
      </c>
      <c r="S634" s="331" t="str">
        <f t="shared" si="209"/>
        <v>m²</v>
      </c>
      <c r="T634" s="320">
        <v>12</v>
      </c>
      <c r="U634" s="424" t="s">
        <v>519</v>
      </c>
      <c r="V634" s="455">
        <f t="shared" ca="1" si="195"/>
        <v>1251.6500000000015</v>
      </c>
      <c r="W634" s="456">
        <f t="shared" ca="1" si="196"/>
        <v>2</v>
      </c>
      <c r="X634" s="456">
        <f t="shared" ca="1" si="197"/>
        <v>1</v>
      </c>
      <c r="Y634" s="250"/>
      <c r="Z634" s="250"/>
    </row>
    <row r="635" spans="1:26" s="111" customFormat="1" ht="25.5" x14ac:dyDescent="0.2">
      <c r="A635" s="288"/>
      <c r="B635" s="322"/>
      <c r="C635" s="312" t="s">
        <v>543</v>
      </c>
      <c r="D635" s="419">
        <v>17</v>
      </c>
      <c r="E635" s="316" t="s">
        <v>518</v>
      </c>
      <c r="F635" s="420">
        <v>4.42</v>
      </c>
      <c r="G635" s="419">
        <v>25</v>
      </c>
      <c r="H635" s="316" t="s">
        <v>518</v>
      </c>
      <c r="I635" s="420">
        <v>4.42</v>
      </c>
      <c r="J635" s="431"/>
      <c r="K635" s="421">
        <f t="shared" si="207"/>
        <v>160</v>
      </c>
      <c r="L635" s="328">
        <v>2.1</v>
      </c>
      <c r="M635" s="328"/>
      <c r="N635" s="328"/>
      <c r="O635" s="493">
        <f>K635*L635</f>
        <v>336</v>
      </c>
      <c r="P635" s="328"/>
      <c r="Q635" s="334"/>
      <c r="R635" s="333">
        <f t="shared" si="208"/>
        <v>336</v>
      </c>
      <c r="S635" s="331" t="str">
        <f t="shared" si="209"/>
        <v>m²</v>
      </c>
      <c r="T635" s="320">
        <v>12</v>
      </c>
      <c r="U635" s="424" t="s">
        <v>519</v>
      </c>
      <c r="V635" s="455">
        <f t="shared" ca="1" si="195"/>
        <v>1251.6500000000015</v>
      </c>
      <c r="W635" s="456">
        <f t="shared" ca="1" si="196"/>
        <v>2</v>
      </c>
      <c r="X635" s="456">
        <f t="shared" ca="1" si="197"/>
        <v>1</v>
      </c>
      <c r="Y635" s="250"/>
      <c r="Z635" s="250"/>
    </row>
    <row r="636" spans="1:26" s="111" customFormat="1" ht="25.5" x14ac:dyDescent="0.2">
      <c r="A636" s="288"/>
      <c r="B636" s="494"/>
      <c r="C636" s="495" t="s">
        <v>544</v>
      </c>
      <c r="D636" s="496">
        <v>17</v>
      </c>
      <c r="E636" s="497" t="s">
        <v>518</v>
      </c>
      <c r="F636" s="498">
        <v>4.42</v>
      </c>
      <c r="G636" s="496">
        <v>25</v>
      </c>
      <c r="H636" s="497" t="s">
        <v>518</v>
      </c>
      <c r="I636" s="498">
        <v>4.42</v>
      </c>
      <c r="J636" s="499"/>
      <c r="K636" s="500">
        <f t="shared" si="207"/>
        <v>160</v>
      </c>
      <c r="L636" s="501">
        <v>2.2999999999999998</v>
      </c>
      <c r="M636" s="501"/>
      <c r="N636" s="501"/>
      <c r="O636" s="502">
        <f>K636*L636</f>
        <v>368</v>
      </c>
      <c r="P636" s="501"/>
      <c r="Q636" s="503"/>
      <c r="R636" s="504">
        <f t="shared" si="208"/>
        <v>368</v>
      </c>
      <c r="S636" s="331" t="str">
        <f t="shared" si="209"/>
        <v>m²</v>
      </c>
      <c r="T636" s="506">
        <v>12</v>
      </c>
      <c r="U636" s="507" t="s">
        <v>519</v>
      </c>
      <c r="V636" s="455">
        <f t="shared" ca="1" si="195"/>
        <v>1251.6500000000015</v>
      </c>
      <c r="W636" s="456">
        <f t="shared" ca="1" si="196"/>
        <v>2</v>
      </c>
      <c r="X636" s="456">
        <f t="shared" ca="1" si="197"/>
        <v>1</v>
      </c>
      <c r="Y636" s="250"/>
      <c r="Z636" s="250"/>
    </row>
    <row r="637" spans="1:26" s="111" customFormat="1" ht="15" x14ac:dyDescent="0.2">
      <c r="A637" s="288"/>
      <c r="B637" s="322"/>
      <c r="C637" s="312"/>
      <c r="D637" s="417"/>
      <c r="E637" s="314"/>
      <c r="F637" s="418"/>
      <c r="G637" s="419"/>
      <c r="H637" s="316"/>
      <c r="I637" s="420"/>
      <c r="J637" s="317"/>
      <c r="K637" s="421"/>
      <c r="L637" s="328"/>
      <c r="M637" s="422"/>
      <c r="N637" s="423"/>
      <c r="O637" s="334"/>
      <c r="P637" s="328"/>
      <c r="Q637" s="334"/>
      <c r="R637" s="319"/>
      <c r="S637" s="331"/>
      <c r="T637" s="320"/>
      <c r="U637" s="335"/>
      <c r="V637" s="455">
        <f t="shared" ca="1" si="195"/>
        <v>1251.6500000000015</v>
      </c>
      <c r="W637" s="456">
        <f t="shared" ca="1" si="196"/>
        <v>0</v>
      </c>
      <c r="X637" s="456">
        <f t="shared" ca="1" si="197"/>
        <v>1</v>
      </c>
      <c r="Y637" s="250"/>
      <c r="Z637" s="250"/>
    </row>
    <row r="638" spans="1:26" s="111" customFormat="1" ht="15.75" x14ac:dyDescent="0.2">
      <c r="A638" s="399"/>
      <c r="B638" s="322"/>
      <c r="C638" s="434" t="s">
        <v>529</v>
      </c>
      <c r="D638" s="417"/>
      <c r="E638" s="314"/>
      <c r="F638" s="418"/>
      <c r="G638" s="419"/>
      <c r="H638" s="316"/>
      <c r="I638" s="420"/>
      <c r="J638" s="317"/>
      <c r="K638" s="421"/>
      <c r="L638" s="328"/>
      <c r="M638" s="422"/>
      <c r="N638" s="423"/>
      <c r="O638" s="334"/>
      <c r="P638" s="328"/>
      <c r="Q638" s="334"/>
      <c r="R638" s="319"/>
      <c r="S638" s="331"/>
      <c r="T638" s="320">
        <v>13</v>
      </c>
      <c r="U638" s="335"/>
      <c r="V638" s="455">
        <f t="shared" ca="1" si="195"/>
        <v>1251.6500000000015</v>
      </c>
      <c r="W638" s="456">
        <f t="shared" ca="1" si="196"/>
        <v>2</v>
      </c>
      <c r="X638" s="456">
        <f t="shared" ca="1" si="197"/>
        <v>1</v>
      </c>
      <c r="Y638" s="250"/>
      <c r="Z638" s="250"/>
    </row>
    <row r="639" spans="1:26" s="111" customFormat="1" ht="15" x14ac:dyDescent="0.2">
      <c r="A639" s="399"/>
      <c r="B639" s="322"/>
      <c r="C639" s="312" t="s">
        <v>530</v>
      </c>
      <c r="D639" s="417">
        <v>25</v>
      </c>
      <c r="E639" s="314" t="s">
        <v>518</v>
      </c>
      <c r="F639" s="418">
        <v>4.42</v>
      </c>
      <c r="G639" s="419"/>
      <c r="H639" s="316"/>
      <c r="I639" s="420"/>
      <c r="J639" s="317"/>
      <c r="K639" s="421">
        <v>11.5</v>
      </c>
      <c r="L639" s="328">
        <v>0.7</v>
      </c>
      <c r="M639" s="422">
        <v>0.25</v>
      </c>
      <c r="N639" s="423"/>
      <c r="O639" s="334">
        <f>K639*L639</f>
        <v>8.0499999999999989</v>
      </c>
      <c r="P639" s="328"/>
      <c r="Q639" s="334"/>
      <c r="R639" s="319">
        <f>O639</f>
        <v>8.0499999999999989</v>
      </c>
      <c r="S639" s="331"/>
      <c r="T639" s="320">
        <v>13</v>
      </c>
      <c r="U639" s="335" t="s">
        <v>531</v>
      </c>
      <c r="V639" s="455">
        <f t="shared" ca="1" si="195"/>
        <v>1251.6500000000015</v>
      </c>
      <c r="W639" s="456">
        <f t="shared" ca="1" si="196"/>
        <v>2</v>
      </c>
      <c r="X639" s="456">
        <f t="shared" ca="1" si="197"/>
        <v>1</v>
      </c>
      <c r="Y639" s="250"/>
      <c r="Z639" s="250"/>
    </row>
    <row r="640" spans="1:26" s="111" customFormat="1" ht="15" x14ac:dyDescent="0.2">
      <c r="A640" s="399"/>
      <c r="B640" s="322"/>
      <c r="C640" s="312"/>
      <c r="D640" s="324"/>
      <c r="E640" s="325"/>
      <c r="F640" s="326"/>
      <c r="G640" s="324"/>
      <c r="H640" s="325"/>
      <c r="I640" s="326"/>
      <c r="J640" s="431"/>
      <c r="K640" s="421"/>
      <c r="L640" s="328"/>
      <c r="M640" s="328"/>
      <c r="N640" s="328"/>
      <c r="O640" s="493"/>
      <c r="P640" s="328"/>
      <c r="Q640" s="334"/>
      <c r="R640" s="333"/>
      <c r="S640" s="331"/>
      <c r="T640" s="320"/>
      <c r="U640" s="335"/>
      <c r="V640" s="455">
        <f t="shared" ca="1" si="195"/>
        <v>1251.6500000000015</v>
      </c>
      <c r="W640" s="456">
        <f t="shared" ca="1" si="196"/>
        <v>0</v>
      </c>
      <c r="X640" s="456">
        <f t="shared" ca="1" si="197"/>
        <v>1</v>
      </c>
      <c r="Y640" s="250"/>
      <c r="Z640" s="250"/>
    </row>
    <row r="641" spans="1:26" s="111" customFormat="1" ht="15.75" x14ac:dyDescent="0.2">
      <c r="A641" s="399"/>
      <c r="B641" s="322"/>
      <c r="C641" s="434" t="s">
        <v>532</v>
      </c>
      <c r="D641" s="417"/>
      <c r="E641" s="314"/>
      <c r="F641" s="418"/>
      <c r="G641" s="419"/>
      <c r="H641" s="316"/>
      <c r="I641" s="420"/>
      <c r="J641" s="431"/>
      <c r="K641" s="433"/>
      <c r="L641" s="433"/>
      <c r="M641" s="433"/>
      <c r="N641" s="328"/>
      <c r="O641" s="328"/>
      <c r="P641" s="328"/>
      <c r="Q641" s="334"/>
      <c r="R641" s="333"/>
      <c r="S641" s="331"/>
      <c r="T641" s="320">
        <v>14</v>
      </c>
      <c r="U641" s="335"/>
      <c r="V641" s="455">
        <f t="shared" ca="1" si="195"/>
        <v>1251.6500000000015</v>
      </c>
      <c r="W641" s="456">
        <f t="shared" ca="1" si="196"/>
        <v>2</v>
      </c>
      <c r="X641" s="456">
        <f t="shared" ca="1" si="197"/>
        <v>1</v>
      </c>
      <c r="Y641" s="250"/>
      <c r="Z641" s="250"/>
    </row>
    <row r="642" spans="1:26" s="111" customFormat="1" ht="25.5" x14ac:dyDescent="0.2">
      <c r="A642" s="399"/>
      <c r="B642" s="322"/>
      <c r="C642" s="312" t="s">
        <v>536</v>
      </c>
      <c r="D642" s="419">
        <v>25</v>
      </c>
      <c r="E642" s="316" t="s">
        <v>518</v>
      </c>
      <c r="F642" s="420">
        <v>4.42</v>
      </c>
      <c r="G642" s="419">
        <v>31</v>
      </c>
      <c r="H642" s="316" t="s">
        <v>518</v>
      </c>
      <c r="I642" s="420">
        <v>10</v>
      </c>
      <c r="J642" s="431">
        <v>2</v>
      </c>
      <c r="K642" s="421">
        <f t="shared" ref="K642:K650" si="210">ABS((G642*20+I642)-(D642*20+F642))</f>
        <v>125.57999999999998</v>
      </c>
      <c r="L642" s="328"/>
      <c r="M642" s="328">
        <v>0.35</v>
      </c>
      <c r="N642" s="328"/>
      <c r="O642" s="493">
        <f>M642*K642*J642</f>
        <v>87.905999999999977</v>
      </c>
      <c r="P642" s="328"/>
      <c r="Q642" s="334"/>
      <c r="R642" s="333">
        <f t="shared" ref="R642:R650" si="211">O642</f>
        <v>87.905999999999977</v>
      </c>
      <c r="S642" s="331" t="str">
        <f t="shared" ref="S642:S650" si="212">$L$944</f>
        <v>m²</v>
      </c>
      <c r="T642" s="320">
        <v>14</v>
      </c>
      <c r="U642" s="424" t="s">
        <v>519</v>
      </c>
      <c r="V642" s="455">
        <f t="shared" ca="1" si="195"/>
        <v>1251.6500000000015</v>
      </c>
      <c r="W642" s="456">
        <f t="shared" ca="1" si="196"/>
        <v>2</v>
      </c>
      <c r="X642" s="456">
        <f t="shared" ca="1" si="197"/>
        <v>1</v>
      </c>
      <c r="Y642" s="250"/>
      <c r="Z642" s="250"/>
    </row>
    <row r="643" spans="1:26" s="111" customFormat="1" ht="25.5" x14ac:dyDescent="0.2">
      <c r="A643" s="399"/>
      <c r="B643" s="322"/>
      <c r="C643" s="312" t="s">
        <v>537</v>
      </c>
      <c r="D643" s="419">
        <v>25</v>
      </c>
      <c r="E643" s="316" t="s">
        <v>518</v>
      </c>
      <c r="F643" s="420">
        <v>4.42</v>
      </c>
      <c r="G643" s="419">
        <v>31</v>
      </c>
      <c r="H643" s="316" t="s">
        <v>518</v>
      </c>
      <c r="I643" s="420">
        <v>10</v>
      </c>
      <c r="J643" s="431">
        <f>ROUNDUP(K643/30,0)+1</f>
        <v>6</v>
      </c>
      <c r="K643" s="421">
        <f t="shared" si="210"/>
        <v>125.57999999999998</v>
      </c>
      <c r="L643" s="328">
        <v>12</v>
      </c>
      <c r="M643" s="328">
        <v>0.25</v>
      </c>
      <c r="N643" s="328"/>
      <c r="O643" s="493">
        <f>M643*L643*J643</f>
        <v>18</v>
      </c>
      <c r="P643" s="328"/>
      <c r="Q643" s="334"/>
      <c r="R643" s="333">
        <f t="shared" si="211"/>
        <v>18</v>
      </c>
      <c r="S643" s="331" t="str">
        <f t="shared" si="212"/>
        <v>m²</v>
      </c>
      <c r="T643" s="320">
        <v>14</v>
      </c>
      <c r="U643" s="424" t="s">
        <v>519</v>
      </c>
      <c r="V643" s="455">
        <f t="shared" ca="1" si="195"/>
        <v>1251.6500000000015</v>
      </c>
      <c r="W643" s="456">
        <f t="shared" ca="1" si="196"/>
        <v>2</v>
      </c>
      <c r="X643" s="456">
        <f t="shared" ca="1" si="197"/>
        <v>1</v>
      </c>
      <c r="Y643" s="250"/>
      <c r="Z643" s="250"/>
    </row>
    <row r="644" spans="1:26" s="111" customFormat="1" ht="25.5" x14ac:dyDescent="0.2">
      <c r="A644" s="399"/>
      <c r="B644" s="322"/>
      <c r="C644" s="312" t="s">
        <v>538</v>
      </c>
      <c r="D644" s="419">
        <v>25</v>
      </c>
      <c r="E644" s="316" t="s">
        <v>518</v>
      </c>
      <c r="F644" s="420">
        <v>4.42</v>
      </c>
      <c r="G644" s="419">
        <v>31</v>
      </c>
      <c r="H644" s="316" t="s">
        <v>518</v>
      </c>
      <c r="I644" s="420">
        <v>10</v>
      </c>
      <c r="J644" s="431">
        <v>2</v>
      </c>
      <c r="K644" s="421">
        <f t="shared" si="210"/>
        <v>125.57999999999998</v>
      </c>
      <c r="L644" s="328"/>
      <c r="M644" s="328">
        <v>0.25</v>
      </c>
      <c r="N644" s="328"/>
      <c r="O644" s="493">
        <f>M644*K644*J644</f>
        <v>62.789999999999992</v>
      </c>
      <c r="P644" s="328"/>
      <c r="Q644" s="334"/>
      <c r="R644" s="333">
        <f t="shared" si="211"/>
        <v>62.789999999999992</v>
      </c>
      <c r="S644" s="331" t="str">
        <f t="shared" si="212"/>
        <v>m²</v>
      </c>
      <c r="T644" s="320">
        <v>14</v>
      </c>
      <c r="U644" s="424" t="s">
        <v>519</v>
      </c>
      <c r="V644" s="455">
        <f t="shared" ca="1" si="195"/>
        <v>1251.6500000000015</v>
      </c>
      <c r="W644" s="456">
        <f t="shared" ca="1" si="196"/>
        <v>2</v>
      </c>
      <c r="X644" s="456">
        <f t="shared" ca="1" si="197"/>
        <v>1</v>
      </c>
      <c r="Y644" s="250"/>
      <c r="Z644" s="250"/>
    </row>
    <row r="645" spans="1:26" s="111" customFormat="1" ht="25.5" x14ac:dyDescent="0.2">
      <c r="A645" s="399"/>
      <c r="B645" s="322"/>
      <c r="C645" s="312" t="s">
        <v>539</v>
      </c>
      <c r="D645" s="419">
        <v>25</v>
      </c>
      <c r="E645" s="316" t="s">
        <v>518</v>
      </c>
      <c r="F645" s="420">
        <v>4.42</v>
      </c>
      <c r="G645" s="419">
        <v>31</v>
      </c>
      <c r="H645" s="316" t="s">
        <v>518</v>
      </c>
      <c r="I645" s="420">
        <v>10</v>
      </c>
      <c r="J645" s="431">
        <v>2</v>
      </c>
      <c r="K645" s="421">
        <f t="shared" si="210"/>
        <v>125.57999999999998</v>
      </c>
      <c r="L645" s="328">
        <v>0.28299999999999997</v>
      </c>
      <c r="M645" s="328"/>
      <c r="N645" s="328"/>
      <c r="O645" s="493">
        <f>J645*K645*L645</f>
        <v>71.078279999999978</v>
      </c>
      <c r="P645" s="328"/>
      <c r="Q645" s="334"/>
      <c r="R645" s="333">
        <f t="shared" si="211"/>
        <v>71.078279999999978</v>
      </c>
      <c r="S645" s="331" t="str">
        <f t="shared" si="212"/>
        <v>m²</v>
      </c>
      <c r="T645" s="320">
        <v>17</v>
      </c>
      <c r="U645" s="424" t="s">
        <v>519</v>
      </c>
      <c r="V645" s="455">
        <f t="shared" ca="1" si="195"/>
        <v>1251.6500000000015</v>
      </c>
      <c r="W645" s="456">
        <f t="shared" ca="1" si="196"/>
        <v>2</v>
      </c>
      <c r="X645" s="456">
        <f t="shared" ca="1" si="197"/>
        <v>1</v>
      </c>
      <c r="Y645" s="250"/>
      <c r="Z645" s="250"/>
    </row>
    <row r="646" spans="1:26" s="111" customFormat="1" ht="25.5" x14ac:dyDescent="0.2">
      <c r="A646" s="399"/>
      <c r="B646" s="322"/>
      <c r="C646" s="312" t="s">
        <v>540</v>
      </c>
      <c r="D646" s="419">
        <v>25</v>
      </c>
      <c r="E646" s="316" t="s">
        <v>518</v>
      </c>
      <c r="F646" s="420">
        <v>4.42</v>
      </c>
      <c r="G646" s="419">
        <v>31</v>
      </c>
      <c r="H646" s="316" t="s">
        <v>518</v>
      </c>
      <c r="I646" s="420">
        <v>10</v>
      </c>
      <c r="J646" s="431">
        <f>(ROUNDUP(K646/30,0)+1)*2</f>
        <v>12</v>
      </c>
      <c r="K646" s="421">
        <f t="shared" si="210"/>
        <v>125.57999999999998</v>
      </c>
      <c r="L646" s="328"/>
      <c r="M646" s="328"/>
      <c r="N646" s="493">
        <f>(2.3*0.25)+((0.2*0.2)/2)</f>
        <v>0.59499999999999997</v>
      </c>
      <c r="O646" s="493">
        <f>N646*J646</f>
        <v>7.14</v>
      </c>
      <c r="P646" s="328"/>
      <c r="Q646" s="334"/>
      <c r="R646" s="333">
        <f t="shared" si="211"/>
        <v>7.14</v>
      </c>
      <c r="S646" s="331" t="str">
        <f t="shared" si="212"/>
        <v>m²</v>
      </c>
      <c r="T646" s="320">
        <v>17</v>
      </c>
      <c r="U646" s="424" t="s">
        <v>519</v>
      </c>
      <c r="V646" s="455">
        <f t="shared" ca="1" si="195"/>
        <v>1251.6500000000015</v>
      </c>
      <c r="W646" s="456">
        <f t="shared" ca="1" si="196"/>
        <v>2</v>
      </c>
      <c r="X646" s="456">
        <f t="shared" ca="1" si="197"/>
        <v>1</v>
      </c>
      <c r="Y646" s="250"/>
      <c r="Z646" s="250"/>
    </row>
    <row r="647" spans="1:26" s="111" customFormat="1" ht="25.5" x14ac:dyDescent="0.2">
      <c r="A647" s="399"/>
      <c r="B647" s="322"/>
      <c r="C647" s="312" t="s">
        <v>541</v>
      </c>
      <c r="D647" s="419">
        <v>25</v>
      </c>
      <c r="E647" s="316" t="s">
        <v>518</v>
      </c>
      <c r="F647" s="420">
        <v>4.42</v>
      </c>
      <c r="G647" s="419">
        <v>31</v>
      </c>
      <c r="H647" s="316" t="s">
        <v>518</v>
      </c>
      <c r="I647" s="420">
        <v>10</v>
      </c>
      <c r="J647" s="431"/>
      <c r="K647" s="421">
        <f t="shared" si="210"/>
        <v>125.57999999999998</v>
      </c>
      <c r="L647" s="328">
        <v>2.8</v>
      </c>
      <c r="M647" s="328"/>
      <c r="N647" s="328"/>
      <c r="O647" s="493">
        <f>K647*L647</f>
        <v>351.62399999999991</v>
      </c>
      <c r="P647" s="328"/>
      <c r="Q647" s="334"/>
      <c r="R647" s="333">
        <f t="shared" si="211"/>
        <v>351.62399999999991</v>
      </c>
      <c r="S647" s="331" t="str">
        <f t="shared" si="212"/>
        <v>m²</v>
      </c>
      <c r="T647" s="320">
        <v>17</v>
      </c>
      <c r="U647" s="424" t="s">
        <v>519</v>
      </c>
      <c r="V647" s="455">
        <f t="shared" ca="1" si="195"/>
        <v>1251.6500000000015</v>
      </c>
      <c r="W647" s="456">
        <f t="shared" ca="1" si="196"/>
        <v>2</v>
      </c>
      <c r="X647" s="456">
        <f t="shared" ca="1" si="197"/>
        <v>1</v>
      </c>
      <c r="Y647" s="250"/>
      <c r="Z647" s="250"/>
    </row>
    <row r="648" spans="1:26" s="111" customFormat="1" ht="25.5" x14ac:dyDescent="0.2">
      <c r="A648" s="399"/>
      <c r="B648" s="322"/>
      <c r="C648" s="312" t="s">
        <v>542</v>
      </c>
      <c r="D648" s="419">
        <v>25</v>
      </c>
      <c r="E648" s="316" t="s">
        <v>518</v>
      </c>
      <c r="F648" s="420">
        <v>4.42</v>
      </c>
      <c r="G648" s="419">
        <v>31</v>
      </c>
      <c r="H648" s="316" t="s">
        <v>518</v>
      </c>
      <c r="I648" s="420">
        <v>10</v>
      </c>
      <c r="J648" s="431"/>
      <c r="K648" s="421">
        <f t="shared" si="210"/>
        <v>125.57999999999998</v>
      </c>
      <c r="L648" s="328">
        <v>3.25</v>
      </c>
      <c r="M648" s="328"/>
      <c r="N648" s="328"/>
      <c r="O648" s="493">
        <f>K648*L648</f>
        <v>408.13499999999993</v>
      </c>
      <c r="P648" s="328"/>
      <c r="Q648" s="334"/>
      <c r="R648" s="333">
        <f t="shared" si="211"/>
        <v>408.13499999999993</v>
      </c>
      <c r="S648" s="331" t="str">
        <f t="shared" si="212"/>
        <v>m²</v>
      </c>
      <c r="T648" s="320">
        <v>17</v>
      </c>
      <c r="U648" s="424" t="s">
        <v>519</v>
      </c>
      <c r="V648" s="455">
        <f t="shared" ca="1" si="195"/>
        <v>1251.6500000000015</v>
      </c>
      <c r="W648" s="456">
        <f t="shared" ca="1" si="196"/>
        <v>2</v>
      </c>
      <c r="X648" s="456">
        <f t="shared" ca="1" si="197"/>
        <v>1</v>
      </c>
      <c r="Y648" s="250"/>
      <c r="Z648" s="250"/>
    </row>
    <row r="649" spans="1:26" s="111" customFormat="1" ht="25.5" x14ac:dyDescent="0.2">
      <c r="A649" s="399"/>
      <c r="B649" s="322"/>
      <c r="C649" s="312" t="s">
        <v>543</v>
      </c>
      <c r="D649" s="419">
        <v>25</v>
      </c>
      <c r="E649" s="316" t="s">
        <v>518</v>
      </c>
      <c r="F649" s="420">
        <v>4.42</v>
      </c>
      <c r="G649" s="419">
        <v>31</v>
      </c>
      <c r="H649" s="316" t="s">
        <v>518</v>
      </c>
      <c r="I649" s="420">
        <v>10</v>
      </c>
      <c r="J649" s="431"/>
      <c r="K649" s="421">
        <f t="shared" si="210"/>
        <v>125.57999999999998</v>
      </c>
      <c r="L649" s="328">
        <v>2.8</v>
      </c>
      <c r="M649" s="328"/>
      <c r="N649" s="328"/>
      <c r="O649" s="493">
        <f>K649*L649</f>
        <v>351.62399999999991</v>
      </c>
      <c r="P649" s="328"/>
      <c r="Q649" s="334"/>
      <c r="R649" s="333">
        <f t="shared" si="211"/>
        <v>351.62399999999991</v>
      </c>
      <c r="S649" s="331" t="str">
        <f t="shared" si="212"/>
        <v>m²</v>
      </c>
      <c r="T649" s="320">
        <v>17</v>
      </c>
      <c r="U649" s="424" t="s">
        <v>519</v>
      </c>
      <c r="V649" s="455">
        <f t="shared" ca="1" si="195"/>
        <v>1251.6500000000015</v>
      </c>
      <c r="W649" s="456">
        <f t="shared" ca="1" si="196"/>
        <v>2</v>
      </c>
      <c r="X649" s="456">
        <f t="shared" ca="1" si="197"/>
        <v>1</v>
      </c>
      <c r="Y649" s="250"/>
      <c r="Z649" s="250"/>
    </row>
    <row r="650" spans="1:26" s="111" customFormat="1" ht="25.5" x14ac:dyDescent="0.2">
      <c r="A650" s="399"/>
      <c r="B650" s="494"/>
      <c r="C650" s="495" t="s">
        <v>544</v>
      </c>
      <c r="D650" s="496">
        <v>25</v>
      </c>
      <c r="E650" s="497" t="s">
        <v>518</v>
      </c>
      <c r="F650" s="498">
        <v>4.42</v>
      </c>
      <c r="G650" s="419">
        <v>31</v>
      </c>
      <c r="H650" s="316" t="s">
        <v>518</v>
      </c>
      <c r="I650" s="420">
        <v>10</v>
      </c>
      <c r="J650" s="499"/>
      <c r="K650" s="508">
        <f t="shared" si="210"/>
        <v>125.57999999999998</v>
      </c>
      <c r="L650" s="501">
        <v>3.25</v>
      </c>
      <c r="M650" s="501"/>
      <c r="N650" s="501"/>
      <c r="O650" s="502">
        <f>K650*L650</f>
        <v>408.13499999999993</v>
      </c>
      <c r="P650" s="501"/>
      <c r="Q650" s="503"/>
      <c r="R650" s="504">
        <f t="shared" si="211"/>
        <v>408.13499999999993</v>
      </c>
      <c r="S650" s="331" t="str">
        <f t="shared" si="212"/>
        <v>m²</v>
      </c>
      <c r="T650" s="506">
        <v>17</v>
      </c>
      <c r="U650" s="507" t="s">
        <v>519</v>
      </c>
      <c r="V650" s="455">
        <f t="shared" ca="1" si="195"/>
        <v>1251.6500000000015</v>
      </c>
      <c r="W650" s="456">
        <f t="shared" ca="1" si="196"/>
        <v>2</v>
      </c>
      <c r="X650" s="456">
        <f t="shared" ca="1" si="197"/>
        <v>1</v>
      </c>
      <c r="Y650" s="250"/>
      <c r="Z650" s="250"/>
    </row>
    <row r="651" spans="1:26" s="111" customFormat="1" ht="15" x14ac:dyDescent="0.2">
      <c r="A651" s="288"/>
      <c r="B651" s="322"/>
      <c r="C651" s="382"/>
      <c r="D651" s="324"/>
      <c r="E651" s="325"/>
      <c r="F651" s="326"/>
      <c r="G651" s="324"/>
      <c r="H651" s="325"/>
      <c r="I651" s="326"/>
      <c r="J651" s="317"/>
      <c r="K651" s="328"/>
      <c r="L651" s="328"/>
      <c r="M651" s="328"/>
      <c r="N651" s="328"/>
      <c r="O651" s="334"/>
      <c r="P651" s="328"/>
      <c r="Q651" s="334"/>
      <c r="R651" s="333"/>
      <c r="S651" s="331"/>
      <c r="T651" s="320"/>
      <c r="U651" s="335"/>
      <c r="V651" s="455">
        <f t="shared" ca="1" si="195"/>
        <v>1251.6500000000015</v>
      </c>
      <c r="W651" s="456">
        <f t="shared" ca="1" si="196"/>
        <v>0</v>
      </c>
      <c r="X651" s="456">
        <f t="shared" ca="1" si="197"/>
        <v>1</v>
      </c>
      <c r="Y651" s="250"/>
      <c r="Z651" s="250"/>
    </row>
    <row r="652" spans="1:26" s="111" customFormat="1" ht="15.75" x14ac:dyDescent="0.2">
      <c r="A652" s="399"/>
      <c r="B652" s="322"/>
      <c r="C652" s="434" t="s">
        <v>532</v>
      </c>
      <c r="D652" s="417"/>
      <c r="E652" s="314"/>
      <c r="F652" s="418"/>
      <c r="G652" s="419"/>
      <c r="H652" s="316"/>
      <c r="I652" s="420"/>
      <c r="J652" s="431"/>
      <c r="K652" s="433"/>
      <c r="L652" s="433"/>
      <c r="M652" s="433"/>
      <c r="N652" s="328"/>
      <c r="O652" s="328"/>
      <c r="P652" s="328"/>
      <c r="Q652" s="334"/>
      <c r="R652" s="333"/>
      <c r="S652" s="331"/>
      <c r="T652" s="320">
        <v>28</v>
      </c>
      <c r="U652" s="335"/>
      <c r="V652" s="455">
        <f t="shared" ca="1" si="195"/>
        <v>1251.6500000000015</v>
      </c>
      <c r="W652" s="456">
        <f t="shared" ca="1" si="196"/>
        <v>2</v>
      </c>
      <c r="X652" s="456">
        <f t="shared" ca="1" si="197"/>
        <v>1</v>
      </c>
      <c r="Y652" s="250"/>
      <c r="Z652" s="250"/>
    </row>
    <row r="653" spans="1:26" s="111" customFormat="1" ht="25.5" x14ac:dyDescent="0.2">
      <c r="A653" s="399"/>
      <c r="B653" s="322"/>
      <c r="C653" s="312" t="s">
        <v>536</v>
      </c>
      <c r="D653" s="419">
        <v>80</v>
      </c>
      <c r="E653" s="316" t="s">
        <v>518</v>
      </c>
      <c r="F653" s="420">
        <v>8</v>
      </c>
      <c r="G653" s="419">
        <v>99</v>
      </c>
      <c r="H653" s="316" t="s">
        <v>518</v>
      </c>
      <c r="I653" s="420">
        <v>6.4</v>
      </c>
      <c r="J653" s="431">
        <v>2</v>
      </c>
      <c r="K653" s="421">
        <f t="shared" ref="K653:K661" si="213">ABS((G653*20+I653)-(D653*20+F653))</f>
        <v>378.40000000000009</v>
      </c>
      <c r="L653" s="328"/>
      <c r="M653" s="328">
        <v>0.35</v>
      </c>
      <c r="N653" s="328"/>
      <c r="O653" s="493">
        <f>M653*K653*J653</f>
        <v>264.88000000000005</v>
      </c>
      <c r="P653" s="328"/>
      <c r="Q653" s="334"/>
      <c r="R653" s="333">
        <f t="shared" ref="R653:R661" si="214">O653</f>
        <v>264.88000000000005</v>
      </c>
      <c r="S653" s="331" t="str">
        <f t="shared" ref="S653:S661" si="215">$L$944</f>
        <v>m²</v>
      </c>
      <c r="T653" s="320">
        <v>28</v>
      </c>
      <c r="U653" s="424" t="s">
        <v>519</v>
      </c>
      <c r="V653" s="455">
        <f t="shared" ref="V653:V716" ca="1" si="216">IF(OFFSET(V653,1,1)=1,OFFSET(V653,0,-4),OFFSET(V653,1,0))</f>
        <v>1251.6500000000015</v>
      </c>
      <c r="W653" s="456">
        <f t="shared" ref="W653:W716" ca="1" si="217">IF(LEFT(_xlfn.FORMULATEXT(V653),3)="=SO",1,IF(COUNTA(A653:U653)=0,0,2))</f>
        <v>2</v>
      </c>
      <c r="X653" s="456">
        <f t="shared" ref="X653:X716" ca="1" si="218">IF(COUNTA(OFFSET(A652,1,0))-COUNTA(A652)=-1,0,1)</f>
        <v>1</v>
      </c>
      <c r="Y653" s="250"/>
      <c r="Z653" s="250"/>
    </row>
    <row r="654" spans="1:26" s="111" customFormat="1" ht="25.5" x14ac:dyDescent="0.2">
      <c r="A654" s="399"/>
      <c r="B654" s="322"/>
      <c r="C654" s="312" t="s">
        <v>537</v>
      </c>
      <c r="D654" s="419">
        <v>80</v>
      </c>
      <c r="E654" s="316" t="s">
        <v>518</v>
      </c>
      <c r="F654" s="420">
        <v>8</v>
      </c>
      <c r="G654" s="419">
        <v>99</v>
      </c>
      <c r="H654" s="316" t="s">
        <v>518</v>
      </c>
      <c r="I654" s="420">
        <v>6.4</v>
      </c>
      <c r="J654" s="431">
        <f>ROUNDUP(K654/30,0)+1</f>
        <v>14</v>
      </c>
      <c r="K654" s="421">
        <f t="shared" si="213"/>
        <v>378.40000000000009</v>
      </c>
      <c r="L654" s="328">
        <v>12</v>
      </c>
      <c r="M654" s="328">
        <v>0.25</v>
      </c>
      <c r="N654" s="328"/>
      <c r="O654" s="493">
        <f>M654*L654*J654</f>
        <v>42</v>
      </c>
      <c r="P654" s="328"/>
      <c r="Q654" s="334"/>
      <c r="R654" s="333">
        <f t="shared" si="214"/>
        <v>42</v>
      </c>
      <c r="S654" s="331" t="str">
        <f t="shared" si="215"/>
        <v>m²</v>
      </c>
      <c r="T654" s="320">
        <v>28</v>
      </c>
      <c r="U654" s="424" t="s">
        <v>519</v>
      </c>
      <c r="V654" s="455">
        <f t="shared" ca="1" si="216"/>
        <v>1251.6500000000015</v>
      </c>
      <c r="W654" s="456">
        <f t="shared" ca="1" si="217"/>
        <v>2</v>
      </c>
      <c r="X654" s="456">
        <f t="shared" ca="1" si="218"/>
        <v>1</v>
      </c>
      <c r="Y654" s="250"/>
      <c r="Z654" s="250"/>
    </row>
    <row r="655" spans="1:26" s="111" customFormat="1" ht="25.5" x14ac:dyDescent="0.2">
      <c r="A655" s="399"/>
      <c r="B655" s="322"/>
      <c r="C655" s="312" t="s">
        <v>538</v>
      </c>
      <c r="D655" s="419">
        <v>80</v>
      </c>
      <c r="E655" s="316" t="s">
        <v>518</v>
      </c>
      <c r="F655" s="420">
        <v>8</v>
      </c>
      <c r="G655" s="419">
        <v>99</v>
      </c>
      <c r="H655" s="316" t="s">
        <v>518</v>
      </c>
      <c r="I655" s="420">
        <v>6.4</v>
      </c>
      <c r="J655" s="431">
        <v>2</v>
      </c>
      <c r="K655" s="421">
        <f t="shared" si="213"/>
        <v>378.40000000000009</v>
      </c>
      <c r="L655" s="328"/>
      <c r="M655" s="328">
        <v>0.25</v>
      </c>
      <c r="N655" s="328"/>
      <c r="O655" s="493">
        <f>M655*K655*J655</f>
        <v>189.20000000000005</v>
      </c>
      <c r="P655" s="328"/>
      <c r="Q655" s="334"/>
      <c r="R655" s="333">
        <f t="shared" si="214"/>
        <v>189.20000000000005</v>
      </c>
      <c r="S655" s="331" t="str">
        <f t="shared" si="215"/>
        <v>m²</v>
      </c>
      <c r="T655" s="320">
        <v>28</v>
      </c>
      <c r="U655" s="424" t="s">
        <v>519</v>
      </c>
      <c r="V655" s="455">
        <f t="shared" ca="1" si="216"/>
        <v>1251.6500000000015</v>
      </c>
      <c r="W655" s="456">
        <f t="shared" ca="1" si="217"/>
        <v>2</v>
      </c>
      <c r="X655" s="456">
        <f t="shared" ca="1" si="218"/>
        <v>1</v>
      </c>
      <c r="Y655" s="250"/>
      <c r="Z655" s="250"/>
    </row>
    <row r="656" spans="1:26" s="111" customFormat="1" ht="25.5" x14ac:dyDescent="0.2">
      <c r="A656" s="399"/>
      <c r="B656" s="322"/>
      <c r="C656" s="312" t="s">
        <v>539</v>
      </c>
      <c r="D656" s="419">
        <v>80</v>
      </c>
      <c r="E656" s="316" t="s">
        <v>518</v>
      </c>
      <c r="F656" s="420">
        <v>8</v>
      </c>
      <c r="G656" s="419">
        <v>99</v>
      </c>
      <c r="H656" s="316" t="s">
        <v>518</v>
      </c>
      <c r="I656" s="420">
        <v>6.4</v>
      </c>
      <c r="J656" s="431">
        <v>2</v>
      </c>
      <c r="K656" s="421">
        <f t="shared" si="213"/>
        <v>378.40000000000009</v>
      </c>
      <c r="L656" s="328">
        <v>0.28299999999999997</v>
      </c>
      <c r="M656" s="328"/>
      <c r="N656" s="328"/>
      <c r="O656" s="493">
        <f>J656*K656*L656</f>
        <v>214.17440000000002</v>
      </c>
      <c r="P656" s="328"/>
      <c r="Q656" s="334"/>
      <c r="R656" s="333">
        <f t="shared" si="214"/>
        <v>214.17440000000002</v>
      </c>
      <c r="S656" s="331" t="str">
        <f t="shared" si="215"/>
        <v>m²</v>
      </c>
      <c r="T656" s="320">
        <v>28</v>
      </c>
      <c r="U656" s="424" t="s">
        <v>519</v>
      </c>
      <c r="V656" s="455">
        <f t="shared" ca="1" si="216"/>
        <v>1251.6500000000015</v>
      </c>
      <c r="W656" s="456">
        <f t="shared" ca="1" si="217"/>
        <v>2</v>
      </c>
      <c r="X656" s="456">
        <f t="shared" ca="1" si="218"/>
        <v>1</v>
      </c>
      <c r="Y656" s="250"/>
      <c r="Z656" s="250"/>
    </row>
    <row r="657" spans="1:26" s="111" customFormat="1" ht="25.5" x14ac:dyDescent="0.2">
      <c r="A657" s="399"/>
      <c r="B657" s="322"/>
      <c r="C657" s="312" t="s">
        <v>540</v>
      </c>
      <c r="D657" s="419">
        <v>80</v>
      </c>
      <c r="E657" s="316" t="s">
        <v>518</v>
      </c>
      <c r="F657" s="420">
        <v>8</v>
      </c>
      <c r="G657" s="419">
        <v>99</v>
      </c>
      <c r="H657" s="316" t="s">
        <v>518</v>
      </c>
      <c r="I657" s="420">
        <v>6.4</v>
      </c>
      <c r="J657" s="431">
        <f>(ROUNDUP(K657/30,0)+1)*2</f>
        <v>28</v>
      </c>
      <c r="K657" s="421">
        <f t="shared" si="213"/>
        <v>378.40000000000009</v>
      </c>
      <c r="L657" s="328"/>
      <c r="M657" s="328"/>
      <c r="N657" s="493">
        <f>(2.3*0.25)+((0.2*0.2)/2)</f>
        <v>0.59499999999999997</v>
      </c>
      <c r="O657" s="493">
        <f>N657*J657</f>
        <v>16.66</v>
      </c>
      <c r="P657" s="328"/>
      <c r="Q657" s="334"/>
      <c r="R657" s="333">
        <f t="shared" si="214"/>
        <v>16.66</v>
      </c>
      <c r="S657" s="331" t="str">
        <f t="shared" si="215"/>
        <v>m²</v>
      </c>
      <c r="T657" s="320">
        <v>28</v>
      </c>
      <c r="U657" s="424" t="s">
        <v>519</v>
      </c>
      <c r="V657" s="455">
        <f t="shared" ca="1" si="216"/>
        <v>1251.6500000000015</v>
      </c>
      <c r="W657" s="456">
        <f t="shared" ca="1" si="217"/>
        <v>2</v>
      </c>
      <c r="X657" s="456">
        <f t="shared" ca="1" si="218"/>
        <v>1</v>
      </c>
      <c r="Y657" s="250"/>
      <c r="Z657" s="250"/>
    </row>
    <row r="658" spans="1:26" s="111" customFormat="1" ht="25.5" x14ac:dyDescent="0.2">
      <c r="A658" s="399"/>
      <c r="B658" s="322"/>
      <c r="C658" s="312" t="s">
        <v>541</v>
      </c>
      <c r="D658" s="419">
        <v>80</v>
      </c>
      <c r="E658" s="316" t="s">
        <v>518</v>
      </c>
      <c r="F658" s="420">
        <v>8</v>
      </c>
      <c r="G658" s="419">
        <v>99</v>
      </c>
      <c r="H658" s="316" t="s">
        <v>518</v>
      </c>
      <c r="I658" s="420">
        <v>6.4</v>
      </c>
      <c r="J658" s="431"/>
      <c r="K658" s="421">
        <f t="shared" si="213"/>
        <v>378.40000000000009</v>
      </c>
      <c r="L658" s="328">
        <v>2.8</v>
      </c>
      <c r="M658" s="328"/>
      <c r="N658" s="328"/>
      <c r="O658" s="493">
        <f>K658*L658</f>
        <v>1059.5200000000002</v>
      </c>
      <c r="P658" s="328"/>
      <c r="Q658" s="334"/>
      <c r="R658" s="333">
        <f t="shared" si="214"/>
        <v>1059.5200000000002</v>
      </c>
      <c r="S658" s="331" t="str">
        <f t="shared" si="215"/>
        <v>m²</v>
      </c>
      <c r="T658" s="320">
        <v>28</v>
      </c>
      <c r="U658" s="424" t="s">
        <v>519</v>
      </c>
      <c r="V658" s="455">
        <f t="shared" ca="1" si="216"/>
        <v>1251.6500000000015</v>
      </c>
      <c r="W658" s="456">
        <f t="shared" ca="1" si="217"/>
        <v>2</v>
      </c>
      <c r="X658" s="456">
        <f t="shared" ca="1" si="218"/>
        <v>1</v>
      </c>
      <c r="Y658" s="250"/>
      <c r="Z658" s="250"/>
    </row>
    <row r="659" spans="1:26" s="111" customFormat="1" ht="25.5" x14ac:dyDescent="0.2">
      <c r="A659" s="399"/>
      <c r="B659" s="322"/>
      <c r="C659" s="312" t="s">
        <v>542</v>
      </c>
      <c r="D659" s="419">
        <v>80</v>
      </c>
      <c r="E659" s="316" t="s">
        <v>518</v>
      </c>
      <c r="F659" s="420">
        <v>8</v>
      </c>
      <c r="G659" s="419">
        <v>99</v>
      </c>
      <c r="H659" s="316" t="s">
        <v>518</v>
      </c>
      <c r="I659" s="420">
        <v>6.4</v>
      </c>
      <c r="J659" s="431"/>
      <c r="K659" s="421">
        <f t="shared" si="213"/>
        <v>378.40000000000009</v>
      </c>
      <c r="L659" s="328">
        <v>3.25</v>
      </c>
      <c r="M659" s="328"/>
      <c r="N659" s="328"/>
      <c r="O659" s="493">
        <f>K659*L659</f>
        <v>1229.8000000000002</v>
      </c>
      <c r="P659" s="328"/>
      <c r="Q659" s="334"/>
      <c r="R659" s="333">
        <f t="shared" si="214"/>
        <v>1229.8000000000002</v>
      </c>
      <c r="S659" s="331" t="str">
        <f t="shared" si="215"/>
        <v>m²</v>
      </c>
      <c r="T659" s="320">
        <v>28</v>
      </c>
      <c r="U659" s="424" t="s">
        <v>519</v>
      </c>
      <c r="V659" s="455">
        <f t="shared" ca="1" si="216"/>
        <v>1251.6500000000015</v>
      </c>
      <c r="W659" s="456">
        <f t="shared" ca="1" si="217"/>
        <v>2</v>
      </c>
      <c r="X659" s="456">
        <f t="shared" ca="1" si="218"/>
        <v>1</v>
      </c>
      <c r="Y659" s="250"/>
      <c r="Z659" s="250"/>
    </row>
    <row r="660" spans="1:26" s="111" customFormat="1" ht="25.5" x14ac:dyDescent="0.2">
      <c r="A660" s="399"/>
      <c r="B660" s="322"/>
      <c r="C660" s="312" t="s">
        <v>543</v>
      </c>
      <c r="D660" s="419">
        <v>80</v>
      </c>
      <c r="E660" s="316" t="s">
        <v>518</v>
      </c>
      <c r="F660" s="420">
        <v>8</v>
      </c>
      <c r="G660" s="419">
        <v>99</v>
      </c>
      <c r="H660" s="316" t="s">
        <v>518</v>
      </c>
      <c r="I660" s="420">
        <v>6.4</v>
      </c>
      <c r="J660" s="431"/>
      <c r="K660" s="421">
        <f t="shared" si="213"/>
        <v>378.40000000000009</v>
      </c>
      <c r="L660" s="328">
        <v>2.8</v>
      </c>
      <c r="M660" s="328"/>
      <c r="N660" s="328"/>
      <c r="O660" s="493">
        <f>K660*L660</f>
        <v>1059.5200000000002</v>
      </c>
      <c r="P660" s="328"/>
      <c r="Q660" s="334"/>
      <c r="R660" s="333">
        <f t="shared" si="214"/>
        <v>1059.5200000000002</v>
      </c>
      <c r="S660" s="331" t="str">
        <f t="shared" si="215"/>
        <v>m²</v>
      </c>
      <c r="T660" s="320">
        <v>28</v>
      </c>
      <c r="U660" s="424" t="s">
        <v>519</v>
      </c>
      <c r="V660" s="455">
        <f t="shared" ca="1" si="216"/>
        <v>1251.6500000000015</v>
      </c>
      <c r="W660" s="456">
        <f t="shared" ca="1" si="217"/>
        <v>2</v>
      </c>
      <c r="X660" s="456">
        <f t="shared" ca="1" si="218"/>
        <v>1</v>
      </c>
      <c r="Y660" s="250"/>
      <c r="Z660" s="250"/>
    </row>
    <row r="661" spans="1:26" s="111" customFormat="1" ht="25.5" x14ac:dyDescent="0.2">
      <c r="A661" s="399"/>
      <c r="B661" s="494"/>
      <c r="C661" s="495" t="s">
        <v>544</v>
      </c>
      <c r="D661" s="419">
        <v>80</v>
      </c>
      <c r="E661" s="316" t="s">
        <v>518</v>
      </c>
      <c r="F661" s="420">
        <v>8</v>
      </c>
      <c r="G661" s="419">
        <v>99</v>
      </c>
      <c r="H661" s="316" t="s">
        <v>518</v>
      </c>
      <c r="I661" s="420">
        <v>6.4</v>
      </c>
      <c r="J661" s="499"/>
      <c r="K661" s="508">
        <f t="shared" si="213"/>
        <v>378.40000000000009</v>
      </c>
      <c r="L661" s="501">
        <v>3.25</v>
      </c>
      <c r="M661" s="501"/>
      <c r="N661" s="501"/>
      <c r="O661" s="502">
        <f>K661*L661</f>
        <v>1229.8000000000002</v>
      </c>
      <c r="P661" s="501"/>
      <c r="Q661" s="503"/>
      <c r="R661" s="504">
        <f t="shared" si="214"/>
        <v>1229.8000000000002</v>
      </c>
      <c r="S661" s="331" t="str">
        <f t="shared" si="215"/>
        <v>m²</v>
      </c>
      <c r="T661" s="506">
        <v>28</v>
      </c>
      <c r="U661" s="507" t="s">
        <v>519</v>
      </c>
      <c r="V661" s="455">
        <f t="shared" ca="1" si="216"/>
        <v>1251.6500000000015</v>
      </c>
      <c r="W661" s="456">
        <f t="shared" ca="1" si="217"/>
        <v>2</v>
      </c>
      <c r="X661" s="456">
        <f t="shared" ca="1" si="218"/>
        <v>1</v>
      </c>
      <c r="Y661" s="250"/>
      <c r="Z661" s="250"/>
    </row>
    <row r="662" spans="1:26" s="111" customFormat="1" ht="15" x14ac:dyDescent="0.2">
      <c r="A662" s="288"/>
      <c r="B662" s="322"/>
      <c r="C662" s="382"/>
      <c r="D662" s="324"/>
      <c r="E662" s="325"/>
      <c r="F662" s="326"/>
      <c r="G662" s="324"/>
      <c r="H662" s="325"/>
      <c r="I662" s="326"/>
      <c r="J662" s="317"/>
      <c r="K662" s="328"/>
      <c r="L662" s="328"/>
      <c r="M662" s="328"/>
      <c r="N662" s="328"/>
      <c r="O662" s="334"/>
      <c r="P662" s="328"/>
      <c r="Q662" s="334"/>
      <c r="R662" s="333"/>
      <c r="S662" s="331"/>
      <c r="T662" s="320"/>
      <c r="U662" s="335"/>
      <c r="V662" s="455">
        <f t="shared" ca="1" si="216"/>
        <v>1251.6500000000015</v>
      </c>
      <c r="W662" s="456">
        <f t="shared" ca="1" si="217"/>
        <v>0</v>
      </c>
      <c r="X662" s="456">
        <f t="shared" ca="1" si="218"/>
        <v>1</v>
      </c>
      <c r="Y662" s="250"/>
      <c r="Z662" s="250"/>
    </row>
    <row r="663" spans="1:26" s="111" customFormat="1" ht="15.75" x14ac:dyDescent="0.2">
      <c r="A663" s="399"/>
      <c r="B663" s="322"/>
      <c r="C663" s="434" t="s">
        <v>1063</v>
      </c>
      <c r="D663" s="417"/>
      <c r="E663" s="314"/>
      <c r="F663" s="418"/>
      <c r="G663" s="419"/>
      <c r="H663" s="316"/>
      <c r="I663" s="420"/>
      <c r="J663" s="317"/>
      <c r="K663" s="421"/>
      <c r="L663" s="328"/>
      <c r="M663" s="422"/>
      <c r="N663" s="423"/>
      <c r="O663" s="334"/>
      <c r="P663" s="328"/>
      <c r="Q663" s="334"/>
      <c r="R663" s="319"/>
      <c r="S663" s="331"/>
      <c r="T663" s="320">
        <v>31</v>
      </c>
      <c r="U663" s="335"/>
      <c r="V663" s="455">
        <f t="shared" ca="1" si="216"/>
        <v>1251.6500000000015</v>
      </c>
      <c r="W663" s="456">
        <f t="shared" ca="1" si="217"/>
        <v>2</v>
      </c>
      <c r="X663" s="456">
        <f t="shared" ca="1" si="218"/>
        <v>1</v>
      </c>
      <c r="Y663" s="250"/>
      <c r="Z663" s="250"/>
    </row>
    <row r="664" spans="1:26" s="458" customFormat="1" ht="15" x14ac:dyDescent="0.2">
      <c r="A664" s="436"/>
      <c r="B664" s="437"/>
      <c r="C664" s="438" t="s">
        <v>1061</v>
      </c>
      <c r="D664" s="419">
        <v>79</v>
      </c>
      <c r="E664" s="316" t="s">
        <v>518</v>
      </c>
      <c r="F664" s="420">
        <v>16</v>
      </c>
      <c r="G664" s="419">
        <v>80</v>
      </c>
      <c r="H664" s="316" t="s">
        <v>518</v>
      </c>
      <c r="I664" s="420">
        <v>8</v>
      </c>
      <c r="J664" s="445">
        <v>2</v>
      </c>
      <c r="K664" s="508">
        <f t="shared" ref="K664" si="219">ABS((G664*20+I664)-(D664*20+F664))</f>
        <v>12</v>
      </c>
      <c r="L664" s="447"/>
      <c r="M664" s="328">
        <v>1</v>
      </c>
      <c r="N664" s="449"/>
      <c r="O664" s="450">
        <f>M664*K664*J664</f>
        <v>24</v>
      </c>
      <c r="P664" s="447"/>
      <c r="Q664" s="450"/>
      <c r="R664" s="451">
        <f>O664</f>
        <v>24</v>
      </c>
      <c r="S664" s="331" t="str">
        <f>$L$944</f>
        <v>m²</v>
      </c>
      <c r="T664" s="453">
        <v>31</v>
      </c>
      <c r="U664" s="454"/>
      <c r="V664" s="455">
        <f t="shared" ca="1" si="216"/>
        <v>1251.6500000000015</v>
      </c>
      <c r="W664" s="456">
        <f t="shared" ca="1" si="217"/>
        <v>2</v>
      </c>
      <c r="X664" s="456">
        <f t="shared" ca="1" si="218"/>
        <v>1</v>
      </c>
      <c r="Y664" s="457"/>
      <c r="Z664" s="457"/>
    </row>
    <row r="665" spans="1:26" s="458" customFormat="1" ht="15" x14ac:dyDescent="0.2">
      <c r="A665" s="436"/>
      <c r="B665" s="437"/>
      <c r="C665" s="438" t="s">
        <v>1062</v>
      </c>
      <c r="D665" s="419">
        <v>79</v>
      </c>
      <c r="E665" s="316" t="s">
        <v>518</v>
      </c>
      <c r="F665" s="420">
        <v>16</v>
      </c>
      <c r="G665" s="419">
        <v>80</v>
      </c>
      <c r="H665" s="316" t="s">
        <v>518</v>
      </c>
      <c r="I665" s="420">
        <v>8</v>
      </c>
      <c r="J665" s="445">
        <v>2</v>
      </c>
      <c r="K665" s="446">
        <f>ABS((G665*20+I665)-(D665*20+F665))</f>
        <v>12</v>
      </c>
      <c r="L665" s="447"/>
      <c r="M665" s="328">
        <v>1</v>
      </c>
      <c r="N665" s="449"/>
      <c r="O665" s="450">
        <f>M665*K665*J665</f>
        <v>24</v>
      </c>
      <c r="P665" s="447"/>
      <c r="Q665" s="450"/>
      <c r="R665" s="451">
        <f>O665</f>
        <v>24</v>
      </c>
      <c r="S665" s="331" t="str">
        <f>$L$944</f>
        <v>m²</v>
      </c>
      <c r="T665" s="453">
        <v>31</v>
      </c>
      <c r="U665" s="454"/>
      <c r="V665" s="455">
        <f t="shared" ca="1" si="216"/>
        <v>1251.6500000000015</v>
      </c>
      <c r="W665" s="456">
        <f t="shared" ca="1" si="217"/>
        <v>2</v>
      </c>
      <c r="X665" s="456">
        <f t="shared" ca="1" si="218"/>
        <v>1</v>
      </c>
      <c r="Y665" s="457"/>
      <c r="Z665" s="457"/>
    </row>
    <row r="666" spans="1:26" s="111" customFormat="1" ht="15" x14ac:dyDescent="0.2">
      <c r="A666" s="399"/>
      <c r="B666" s="322"/>
      <c r="C666" s="312" t="s">
        <v>541</v>
      </c>
      <c r="D666" s="419">
        <v>79</v>
      </c>
      <c r="E666" s="316" t="s">
        <v>518</v>
      </c>
      <c r="F666" s="420">
        <v>16</v>
      </c>
      <c r="G666" s="419">
        <v>80</v>
      </c>
      <c r="H666" s="316" t="s">
        <v>518</v>
      </c>
      <c r="I666" s="420">
        <v>8</v>
      </c>
      <c r="J666" s="431"/>
      <c r="K666" s="421">
        <v>5</v>
      </c>
      <c r="L666" s="328">
        <v>2.8</v>
      </c>
      <c r="M666" s="328"/>
      <c r="N666" s="328"/>
      <c r="O666" s="493">
        <f>K666*L666</f>
        <v>14</v>
      </c>
      <c r="P666" s="328"/>
      <c r="Q666" s="334"/>
      <c r="R666" s="333">
        <f t="shared" ref="R666:R668" si="220">O666</f>
        <v>14</v>
      </c>
      <c r="S666" s="331" t="str">
        <f>$L$944</f>
        <v>m²</v>
      </c>
      <c r="T666" s="320">
        <v>31</v>
      </c>
      <c r="U666" s="424"/>
      <c r="V666" s="455">
        <f t="shared" ca="1" si="216"/>
        <v>1251.6500000000015</v>
      </c>
      <c r="W666" s="456">
        <f t="shared" ca="1" si="217"/>
        <v>2</v>
      </c>
      <c r="X666" s="456">
        <f t="shared" ca="1" si="218"/>
        <v>1</v>
      </c>
      <c r="Y666" s="250"/>
      <c r="Z666" s="250"/>
    </row>
    <row r="667" spans="1:26" s="111" customFormat="1" ht="15" x14ac:dyDescent="0.2">
      <c r="A667" s="399"/>
      <c r="B667" s="322"/>
      <c r="C667" s="312" t="s">
        <v>542</v>
      </c>
      <c r="D667" s="419">
        <v>79</v>
      </c>
      <c r="E667" s="316" t="s">
        <v>518</v>
      </c>
      <c r="F667" s="420">
        <v>16</v>
      </c>
      <c r="G667" s="419">
        <v>80</v>
      </c>
      <c r="H667" s="316" t="s">
        <v>518</v>
      </c>
      <c r="I667" s="420">
        <v>8</v>
      </c>
      <c r="J667" s="431"/>
      <c r="K667" s="421">
        <v>5</v>
      </c>
      <c r="L667" s="328">
        <v>3.25</v>
      </c>
      <c r="M667" s="328"/>
      <c r="N667" s="328"/>
      <c r="O667" s="493">
        <f>K667*L667</f>
        <v>16.25</v>
      </c>
      <c r="P667" s="328"/>
      <c r="Q667" s="334"/>
      <c r="R667" s="333">
        <f t="shared" si="220"/>
        <v>16.25</v>
      </c>
      <c r="S667" s="331" t="str">
        <f>$L$944</f>
        <v>m²</v>
      </c>
      <c r="T667" s="320">
        <v>31</v>
      </c>
      <c r="U667" s="424"/>
      <c r="V667" s="455">
        <f t="shared" ca="1" si="216"/>
        <v>1251.6500000000015</v>
      </c>
      <c r="W667" s="456">
        <f t="shared" ca="1" si="217"/>
        <v>2</v>
      </c>
      <c r="X667" s="456">
        <f t="shared" ca="1" si="218"/>
        <v>1</v>
      </c>
      <c r="Y667" s="250"/>
      <c r="Z667" s="250"/>
    </row>
    <row r="668" spans="1:26" s="111" customFormat="1" ht="15" x14ac:dyDescent="0.2">
      <c r="A668" s="399"/>
      <c r="B668" s="322"/>
      <c r="C668" s="312" t="s">
        <v>539</v>
      </c>
      <c r="D668" s="419">
        <v>79</v>
      </c>
      <c r="E668" s="316" t="s">
        <v>518</v>
      </c>
      <c r="F668" s="420">
        <v>16</v>
      </c>
      <c r="G668" s="419">
        <v>80</v>
      </c>
      <c r="H668" s="316" t="s">
        <v>518</v>
      </c>
      <c r="I668" s="420">
        <v>8</v>
      </c>
      <c r="J668" s="431">
        <v>1</v>
      </c>
      <c r="K668" s="421">
        <v>5</v>
      </c>
      <c r="L668" s="328">
        <v>0.28299999999999997</v>
      </c>
      <c r="M668" s="328"/>
      <c r="N668" s="328"/>
      <c r="O668" s="493">
        <f>J668*K668*L668</f>
        <v>1.4149999999999998</v>
      </c>
      <c r="P668" s="328"/>
      <c r="Q668" s="334"/>
      <c r="R668" s="333">
        <f t="shared" si="220"/>
        <v>1.4149999999999998</v>
      </c>
      <c r="S668" s="331" t="str">
        <f>$L$944</f>
        <v>m²</v>
      </c>
      <c r="T668" s="320">
        <v>31</v>
      </c>
      <c r="U668" s="424"/>
      <c r="V668" s="455">
        <f t="shared" ca="1" si="216"/>
        <v>1251.6500000000015</v>
      </c>
      <c r="W668" s="456">
        <f t="shared" ca="1" si="217"/>
        <v>2</v>
      </c>
      <c r="X668" s="456">
        <f t="shared" ca="1" si="218"/>
        <v>1</v>
      </c>
      <c r="Y668" s="250"/>
      <c r="Z668" s="250"/>
    </row>
    <row r="669" spans="1:26" s="111" customFormat="1" ht="15" x14ac:dyDescent="0.2">
      <c r="A669" s="399"/>
      <c r="B669" s="322"/>
      <c r="C669" s="312"/>
      <c r="D669" s="419"/>
      <c r="E669" s="316"/>
      <c r="F669" s="420"/>
      <c r="G669" s="419"/>
      <c r="H669" s="316"/>
      <c r="I669" s="420"/>
      <c r="J669" s="431"/>
      <c r="K669" s="421"/>
      <c r="L669" s="328"/>
      <c r="M669" s="328"/>
      <c r="N669" s="328"/>
      <c r="O669" s="493"/>
      <c r="P669" s="328"/>
      <c r="Q669" s="334"/>
      <c r="R669" s="333"/>
      <c r="S669" s="331"/>
      <c r="T669" s="320"/>
      <c r="U669" s="424"/>
      <c r="V669" s="455">
        <f t="shared" ca="1" si="216"/>
        <v>1251.6500000000015</v>
      </c>
      <c r="W669" s="456">
        <f t="shared" ca="1" si="217"/>
        <v>0</v>
      </c>
      <c r="X669" s="456">
        <f t="shared" ca="1" si="218"/>
        <v>1</v>
      </c>
      <c r="Y669" s="250"/>
      <c r="Z669" s="250"/>
    </row>
    <row r="670" spans="1:26" s="111" customFormat="1" ht="15.75" x14ac:dyDescent="0.2">
      <c r="A670" s="399"/>
      <c r="B670" s="322"/>
      <c r="C670" s="434" t="s">
        <v>532</v>
      </c>
      <c r="D670" s="417"/>
      <c r="E670" s="314"/>
      <c r="F670" s="418"/>
      <c r="G670" s="419"/>
      <c r="H670" s="316"/>
      <c r="I670" s="420"/>
      <c r="J670" s="431"/>
      <c r="K670" s="433"/>
      <c r="L670" s="433"/>
      <c r="M670" s="433"/>
      <c r="N670" s="328"/>
      <c r="O670" s="328"/>
      <c r="P670" s="328"/>
      <c r="Q670" s="334"/>
      <c r="R670" s="333"/>
      <c r="S670" s="331"/>
      <c r="T670" s="320">
        <v>31</v>
      </c>
      <c r="U670" s="335"/>
      <c r="V670" s="455">
        <f t="shared" ca="1" si="216"/>
        <v>1251.6500000000015</v>
      </c>
      <c r="W670" s="456">
        <f t="shared" ca="1" si="217"/>
        <v>2</v>
      </c>
      <c r="X670" s="456">
        <f t="shared" ca="1" si="218"/>
        <v>1</v>
      </c>
      <c r="Y670" s="250"/>
      <c r="Z670" s="250"/>
    </row>
    <row r="671" spans="1:26" s="111" customFormat="1" ht="25.5" x14ac:dyDescent="0.2">
      <c r="A671" s="399"/>
      <c r="B671" s="322"/>
      <c r="C671" s="312" t="s">
        <v>536</v>
      </c>
      <c r="D671" s="419">
        <v>72</v>
      </c>
      <c r="E671" s="316" t="s">
        <v>518</v>
      </c>
      <c r="F671" s="420">
        <v>17</v>
      </c>
      <c r="G671" s="419">
        <v>79</v>
      </c>
      <c r="H671" s="316" t="s">
        <v>518</v>
      </c>
      <c r="I671" s="420">
        <v>16</v>
      </c>
      <c r="J671" s="431">
        <v>2</v>
      </c>
      <c r="K671" s="421">
        <f t="shared" ref="K671:K679" si="221">ABS((G671*20+I671)-(D671*20+F671))</f>
        <v>139</v>
      </c>
      <c r="L671" s="328"/>
      <c r="M671" s="328">
        <v>0.35</v>
      </c>
      <c r="N671" s="328"/>
      <c r="O671" s="493">
        <f>M671*K671*J671</f>
        <v>97.3</v>
      </c>
      <c r="P671" s="328"/>
      <c r="Q671" s="334"/>
      <c r="R671" s="333">
        <f t="shared" ref="R671:R679" si="222">O671</f>
        <v>97.3</v>
      </c>
      <c r="S671" s="331" t="str">
        <f t="shared" ref="S671:S679" si="223">$L$944</f>
        <v>m²</v>
      </c>
      <c r="T671" s="320">
        <v>31</v>
      </c>
      <c r="U671" s="424" t="s">
        <v>519</v>
      </c>
      <c r="V671" s="455">
        <f t="shared" ca="1" si="216"/>
        <v>1251.6500000000015</v>
      </c>
      <c r="W671" s="456">
        <f t="shared" ca="1" si="217"/>
        <v>2</v>
      </c>
      <c r="X671" s="456">
        <f t="shared" ca="1" si="218"/>
        <v>1</v>
      </c>
      <c r="Y671" s="250"/>
      <c r="Z671" s="250"/>
    </row>
    <row r="672" spans="1:26" s="111" customFormat="1" ht="25.5" x14ac:dyDescent="0.2">
      <c r="A672" s="399"/>
      <c r="B672" s="322"/>
      <c r="C672" s="312" t="s">
        <v>537</v>
      </c>
      <c r="D672" s="419">
        <v>72</v>
      </c>
      <c r="E672" s="316" t="s">
        <v>518</v>
      </c>
      <c r="F672" s="420">
        <v>17</v>
      </c>
      <c r="G672" s="419">
        <v>79</v>
      </c>
      <c r="H672" s="316" t="s">
        <v>518</v>
      </c>
      <c r="I672" s="420">
        <v>16</v>
      </c>
      <c r="J672" s="431">
        <f>ROUNDUP(K672/30,0)+1</f>
        <v>6</v>
      </c>
      <c r="K672" s="421">
        <f t="shared" si="221"/>
        <v>139</v>
      </c>
      <c r="L672" s="328">
        <v>12</v>
      </c>
      <c r="M672" s="328">
        <v>0.25</v>
      </c>
      <c r="N672" s="328"/>
      <c r="O672" s="493">
        <f>M672*L672*J672</f>
        <v>18</v>
      </c>
      <c r="P672" s="328"/>
      <c r="Q672" s="334"/>
      <c r="R672" s="333">
        <f t="shared" si="222"/>
        <v>18</v>
      </c>
      <c r="S672" s="331" t="str">
        <f t="shared" si="223"/>
        <v>m²</v>
      </c>
      <c r="T672" s="320">
        <v>31</v>
      </c>
      <c r="U672" s="424" t="s">
        <v>519</v>
      </c>
      <c r="V672" s="455">
        <f t="shared" ca="1" si="216"/>
        <v>1251.6500000000015</v>
      </c>
      <c r="W672" s="456">
        <f t="shared" ca="1" si="217"/>
        <v>2</v>
      </c>
      <c r="X672" s="456">
        <f t="shared" ca="1" si="218"/>
        <v>1</v>
      </c>
      <c r="Y672" s="250"/>
      <c r="Z672" s="250"/>
    </row>
    <row r="673" spans="1:26" s="111" customFormat="1" ht="25.5" x14ac:dyDescent="0.2">
      <c r="A673" s="399"/>
      <c r="B673" s="322"/>
      <c r="C673" s="312" t="s">
        <v>538</v>
      </c>
      <c r="D673" s="419">
        <v>72</v>
      </c>
      <c r="E673" s="316" t="s">
        <v>518</v>
      </c>
      <c r="F673" s="420">
        <v>17</v>
      </c>
      <c r="G673" s="419">
        <v>79</v>
      </c>
      <c r="H673" s="316" t="s">
        <v>518</v>
      </c>
      <c r="I673" s="420">
        <v>16</v>
      </c>
      <c r="J673" s="431">
        <v>2</v>
      </c>
      <c r="K673" s="421">
        <f t="shared" si="221"/>
        <v>139</v>
      </c>
      <c r="L673" s="328"/>
      <c r="M673" s="328">
        <v>0.25</v>
      </c>
      <c r="N673" s="328"/>
      <c r="O673" s="493">
        <f>M673*K673*J673</f>
        <v>69.5</v>
      </c>
      <c r="P673" s="328"/>
      <c r="Q673" s="334"/>
      <c r="R673" s="333">
        <f t="shared" si="222"/>
        <v>69.5</v>
      </c>
      <c r="S673" s="331" t="str">
        <f t="shared" si="223"/>
        <v>m²</v>
      </c>
      <c r="T673" s="320">
        <v>31</v>
      </c>
      <c r="U673" s="424" t="s">
        <v>519</v>
      </c>
      <c r="V673" s="455">
        <f t="shared" ca="1" si="216"/>
        <v>1251.6500000000015</v>
      </c>
      <c r="W673" s="456">
        <f t="shared" ca="1" si="217"/>
        <v>2</v>
      </c>
      <c r="X673" s="456">
        <f t="shared" ca="1" si="218"/>
        <v>1</v>
      </c>
      <c r="Y673" s="250"/>
      <c r="Z673" s="250"/>
    </row>
    <row r="674" spans="1:26" s="111" customFormat="1" ht="25.5" x14ac:dyDescent="0.2">
      <c r="A674" s="399"/>
      <c r="B674" s="322"/>
      <c r="C674" s="312" t="s">
        <v>539</v>
      </c>
      <c r="D674" s="419">
        <v>72</v>
      </c>
      <c r="E674" s="316" t="s">
        <v>518</v>
      </c>
      <c r="F674" s="420">
        <v>17</v>
      </c>
      <c r="G674" s="419">
        <v>79</v>
      </c>
      <c r="H674" s="316" t="s">
        <v>518</v>
      </c>
      <c r="I674" s="420">
        <v>16</v>
      </c>
      <c r="J674" s="431">
        <v>2</v>
      </c>
      <c r="K674" s="421">
        <f t="shared" si="221"/>
        <v>139</v>
      </c>
      <c r="L674" s="328">
        <v>0.28299999999999997</v>
      </c>
      <c r="M674" s="328"/>
      <c r="N674" s="328"/>
      <c r="O674" s="493">
        <f>J674*K674*L674</f>
        <v>78.673999999999992</v>
      </c>
      <c r="P674" s="328"/>
      <c r="Q674" s="334"/>
      <c r="R674" s="333">
        <f t="shared" si="222"/>
        <v>78.673999999999992</v>
      </c>
      <c r="S674" s="331" t="str">
        <f t="shared" si="223"/>
        <v>m²</v>
      </c>
      <c r="T674" s="320">
        <v>31</v>
      </c>
      <c r="U674" s="424" t="s">
        <v>519</v>
      </c>
      <c r="V674" s="455">
        <f t="shared" ca="1" si="216"/>
        <v>1251.6500000000015</v>
      </c>
      <c r="W674" s="456">
        <f t="shared" ca="1" si="217"/>
        <v>2</v>
      </c>
      <c r="X674" s="456">
        <f t="shared" ca="1" si="218"/>
        <v>1</v>
      </c>
      <c r="Y674" s="250"/>
      <c r="Z674" s="250"/>
    </row>
    <row r="675" spans="1:26" s="111" customFormat="1" ht="25.5" x14ac:dyDescent="0.2">
      <c r="A675" s="399"/>
      <c r="B675" s="322"/>
      <c r="C675" s="312" t="s">
        <v>540</v>
      </c>
      <c r="D675" s="419">
        <v>72</v>
      </c>
      <c r="E675" s="316" t="s">
        <v>518</v>
      </c>
      <c r="F675" s="420">
        <v>17</v>
      </c>
      <c r="G675" s="419">
        <v>79</v>
      </c>
      <c r="H675" s="316" t="s">
        <v>518</v>
      </c>
      <c r="I675" s="420">
        <v>16</v>
      </c>
      <c r="J675" s="431">
        <f>(ROUNDUP(K675/30,0)+1)*2</f>
        <v>12</v>
      </c>
      <c r="K675" s="421">
        <f t="shared" si="221"/>
        <v>139</v>
      </c>
      <c r="L675" s="328"/>
      <c r="M675" s="328"/>
      <c r="N675" s="493">
        <f>(2.3*0.25)+((0.2*0.2)/2)</f>
        <v>0.59499999999999997</v>
      </c>
      <c r="O675" s="493">
        <f>N675*J675</f>
        <v>7.14</v>
      </c>
      <c r="P675" s="328"/>
      <c r="Q675" s="334"/>
      <c r="R675" s="333">
        <f t="shared" si="222"/>
        <v>7.14</v>
      </c>
      <c r="S675" s="331" t="str">
        <f t="shared" si="223"/>
        <v>m²</v>
      </c>
      <c r="T675" s="320">
        <v>31</v>
      </c>
      <c r="U675" s="424" t="s">
        <v>519</v>
      </c>
      <c r="V675" s="455">
        <f t="shared" ca="1" si="216"/>
        <v>1251.6500000000015</v>
      </c>
      <c r="W675" s="456">
        <f t="shared" ca="1" si="217"/>
        <v>2</v>
      </c>
      <c r="X675" s="456">
        <f t="shared" ca="1" si="218"/>
        <v>1</v>
      </c>
      <c r="Y675" s="250"/>
      <c r="Z675" s="250"/>
    </row>
    <row r="676" spans="1:26" s="111" customFormat="1" ht="25.5" x14ac:dyDescent="0.2">
      <c r="A676" s="399"/>
      <c r="B676" s="322"/>
      <c r="C676" s="312" t="s">
        <v>541</v>
      </c>
      <c r="D676" s="419">
        <v>72</v>
      </c>
      <c r="E676" s="316" t="s">
        <v>518</v>
      </c>
      <c r="F676" s="420">
        <v>17</v>
      </c>
      <c r="G676" s="419">
        <v>79</v>
      </c>
      <c r="H676" s="316" t="s">
        <v>518</v>
      </c>
      <c r="I676" s="420">
        <v>16</v>
      </c>
      <c r="J676" s="431"/>
      <c r="K676" s="421">
        <f t="shared" si="221"/>
        <v>139</v>
      </c>
      <c r="L676" s="328">
        <v>2.8</v>
      </c>
      <c r="M676" s="328"/>
      <c r="N676" s="328"/>
      <c r="O676" s="493">
        <f>K676*L676</f>
        <v>389.2</v>
      </c>
      <c r="P676" s="328"/>
      <c r="Q676" s="334"/>
      <c r="R676" s="333">
        <f t="shared" si="222"/>
        <v>389.2</v>
      </c>
      <c r="S676" s="331" t="str">
        <f t="shared" si="223"/>
        <v>m²</v>
      </c>
      <c r="T676" s="320">
        <v>31</v>
      </c>
      <c r="U676" s="424" t="s">
        <v>519</v>
      </c>
      <c r="V676" s="455">
        <f t="shared" ca="1" si="216"/>
        <v>1251.6500000000015</v>
      </c>
      <c r="W676" s="456">
        <f t="shared" ca="1" si="217"/>
        <v>2</v>
      </c>
      <c r="X676" s="456">
        <f t="shared" ca="1" si="218"/>
        <v>1</v>
      </c>
      <c r="Y676" s="250"/>
      <c r="Z676" s="250"/>
    </row>
    <row r="677" spans="1:26" s="111" customFormat="1" ht="25.5" x14ac:dyDescent="0.2">
      <c r="A677" s="399"/>
      <c r="B677" s="322"/>
      <c r="C677" s="312" t="s">
        <v>542</v>
      </c>
      <c r="D677" s="419">
        <v>72</v>
      </c>
      <c r="E677" s="316" t="s">
        <v>518</v>
      </c>
      <c r="F677" s="420">
        <v>17</v>
      </c>
      <c r="G677" s="419">
        <v>79</v>
      </c>
      <c r="H677" s="316" t="s">
        <v>518</v>
      </c>
      <c r="I677" s="420">
        <v>16</v>
      </c>
      <c r="J677" s="431"/>
      <c r="K677" s="421">
        <f t="shared" si="221"/>
        <v>139</v>
      </c>
      <c r="L677" s="328">
        <v>3.25</v>
      </c>
      <c r="M677" s="328"/>
      <c r="N677" s="328"/>
      <c r="O677" s="493">
        <f>K677*L677</f>
        <v>451.75</v>
      </c>
      <c r="P677" s="328"/>
      <c r="Q677" s="334"/>
      <c r="R677" s="333">
        <f t="shared" si="222"/>
        <v>451.75</v>
      </c>
      <c r="S677" s="331" t="str">
        <f t="shared" si="223"/>
        <v>m²</v>
      </c>
      <c r="T677" s="320">
        <v>31</v>
      </c>
      <c r="U677" s="424" t="s">
        <v>519</v>
      </c>
      <c r="V677" s="455">
        <f t="shared" ca="1" si="216"/>
        <v>1251.6500000000015</v>
      </c>
      <c r="W677" s="456">
        <f t="shared" ca="1" si="217"/>
        <v>2</v>
      </c>
      <c r="X677" s="456">
        <f t="shared" ca="1" si="218"/>
        <v>1</v>
      </c>
      <c r="Y677" s="250"/>
      <c r="Z677" s="250"/>
    </row>
    <row r="678" spans="1:26" s="111" customFormat="1" ht="25.5" x14ac:dyDescent="0.2">
      <c r="A678" s="399"/>
      <c r="B678" s="322"/>
      <c r="C678" s="312" t="s">
        <v>543</v>
      </c>
      <c r="D678" s="419">
        <v>72</v>
      </c>
      <c r="E678" s="316" t="s">
        <v>518</v>
      </c>
      <c r="F678" s="420">
        <v>17</v>
      </c>
      <c r="G678" s="419">
        <v>79</v>
      </c>
      <c r="H678" s="316" t="s">
        <v>518</v>
      </c>
      <c r="I678" s="420">
        <v>16</v>
      </c>
      <c r="J678" s="431"/>
      <c r="K678" s="421">
        <f t="shared" si="221"/>
        <v>139</v>
      </c>
      <c r="L678" s="328">
        <v>2.8</v>
      </c>
      <c r="M678" s="328"/>
      <c r="N678" s="328"/>
      <c r="O678" s="493">
        <f>K678*L678</f>
        <v>389.2</v>
      </c>
      <c r="P678" s="328"/>
      <c r="Q678" s="334"/>
      <c r="R678" s="333">
        <f t="shared" si="222"/>
        <v>389.2</v>
      </c>
      <c r="S678" s="331" t="str">
        <f t="shared" si="223"/>
        <v>m²</v>
      </c>
      <c r="T678" s="320">
        <v>31</v>
      </c>
      <c r="U678" s="424" t="s">
        <v>519</v>
      </c>
      <c r="V678" s="455">
        <f t="shared" ca="1" si="216"/>
        <v>1251.6500000000015</v>
      </c>
      <c r="W678" s="456">
        <f t="shared" ca="1" si="217"/>
        <v>2</v>
      </c>
      <c r="X678" s="456">
        <f t="shared" ca="1" si="218"/>
        <v>1</v>
      </c>
      <c r="Y678" s="250"/>
      <c r="Z678" s="250"/>
    </row>
    <row r="679" spans="1:26" s="111" customFormat="1" ht="25.5" x14ac:dyDescent="0.2">
      <c r="A679" s="399"/>
      <c r="B679" s="494"/>
      <c r="C679" s="495" t="s">
        <v>544</v>
      </c>
      <c r="D679" s="419">
        <v>72</v>
      </c>
      <c r="E679" s="316" t="s">
        <v>518</v>
      </c>
      <c r="F679" s="420">
        <v>17</v>
      </c>
      <c r="G679" s="419">
        <v>79</v>
      </c>
      <c r="H679" s="316" t="s">
        <v>518</v>
      </c>
      <c r="I679" s="420">
        <v>16</v>
      </c>
      <c r="J679" s="499"/>
      <c r="K679" s="508">
        <f t="shared" si="221"/>
        <v>139</v>
      </c>
      <c r="L679" s="501">
        <v>3.25</v>
      </c>
      <c r="M679" s="501"/>
      <c r="N679" s="501"/>
      <c r="O679" s="502">
        <f>K679*L679</f>
        <v>451.75</v>
      </c>
      <c r="P679" s="501"/>
      <c r="Q679" s="503"/>
      <c r="R679" s="504">
        <f t="shared" si="222"/>
        <v>451.75</v>
      </c>
      <c r="S679" s="331" t="str">
        <f t="shared" si="223"/>
        <v>m²</v>
      </c>
      <c r="T679" s="506">
        <v>31</v>
      </c>
      <c r="U679" s="507" t="s">
        <v>519</v>
      </c>
      <c r="V679" s="455">
        <f t="shared" ca="1" si="216"/>
        <v>1251.6500000000015</v>
      </c>
      <c r="W679" s="456">
        <f t="shared" ca="1" si="217"/>
        <v>2</v>
      </c>
      <c r="X679" s="456">
        <f t="shared" ca="1" si="218"/>
        <v>1</v>
      </c>
      <c r="Y679" s="250"/>
      <c r="Z679" s="250"/>
    </row>
    <row r="680" spans="1:26" s="111" customFormat="1" ht="15" x14ac:dyDescent="0.2">
      <c r="A680" s="288"/>
      <c r="B680" s="322"/>
      <c r="C680" s="382"/>
      <c r="D680" s="324"/>
      <c r="E680" s="325"/>
      <c r="F680" s="326"/>
      <c r="G680" s="324"/>
      <c r="H680" s="325"/>
      <c r="I680" s="326"/>
      <c r="J680" s="317"/>
      <c r="K680" s="328"/>
      <c r="L680" s="328"/>
      <c r="M680" s="328"/>
      <c r="N680" s="328"/>
      <c r="O680" s="334"/>
      <c r="P680" s="328"/>
      <c r="Q680" s="334"/>
      <c r="R680" s="333"/>
      <c r="S680" s="331"/>
      <c r="T680" s="320"/>
      <c r="U680" s="335"/>
      <c r="V680" s="455">
        <f t="shared" ca="1" si="216"/>
        <v>1251.6500000000015</v>
      </c>
      <c r="W680" s="456">
        <f t="shared" ca="1" si="217"/>
        <v>0</v>
      </c>
      <c r="X680" s="456">
        <f t="shared" ca="1" si="218"/>
        <v>1</v>
      </c>
      <c r="Y680" s="250"/>
      <c r="Z680" s="250"/>
    </row>
    <row r="681" spans="1:26" s="111" customFormat="1" ht="15.75" x14ac:dyDescent="0.2">
      <c r="A681" s="399"/>
      <c r="B681" s="322"/>
      <c r="C681" s="434" t="s">
        <v>532</v>
      </c>
      <c r="D681" s="417"/>
      <c r="E681" s="314"/>
      <c r="F681" s="418"/>
      <c r="G681" s="419"/>
      <c r="H681" s="316"/>
      <c r="I681" s="420"/>
      <c r="J681" s="431"/>
      <c r="K681" s="433"/>
      <c r="L681" s="433"/>
      <c r="M681" s="433"/>
      <c r="N681" s="328"/>
      <c r="O681" s="328"/>
      <c r="P681" s="328"/>
      <c r="Q681" s="334"/>
      <c r="R681" s="333"/>
      <c r="S681" s="331"/>
      <c r="T681" s="320">
        <v>32</v>
      </c>
      <c r="U681" s="335"/>
      <c r="V681" s="455">
        <f t="shared" ca="1" si="216"/>
        <v>1251.6500000000015</v>
      </c>
      <c r="W681" s="456">
        <f t="shared" ca="1" si="217"/>
        <v>2</v>
      </c>
      <c r="X681" s="456">
        <f t="shared" ca="1" si="218"/>
        <v>1</v>
      </c>
      <c r="Y681" s="250"/>
      <c r="Z681" s="250"/>
    </row>
    <row r="682" spans="1:26" s="111" customFormat="1" ht="25.5" x14ac:dyDescent="0.2">
      <c r="A682" s="399"/>
      <c r="B682" s="322"/>
      <c r="C682" s="312" t="s">
        <v>536</v>
      </c>
      <c r="D682" s="419">
        <v>71</v>
      </c>
      <c r="E682" s="316" t="s">
        <v>518</v>
      </c>
      <c r="F682" s="420">
        <v>7</v>
      </c>
      <c r="G682" s="419">
        <v>72</v>
      </c>
      <c r="H682" s="316" t="s">
        <v>518</v>
      </c>
      <c r="I682" s="420">
        <v>17</v>
      </c>
      <c r="J682" s="431">
        <v>2</v>
      </c>
      <c r="K682" s="421">
        <f t="shared" ref="K682:K690" si="224">ABS((G682*20+I682)-(D682*20+F682))</f>
        <v>30</v>
      </c>
      <c r="L682" s="328"/>
      <c r="M682" s="328">
        <v>0.35</v>
      </c>
      <c r="N682" s="328"/>
      <c r="O682" s="493">
        <f>M682*K682*J682</f>
        <v>21</v>
      </c>
      <c r="P682" s="328"/>
      <c r="Q682" s="334"/>
      <c r="R682" s="333">
        <f t="shared" ref="R682:R690" si="225">O682</f>
        <v>21</v>
      </c>
      <c r="S682" s="331" t="str">
        <f t="shared" ref="S682:S690" si="226">$L$944</f>
        <v>m²</v>
      </c>
      <c r="T682" s="320">
        <v>32</v>
      </c>
      <c r="U682" s="424" t="s">
        <v>519</v>
      </c>
      <c r="V682" s="455">
        <f t="shared" ca="1" si="216"/>
        <v>1251.6500000000015</v>
      </c>
      <c r="W682" s="456">
        <f t="shared" ca="1" si="217"/>
        <v>2</v>
      </c>
      <c r="X682" s="456">
        <f t="shared" ca="1" si="218"/>
        <v>1</v>
      </c>
      <c r="Y682" s="250"/>
      <c r="Z682" s="250"/>
    </row>
    <row r="683" spans="1:26" s="111" customFormat="1" ht="25.5" x14ac:dyDescent="0.2">
      <c r="A683" s="399"/>
      <c r="B683" s="322"/>
      <c r="C683" s="312" t="s">
        <v>537</v>
      </c>
      <c r="D683" s="419">
        <v>71</v>
      </c>
      <c r="E683" s="316" t="s">
        <v>518</v>
      </c>
      <c r="F683" s="420">
        <v>7</v>
      </c>
      <c r="G683" s="419">
        <v>72</v>
      </c>
      <c r="H683" s="316" t="s">
        <v>518</v>
      </c>
      <c r="I683" s="420">
        <v>17</v>
      </c>
      <c r="J683" s="431">
        <f>ROUNDUP(K683/30,0)+1</f>
        <v>2</v>
      </c>
      <c r="K683" s="421">
        <f t="shared" si="224"/>
        <v>30</v>
      </c>
      <c r="L683" s="328">
        <v>12</v>
      </c>
      <c r="M683" s="328">
        <v>0.25</v>
      </c>
      <c r="N683" s="328"/>
      <c r="O683" s="493">
        <f>M683*L683*J683</f>
        <v>6</v>
      </c>
      <c r="P683" s="328"/>
      <c r="Q683" s="334"/>
      <c r="R683" s="333">
        <f t="shared" si="225"/>
        <v>6</v>
      </c>
      <c r="S683" s="331" t="str">
        <f t="shared" si="226"/>
        <v>m²</v>
      </c>
      <c r="T683" s="320">
        <v>32</v>
      </c>
      <c r="U683" s="424" t="s">
        <v>519</v>
      </c>
      <c r="V683" s="455">
        <f t="shared" ca="1" si="216"/>
        <v>1251.6500000000015</v>
      </c>
      <c r="W683" s="456">
        <f t="shared" ca="1" si="217"/>
        <v>2</v>
      </c>
      <c r="X683" s="456">
        <f t="shared" ca="1" si="218"/>
        <v>1</v>
      </c>
      <c r="Y683" s="250"/>
      <c r="Z683" s="250"/>
    </row>
    <row r="684" spans="1:26" s="111" customFormat="1" ht="25.5" x14ac:dyDescent="0.2">
      <c r="A684" s="399"/>
      <c r="B684" s="322"/>
      <c r="C684" s="312" t="s">
        <v>538</v>
      </c>
      <c r="D684" s="419">
        <v>71</v>
      </c>
      <c r="E684" s="316" t="s">
        <v>518</v>
      </c>
      <c r="F684" s="420">
        <v>7</v>
      </c>
      <c r="G684" s="419">
        <v>72</v>
      </c>
      <c r="H684" s="316" t="s">
        <v>518</v>
      </c>
      <c r="I684" s="420">
        <v>17</v>
      </c>
      <c r="J684" s="431">
        <v>2</v>
      </c>
      <c r="K684" s="421">
        <f t="shared" si="224"/>
        <v>30</v>
      </c>
      <c r="L684" s="328"/>
      <c r="M684" s="328">
        <v>0.25</v>
      </c>
      <c r="N684" s="328"/>
      <c r="O684" s="493">
        <f>M684*K684*J684</f>
        <v>15</v>
      </c>
      <c r="P684" s="328"/>
      <c r="Q684" s="334"/>
      <c r="R684" s="333">
        <f t="shared" si="225"/>
        <v>15</v>
      </c>
      <c r="S684" s="331" t="str">
        <f t="shared" si="226"/>
        <v>m²</v>
      </c>
      <c r="T684" s="320">
        <v>32</v>
      </c>
      <c r="U684" s="424" t="s">
        <v>519</v>
      </c>
      <c r="V684" s="455">
        <f t="shared" ca="1" si="216"/>
        <v>1251.6500000000015</v>
      </c>
      <c r="W684" s="456">
        <f t="shared" ca="1" si="217"/>
        <v>2</v>
      </c>
      <c r="X684" s="456">
        <f t="shared" ca="1" si="218"/>
        <v>1</v>
      </c>
      <c r="Y684" s="250"/>
      <c r="Z684" s="250"/>
    </row>
    <row r="685" spans="1:26" s="111" customFormat="1" ht="25.5" x14ac:dyDescent="0.2">
      <c r="A685" s="399"/>
      <c r="B685" s="322"/>
      <c r="C685" s="312" t="s">
        <v>539</v>
      </c>
      <c r="D685" s="419">
        <v>71</v>
      </c>
      <c r="E685" s="316" t="s">
        <v>518</v>
      </c>
      <c r="F685" s="420">
        <v>7</v>
      </c>
      <c r="G685" s="419">
        <v>72</v>
      </c>
      <c r="H685" s="316" t="s">
        <v>518</v>
      </c>
      <c r="I685" s="420">
        <v>17</v>
      </c>
      <c r="J685" s="431">
        <v>2</v>
      </c>
      <c r="K685" s="421">
        <f t="shared" si="224"/>
        <v>30</v>
      </c>
      <c r="L685" s="328">
        <v>0.28299999999999997</v>
      </c>
      <c r="M685" s="328"/>
      <c r="N685" s="328"/>
      <c r="O685" s="493">
        <f>J685*K685*L685</f>
        <v>16.979999999999997</v>
      </c>
      <c r="P685" s="328"/>
      <c r="Q685" s="334"/>
      <c r="R685" s="333">
        <f t="shared" si="225"/>
        <v>16.979999999999997</v>
      </c>
      <c r="S685" s="331" t="str">
        <f t="shared" si="226"/>
        <v>m²</v>
      </c>
      <c r="T685" s="320">
        <v>32</v>
      </c>
      <c r="U685" s="424" t="s">
        <v>519</v>
      </c>
      <c r="V685" s="455">
        <f t="shared" ca="1" si="216"/>
        <v>1251.6500000000015</v>
      </c>
      <c r="W685" s="456">
        <f t="shared" ca="1" si="217"/>
        <v>2</v>
      </c>
      <c r="X685" s="456">
        <f t="shared" ca="1" si="218"/>
        <v>1</v>
      </c>
      <c r="Y685" s="250"/>
      <c r="Z685" s="250"/>
    </row>
    <row r="686" spans="1:26" s="111" customFormat="1" ht="25.5" x14ac:dyDescent="0.2">
      <c r="A686" s="399"/>
      <c r="B686" s="322"/>
      <c r="C686" s="312" t="s">
        <v>540</v>
      </c>
      <c r="D686" s="419">
        <v>71</v>
      </c>
      <c r="E686" s="316" t="s">
        <v>518</v>
      </c>
      <c r="F686" s="420">
        <v>7</v>
      </c>
      <c r="G686" s="419">
        <v>72</v>
      </c>
      <c r="H686" s="316" t="s">
        <v>518</v>
      </c>
      <c r="I686" s="420">
        <v>17</v>
      </c>
      <c r="J686" s="431">
        <f>(ROUNDUP(K686/30,0)+1)*2</f>
        <v>4</v>
      </c>
      <c r="K686" s="421">
        <f t="shared" si="224"/>
        <v>30</v>
      </c>
      <c r="L686" s="328"/>
      <c r="M686" s="328"/>
      <c r="N686" s="493">
        <f>(2.3*0.25)+((0.2*0.2)/2)</f>
        <v>0.59499999999999997</v>
      </c>
      <c r="O686" s="493">
        <f>N686*J686</f>
        <v>2.38</v>
      </c>
      <c r="P686" s="328"/>
      <c r="Q686" s="334"/>
      <c r="R686" s="333">
        <f t="shared" si="225"/>
        <v>2.38</v>
      </c>
      <c r="S686" s="331" t="str">
        <f t="shared" si="226"/>
        <v>m²</v>
      </c>
      <c r="T686" s="320">
        <v>32</v>
      </c>
      <c r="U686" s="424" t="s">
        <v>519</v>
      </c>
      <c r="V686" s="455">
        <f t="shared" ca="1" si="216"/>
        <v>1251.6500000000015</v>
      </c>
      <c r="W686" s="456">
        <f t="shared" ca="1" si="217"/>
        <v>2</v>
      </c>
      <c r="X686" s="456">
        <f t="shared" ca="1" si="218"/>
        <v>1</v>
      </c>
      <c r="Y686" s="250"/>
      <c r="Z686" s="250"/>
    </row>
    <row r="687" spans="1:26" s="111" customFormat="1" ht="25.5" x14ac:dyDescent="0.2">
      <c r="A687" s="399"/>
      <c r="B687" s="322"/>
      <c r="C687" s="312" t="s">
        <v>541</v>
      </c>
      <c r="D687" s="419">
        <v>71</v>
      </c>
      <c r="E687" s="316" t="s">
        <v>518</v>
      </c>
      <c r="F687" s="420">
        <v>7</v>
      </c>
      <c r="G687" s="419">
        <v>72</v>
      </c>
      <c r="H687" s="316" t="s">
        <v>518</v>
      </c>
      <c r="I687" s="420">
        <v>17</v>
      </c>
      <c r="J687" s="431"/>
      <c r="K687" s="421">
        <f t="shared" si="224"/>
        <v>30</v>
      </c>
      <c r="L687" s="328">
        <v>2.8</v>
      </c>
      <c r="M687" s="328"/>
      <c r="N687" s="328"/>
      <c r="O687" s="493">
        <f>K687*L687</f>
        <v>84</v>
      </c>
      <c r="P687" s="328"/>
      <c r="Q687" s="334"/>
      <c r="R687" s="333">
        <f t="shared" si="225"/>
        <v>84</v>
      </c>
      <c r="S687" s="331" t="str">
        <f t="shared" si="226"/>
        <v>m²</v>
      </c>
      <c r="T687" s="320">
        <v>32</v>
      </c>
      <c r="U687" s="424" t="s">
        <v>519</v>
      </c>
      <c r="V687" s="455">
        <f t="shared" ca="1" si="216"/>
        <v>1251.6500000000015</v>
      </c>
      <c r="W687" s="456">
        <f t="shared" ca="1" si="217"/>
        <v>2</v>
      </c>
      <c r="X687" s="456">
        <f t="shared" ca="1" si="218"/>
        <v>1</v>
      </c>
      <c r="Y687" s="250"/>
      <c r="Z687" s="250"/>
    </row>
    <row r="688" spans="1:26" s="111" customFormat="1" ht="25.5" x14ac:dyDescent="0.2">
      <c r="A688" s="399"/>
      <c r="B688" s="322"/>
      <c r="C688" s="312" t="s">
        <v>542</v>
      </c>
      <c r="D688" s="419">
        <v>71</v>
      </c>
      <c r="E688" s="316" t="s">
        <v>518</v>
      </c>
      <c r="F688" s="420">
        <v>7</v>
      </c>
      <c r="G688" s="419">
        <v>72</v>
      </c>
      <c r="H688" s="316" t="s">
        <v>518</v>
      </c>
      <c r="I688" s="420">
        <v>17</v>
      </c>
      <c r="J688" s="431"/>
      <c r="K688" s="421">
        <f t="shared" si="224"/>
        <v>30</v>
      </c>
      <c r="L688" s="328">
        <v>3.25</v>
      </c>
      <c r="M688" s="328"/>
      <c r="N688" s="328"/>
      <c r="O688" s="493">
        <f>K688*L688</f>
        <v>97.5</v>
      </c>
      <c r="P688" s="328"/>
      <c r="Q688" s="334"/>
      <c r="R688" s="333">
        <f t="shared" si="225"/>
        <v>97.5</v>
      </c>
      <c r="S688" s="331" t="str">
        <f t="shared" si="226"/>
        <v>m²</v>
      </c>
      <c r="T688" s="320">
        <v>32</v>
      </c>
      <c r="U688" s="424" t="s">
        <v>519</v>
      </c>
      <c r="V688" s="455">
        <f t="shared" ca="1" si="216"/>
        <v>1251.6500000000015</v>
      </c>
      <c r="W688" s="456">
        <f t="shared" ca="1" si="217"/>
        <v>2</v>
      </c>
      <c r="X688" s="456">
        <f t="shared" ca="1" si="218"/>
        <v>1</v>
      </c>
      <c r="Y688" s="250"/>
      <c r="Z688" s="250"/>
    </row>
    <row r="689" spans="1:26" s="111" customFormat="1" ht="25.5" x14ac:dyDescent="0.2">
      <c r="A689" s="399"/>
      <c r="B689" s="322"/>
      <c r="C689" s="312" t="s">
        <v>543</v>
      </c>
      <c r="D689" s="419">
        <v>71</v>
      </c>
      <c r="E689" s="316" t="s">
        <v>518</v>
      </c>
      <c r="F689" s="420">
        <v>7</v>
      </c>
      <c r="G689" s="419">
        <v>72</v>
      </c>
      <c r="H689" s="316" t="s">
        <v>518</v>
      </c>
      <c r="I689" s="420">
        <v>17</v>
      </c>
      <c r="J689" s="431"/>
      <c r="K689" s="421">
        <f t="shared" si="224"/>
        <v>30</v>
      </c>
      <c r="L689" s="328">
        <v>2.8</v>
      </c>
      <c r="M689" s="328"/>
      <c r="N689" s="328"/>
      <c r="O689" s="493">
        <f>K689*L689</f>
        <v>84</v>
      </c>
      <c r="P689" s="328"/>
      <c r="Q689" s="334"/>
      <c r="R689" s="333">
        <f t="shared" si="225"/>
        <v>84</v>
      </c>
      <c r="S689" s="331" t="str">
        <f t="shared" si="226"/>
        <v>m²</v>
      </c>
      <c r="T689" s="320">
        <v>32</v>
      </c>
      <c r="U689" s="424" t="s">
        <v>519</v>
      </c>
      <c r="V689" s="455">
        <f t="shared" ca="1" si="216"/>
        <v>1251.6500000000015</v>
      </c>
      <c r="W689" s="456">
        <f t="shared" ca="1" si="217"/>
        <v>2</v>
      </c>
      <c r="X689" s="456">
        <f t="shared" ca="1" si="218"/>
        <v>1</v>
      </c>
      <c r="Y689" s="250"/>
      <c r="Z689" s="250"/>
    </row>
    <row r="690" spans="1:26" s="111" customFormat="1" ht="25.5" x14ac:dyDescent="0.2">
      <c r="A690" s="399"/>
      <c r="B690" s="494"/>
      <c r="C690" s="495" t="s">
        <v>544</v>
      </c>
      <c r="D690" s="419">
        <v>71</v>
      </c>
      <c r="E690" s="316" t="s">
        <v>518</v>
      </c>
      <c r="F690" s="420">
        <v>7</v>
      </c>
      <c r="G690" s="419">
        <v>72</v>
      </c>
      <c r="H690" s="316" t="s">
        <v>518</v>
      </c>
      <c r="I690" s="420">
        <v>17</v>
      </c>
      <c r="J690" s="499"/>
      <c r="K690" s="508">
        <f t="shared" si="224"/>
        <v>30</v>
      </c>
      <c r="L690" s="501">
        <v>3.25</v>
      </c>
      <c r="M690" s="501"/>
      <c r="N690" s="501"/>
      <c r="O690" s="502">
        <f>K690*L690</f>
        <v>97.5</v>
      </c>
      <c r="P690" s="501"/>
      <c r="Q690" s="503"/>
      <c r="R690" s="504">
        <f t="shared" si="225"/>
        <v>97.5</v>
      </c>
      <c r="S690" s="331" t="str">
        <f t="shared" si="226"/>
        <v>m²</v>
      </c>
      <c r="T690" s="320">
        <v>32</v>
      </c>
      <c r="U690" s="507" t="s">
        <v>519</v>
      </c>
      <c r="V690" s="455">
        <f t="shared" ca="1" si="216"/>
        <v>1251.6500000000015</v>
      </c>
      <c r="W690" s="456">
        <f t="shared" ca="1" si="217"/>
        <v>2</v>
      </c>
      <c r="X690" s="456">
        <f t="shared" ca="1" si="218"/>
        <v>1</v>
      </c>
      <c r="Y690" s="250"/>
      <c r="Z690" s="250"/>
    </row>
    <row r="691" spans="1:26" s="458" customFormat="1" ht="15" x14ac:dyDescent="0.2">
      <c r="A691" s="436"/>
      <c r="B691" s="437"/>
      <c r="C691" s="438"/>
      <c r="D691" s="439"/>
      <c r="E691" s="440"/>
      <c r="F691" s="441"/>
      <c r="G691" s="442"/>
      <c r="H691" s="443"/>
      <c r="I691" s="444"/>
      <c r="J691" s="445"/>
      <c r="K691" s="446"/>
      <c r="L691" s="447"/>
      <c r="M691" s="448"/>
      <c r="N691" s="449"/>
      <c r="O691" s="450"/>
      <c r="P691" s="447"/>
      <c r="Q691" s="450"/>
      <c r="R691" s="451"/>
      <c r="S691" s="452"/>
      <c r="T691" s="453"/>
      <c r="U691" s="454"/>
      <c r="V691" s="455">
        <f t="shared" ca="1" si="216"/>
        <v>1251.6500000000015</v>
      </c>
      <c r="W691" s="456">
        <f t="shared" ca="1" si="217"/>
        <v>0</v>
      </c>
      <c r="X691" s="456">
        <f t="shared" ca="1" si="218"/>
        <v>1</v>
      </c>
      <c r="Y691" s="457"/>
      <c r="Z691" s="457"/>
    </row>
    <row r="692" spans="1:26" s="111" customFormat="1" ht="15.75" x14ac:dyDescent="0.2">
      <c r="A692" s="399"/>
      <c r="B692" s="322"/>
      <c r="C692" s="434" t="s">
        <v>532</v>
      </c>
      <c r="D692" s="417"/>
      <c r="E692" s="314"/>
      <c r="F692" s="418"/>
      <c r="G692" s="419"/>
      <c r="H692" s="316"/>
      <c r="I692" s="420"/>
      <c r="J692" s="431"/>
      <c r="K692" s="433"/>
      <c r="L692" s="433"/>
      <c r="M692" s="433"/>
      <c r="N692" s="328"/>
      <c r="O692" s="328"/>
      <c r="P692" s="328"/>
      <c r="Q692" s="334"/>
      <c r="R692" s="333"/>
      <c r="S692" s="331"/>
      <c r="T692" s="320">
        <v>33</v>
      </c>
      <c r="U692" s="335"/>
      <c r="V692" s="455">
        <f t="shared" ca="1" si="216"/>
        <v>1251.6500000000015</v>
      </c>
      <c r="W692" s="456">
        <f t="shared" ca="1" si="217"/>
        <v>2</v>
      </c>
      <c r="X692" s="456">
        <f t="shared" ca="1" si="218"/>
        <v>1</v>
      </c>
      <c r="Y692" s="250"/>
      <c r="Z692" s="250"/>
    </row>
    <row r="693" spans="1:26" s="111" customFormat="1" ht="25.5" x14ac:dyDescent="0.2">
      <c r="A693" s="399"/>
      <c r="B693" s="322"/>
      <c r="C693" s="312" t="s">
        <v>536</v>
      </c>
      <c r="D693" s="419">
        <v>68</v>
      </c>
      <c r="E693" s="316" t="s">
        <v>518</v>
      </c>
      <c r="F693" s="420">
        <v>7</v>
      </c>
      <c r="G693" s="419">
        <v>71</v>
      </c>
      <c r="H693" s="316" t="s">
        <v>518</v>
      </c>
      <c r="I693" s="420">
        <v>7</v>
      </c>
      <c r="J693" s="431">
        <v>2</v>
      </c>
      <c r="K693" s="421">
        <f t="shared" ref="K693:K701" si="227">ABS((G693*20+I693)-(D693*20+F693))</f>
        <v>60</v>
      </c>
      <c r="L693" s="328"/>
      <c r="M693" s="328">
        <v>0.35</v>
      </c>
      <c r="N693" s="328"/>
      <c r="O693" s="493">
        <f>M693*K693*J693</f>
        <v>42</v>
      </c>
      <c r="P693" s="328"/>
      <c r="Q693" s="334"/>
      <c r="R693" s="333">
        <f t="shared" ref="R693:R701" si="228">O693</f>
        <v>42</v>
      </c>
      <c r="S693" s="331" t="str">
        <f t="shared" ref="S693:S701" si="229">$L$944</f>
        <v>m²</v>
      </c>
      <c r="T693" s="320">
        <v>33</v>
      </c>
      <c r="U693" s="424" t="s">
        <v>519</v>
      </c>
      <c r="V693" s="455">
        <f t="shared" ca="1" si="216"/>
        <v>1251.6500000000015</v>
      </c>
      <c r="W693" s="456">
        <f t="shared" ca="1" si="217"/>
        <v>2</v>
      </c>
      <c r="X693" s="456">
        <f t="shared" ca="1" si="218"/>
        <v>1</v>
      </c>
      <c r="Y693" s="250"/>
      <c r="Z693" s="250"/>
    </row>
    <row r="694" spans="1:26" s="111" customFormat="1" ht="25.5" x14ac:dyDescent="0.2">
      <c r="A694" s="399"/>
      <c r="B694" s="322"/>
      <c r="C694" s="312" t="s">
        <v>537</v>
      </c>
      <c r="D694" s="419">
        <v>68</v>
      </c>
      <c r="E694" s="316" t="s">
        <v>518</v>
      </c>
      <c r="F694" s="420">
        <v>7</v>
      </c>
      <c r="G694" s="419">
        <v>71</v>
      </c>
      <c r="H694" s="316" t="s">
        <v>518</v>
      </c>
      <c r="I694" s="420">
        <v>7</v>
      </c>
      <c r="J694" s="431">
        <f>ROUNDUP(K694/30,0)+1</f>
        <v>3</v>
      </c>
      <c r="K694" s="421">
        <f t="shared" si="227"/>
        <v>60</v>
      </c>
      <c r="L694" s="328">
        <v>12</v>
      </c>
      <c r="M694" s="328">
        <v>0.25</v>
      </c>
      <c r="N694" s="328"/>
      <c r="O694" s="493">
        <f>M694*L694*J694</f>
        <v>9</v>
      </c>
      <c r="P694" s="328"/>
      <c r="Q694" s="334"/>
      <c r="R694" s="333">
        <f t="shared" si="228"/>
        <v>9</v>
      </c>
      <c r="S694" s="331" t="str">
        <f t="shared" si="229"/>
        <v>m²</v>
      </c>
      <c r="T694" s="320">
        <v>33</v>
      </c>
      <c r="U694" s="424" t="s">
        <v>519</v>
      </c>
      <c r="V694" s="455">
        <f t="shared" ca="1" si="216"/>
        <v>1251.6500000000015</v>
      </c>
      <c r="W694" s="456">
        <f t="shared" ca="1" si="217"/>
        <v>2</v>
      </c>
      <c r="X694" s="456">
        <f t="shared" ca="1" si="218"/>
        <v>1</v>
      </c>
      <c r="Y694" s="250"/>
      <c r="Z694" s="250"/>
    </row>
    <row r="695" spans="1:26" s="111" customFormat="1" ht="25.5" x14ac:dyDescent="0.2">
      <c r="A695" s="399"/>
      <c r="B695" s="322"/>
      <c r="C695" s="312" t="s">
        <v>538</v>
      </c>
      <c r="D695" s="419">
        <v>68</v>
      </c>
      <c r="E695" s="316" t="s">
        <v>518</v>
      </c>
      <c r="F695" s="420">
        <v>7</v>
      </c>
      <c r="G695" s="419">
        <v>71</v>
      </c>
      <c r="H695" s="316" t="s">
        <v>518</v>
      </c>
      <c r="I695" s="420">
        <v>7</v>
      </c>
      <c r="J695" s="431">
        <v>2</v>
      </c>
      <c r="K695" s="421">
        <f t="shared" si="227"/>
        <v>60</v>
      </c>
      <c r="L695" s="328"/>
      <c r="M695" s="328">
        <v>0.25</v>
      </c>
      <c r="N695" s="328"/>
      <c r="O695" s="493">
        <f>M695*K695*J695</f>
        <v>30</v>
      </c>
      <c r="P695" s="328"/>
      <c r="Q695" s="334"/>
      <c r="R695" s="333">
        <f t="shared" si="228"/>
        <v>30</v>
      </c>
      <c r="S695" s="331" t="str">
        <f t="shared" si="229"/>
        <v>m²</v>
      </c>
      <c r="T695" s="320">
        <v>33</v>
      </c>
      <c r="U695" s="424" t="s">
        <v>519</v>
      </c>
      <c r="V695" s="455">
        <f t="shared" ca="1" si="216"/>
        <v>1251.6500000000015</v>
      </c>
      <c r="W695" s="456">
        <f t="shared" ca="1" si="217"/>
        <v>2</v>
      </c>
      <c r="X695" s="456">
        <f t="shared" ca="1" si="218"/>
        <v>1</v>
      </c>
      <c r="Y695" s="250"/>
      <c r="Z695" s="250"/>
    </row>
    <row r="696" spans="1:26" s="111" customFormat="1" ht="25.5" x14ac:dyDescent="0.2">
      <c r="A696" s="399"/>
      <c r="B696" s="322"/>
      <c r="C696" s="312" t="s">
        <v>539</v>
      </c>
      <c r="D696" s="419">
        <v>68</v>
      </c>
      <c r="E696" s="316" t="s">
        <v>518</v>
      </c>
      <c r="F696" s="420">
        <v>7</v>
      </c>
      <c r="G696" s="419">
        <v>71</v>
      </c>
      <c r="H696" s="316" t="s">
        <v>518</v>
      </c>
      <c r="I696" s="420">
        <v>7</v>
      </c>
      <c r="J696" s="431">
        <v>2</v>
      </c>
      <c r="K696" s="421">
        <f t="shared" si="227"/>
        <v>60</v>
      </c>
      <c r="L696" s="328">
        <v>0.28299999999999997</v>
      </c>
      <c r="M696" s="328"/>
      <c r="N696" s="328"/>
      <c r="O696" s="493">
        <f>J696*K696*L696</f>
        <v>33.959999999999994</v>
      </c>
      <c r="P696" s="328"/>
      <c r="Q696" s="334"/>
      <c r="R696" s="333">
        <f t="shared" si="228"/>
        <v>33.959999999999994</v>
      </c>
      <c r="S696" s="331" t="str">
        <f t="shared" si="229"/>
        <v>m²</v>
      </c>
      <c r="T696" s="320">
        <v>33</v>
      </c>
      <c r="U696" s="424" t="s">
        <v>519</v>
      </c>
      <c r="V696" s="455">
        <f t="shared" ca="1" si="216"/>
        <v>1251.6500000000015</v>
      </c>
      <c r="W696" s="456">
        <f t="shared" ca="1" si="217"/>
        <v>2</v>
      </c>
      <c r="X696" s="456">
        <f t="shared" ca="1" si="218"/>
        <v>1</v>
      </c>
      <c r="Y696" s="250"/>
      <c r="Z696" s="250"/>
    </row>
    <row r="697" spans="1:26" s="111" customFormat="1" ht="25.5" x14ac:dyDescent="0.2">
      <c r="A697" s="399"/>
      <c r="B697" s="322"/>
      <c r="C697" s="312" t="s">
        <v>540</v>
      </c>
      <c r="D697" s="419">
        <v>68</v>
      </c>
      <c r="E697" s="316" t="s">
        <v>518</v>
      </c>
      <c r="F697" s="420">
        <v>7</v>
      </c>
      <c r="G697" s="419">
        <v>71</v>
      </c>
      <c r="H697" s="316" t="s">
        <v>518</v>
      </c>
      <c r="I697" s="420">
        <v>7</v>
      </c>
      <c r="J697" s="431">
        <f>(ROUNDUP(K697/30,0)+1)*2</f>
        <v>6</v>
      </c>
      <c r="K697" s="421">
        <f t="shared" si="227"/>
        <v>60</v>
      </c>
      <c r="L697" s="328"/>
      <c r="M697" s="328"/>
      <c r="N697" s="493">
        <f>(2.3*0.25)+((0.2*0.2)/2)</f>
        <v>0.59499999999999997</v>
      </c>
      <c r="O697" s="493">
        <f>N697*J697</f>
        <v>3.57</v>
      </c>
      <c r="P697" s="328"/>
      <c r="Q697" s="334"/>
      <c r="R697" s="333">
        <f t="shared" si="228"/>
        <v>3.57</v>
      </c>
      <c r="S697" s="331" t="str">
        <f t="shared" si="229"/>
        <v>m²</v>
      </c>
      <c r="T697" s="320">
        <v>33</v>
      </c>
      <c r="U697" s="424" t="s">
        <v>519</v>
      </c>
      <c r="V697" s="455">
        <f t="shared" ca="1" si="216"/>
        <v>1251.6500000000015</v>
      </c>
      <c r="W697" s="456">
        <f t="shared" ca="1" si="217"/>
        <v>2</v>
      </c>
      <c r="X697" s="456">
        <f t="shared" ca="1" si="218"/>
        <v>1</v>
      </c>
      <c r="Y697" s="250"/>
      <c r="Z697" s="250"/>
    </row>
    <row r="698" spans="1:26" s="111" customFormat="1" ht="25.5" x14ac:dyDescent="0.2">
      <c r="A698" s="399"/>
      <c r="B698" s="322"/>
      <c r="C698" s="312" t="s">
        <v>541</v>
      </c>
      <c r="D698" s="419">
        <v>68</v>
      </c>
      <c r="E698" s="316" t="s">
        <v>518</v>
      </c>
      <c r="F698" s="420">
        <v>7</v>
      </c>
      <c r="G698" s="419">
        <v>71</v>
      </c>
      <c r="H698" s="316" t="s">
        <v>518</v>
      </c>
      <c r="I698" s="420">
        <v>7</v>
      </c>
      <c r="J698" s="431"/>
      <c r="K698" s="421">
        <f t="shared" si="227"/>
        <v>60</v>
      </c>
      <c r="L698" s="328">
        <v>2.8</v>
      </c>
      <c r="M698" s="328"/>
      <c r="N698" s="328"/>
      <c r="O698" s="493">
        <f>K698*L698</f>
        <v>168</v>
      </c>
      <c r="P698" s="328"/>
      <c r="Q698" s="334"/>
      <c r="R698" s="333">
        <f t="shared" si="228"/>
        <v>168</v>
      </c>
      <c r="S698" s="331" t="str">
        <f t="shared" si="229"/>
        <v>m²</v>
      </c>
      <c r="T698" s="320">
        <v>33</v>
      </c>
      <c r="U698" s="424" t="s">
        <v>519</v>
      </c>
      <c r="V698" s="455">
        <f t="shared" ca="1" si="216"/>
        <v>1251.6500000000015</v>
      </c>
      <c r="W698" s="456">
        <f t="shared" ca="1" si="217"/>
        <v>2</v>
      </c>
      <c r="X698" s="456">
        <f t="shared" ca="1" si="218"/>
        <v>1</v>
      </c>
      <c r="Y698" s="250"/>
      <c r="Z698" s="250"/>
    </row>
    <row r="699" spans="1:26" s="111" customFormat="1" ht="25.5" x14ac:dyDescent="0.2">
      <c r="A699" s="399"/>
      <c r="B699" s="322"/>
      <c r="C699" s="312" t="s">
        <v>542</v>
      </c>
      <c r="D699" s="419">
        <v>68</v>
      </c>
      <c r="E699" s="316" t="s">
        <v>518</v>
      </c>
      <c r="F699" s="420">
        <v>7</v>
      </c>
      <c r="G699" s="419">
        <v>71</v>
      </c>
      <c r="H699" s="316" t="s">
        <v>518</v>
      </c>
      <c r="I699" s="420">
        <v>7</v>
      </c>
      <c r="J699" s="431"/>
      <c r="K699" s="421">
        <f t="shared" si="227"/>
        <v>60</v>
      </c>
      <c r="L699" s="328">
        <v>3.25</v>
      </c>
      <c r="M699" s="328"/>
      <c r="N699" s="328"/>
      <c r="O699" s="493">
        <f>K699*L699</f>
        <v>195</v>
      </c>
      <c r="P699" s="328"/>
      <c r="Q699" s="334"/>
      <c r="R699" s="333">
        <f t="shared" si="228"/>
        <v>195</v>
      </c>
      <c r="S699" s="331" t="str">
        <f t="shared" si="229"/>
        <v>m²</v>
      </c>
      <c r="T699" s="320">
        <v>33</v>
      </c>
      <c r="U699" s="424" t="s">
        <v>519</v>
      </c>
      <c r="V699" s="455">
        <f t="shared" ca="1" si="216"/>
        <v>1251.6500000000015</v>
      </c>
      <c r="W699" s="456">
        <f t="shared" ca="1" si="217"/>
        <v>2</v>
      </c>
      <c r="X699" s="456">
        <f t="shared" ca="1" si="218"/>
        <v>1</v>
      </c>
      <c r="Y699" s="250"/>
      <c r="Z699" s="250"/>
    </row>
    <row r="700" spans="1:26" s="111" customFormat="1" ht="25.5" x14ac:dyDescent="0.2">
      <c r="A700" s="399"/>
      <c r="B700" s="322"/>
      <c r="C700" s="312" t="s">
        <v>543</v>
      </c>
      <c r="D700" s="419">
        <v>68</v>
      </c>
      <c r="E700" s="316" t="s">
        <v>518</v>
      </c>
      <c r="F700" s="420">
        <v>7</v>
      </c>
      <c r="G700" s="419">
        <v>71</v>
      </c>
      <c r="H700" s="316" t="s">
        <v>518</v>
      </c>
      <c r="I700" s="420">
        <v>7</v>
      </c>
      <c r="J700" s="431"/>
      <c r="K700" s="421">
        <f t="shared" si="227"/>
        <v>60</v>
      </c>
      <c r="L700" s="328">
        <v>2.8</v>
      </c>
      <c r="M700" s="328"/>
      <c r="N700" s="328"/>
      <c r="O700" s="493">
        <f>K700*L700</f>
        <v>168</v>
      </c>
      <c r="P700" s="328"/>
      <c r="Q700" s="334"/>
      <c r="R700" s="333">
        <f t="shared" si="228"/>
        <v>168</v>
      </c>
      <c r="S700" s="331" t="str">
        <f t="shared" si="229"/>
        <v>m²</v>
      </c>
      <c r="T700" s="320">
        <v>33</v>
      </c>
      <c r="U700" s="424" t="s">
        <v>519</v>
      </c>
      <c r="V700" s="455">
        <f t="shared" ca="1" si="216"/>
        <v>1251.6500000000015</v>
      </c>
      <c r="W700" s="456">
        <f t="shared" ca="1" si="217"/>
        <v>2</v>
      </c>
      <c r="X700" s="456">
        <f t="shared" ca="1" si="218"/>
        <v>1</v>
      </c>
      <c r="Y700" s="250"/>
      <c r="Z700" s="250"/>
    </row>
    <row r="701" spans="1:26" s="111" customFormat="1" ht="25.5" x14ac:dyDescent="0.2">
      <c r="A701" s="399"/>
      <c r="B701" s="494"/>
      <c r="C701" s="495" t="s">
        <v>544</v>
      </c>
      <c r="D701" s="419">
        <v>68</v>
      </c>
      <c r="E701" s="316" t="s">
        <v>518</v>
      </c>
      <c r="F701" s="420">
        <v>7</v>
      </c>
      <c r="G701" s="419">
        <v>71</v>
      </c>
      <c r="H701" s="316" t="s">
        <v>518</v>
      </c>
      <c r="I701" s="420">
        <v>7</v>
      </c>
      <c r="J701" s="499"/>
      <c r="K701" s="508">
        <f t="shared" si="227"/>
        <v>60</v>
      </c>
      <c r="L701" s="501">
        <v>3.25</v>
      </c>
      <c r="M701" s="501"/>
      <c r="N701" s="501"/>
      <c r="O701" s="502">
        <f>K701*L701</f>
        <v>195</v>
      </c>
      <c r="P701" s="501"/>
      <c r="Q701" s="503"/>
      <c r="R701" s="504">
        <f t="shared" si="228"/>
        <v>195</v>
      </c>
      <c r="S701" s="331" t="str">
        <f t="shared" si="229"/>
        <v>m²</v>
      </c>
      <c r="T701" s="320">
        <v>33</v>
      </c>
      <c r="U701" s="507" t="s">
        <v>519</v>
      </c>
      <c r="V701" s="455">
        <f t="shared" ca="1" si="216"/>
        <v>1251.6500000000015</v>
      </c>
      <c r="W701" s="456">
        <f t="shared" ca="1" si="217"/>
        <v>2</v>
      </c>
      <c r="X701" s="456">
        <f t="shared" ca="1" si="218"/>
        <v>1</v>
      </c>
      <c r="Y701" s="250"/>
      <c r="Z701" s="250"/>
    </row>
    <row r="702" spans="1:26" s="111" customFormat="1" ht="15" x14ac:dyDescent="0.2">
      <c r="A702" s="399"/>
      <c r="B702" s="494"/>
      <c r="C702" s="495"/>
      <c r="D702" s="419"/>
      <c r="E702" s="316"/>
      <c r="F702" s="420"/>
      <c r="G702" s="419"/>
      <c r="H702" s="316"/>
      <c r="I702" s="420"/>
      <c r="J702" s="499"/>
      <c r="K702" s="508"/>
      <c r="L702" s="501"/>
      <c r="M702" s="501"/>
      <c r="N702" s="501"/>
      <c r="O702" s="502"/>
      <c r="P702" s="501"/>
      <c r="Q702" s="503"/>
      <c r="R702" s="504"/>
      <c r="S702" s="505"/>
      <c r="T702" s="320"/>
      <c r="U702" s="507"/>
      <c r="V702" s="455">
        <f t="shared" ca="1" si="216"/>
        <v>1251.6500000000015</v>
      </c>
      <c r="W702" s="456">
        <f t="shared" ca="1" si="217"/>
        <v>0</v>
      </c>
      <c r="X702" s="456">
        <f t="shared" ca="1" si="218"/>
        <v>1</v>
      </c>
      <c r="Y702" s="250"/>
      <c r="Z702" s="250"/>
    </row>
    <row r="703" spans="1:26" s="111" customFormat="1" ht="15.75" x14ac:dyDescent="0.2">
      <c r="A703" s="399"/>
      <c r="B703" s="494"/>
      <c r="C703" s="434" t="s">
        <v>532</v>
      </c>
      <c r="D703" s="417"/>
      <c r="E703" s="314"/>
      <c r="F703" s="418"/>
      <c r="G703" s="419"/>
      <c r="H703" s="316"/>
      <c r="I703" s="420"/>
      <c r="J703" s="431"/>
      <c r="K703" s="433"/>
      <c r="L703" s="433"/>
      <c r="M703" s="433"/>
      <c r="N703" s="328"/>
      <c r="O703" s="328"/>
      <c r="P703" s="328"/>
      <c r="Q703" s="334"/>
      <c r="R703" s="333"/>
      <c r="S703" s="331"/>
      <c r="T703" s="320">
        <v>33</v>
      </c>
      <c r="U703" s="335"/>
      <c r="V703" s="455">
        <f t="shared" ca="1" si="216"/>
        <v>1251.6500000000015</v>
      </c>
      <c r="W703" s="456">
        <f t="shared" ca="1" si="217"/>
        <v>2</v>
      </c>
      <c r="X703" s="456">
        <f t="shared" ca="1" si="218"/>
        <v>1</v>
      </c>
      <c r="Y703" s="250"/>
      <c r="Z703" s="250"/>
    </row>
    <row r="704" spans="1:26" s="111" customFormat="1" ht="25.5" x14ac:dyDescent="0.2">
      <c r="A704" s="399"/>
      <c r="B704" s="494"/>
      <c r="C704" s="312" t="s">
        <v>536</v>
      </c>
      <c r="D704" s="419">
        <v>66</v>
      </c>
      <c r="E704" s="316" t="s">
        <v>518</v>
      </c>
      <c r="F704" s="420">
        <v>17</v>
      </c>
      <c r="G704" s="419">
        <v>68</v>
      </c>
      <c r="H704" s="316" t="s">
        <v>518</v>
      </c>
      <c r="I704" s="420">
        <v>7</v>
      </c>
      <c r="J704" s="431">
        <v>2</v>
      </c>
      <c r="K704" s="421">
        <f t="shared" ref="K704:K712" si="230">ABS((G704*20+I704)-(D704*20+F704))</f>
        <v>30</v>
      </c>
      <c r="L704" s="328"/>
      <c r="M704" s="328">
        <v>0.35</v>
      </c>
      <c r="N704" s="328"/>
      <c r="O704" s="493">
        <f>M704*K704*J704</f>
        <v>21</v>
      </c>
      <c r="P704" s="328"/>
      <c r="Q704" s="334"/>
      <c r="R704" s="333">
        <f t="shared" ref="R704:R712" si="231">O704</f>
        <v>21</v>
      </c>
      <c r="S704" s="331" t="str">
        <f t="shared" ref="S704:S712" si="232">$L$944</f>
        <v>m²</v>
      </c>
      <c r="T704" s="320">
        <v>33</v>
      </c>
      <c r="U704" s="928" t="s">
        <v>519</v>
      </c>
      <c r="V704" s="455">
        <f t="shared" ca="1" si="216"/>
        <v>1251.6500000000015</v>
      </c>
      <c r="W704" s="456">
        <f t="shared" ca="1" si="217"/>
        <v>2</v>
      </c>
      <c r="X704" s="456">
        <f t="shared" ca="1" si="218"/>
        <v>1</v>
      </c>
      <c r="Y704" s="250"/>
      <c r="Z704" s="250"/>
    </row>
    <row r="705" spans="1:26" s="111" customFormat="1" ht="25.5" x14ac:dyDescent="0.2">
      <c r="A705" s="399"/>
      <c r="B705" s="494"/>
      <c r="C705" s="312" t="s">
        <v>537</v>
      </c>
      <c r="D705" s="419">
        <v>66</v>
      </c>
      <c r="E705" s="316" t="s">
        <v>518</v>
      </c>
      <c r="F705" s="420">
        <v>17</v>
      </c>
      <c r="G705" s="419">
        <v>68</v>
      </c>
      <c r="H705" s="316" t="s">
        <v>518</v>
      </c>
      <c r="I705" s="420">
        <v>7</v>
      </c>
      <c r="J705" s="431">
        <f>ROUNDUP(K705/30,0)+1</f>
        <v>2</v>
      </c>
      <c r="K705" s="421">
        <f t="shared" si="230"/>
        <v>30</v>
      </c>
      <c r="L705" s="328">
        <v>12</v>
      </c>
      <c r="M705" s="328">
        <v>0.25</v>
      </c>
      <c r="N705" s="328"/>
      <c r="O705" s="493">
        <f>M705*L705*J705</f>
        <v>6</v>
      </c>
      <c r="P705" s="328"/>
      <c r="Q705" s="334"/>
      <c r="R705" s="333">
        <f t="shared" si="231"/>
        <v>6</v>
      </c>
      <c r="S705" s="331" t="str">
        <f t="shared" si="232"/>
        <v>m²</v>
      </c>
      <c r="T705" s="320">
        <v>33</v>
      </c>
      <c r="U705" s="928" t="s">
        <v>519</v>
      </c>
      <c r="V705" s="455">
        <f t="shared" ca="1" si="216"/>
        <v>1251.6500000000015</v>
      </c>
      <c r="W705" s="456">
        <f t="shared" ca="1" si="217"/>
        <v>2</v>
      </c>
      <c r="X705" s="456">
        <f t="shared" ca="1" si="218"/>
        <v>1</v>
      </c>
      <c r="Y705" s="250"/>
      <c r="Z705" s="250"/>
    </row>
    <row r="706" spans="1:26" s="111" customFormat="1" ht="25.5" x14ac:dyDescent="0.2">
      <c r="A706" s="399"/>
      <c r="B706" s="494"/>
      <c r="C706" s="312" t="s">
        <v>538</v>
      </c>
      <c r="D706" s="419">
        <v>66</v>
      </c>
      <c r="E706" s="316" t="s">
        <v>518</v>
      </c>
      <c r="F706" s="420">
        <v>17</v>
      </c>
      <c r="G706" s="419">
        <v>68</v>
      </c>
      <c r="H706" s="316" t="s">
        <v>518</v>
      </c>
      <c r="I706" s="420">
        <v>7</v>
      </c>
      <c r="J706" s="431">
        <v>2</v>
      </c>
      <c r="K706" s="421">
        <f t="shared" si="230"/>
        <v>30</v>
      </c>
      <c r="L706" s="328"/>
      <c r="M706" s="328">
        <v>0.25</v>
      </c>
      <c r="N706" s="328"/>
      <c r="O706" s="493">
        <f>M706*K706*J706</f>
        <v>15</v>
      </c>
      <c r="P706" s="328"/>
      <c r="Q706" s="334"/>
      <c r="R706" s="333">
        <f t="shared" si="231"/>
        <v>15</v>
      </c>
      <c r="S706" s="331" t="str">
        <f t="shared" si="232"/>
        <v>m²</v>
      </c>
      <c r="T706" s="320">
        <v>33</v>
      </c>
      <c r="U706" s="928" t="s">
        <v>519</v>
      </c>
      <c r="V706" s="455">
        <f t="shared" ca="1" si="216"/>
        <v>1251.6500000000015</v>
      </c>
      <c r="W706" s="456">
        <f t="shared" ca="1" si="217"/>
        <v>2</v>
      </c>
      <c r="X706" s="456">
        <f t="shared" ca="1" si="218"/>
        <v>1</v>
      </c>
      <c r="Y706" s="250"/>
      <c r="Z706" s="250"/>
    </row>
    <row r="707" spans="1:26" s="111" customFormat="1" ht="25.5" x14ac:dyDescent="0.2">
      <c r="A707" s="399"/>
      <c r="B707" s="494"/>
      <c r="C707" s="312" t="s">
        <v>539</v>
      </c>
      <c r="D707" s="419">
        <v>66</v>
      </c>
      <c r="E707" s="316" t="s">
        <v>518</v>
      </c>
      <c r="F707" s="420">
        <v>17</v>
      </c>
      <c r="G707" s="419">
        <v>68</v>
      </c>
      <c r="H707" s="316" t="s">
        <v>518</v>
      </c>
      <c r="I707" s="420">
        <v>7</v>
      </c>
      <c r="J707" s="431">
        <v>2</v>
      </c>
      <c r="K707" s="421">
        <f t="shared" si="230"/>
        <v>30</v>
      </c>
      <c r="L707" s="328">
        <v>0.28299999999999997</v>
      </c>
      <c r="M707" s="328"/>
      <c r="N707" s="328"/>
      <c r="O707" s="493">
        <f>J707*K707*L707</f>
        <v>16.979999999999997</v>
      </c>
      <c r="P707" s="328"/>
      <c r="Q707" s="334"/>
      <c r="R707" s="333">
        <f t="shared" si="231"/>
        <v>16.979999999999997</v>
      </c>
      <c r="S707" s="331" t="str">
        <f t="shared" si="232"/>
        <v>m²</v>
      </c>
      <c r="T707" s="320">
        <v>33</v>
      </c>
      <c r="U707" s="928" t="s">
        <v>519</v>
      </c>
      <c r="V707" s="455">
        <f t="shared" ca="1" si="216"/>
        <v>1251.6500000000015</v>
      </c>
      <c r="W707" s="456">
        <f t="shared" ca="1" si="217"/>
        <v>2</v>
      </c>
      <c r="X707" s="456">
        <f t="shared" ca="1" si="218"/>
        <v>1</v>
      </c>
      <c r="Y707" s="250"/>
      <c r="Z707" s="250"/>
    </row>
    <row r="708" spans="1:26" s="111" customFormat="1" ht="25.5" x14ac:dyDescent="0.2">
      <c r="A708" s="399"/>
      <c r="B708" s="494"/>
      <c r="C708" s="312" t="s">
        <v>540</v>
      </c>
      <c r="D708" s="419">
        <v>66</v>
      </c>
      <c r="E708" s="316" t="s">
        <v>518</v>
      </c>
      <c r="F708" s="420">
        <v>17</v>
      </c>
      <c r="G708" s="419">
        <v>68</v>
      </c>
      <c r="H708" s="316" t="s">
        <v>518</v>
      </c>
      <c r="I708" s="420">
        <v>7</v>
      </c>
      <c r="J708" s="431">
        <f>(ROUNDUP(K708/30,0)+1)*2</f>
        <v>4</v>
      </c>
      <c r="K708" s="421">
        <f t="shared" si="230"/>
        <v>30</v>
      </c>
      <c r="L708" s="328"/>
      <c r="M708" s="328"/>
      <c r="N708" s="493">
        <f>(2.3*0.25)+((0.2*0.2)/2)</f>
        <v>0.59499999999999997</v>
      </c>
      <c r="O708" s="493">
        <f>N708*J708</f>
        <v>2.38</v>
      </c>
      <c r="P708" s="328"/>
      <c r="Q708" s="334"/>
      <c r="R708" s="333">
        <f t="shared" si="231"/>
        <v>2.38</v>
      </c>
      <c r="S708" s="331" t="str">
        <f t="shared" si="232"/>
        <v>m²</v>
      </c>
      <c r="T708" s="320">
        <v>33</v>
      </c>
      <c r="U708" s="928" t="s">
        <v>519</v>
      </c>
      <c r="V708" s="455">
        <f t="shared" ca="1" si="216"/>
        <v>1251.6500000000015</v>
      </c>
      <c r="W708" s="456">
        <f t="shared" ca="1" si="217"/>
        <v>2</v>
      </c>
      <c r="X708" s="456">
        <f t="shared" ca="1" si="218"/>
        <v>1</v>
      </c>
      <c r="Y708" s="250"/>
      <c r="Z708" s="250"/>
    </row>
    <row r="709" spans="1:26" s="111" customFormat="1" ht="25.5" x14ac:dyDescent="0.2">
      <c r="A709" s="399"/>
      <c r="B709" s="494"/>
      <c r="C709" s="312" t="s">
        <v>541</v>
      </c>
      <c r="D709" s="419">
        <v>66</v>
      </c>
      <c r="E709" s="316" t="s">
        <v>518</v>
      </c>
      <c r="F709" s="420">
        <v>17</v>
      </c>
      <c r="G709" s="419">
        <v>68</v>
      </c>
      <c r="H709" s="316" t="s">
        <v>518</v>
      </c>
      <c r="I709" s="420">
        <v>7</v>
      </c>
      <c r="J709" s="431"/>
      <c r="K709" s="421">
        <f t="shared" si="230"/>
        <v>30</v>
      </c>
      <c r="L709" s="328">
        <v>2.8</v>
      </c>
      <c r="M709" s="328"/>
      <c r="N709" s="328"/>
      <c r="O709" s="493">
        <f>K709*L709</f>
        <v>84</v>
      </c>
      <c r="P709" s="328"/>
      <c r="Q709" s="334"/>
      <c r="R709" s="333">
        <f t="shared" si="231"/>
        <v>84</v>
      </c>
      <c r="S709" s="331" t="str">
        <f t="shared" si="232"/>
        <v>m²</v>
      </c>
      <c r="T709" s="320">
        <v>33</v>
      </c>
      <c r="U709" s="928" t="s">
        <v>519</v>
      </c>
      <c r="V709" s="455">
        <f t="shared" ca="1" si="216"/>
        <v>1251.6500000000015</v>
      </c>
      <c r="W709" s="456">
        <f t="shared" ca="1" si="217"/>
        <v>2</v>
      </c>
      <c r="X709" s="456">
        <f t="shared" ca="1" si="218"/>
        <v>1</v>
      </c>
      <c r="Y709" s="250"/>
      <c r="Z709" s="250"/>
    </row>
    <row r="710" spans="1:26" s="111" customFormat="1" ht="25.5" x14ac:dyDescent="0.2">
      <c r="A710" s="399"/>
      <c r="B710" s="494"/>
      <c r="C710" s="312" t="s">
        <v>542</v>
      </c>
      <c r="D710" s="419">
        <v>66</v>
      </c>
      <c r="E710" s="316" t="s">
        <v>518</v>
      </c>
      <c r="F710" s="420">
        <v>17</v>
      </c>
      <c r="G710" s="419">
        <v>68</v>
      </c>
      <c r="H710" s="316" t="s">
        <v>518</v>
      </c>
      <c r="I710" s="420">
        <v>7</v>
      </c>
      <c r="J710" s="431"/>
      <c r="K710" s="421">
        <f t="shared" si="230"/>
        <v>30</v>
      </c>
      <c r="L710" s="328">
        <v>3.25</v>
      </c>
      <c r="M710" s="328"/>
      <c r="N710" s="328"/>
      <c r="O710" s="493">
        <f>K710*L710</f>
        <v>97.5</v>
      </c>
      <c r="P710" s="328"/>
      <c r="Q710" s="334"/>
      <c r="R710" s="333">
        <f t="shared" si="231"/>
        <v>97.5</v>
      </c>
      <c r="S710" s="331" t="str">
        <f t="shared" si="232"/>
        <v>m²</v>
      </c>
      <c r="T710" s="320">
        <v>33</v>
      </c>
      <c r="U710" s="928" t="s">
        <v>519</v>
      </c>
      <c r="V710" s="455">
        <f t="shared" ca="1" si="216"/>
        <v>1251.6500000000015</v>
      </c>
      <c r="W710" s="456">
        <f t="shared" ca="1" si="217"/>
        <v>2</v>
      </c>
      <c r="X710" s="456">
        <f t="shared" ca="1" si="218"/>
        <v>1</v>
      </c>
      <c r="Y710" s="250"/>
      <c r="Z710" s="250"/>
    </row>
    <row r="711" spans="1:26" s="111" customFormat="1" ht="25.5" x14ac:dyDescent="0.2">
      <c r="A711" s="399"/>
      <c r="B711" s="494"/>
      <c r="C711" s="312" t="s">
        <v>543</v>
      </c>
      <c r="D711" s="419">
        <v>66</v>
      </c>
      <c r="E711" s="316" t="s">
        <v>518</v>
      </c>
      <c r="F711" s="420">
        <v>17</v>
      </c>
      <c r="G711" s="419">
        <v>68</v>
      </c>
      <c r="H711" s="316" t="s">
        <v>518</v>
      </c>
      <c r="I711" s="420">
        <v>7</v>
      </c>
      <c r="J711" s="431"/>
      <c r="K711" s="421">
        <f t="shared" si="230"/>
        <v>30</v>
      </c>
      <c r="L711" s="328">
        <v>2.8</v>
      </c>
      <c r="M711" s="328"/>
      <c r="N711" s="328"/>
      <c r="O711" s="493">
        <f>K711*L711</f>
        <v>84</v>
      </c>
      <c r="P711" s="328"/>
      <c r="Q711" s="334"/>
      <c r="R711" s="333">
        <f t="shared" si="231"/>
        <v>84</v>
      </c>
      <c r="S711" s="331" t="str">
        <f t="shared" si="232"/>
        <v>m²</v>
      </c>
      <c r="T711" s="320">
        <v>33</v>
      </c>
      <c r="U711" s="928" t="s">
        <v>519</v>
      </c>
      <c r="V711" s="455">
        <f t="shared" ca="1" si="216"/>
        <v>1251.6500000000015</v>
      </c>
      <c r="W711" s="456">
        <f t="shared" ca="1" si="217"/>
        <v>2</v>
      </c>
      <c r="X711" s="456">
        <f t="shared" ca="1" si="218"/>
        <v>1</v>
      </c>
      <c r="Y711" s="250"/>
      <c r="Z711" s="250"/>
    </row>
    <row r="712" spans="1:26" s="111" customFormat="1" ht="25.5" x14ac:dyDescent="0.2">
      <c r="A712" s="399"/>
      <c r="B712" s="494"/>
      <c r="C712" s="495" t="s">
        <v>544</v>
      </c>
      <c r="D712" s="419">
        <v>66</v>
      </c>
      <c r="E712" s="316" t="s">
        <v>518</v>
      </c>
      <c r="F712" s="420">
        <v>17</v>
      </c>
      <c r="G712" s="419">
        <v>68</v>
      </c>
      <c r="H712" s="316" t="s">
        <v>518</v>
      </c>
      <c r="I712" s="420">
        <v>7</v>
      </c>
      <c r="J712" s="499"/>
      <c r="K712" s="508">
        <f t="shared" si="230"/>
        <v>30</v>
      </c>
      <c r="L712" s="501">
        <v>3.25</v>
      </c>
      <c r="M712" s="501"/>
      <c r="N712" s="501"/>
      <c r="O712" s="502">
        <f>K712*L712</f>
        <v>97.5</v>
      </c>
      <c r="P712" s="501"/>
      <c r="Q712" s="503"/>
      <c r="R712" s="504">
        <f t="shared" si="231"/>
        <v>97.5</v>
      </c>
      <c r="S712" s="331" t="str">
        <f t="shared" si="232"/>
        <v>m²</v>
      </c>
      <c r="T712" s="320">
        <v>33</v>
      </c>
      <c r="U712" s="927" t="s">
        <v>519</v>
      </c>
      <c r="V712" s="455">
        <f t="shared" ca="1" si="216"/>
        <v>1251.6500000000015</v>
      </c>
      <c r="W712" s="456">
        <f t="shared" ca="1" si="217"/>
        <v>2</v>
      </c>
      <c r="X712" s="456">
        <f t="shared" ca="1" si="218"/>
        <v>1</v>
      </c>
      <c r="Y712" s="250"/>
      <c r="Z712" s="250"/>
    </row>
    <row r="713" spans="1:26" s="111" customFormat="1" ht="15" x14ac:dyDescent="0.2">
      <c r="A713" s="399"/>
      <c r="B713" s="494"/>
      <c r="C713" s="495"/>
      <c r="D713" s="419"/>
      <c r="E713" s="316"/>
      <c r="F713" s="420"/>
      <c r="G713" s="419"/>
      <c r="H713" s="316"/>
      <c r="I713" s="420"/>
      <c r="J713" s="499"/>
      <c r="K713" s="508"/>
      <c r="L713" s="501"/>
      <c r="M713" s="501"/>
      <c r="N713" s="501"/>
      <c r="O713" s="502"/>
      <c r="P713" s="501"/>
      <c r="Q713" s="503"/>
      <c r="R713" s="504"/>
      <c r="S713" s="505"/>
      <c r="T713" s="320"/>
      <c r="U713" s="507"/>
      <c r="V713" s="455">
        <f t="shared" ca="1" si="216"/>
        <v>1251.6500000000015</v>
      </c>
      <c r="W713" s="456">
        <f t="shared" ca="1" si="217"/>
        <v>0</v>
      </c>
      <c r="X713" s="456">
        <f t="shared" ca="1" si="218"/>
        <v>1</v>
      </c>
      <c r="Y713" s="250"/>
      <c r="Z713" s="250"/>
    </row>
    <row r="714" spans="1:26" s="111" customFormat="1" ht="15.75" x14ac:dyDescent="0.2">
      <c r="A714" s="399"/>
      <c r="B714" s="494"/>
      <c r="C714" s="434" t="s">
        <v>532</v>
      </c>
      <c r="D714" s="417"/>
      <c r="E714" s="314"/>
      <c r="F714" s="418"/>
      <c r="G714" s="419"/>
      <c r="H714" s="316"/>
      <c r="I714" s="420"/>
      <c r="J714" s="431"/>
      <c r="K714" s="433"/>
      <c r="L714" s="433"/>
      <c r="M714" s="433"/>
      <c r="N714" s="328"/>
      <c r="O714" s="328"/>
      <c r="P714" s="328"/>
      <c r="Q714" s="334"/>
      <c r="R714" s="333"/>
      <c r="S714" s="331"/>
      <c r="T714" s="320">
        <v>34</v>
      </c>
      <c r="U714" s="335"/>
      <c r="V714" s="455">
        <f t="shared" ca="1" si="216"/>
        <v>1251.6500000000015</v>
      </c>
      <c r="W714" s="456">
        <f t="shared" ca="1" si="217"/>
        <v>2</v>
      </c>
      <c r="X714" s="456">
        <f t="shared" ca="1" si="218"/>
        <v>1</v>
      </c>
      <c r="Y714" s="250"/>
      <c r="Z714" s="250"/>
    </row>
    <row r="715" spans="1:26" s="111" customFormat="1" ht="25.5" x14ac:dyDescent="0.2">
      <c r="A715" s="399"/>
      <c r="B715" s="494"/>
      <c r="C715" s="312" t="s">
        <v>536</v>
      </c>
      <c r="D715" s="419">
        <v>65</v>
      </c>
      <c r="E715" s="316" t="s">
        <v>518</v>
      </c>
      <c r="F715" s="420">
        <v>5</v>
      </c>
      <c r="G715" s="419">
        <v>66</v>
      </c>
      <c r="H715" s="316" t="s">
        <v>518</v>
      </c>
      <c r="I715" s="420">
        <v>17</v>
      </c>
      <c r="J715" s="431">
        <v>2</v>
      </c>
      <c r="K715" s="421">
        <f t="shared" ref="K715:K723" si="233">ABS((G715*20+I715)-(D715*20+F715))</f>
        <v>32</v>
      </c>
      <c r="L715" s="328"/>
      <c r="M715" s="328">
        <v>0.35</v>
      </c>
      <c r="N715" s="328"/>
      <c r="O715" s="493">
        <f>M715*K715*J715</f>
        <v>22.4</v>
      </c>
      <c r="P715" s="328"/>
      <c r="Q715" s="334"/>
      <c r="R715" s="333">
        <f t="shared" ref="R715:R723" si="234">O715</f>
        <v>22.4</v>
      </c>
      <c r="S715" s="331" t="str">
        <f t="shared" ref="S715:S723" si="235">$L$944</f>
        <v>m²</v>
      </c>
      <c r="T715" s="320">
        <v>34</v>
      </c>
      <c r="U715" s="424" t="s">
        <v>519</v>
      </c>
      <c r="V715" s="455">
        <f t="shared" ca="1" si="216"/>
        <v>1251.6500000000015</v>
      </c>
      <c r="W715" s="456">
        <f t="shared" ca="1" si="217"/>
        <v>2</v>
      </c>
      <c r="X715" s="456">
        <f t="shared" ca="1" si="218"/>
        <v>1</v>
      </c>
      <c r="Y715" s="250"/>
      <c r="Z715" s="250"/>
    </row>
    <row r="716" spans="1:26" s="111" customFormat="1" ht="25.5" x14ac:dyDescent="0.2">
      <c r="A716" s="399"/>
      <c r="B716" s="494"/>
      <c r="C716" s="312" t="s">
        <v>537</v>
      </c>
      <c r="D716" s="419">
        <v>65</v>
      </c>
      <c r="E716" s="316" t="s">
        <v>518</v>
      </c>
      <c r="F716" s="420">
        <v>5</v>
      </c>
      <c r="G716" s="419">
        <v>66</v>
      </c>
      <c r="H716" s="316" t="s">
        <v>518</v>
      </c>
      <c r="I716" s="420">
        <v>17</v>
      </c>
      <c r="J716" s="431">
        <f>ROUNDUP(K716/30,0)+1</f>
        <v>3</v>
      </c>
      <c r="K716" s="421">
        <f t="shared" si="233"/>
        <v>32</v>
      </c>
      <c r="L716" s="328">
        <v>12</v>
      </c>
      <c r="M716" s="328">
        <v>0.25</v>
      </c>
      <c r="N716" s="328"/>
      <c r="O716" s="493">
        <f>M716*L716*J716</f>
        <v>9</v>
      </c>
      <c r="P716" s="328"/>
      <c r="Q716" s="334"/>
      <c r="R716" s="333">
        <f t="shared" si="234"/>
        <v>9</v>
      </c>
      <c r="S716" s="331" t="str">
        <f t="shared" si="235"/>
        <v>m²</v>
      </c>
      <c r="T716" s="320">
        <v>34</v>
      </c>
      <c r="U716" s="424" t="s">
        <v>519</v>
      </c>
      <c r="V716" s="455">
        <f t="shared" ca="1" si="216"/>
        <v>1251.6500000000015</v>
      </c>
      <c r="W716" s="456">
        <f t="shared" ca="1" si="217"/>
        <v>2</v>
      </c>
      <c r="X716" s="456">
        <f t="shared" ca="1" si="218"/>
        <v>1</v>
      </c>
      <c r="Y716" s="250"/>
      <c r="Z716" s="250"/>
    </row>
    <row r="717" spans="1:26" s="111" customFormat="1" ht="25.5" x14ac:dyDescent="0.2">
      <c r="A717" s="399"/>
      <c r="B717" s="494"/>
      <c r="C717" s="312" t="s">
        <v>538</v>
      </c>
      <c r="D717" s="419">
        <v>65</v>
      </c>
      <c r="E717" s="316" t="s">
        <v>518</v>
      </c>
      <c r="F717" s="420">
        <v>5</v>
      </c>
      <c r="G717" s="419">
        <v>66</v>
      </c>
      <c r="H717" s="316" t="s">
        <v>518</v>
      </c>
      <c r="I717" s="420">
        <v>17</v>
      </c>
      <c r="J717" s="431">
        <v>2</v>
      </c>
      <c r="K717" s="421">
        <f t="shared" si="233"/>
        <v>32</v>
      </c>
      <c r="L717" s="328"/>
      <c r="M717" s="328">
        <v>0.25</v>
      </c>
      <c r="N717" s="328"/>
      <c r="O717" s="493">
        <f>M717*K717*J717</f>
        <v>16</v>
      </c>
      <c r="P717" s="328"/>
      <c r="Q717" s="334"/>
      <c r="R717" s="333">
        <f t="shared" si="234"/>
        <v>16</v>
      </c>
      <c r="S717" s="331" t="str">
        <f t="shared" si="235"/>
        <v>m²</v>
      </c>
      <c r="T717" s="320">
        <v>34</v>
      </c>
      <c r="U717" s="424" t="s">
        <v>519</v>
      </c>
      <c r="V717" s="455">
        <f t="shared" ref="V717:V780" ca="1" si="236">IF(OFFSET(V717,1,1)=1,OFFSET(V717,0,-4),OFFSET(V717,1,0))</f>
        <v>1251.6500000000015</v>
      </c>
      <c r="W717" s="456">
        <f t="shared" ref="W717:W780" ca="1" si="237">IF(LEFT(_xlfn.FORMULATEXT(V717),3)="=SO",1,IF(COUNTA(A717:U717)=0,0,2))</f>
        <v>2</v>
      </c>
      <c r="X717" s="456">
        <f t="shared" ref="X717:X780" ca="1" si="238">IF(COUNTA(OFFSET(A716,1,0))-COUNTA(A716)=-1,0,1)</f>
        <v>1</v>
      </c>
      <c r="Y717" s="250"/>
      <c r="Z717" s="250"/>
    </row>
    <row r="718" spans="1:26" s="111" customFormat="1" ht="25.5" x14ac:dyDescent="0.2">
      <c r="A718" s="399"/>
      <c r="B718" s="494"/>
      <c r="C718" s="312" t="s">
        <v>539</v>
      </c>
      <c r="D718" s="419">
        <v>65</v>
      </c>
      <c r="E718" s="316" t="s">
        <v>518</v>
      </c>
      <c r="F718" s="420">
        <v>5</v>
      </c>
      <c r="G718" s="419">
        <v>66</v>
      </c>
      <c r="H718" s="316" t="s">
        <v>518</v>
      </c>
      <c r="I718" s="420">
        <v>17</v>
      </c>
      <c r="J718" s="431">
        <v>2</v>
      </c>
      <c r="K718" s="421">
        <f t="shared" si="233"/>
        <v>32</v>
      </c>
      <c r="L718" s="328">
        <v>0.28299999999999997</v>
      </c>
      <c r="M718" s="328"/>
      <c r="N718" s="328"/>
      <c r="O718" s="493">
        <f>J718*K718*L718</f>
        <v>18.111999999999998</v>
      </c>
      <c r="P718" s="328"/>
      <c r="Q718" s="334"/>
      <c r="R718" s="333">
        <f t="shared" si="234"/>
        <v>18.111999999999998</v>
      </c>
      <c r="S718" s="331" t="str">
        <f t="shared" si="235"/>
        <v>m²</v>
      </c>
      <c r="T718" s="320">
        <v>34</v>
      </c>
      <c r="U718" s="424" t="s">
        <v>519</v>
      </c>
      <c r="V718" s="455">
        <f t="shared" ca="1" si="236"/>
        <v>1251.6500000000015</v>
      </c>
      <c r="W718" s="456">
        <f t="shared" ca="1" si="237"/>
        <v>2</v>
      </c>
      <c r="X718" s="456">
        <f t="shared" ca="1" si="238"/>
        <v>1</v>
      </c>
      <c r="Y718" s="250"/>
      <c r="Z718" s="250"/>
    </row>
    <row r="719" spans="1:26" s="111" customFormat="1" ht="25.5" x14ac:dyDescent="0.2">
      <c r="A719" s="399"/>
      <c r="B719" s="494"/>
      <c r="C719" s="312" t="s">
        <v>540</v>
      </c>
      <c r="D719" s="419">
        <v>65</v>
      </c>
      <c r="E719" s="316" t="s">
        <v>518</v>
      </c>
      <c r="F719" s="420">
        <v>5</v>
      </c>
      <c r="G719" s="419">
        <v>66</v>
      </c>
      <c r="H719" s="316" t="s">
        <v>518</v>
      </c>
      <c r="I719" s="420">
        <v>17</v>
      </c>
      <c r="J719" s="431">
        <f>(ROUNDUP(K719/30,0)+1)*2</f>
        <v>6</v>
      </c>
      <c r="K719" s="421">
        <f t="shared" si="233"/>
        <v>32</v>
      </c>
      <c r="L719" s="328"/>
      <c r="M719" s="328"/>
      <c r="N719" s="493">
        <f>(2.3*0.25)+((0.2*0.2)/2)</f>
        <v>0.59499999999999997</v>
      </c>
      <c r="O719" s="493">
        <f>N719*J719</f>
        <v>3.57</v>
      </c>
      <c r="P719" s="328"/>
      <c r="Q719" s="334"/>
      <c r="R719" s="333">
        <f t="shared" si="234"/>
        <v>3.57</v>
      </c>
      <c r="S719" s="331" t="str">
        <f t="shared" si="235"/>
        <v>m²</v>
      </c>
      <c r="T719" s="320">
        <v>34</v>
      </c>
      <c r="U719" s="424" t="s">
        <v>519</v>
      </c>
      <c r="V719" s="455">
        <f t="shared" ca="1" si="236"/>
        <v>1251.6500000000015</v>
      </c>
      <c r="W719" s="456">
        <f t="shared" ca="1" si="237"/>
        <v>2</v>
      </c>
      <c r="X719" s="456">
        <f t="shared" ca="1" si="238"/>
        <v>1</v>
      </c>
      <c r="Y719" s="250"/>
      <c r="Z719" s="250"/>
    </row>
    <row r="720" spans="1:26" s="111" customFormat="1" ht="25.5" x14ac:dyDescent="0.2">
      <c r="A720" s="399"/>
      <c r="B720" s="494"/>
      <c r="C720" s="312" t="s">
        <v>541</v>
      </c>
      <c r="D720" s="419">
        <v>65</v>
      </c>
      <c r="E720" s="316" t="s">
        <v>518</v>
      </c>
      <c r="F720" s="420">
        <v>5</v>
      </c>
      <c r="G720" s="419">
        <v>66</v>
      </c>
      <c r="H720" s="316" t="s">
        <v>518</v>
      </c>
      <c r="I720" s="420">
        <v>17</v>
      </c>
      <c r="J720" s="431"/>
      <c r="K720" s="421">
        <f t="shared" si="233"/>
        <v>32</v>
      </c>
      <c r="L720" s="328">
        <v>2.8</v>
      </c>
      <c r="M720" s="328"/>
      <c r="N720" s="328"/>
      <c r="O720" s="493">
        <f>K720*L720</f>
        <v>89.6</v>
      </c>
      <c r="P720" s="328"/>
      <c r="Q720" s="334"/>
      <c r="R720" s="333">
        <f t="shared" si="234"/>
        <v>89.6</v>
      </c>
      <c r="S720" s="331" t="str">
        <f t="shared" si="235"/>
        <v>m²</v>
      </c>
      <c r="T720" s="320">
        <v>34</v>
      </c>
      <c r="U720" s="424" t="s">
        <v>519</v>
      </c>
      <c r="V720" s="455">
        <f t="shared" ca="1" si="236"/>
        <v>1251.6500000000015</v>
      </c>
      <c r="W720" s="456">
        <f t="shared" ca="1" si="237"/>
        <v>2</v>
      </c>
      <c r="X720" s="456">
        <f t="shared" ca="1" si="238"/>
        <v>1</v>
      </c>
      <c r="Y720" s="250"/>
      <c r="Z720" s="250"/>
    </row>
    <row r="721" spans="1:26" s="111" customFormat="1" ht="25.5" x14ac:dyDescent="0.2">
      <c r="A721" s="399"/>
      <c r="B721" s="494"/>
      <c r="C721" s="312" t="s">
        <v>542</v>
      </c>
      <c r="D721" s="419">
        <v>65</v>
      </c>
      <c r="E721" s="316" t="s">
        <v>518</v>
      </c>
      <c r="F721" s="420">
        <v>5</v>
      </c>
      <c r="G721" s="419">
        <v>66</v>
      </c>
      <c r="H721" s="316" t="s">
        <v>518</v>
      </c>
      <c r="I721" s="420">
        <v>17</v>
      </c>
      <c r="J721" s="431"/>
      <c r="K721" s="421">
        <f t="shared" si="233"/>
        <v>32</v>
      </c>
      <c r="L721" s="328">
        <v>3.25</v>
      </c>
      <c r="M721" s="328"/>
      <c r="N721" s="328"/>
      <c r="O721" s="493">
        <f>K721*L721</f>
        <v>104</v>
      </c>
      <c r="P721" s="328"/>
      <c r="Q721" s="334"/>
      <c r="R721" s="333">
        <f t="shared" si="234"/>
        <v>104</v>
      </c>
      <c r="S721" s="331" t="str">
        <f t="shared" si="235"/>
        <v>m²</v>
      </c>
      <c r="T721" s="320">
        <v>34</v>
      </c>
      <c r="U721" s="424" t="s">
        <v>519</v>
      </c>
      <c r="V721" s="455">
        <f t="shared" ca="1" si="236"/>
        <v>1251.6500000000015</v>
      </c>
      <c r="W721" s="456">
        <f t="shared" ca="1" si="237"/>
        <v>2</v>
      </c>
      <c r="X721" s="456">
        <f t="shared" ca="1" si="238"/>
        <v>1</v>
      </c>
      <c r="Y721" s="250"/>
      <c r="Z721" s="250"/>
    </row>
    <row r="722" spans="1:26" s="111" customFormat="1" ht="25.5" x14ac:dyDescent="0.2">
      <c r="A722" s="399"/>
      <c r="B722" s="494"/>
      <c r="C722" s="312" t="s">
        <v>543</v>
      </c>
      <c r="D722" s="419">
        <v>65</v>
      </c>
      <c r="E722" s="316" t="s">
        <v>518</v>
      </c>
      <c r="F722" s="420">
        <v>5</v>
      </c>
      <c r="G722" s="419">
        <v>66</v>
      </c>
      <c r="H722" s="316" t="s">
        <v>518</v>
      </c>
      <c r="I722" s="420">
        <v>17</v>
      </c>
      <c r="J722" s="431"/>
      <c r="K722" s="421">
        <f t="shared" si="233"/>
        <v>32</v>
      </c>
      <c r="L722" s="328">
        <v>2.8</v>
      </c>
      <c r="M722" s="328"/>
      <c r="N722" s="328"/>
      <c r="O722" s="493">
        <f>K722*L722</f>
        <v>89.6</v>
      </c>
      <c r="P722" s="328"/>
      <c r="Q722" s="334"/>
      <c r="R722" s="333">
        <f t="shared" si="234"/>
        <v>89.6</v>
      </c>
      <c r="S722" s="331" t="str">
        <f t="shared" si="235"/>
        <v>m²</v>
      </c>
      <c r="T722" s="320">
        <v>34</v>
      </c>
      <c r="U722" s="424" t="s">
        <v>519</v>
      </c>
      <c r="V722" s="455">
        <f t="shared" ca="1" si="236"/>
        <v>1251.6500000000015</v>
      </c>
      <c r="W722" s="456">
        <f t="shared" ca="1" si="237"/>
        <v>2</v>
      </c>
      <c r="X722" s="456">
        <f t="shared" ca="1" si="238"/>
        <v>1</v>
      </c>
      <c r="Y722" s="250"/>
      <c r="Z722" s="250"/>
    </row>
    <row r="723" spans="1:26" s="111" customFormat="1" ht="25.5" x14ac:dyDescent="0.2">
      <c r="A723" s="399"/>
      <c r="B723" s="494"/>
      <c r="C723" s="495" t="s">
        <v>544</v>
      </c>
      <c r="D723" s="419">
        <v>65</v>
      </c>
      <c r="E723" s="316" t="s">
        <v>518</v>
      </c>
      <c r="F723" s="420">
        <v>5</v>
      </c>
      <c r="G723" s="419">
        <v>66</v>
      </c>
      <c r="H723" s="316" t="s">
        <v>518</v>
      </c>
      <c r="I723" s="420">
        <v>17</v>
      </c>
      <c r="J723" s="499"/>
      <c r="K723" s="508">
        <f t="shared" si="233"/>
        <v>32</v>
      </c>
      <c r="L723" s="501">
        <v>3.25</v>
      </c>
      <c r="M723" s="501"/>
      <c r="N723" s="501"/>
      <c r="O723" s="502">
        <f>K723*L723</f>
        <v>104</v>
      </c>
      <c r="P723" s="501"/>
      <c r="Q723" s="503"/>
      <c r="R723" s="504">
        <f t="shared" si="234"/>
        <v>104</v>
      </c>
      <c r="S723" s="331" t="str">
        <f t="shared" si="235"/>
        <v>m²</v>
      </c>
      <c r="T723" s="320">
        <v>34</v>
      </c>
      <c r="U723" s="507" t="s">
        <v>519</v>
      </c>
      <c r="V723" s="455">
        <f t="shared" ca="1" si="236"/>
        <v>1251.6500000000015</v>
      </c>
      <c r="W723" s="456">
        <f t="shared" ca="1" si="237"/>
        <v>2</v>
      </c>
      <c r="X723" s="456">
        <f t="shared" ca="1" si="238"/>
        <v>1</v>
      </c>
      <c r="Y723" s="250"/>
      <c r="Z723" s="250"/>
    </row>
    <row r="724" spans="1:26" s="111" customFormat="1" ht="15" x14ac:dyDescent="0.2">
      <c r="A724" s="399"/>
      <c r="B724" s="494"/>
      <c r="C724" s="495"/>
      <c r="D724" s="419"/>
      <c r="E724" s="316"/>
      <c r="F724" s="420"/>
      <c r="G724" s="419"/>
      <c r="H724" s="316"/>
      <c r="I724" s="420"/>
      <c r="J724" s="499"/>
      <c r="K724" s="508"/>
      <c r="L724" s="501"/>
      <c r="M724" s="501"/>
      <c r="N724" s="501"/>
      <c r="O724" s="502"/>
      <c r="P724" s="501"/>
      <c r="Q724" s="503"/>
      <c r="R724" s="504"/>
      <c r="S724" s="505"/>
      <c r="T724" s="320"/>
      <c r="U724" s="507"/>
      <c r="V724" s="455">
        <f t="shared" ca="1" si="236"/>
        <v>1251.6500000000015</v>
      </c>
      <c r="W724" s="456">
        <f t="shared" ca="1" si="237"/>
        <v>0</v>
      </c>
      <c r="X724" s="456">
        <f t="shared" ca="1" si="238"/>
        <v>1</v>
      </c>
      <c r="Y724" s="250"/>
      <c r="Z724" s="250"/>
    </row>
    <row r="725" spans="1:26" s="111" customFormat="1" ht="15.75" x14ac:dyDescent="0.2">
      <c r="A725" s="399"/>
      <c r="B725" s="494"/>
      <c r="C725" s="434" t="s">
        <v>532</v>
      </c>
      <c r="D725" s="417"/>
      <c r="E725" s="314"/>
      <c r="F725" s="418"/>
      <c r="G725" s="419"/>
      <c r="H725" s="316"/>
      <c r="I725" s="420"/>
      <c r="J725" s="431"/>
      <c r="K725" s="433"/>
      <c r="L725" s="433"/>
      <c r="M725" s="433"/>
      <c r="N725" s="328"/>
      <c r="O725" s="328"/>
      <c r="P725" s="328"/>
      <c r="Q725" s="334"/>
      <c r="R725" s="333"/>
      <c r="S725" s="331"/>
      <c r="T725" s="992">
        <v>35</v>
      </c>
      <c r="U725" s="335"/>
      <c r="V725" s="455">
        <f t="shared" ca="1" si="236"/>
        <v>1251.6500000000015</v>
      </c>
      <c r="W725" s="456">
        <f t="shared" ca="1" si="237"/>
        <v>2</v>
      </c>
      <c r="X725" s="456">
        <f t="shared" ca="1" si="238"/>
        <v>1</v>
      </c>
      <c r="Y725" s="250"/>
      <c r="Z725" s="250"/>
    </row>
    <row r="726" spans="1:26" s="111" customFormat="1" ht="25.5" x14ac:dyDescent="0.2">
      <c r="A726" s="399"/>
      <c r="B726" s="494"/>
      <c r="C726" s="312" t="s">
        <v>536</v>
      </c>
      <c r="D726" s="419">
        <v>62</v>
      </c>
      <c r="E726" s="316" t="s">
        <v>518</v>
      </c>
      <c r="F726" s="420">
        <v>5</v>
      </c>
      <c r="G726" s="419">
        <v>65</v>
      </c>
      <c r="H726" s="316" t="s">
        <v>518</v>
      </c>
      <c r="I726" s="420">
        <v>5</v>
      </c>
      <c r="J726" s="431">
        <v>2</v>
      </c>
      <c r="K726" s="421">
        <f t="shared" ref="K726:K734" si="239">ABS((G726*20+I726)-(D726*20+F726))</f>
        <v>60</v>
      </c>
      <c r="L726" s="328"/>
      <c r="M726" s="328">
        <v>0.35</v>
      </c>
      <c r="N726" s="328"/>
      <c r="O726" s="493">
        <f>M726*K726*J726</f>
        <v>42</v>
      </c>
      <c r="P726" s="328"/>
      <c r="Q726" s="334"/>
      <c r="R726" s="333">
        <f t="shared" ref="R726:R734" si="240">O726</f>
        <v>42</v>
      </c>
      <c r="S726" s="331" t="str">
        <f t="shared" ref="S726:S734" si="241">$L$944</f>
        <v>m²</v>
      </c>
      <c r="T726" s="320">
        <v>35</v>
      </c>
      <c r="U726" s="424" t="s">
        <v>519</v>
      </c>
      <c r="V726" s="455">
        <f t="shared" ca="1" si="236"/>
        <v>1251.6500000000015</v>
      </c>
      <c r="W726" s="456">
        <f t="shared" ca="1" si="237"/>
        <v>2</v>
      </c>
      <c r="X726" s="456">
        <f t="shared" ca="1" si="238"/>
        <v>1</v>
      </c>
      <c r="Y726" s="250"/>
      <c r="Z726" s="250"/>
    </row>
    <row r="727" spans="1:26" s="111" customFormat="1" ht="25.5" x14ac:dyDescent="0.2">
      <c r="A727" s="399"/>
      <c r="B727" s="494"/>
      <c r="C727" s="312" t="s">
        <v>537</v>
      </c>
      <c r="D727" s="419">
        <v>62</v>
      </c>
      <c r="E727" s="316" t="s">
        <v>518</v>
      </c>
      <c r="F727" s="420">
        <v>5</v>
      </c>
      <c r="G727" s="419">
        <v>65</v>
      </c>
      <c r="H727" s="316" t="s">
        <v>518</v>
      </c>
      <c r="I727" s="420">
        <v>5</v>
      </c>
      <c r="J727" s="431">
        <f>ROUNDUP(K727/30,0)+1</f>
        <v>3</v>
      </c>
      <c r="K727" s="421">
        <f t="shared" si="239"/>
        <v>60</v>
      </c>
      <c r="L727" s="328">
        <v>12</v>
      </c>
      <c r="M727" s="328">
        <v>0.25</v>
      </c>
      <c r="N727" s="328"/>
      <c r="O727" s="493">
        <f>M727*L727*J727</f>
        <v>9</v>
      </c>
      <c r="P727" s="328"/>
      <c r="Q727" s="334"/>
      <c r="R727" s="333">
        <f t="shared" si="240"/>
        <v>9</v>
      </c>
      <c r="S727" s="331" t="str">
        <f t="shared" si="241"/>
        <v>m²</v>
      </c>
      <c r="T727" s="320">
        <v>35</v>
      </c>
      <c r="U727" s="424" t="s">
        <v>519</v>
      </c>
      <c r="V727" s="455">
        <f t="shared" ca="1" si="236"/>
        <v>1251.6500000000015</v>
      </c>
      <c r="W727" s="456">
        <f t="shared" ca="1" si="237"/>
        <v>2</v>
      </c>
      <c r="X727" s="456">
        <f t="shared" ca="1" si="238"/>
        <v>1</v>
      </c>
      <c r="Y727" s="250"/>
      <c r="Z727" s="250"/>
    </row>
    <row r="728" spans="1:26" s="111" customFormat="1" ht="25.5" x14ac:dyDescent="0.2">
      <c r="A728" s="399"/>
      <c r="B728" s="494"/>
      <c r="C728" s="312" t="s">
        <v>538</v>
      </c>
      <c r="D728" s="419">
        <v>62</v>
      </c>
      <c r="E728" s="316" t="s">
        <v>518</v>
      </c>
      <c r="F728" s="420">
        <v>5</v>
      </c>
      <c r="G728" s="419">
        <v>65</v>
      </c>
      <c r="H728" s="316" t="s">
        <v>518</v>
      </c>
      <c r="I728" s="420">
        <v>5</v>
      </c>
      <c r="J728" s="431">
        <v>2</v>
      </c>
      <c r="K728" s="421">
        <f t="shared" si="239"/>
        <v>60</v>
      </c>
      <c r="L728" s="328"/>
      <c r="M728" s="328">
        <v>0.25</v>
      </c>
      <c r="N728" s="328"/>
      <c r="O728" s="493">
        <f>M728*K728*J728</f>
        <v>30</v>
      </c>
      <c r="P728" s="328"/>
      <c r="Q728" s="334"/>
      <c r="R728" s="333">
        <f t="shared" si="240"/>
        <v>30</v>
      </c>
      <c r="S728" s="331" t="str">
        <f t="shared" si="241"/>
        <v>m²</v>
      </c>
      <c r="T728" s="320">
        <v>35</v>
      </c>
      <c r="U728" s="424" t="s">
        <v>519</v>
      </c>
      <c r="V728" s="455">
        <f t="shared" ca="1" si="236"/>
        <v>1251.6500000000015</v>
      </c>
      <c r="W728" s="456">
        <f t="shared" ca="1" si="237"/>
        <v>2</v>
      </c>
      <c r="X728" s="456">
        <f t="shared" ca="1" si="238"/>
        <v>1</v>
      </c>
      <c r="Y728" s="250"/>
      <c r="Z728" s="250"/>
    </row>
    <row r="729" spans="1:26" s="111" customFormat="1" ht="25.5" x14ac:dyDescent="0.2">
      <c r="A729" s="399"/>
      <c r="B729" s="494"/>
      <c r="C729" s="312" t="s">
        <v>539</v>
      </c>
      <c r="D729" s="419">
        <v>62</v>
      </c>
      <c r="E729" s="316" t="s">
        <v>518</v>
      </c>
      <c r="F729" s="420">
        <v>5</v>
      </c>
      <c r="G729" s="419">
        <v>65</v>
      </c>
      <c r="H729" s="316" t="s">
        <v>518</v>
      </c>
      <c r="I729" s="420">
        <v>5</v>
      </c>
      <c r="J729" s="431">
        <v>2</v>
      </c>
      <c r="K729" s="421">
        <f t="shared" si="239"/>
        <v>60</v>
      </c>
      <c r="L729" s="328">
        <v>0.28299999999999997</v>
      </c>
      <c r="M729" s="328"/>
      <c r="N729" s="328"/>
      <c r="O729" s="493">
        <f>J729*K729*L729</f>
        <v>33.959999999999994</v>
      </c>
      <c r="P729" s="328"/>
      <c r="Q729" s="334"/>
      <c r="R729" s="333">
        <f t="shared" si="240"/>
        <v>33.959999999999994</v>
      </c>
      <c r="S729" s="331" t="str">
        <f t="shared" si="241"/>
        <v>m²</v>
      </c>
      <c r="T729" s="320">
        <v>35</v>
      </c>
      <c r="U729" s="424" t="s">
        <v>519</v>
      </c>
      <c r="V729" s="455">
        <f t="shared" ca="1" si="236"/>
        <v>1251.6500000000015</v>
      </c>
      <c r="W729" s="456">
        <f t="shared" ca="1" si="237"/>
        <v>2</v>
      </c>
      <c r="X729" s="456">
        <f t="shared" ca="1" si="238"/>
        <v>1</v>
      </c>
      <c r="Y729" s="250"/>
      <c r="Z729" s="250"/>
    </row>
    <row r="730" spans="1:26" s="111" customFormat="1" ht="25.5" x14ac:dyDescent="0.2">
      <c r="A730" s="399"/>
      <c r="B730" s="494"/>
      <c r="C730" s="312" t="s">
        <v>540</v>
      </c>
      <c r="D730" s="419">
        <v>62</v>
      </c>
      <c r="E730" s="316" t="s">
        <v>518</v>
      </c>
      <c r="F730" s="420">
        <v>5</v>
      </c>
      <c r="G730" s="419">
        <v>65</v>
      </c>
      <c r="H730" s="316" t="s">
        <v>518</v>
      </c>
      <c r="I730" s="420">
        <v>5</v>
      </c>
      <c r="J730" s="431">
        <f>(ROUNDUP(K730/30,0)+1)*2</f>
        <v>6</v>
      </c>
      <c r="K730" s="421">
        <f t="shared" si="239"/>
        <v>60</v>
      </c>
      <c r="L730" s="328"/>
      <c r="M730" s="328"/>
      <c r="N730" s="493">
        <f>(2.3*0.25)+((0.2*0.2)/2)</f>
        <v>0.59499999999999997</v>
      </c>
      <c r="O730" s="493">
        <f>N730*J730</f>
        <v>3.57</v>
      </c>
      <c r="P730" s="328"/>
      <c r="Q730" s="334"/>
      <c r="R730" s="333">
        <f t="shared" si="240"/>
        <v>3.57</v>
      </c>
      <c r="S730" s="331" t="str">
        <f t="shared" si="241"/>
        <v>m²</v>
      </c>
      <c r="T730" s="320">
        <v>35</v>
      </c>
      <c r="U730" s="424" t="s">
        <v>519</v>
      </c>
      <c r="V730" s="455">
        <f t="shared" ca="1" si="236"/>
        <v>1251.6500000000015</v>
      </c>
      <c r="W730" s="456">
        <f t="shared" ca="1" si="237"/>
        <v>2</v>
      </c>
      <c r="X730" s="456">
        <f t="shared" ca="1" si="238"/>
        <v>1</v>
      </c>
      <c r="Y730" s="250"/>
      <c r="Z730" s="250"/>
    </row>
    <row r="731" spans="1:26" s="111" customFormat="1" ht="25.5" x14ac:dyDescent="0.2">
      <c r="A731" s="399"/>
      <c r="B731" s="494"/>
      <c r="C731" s="312" t="s">
        <v>541</v>
      </c>
      <c r="D731" s="419">
        <v>62</v>
      </c>
      <c r="E731" s="316" t="s">
        <v>518</v>
      </c>
      <c r="F731" s="420">
        <v>5</v>
      </c>
      <c r="G731" s="419">
        <v>65</v>
      </c>
      <c r="H731" s="316" t="s">
        <v>518</v>
      </c>
      <c r="I731" s="420">
        <v>5</v>
      </c>
      <c r="J731" s="431"/>
      <c r="K731" s="421">
        <f t="shared" si="239"/>
        <v>60</v>
      </c>
      <c r="L731" s="328">
        <v>2.8</v>
      </c>
      <c r="M731" s="328"/>
      <c r="N731" s="328"/>
      <c r="O731" s="493">
        <f>K731*L731</f>
        <v>168</v>
      </c>
      <c r="P731" s="328"/>
      <c r="Q731" s="334"/>
      <c r="R731" s="333">
        <f t="shared" si="240"/>
        <v>168</v>
      </c>
      <c r="S731" s="331" t="str">
        <f t="shared" si="241"/>
        <v>m²</v>
      </c>
      <c r="T731" s="320">
        <v>35</v>
      </c>
      <c r="U731" s="424" t="s">
        <v>519</v>
      </c>
      <c r="V731" s="455">
        <f t="shared" ca="1" si="236"/>
        <v>1251.6500000000015</v>
      </c>
      <c r="W731" s="456">
        <f t="shared" ca="1" si="237"/>
        <v>2</v>
      </c>
      <c r="X731" s="456">
        <f t="shared" ca="1" si="238"/>
        <v>1</v>
      </c>
      <c r="Y731" s="250"/>
      <c r="Z731" s="250"/>
    </row>
    <row r="732" spans="1:26" s="111" customFormat="1" ht="25.5" x14ac:dyDescent="0.2">
      <c r="A732" s="399"/>
      <c r="B732" s="494"/>
      <c r="C732" s="312" t="s">
        <v>542</v>
      </c>
      <c r="D732" s="419">
        <v>62</v>
      </c>
      <c r="E732" s="316" t="s">
        <v>518</v>
      </c>
      <c r="F732" s="420">
        <v>5</v>
      </c>
      <c r="G732" s="419">
        <v>65</v>
      </c>
      <c r="H732" s="316" t="s">
        <v>518</v>
      </c>
      <c r="I732" s="420">
        <v>5</v>
      </c>
      <c r="J732" s="431"/>
      <c r="K732" s="421">
        <f t="shared" si="239"/>
        <v>60</v>
      </c>
      <c r="L732" s="328">
        <v>3.25</v>
      </c>
      <c r="M732" s="328"/>
      <c r="N732" s="328"/>
      <c r="O732" s="493">
        <f>K732*L732</f>
        <v>195</v>
      </c>
      <c r="P732" s="328"/>
      <c r="Q732" s="334"/>
      <c r="R732" s="333">
        <f t="shared" si="240"/>
        <v>195</v>
      </c>
      <c r="S732" s="331" t="str">
        <f t="shared" si="241"/>
        <v>m²</v>
      </c>
      <c r="T732" s="320">
        <v>35</v>
      </c>
      <c r="U732" s="424" t="s">
        <v>519</v>
      </c>
      <c r="V732" s="455">
        <f t="shared" ca="1" si="236"/>
        <v>1251.6500000000015</v>
      </c>
      <c r="W732" s="456">
        <f t="shared" ca="1" si="237"/>
        <v>2</v>
      </c>
      <c r="X732" s="456">
        <f t="shared" ca="1" si="238"/>
        <v>1</v>
      </c>
      <c r="Y732" s="250"/>
      <c r="Z732" s="250"/>
    </row>
    <row r="733" spans="1:26" s="111" customFormat="1" ht="25.5" x14ac:dyDescent="0.2">
      <c r="A733" s="399"/>
      <c r="B733" s="494"/>
      <c r="C733" s="312" t="s">
        <v>543</v>
      </c>
      <c r="D733" s="419">
        <v>62</v>
      </c>
      <c r="E733" s="316" t="s">
        <v>518</v>
      </c>
      <c r="F733" s="420">
        <v>5</v>
      </c>
      <c r="G733" s="419">
        <v>65</v>
      </c>
      <c r="H733" s="316" t="s">
        <v>518</v>
      </c>
      <c r="I733" s="420">
        <v>5</v>
      </c>
      <c r="J733" s="431"/>
      <c r="K733" s="421">
        <f t="shared" si="239"/>
        <v>60</v>
      </c>
      <c r="L733" s="328">
        <v>2.8</v>
      </c>
      <c r="M733" s="328"/>
      <c r="N733" s="328"/>
      <c r="O733" s="493">
        <f>K733*L733</f>
        <v>168</v>
      </c>
      <c r="P733" s="328"/>
      <c r="Q733" s="334"/>
      <c r="R733" s="333">
        <f t="shared" si="240"/>
        <v>168</v>
      </c>
      <c r="S733" s="331" t="str">
        <f t="shared" si="241"/>
        <v>m²</v>
      </c>
      <c r="T733" s="320">
        <v>35</v>
      </c>
      <c r="U733" s="424" t="s">
        <v>519</v>
      </c>
      <c r="V733" s="455">
        <f t="shared" ca="1" si="236"/>
        <v>1251.6500000000015</v>
      </c>
      <c r="W733" s="456">
        <f t="shared" ca="1" si="237"/>
        <v>2</v>
      </c>
      <c r="X733" s="456">
        <f t="shared" ca="1" si="238"/>
        <v>1</v>
      </c>
      <c r="Y733" s="250"/>
      <c r="Z733" s="250"/>
    </row>
    <row r="734" spans="1:26" s="111" customFormat="1" ht="25.5" x14ac:dyDescent="0.2">
      <c r="A734" s="399"/>
      <c r="B734" s="494"/>
      <c r="C734" s="495" t="s">
        <v>544</v>
      </c>
      <c r="D734" s="419">
        <v>62</v>
      </c>
      <c r="E734" s="316" t="s">
        <v>518</v>
      </c>
      <c r="F734" s="420">
        <v>5</v>
      </c>
      <c r="G734" s="419">
        <v>65</v>
      </c>
      <c r="H734" s="316" t="s">
        <v>518</v>
      </c>
      <c r="I734" s="420">
        <v>5</v>
      </c>
      <c r="J734" s="499"/>
      <c r="K734" s="508">
        <f t="shared" si="239"/>
        <v>60</v>
      </c>
      <c r="L734" s="501">
        <v>3.25</v>
      </c>
      <c r="M734" s="501"/>
      <c r="N734" s="501"/>
      <c r="O734" s="502">
        <f>K734*L734</f>
        <v>195</v>
      </c>
      <c r="P734" s="501"/>
      <c r="Q734" s="503"/>
      <c r="R734" s="504">
        <f t="shared" si="240"/>
        <v>195</v>
      </c>
      <c r="S734" s="331" t="str">
        <f t="shared" si="241"/>
        <v>m²</v>
      </c>
      <c r="T734" s="320">
        <v>35</v>
      </c>
      <c r="U734" s="507" t="s">
        <v>519</v>
      </c>
      <c r="V734" s="455">
        <f t="shared" ca="1" si="236"/>
        <v>1251.6500000000015</v>
      </c>
      <c r="W734" s="456">
        <f t="shared" ca="1" si="237"/>
        <v>2</v>
      </c>
      <c r="X734" s="456">
        <f t="shared" ca="1" si="238"/>
        <v>1</v>
      </c>
      <c r="Y734" s="250"/>
      <c r="Z734" s="250"/>
    </row>
    <row r="735" spans="1:26" s="111" customFormat="1" ht="15" x14ac:dyDescent="0.2">
      <c r="A735" s="399"/>
      <c r="B735" s="494"/>
      <c r="C735" s="495"/>
      <c r="D735" s="419"/>
      <c r="E735" s="316"/>
      <c r="F735" s="420"/>
      <c r="G735" s="419"/>
      <c r="H735" s="316"/>
      <c r="I735" s="420"/>
      <c r="J735" s="499"/>
      <c r="K735" s="508"/>
      <c r="L735" s="501"/>
      <c r="M735" s="501"/>
      <c r="N735" s="501"/>
      <c r="O735" s="502"/>
      <c r="P735" s="501"/>
      <c r="Q735" s="503"/>
      <c r="R735" s="504"/>
      <c r="S735" s="505"/>
      <c r="T735" s="320"/>
      <c r="U735" s="507"/>
      <c r="V735" s="455">
        <f t="shared" ca="1" si="236"/>
        <v>1251.6500000000015</v>
      </c>
      <c r="W735" s="456">
        <f t="shared" ca="1" si="237"/>
        <v>0</v>
      </c>
      <c r="X735" s="456">
        <f t="shared" ca="1" si="238"/>
        <v>1</v>
      </c>
      <c r="Y735" s="250"/>
      <c r="Z735" s="250"/>
    </row>
    <row r="736" spans="1:26" s="111" customFormat="1" ht="15.75" x14ac:dyDescent="0.2">
      <c r="A736" s="399"/>
      <c r="B736" s="494"/>
      <c r="C736" s="434" t="s">
        <v>532</v>
      </c>
      <c r="D736" s="417"/>
      <c r="E736" s="314"/>
      <c r="F736" s="418"/>
      <c r="G736" s="419"/>
      <c r="H736" s="316"/>
      <c r="I736" s="420"/>
      <c r="J736" s="431"/>
      <c r="K736" s="433"/>
      <c r="L736" s="433"/>
      <c r="M736" s="433"/>
      <c r="N736" s="328"/>
      <c r="O736" s="328"/>
      <c r="P736" s="328"/>
      <c r="Q736" s="334"/>
      <c r="R736" s="333"/>
      <c r="S736" s="331"/>
      <c r="T736" s="992">
        <v>36</v>
      </c>
      <c r="U736" s="335"/>
      <c r="V736" s="455">
        <f t="shared" ca="1" si="236"/>
        <v>1251.6500000000015</v>
      </c>
      <c r="W736" s="456">
        <f t="shared" ca="1" si="237"/>
        <v>2</v>
      </c>
      <c r="X736" s="456">
        <f t="shared" ca="1" si="238"/>
        <v>1</v>
      </c>
      <c r="Y736" s="250"/>
      <c r="Z736" s="250"/>
    </row>
    <row r="737" spans="1:26" s="111" customFormat="1" ht="25.5" x14ac:dyDescent="0.2">
      <c r="A737" s="399"/>
      <c r="B737" s="494"/>
      <c r="C737" s="312" t="s">
        <v>536</v>
      </c>
      <c r="D737" s="419">
        <v>60</v>
      </c>
      <c r="E737" s="316" t="s">
        <v>518</v>
      </c>
      <c r="F737" s="420">
        <v>0</v>
      </c>
      <c r="G737" s="419">
        <v>62</v>
      </c>
      <c r="H737" s="316" t="s">
        <v>518</v>
      </c>
      <c r="I737" s="420">
        <v>5</v>
      </c>
      <c r="J737" s="431">
        <v>2</v>
      </c>
      <c r="K737" s="421">
        <f t="shared" ref="K737:K744" si="242">ABS((G737*20+I737)-(D737*20+F737))</f>
        <v>45</v>
      </c>
      <c r="L737" s="328"/>
      <c r="M737" s="328">
        <v>0.35</v>
      </c>
      <c r="N737" s="328"/>
      <c r="O737" s="493">
        <f>M737*K737*J737</f>
        <v>31.499999999999996</v>
      </c>
      <c r="P737" s="328"/>
      <c r="Q737" s="334"/>
      <c r="R737" s="333">
        <f t="shared" ref="R737:R745" si="243">O737</f>
        <v>31.499999999999996</v>
      </c>
      <c r="S737" s="331" t="str">
        <f t="shared" ref="S737:S745" si="244">$L$944</f>
        <v>m²</v>
      </c>
      <c r="T737" s="320">
        <v>36</v>
      </c>
      <c r="U737" s="424" t="s">
        <v>519</v>
      </c>
      <c r="V737" s="455">
        <f t="shared" ca="1" si="236"/>
        <v>1251.6500000000015</v>
      </c>
      <c r="W737" s="456">
        <f t="shared" ca="1" si="237"/>
        <v>2</v>
      </c>
      <c r="X737" s="456">
        <f t="shared" ca="1" si="238"/>
        <v>1</v>
      </c>
      <c r="Y737" s="250"/>
      <c r="Z737" s="250"/>
    </row>
    <row r="738" spans="1:26" s="111" customFormat="1" ht="25.5" x14ac:dyDescent="0.2">
      <c r="A738" s="399"/>
      <c r="B738" s="494"/>
      <c r="C738" s="312" t="s">
        <v>537</v>
      </c>
      <c r="D738" s="419">
        <v>60</v>
      </c>
      <c r="E738" s="316" t="s">
        <v>518</v>
      </c>
      <c r="F738" s="420">
        <v>0</v>
      </c>
      <c r="G738" s="419">
        <v>62</v>
      </c>
      <c r="H738" s="316" t="s">
        <v>518</v>
      </c>
      <c r="I738" s="420">
        <v>5</v>
      </c>
      <c r="J738" s="431">
        <f>ROUNDUP(K738/30,0)+1</f>
        <v>3</v>
      </c>
      <c r="K738" s="421">
        <f t="shared" si="242"/>
        <v>45</v>
      </c>
      <c r="L738" s="328">
        <v>12</v>
      </c>
      <c r="M738" s="328">
        <v>0.25</v>
      </c>
      <c r="N738" s="328"/>
      <c r="O738" s="493">
        <f>M738*L738*J738</f>
        <v>9</v>
      </c>
      <c r="P738" s="328"/>
      <c r="Q738" s="334"/>
      <c r="R738" s="333">
        <f t="shared" si="243"/>
        <v>9</v>
      </c>
      <c r="S738" s="331" t="str">
        <f t="shared" si="244"/>
        <v>m²</v>
      </c>
      <c r="T738" s="320">
        <v>36</v>
      </c>
      <c r="U738" s="424" t="s">
        <v>519</v>
      </c>
      <c r="V738" s="455">
        <f t="shared" ca="1" si="236"/>
        <v>1251.6500000000015</v>
      </c>
      <c r="W738" s="456">
        <f t="shared" ca="1" si="237"/>
        <v>2</v>
      </c>
      <c r="X738" s="456">
        <f t="shared" ca="1" si="238"/>
        <v>1</v>
      </c>
      <c r="Y738" s="250"/>
      <c r="Z738" s="250"/>
    </row>
    <row r="739" spans="1:26" s="111" customFormat="1" ht="25.5" x14ac:dyDescent="0.2">
      <c r="A739" s="399"/>
      <c r="B739" s="494"/>
      <c r="C739" s="312" t="s">
        <v>538</v>
      </c>
      <c r="D739" s="419">
        <v>60</v>
      </c>
      <c r="E739" s="316" t="s">
        <v>518</v>
      </c>
      <c r="F739" s="420">
        <v>0</v>
      </c>
      <c r="G739" s="419">
        <v>62</v>
      </c>
      <c r="H739" s="316" t="s">
        <v>518</v>
      </c>
      <c r="I739" s="420">
        <v>5</v>
      </c>
      <c r="J739" s="431">
        <v>2</v>
      </c>
      <c r="K739" s="421">
        <f t="shared" si="242"/>
        <v>45</v>
      </c>
      <c r="L739" s="328"/>
      <c r="M739" s="328">
        <v>0.25</v>
      </c>
      <c r="N739" s="328"/>
      <c r="O739" s="493">
        <f>M739*K739*J739</f>
        <v>22.5</v>
      </c>
      <c r="P739" s="328"/>
      <c r="Q739" s="334"/>
      <c r="R739" s="333">
        <f t="shared" si="243"/>
        <v>22.5</v>
      </c>
      <c r="S739" s="331" t="str">
        <f t="shared" si="244"/>
        <v>m²</v>
      </c>
      <c r="T739" s="320">
        <v>36</v>
      </c>
      <c r="U739" s="424" t="s">
        <v>519</v>
      </c>
      <c r="V739" s="455">
        <f t="shared" ca="1" si="236"/>
        <v>1251.6500000000015</v>
      </c>
      <c r="W739" s="456">
        <f t="shared" ca="1" si="237"/>
        <v>2</v>
      </c>
      <c r="X739" s="456">
        <f t="shared" ca="1" si="238"/>
        <v>1</v>
      </c>
      <c r="Y739" s="250"/>
      <c r="Z739" s="250"/>
    </row>
    <row r="740" spans="1:26" s="111" customFormat="1" ht="25.5" x14ac:dyDescent="0.2">
      <c r="A740" s="399"/>
      <c r="B740" s="494"/>
      <c r="C740" s="312" t="s">
        <v>539</v>
      </c>
      <c r="D740" s="419">
        <v>60</v>
      </c>
      <c r="E740" s="316" t="s">
        <v>518</v>
      </c>
      <c r="F740" s="420">
        <v>0</v>
      </c>
      <c r="G740" s="419">
        <v>62</v>
      </c>
      <c r="H740" s="316" t="s">
        <v>518</v>
      </c>
      <c r="I740" s="420">
        <v>5</v>
      </c>
      <c r="J740" s="431">
        <v>2</v>
      </c>
      <c r="K740" s="421">
        <f t="shared" si="242"/>
        <v>45</v>
      </c>
      <c r="L740" s="328">
        <v>0.28299999999999997</v>
      </c>
      <c r="M740" s="328"/>
      <c r="N740" s="328"/>
      <c r="O740" s="493">
        <f>J740*K740*L740</f>
        <v>25.47</v>
      </c>
      <c r="P740" s="328"/>
      <c r="Q740" s="334"/>
      <c r="R740" s="333">
        <f t="shared" si="243"/>
        <v>25.47</v>
      </c>
      <c r="S740" s="331" t="str">
        <f t="shared" si="244"/>
        <v>m²</v>
      </c>
      <c r="T740" s="320">
        <v>36</v>
      </c>
      <c r="U740" s="424" t="s">
        <v>519</v>
      </c>
      <c r="V740" s="455">
        <f t="shared" ca="1" si="236"/>
        <v>1251.6500000000015</v>
      </c>
      <c r="W740" s="456">
        <f t="shared" ca="1" si="237"/>
        <v>2</v>
      </c>
      <c r="X740" s="456">
        <f t="shared" ca="1" si="238"/>
        <v>1</v>
      </c>
      <c r="Y740" s="250"/>
      <c r="Z740" s="250"/>
    </row>
    <row r="741" spans="1:26" s="111" customFormat="1" ht="25.5" x14ac:dyDescent="0.2">
      <c r="A741" s="399"/>
      <c r="B741" s="494"/>
      <c r="C741" s="312" t="s">
        <v>540</v>
      </c>
      <c r="D741" s="419">
        <v>60</v>
      </c>
      <c r="E741" s="316" t="s">
        <v>518</v>
      </c>
      <c r="F741" s="420">
        <v>0</v>
      </c>
      <c r="G741" s="419">
        <v>62</v>
      </c>
      <c r="H741" s="316" t="s">
        <v>518</v>
      </c>
      <c r="I741" s="420">
        <v>5</v>
      </c>
      <c r="J741" s="431">
        <f>(ROUNDUP(K741/30,0)+1)*2</f>
        <v>6</v>
      </c>
      <c r="K741" s="421">
        <f t="shared" si="242"/>
        <v>45</v>
      </c>
      <c r="L741" s="328"/>
      <c r="M741" s="328"/>
      <c r="N741" s="493">
        <f>(2.3*0.25)+((0.2*0.2)/2)</f>
        <v>0.59499999999999997</v>
      </c>
      <c r="O741" s="493">
        <f>N741*J741</f>
        <v>3.57</v>
      </c>
      <c r="P741" s="328"/>
      <c r="Q741" s="334"/>
      <c r="R741" s="333">
        <f t="shared" si="243"/>
        <v>3.57</v>
      </c>
      <c r="S741" s="331" t="str">
        <f t="shared" si="244"/>
        <v>m²</v>
      </c>
      <c r="T741" s="320">
        <v>36</v>
      </c>
      <c r="U741" s="424" t="s">
        <v>519</v>
      </c>
      <c r="V741" s="455">
        <f t="shared" ca="1" si="236"/>
        <v>1251.6500000000015</v>
      </c>
      <c r="W741" s="456">
        <f t="shared" ca="1" si="237"/>
        <v>2</v>
      </c>
      <c r="X741" s="456">
        <f t="shared" ca="1" si="238"/>
        <v>1</v>
      </c>
      <c r="Y741" s="250"/>
      <c r="Z741" s="250"/>
    </row>
    <row r="742" spans="1:26" s="111" customFormat="1" ht="25.5" x14ac:dyDescent="0.2">
      <c r="A742" s="399"/>
      <c r="B742" s="494"/>
      <c r="C742" s="312" t="s">
        <v>541</v>
      </c>
      <c r="D742" s="419">
        <v>60</v>
      </c>
      <c r="E742" s="316" t="s">
        <v>518</v>
      </c>
      <c r="F742" s="420">
        <v>0</v>
      </c>
      <c r="G742" s="419">
        <v>62</v>
      </c>
      <c r="H742" s="316" t="s">
        <v>518</v>
      </c>
      <c r="I742" s="420">
        <v>5</v>
      </c>
      <c r="J742" s="431"/>
      <c r="K742" s="421">
        <f t="shared" si="242"/>
        <v>45</v>
      </c>
      <c r="L742" s="328">
        <v>2.8</v>
      </c>
      <c r="M742" s="328"/>
      <c r="N742" s="328"/>
      <c r="O742" s="493">
        <f>K742*L742</f>
        <v>125.99999999999999</v>
      </c>
      <c r="P742" s="328"/>
      <c r="Q742" s="334"/>
      <c r="R742" s="333">
        <f t="shared" si="243"/>
        <v>125.99999999999999</v>
      </c>
      <c r="S742" s="331" t="str">
        <f t="shared" si="244"/>
        <v>m²</v>
      </c>
      <c r="T742" s="320">
        <v>36</v>
      </c>
      <c r="U742" s="424" t="s">
        <v>519</v>
      </c>
      <c r="V742" s="455">
        <f t="shared" ca="1" si="236"/>
        <v>1251.6500000000015</v>
      </c>
      <c r="W742" s="456">
        <f t="shared" ca="1" si="237"/>
        <v>2</v>
      </c>
      <c r="X742" s="456">
        <f t="shared" ca="1" si="238"/>
        <v>1</v>
      </c>
      <c r="Y742" s="250"/>
      <c r="Z742" s="250"/>
    </row>
    <row r="743" spans="1:26" s="111" customFormat="1" ht="25.5" x14ac:dyDescent="0.2">
      <c r="A743" s="399"/>
      <c r="B743" s="494"/>
      <c r="C743" s="312" t="s">
        <v>542</v>
      </c>
      <c r="D743" s="419">
        <v>60</v>
      </c>
      <c r="E743" s="316" t="s">
        <v>518</v>
      </c>
      <c r="F743" s="420">
        <v>0</v>
      </c>
      <c r="G743" s="419">
        <v>62</v>
      </c>
      <c r="H743" s="316" t="s">
        <v>518</v>
      </c>
      <c r="I743" s="420">
        <v>5</v>
      </c>
      <c r="J743" s="431"/>
      <c r="K743" s="421">
        <f t="shared" si="242"/>
        <v>45</v>
      </c>
      <c r="L743" s="328">
        <v>3.25</v>
      </c>
      <c r="M743" s="328"/>
      <c r="N743" s="328"/>
      <c r="O743" s="493">
        <f>K743*L743</f>
        <v>146.25</v>
      </c>
      <c r="P743" s="328"/>
      <c r="Q743" s="334"/>
      <c r="R743" s="333">
        <f t="shared" si="243"/>
        <v>146.25</v>
      </c>
      <c r="S743" s="331" t="str">
        <f t="shared" si="244"/>
        <v>m²</v>
      </c>
      <c r="T743" s="320">
        <v>36</v>
      </c>
      <c r="U743" s="424" t="s">
        <v>519</v>
      </c>
      <c r="V743" s="455">
        <f t="shared" ca="1" si="236"/>
        <v>1251.6500000000015</v>
      </c>
      <c r="W743" s="456">
        <f t="shared" ca="1" si="237"/>
        <v>2</v>
      </c>
      <c r="X743" s="456">
        <f t="shared" ca="1" si="238"/>
        <v>1</v>
      </c>
      <c r="Y743" s="250"/>
      <c r="Z743" s="250"/>
    </row>
    <row r="744" spans="1:26" s="111" customFormat="1" ht="25.5" x14ac:dyDescent="0.2">
      <c r="A744" s="399"/>
      <c r="B744" s="494"/>
      <c r="C744" s="312" t="s">
        <v>543</v>
      </c>
      <c r="D744" s="419">
        <v>60</v>
      </c>
      <c r="E744" s="316" t="s">
        <v>518</v>
      </c>
      <c r="F744" s="420">
        <v>0</v>
      </c>
      <c r="G744" s="419">
        <v>62</v>
      </c>
      <c r="H744" s="316" t="s">
        <v>518</v>
      </c>
      <c r="I744" s="420">
        <v>5</v>
      </c>
      <c r="J744" s="431"/>
      <c r="K744" s="421">
        <f t="shared" si="242"/>
        <v>45</v>
      </c>
      <c r="L744" s="328">
        <v>2.8</v>
      </c>
      <c r="M744" s="328"/>
      <c r="N744" s="328"/>
      <c r="O744" s="493">
        <f>K744*L744</f>
        <v>125.99999999999999</v>
      </c>
      <c r="P744" s="328"/>
      <c r="Q744" s="334"/>
      <c r="R744" s="333">
        <f t="shared" si="243"/>
        <v>125.99999999999999</v>
      </c>
      <c r="S744" s="331" t="str">
        <f t="shared" si="244"/>
        <v>m²</v>
      </c>
      <c r="T744" s="320">
        <v>36</v>
      </c>
      <c r="U744" s="424" t="s">
        <v>519</v>
      </c>
      <c r="V744" s="455">
        <f t="shared" ca="1" si="236"/>
        <v>1251.6500000000015</v>
      </c>
      <c r="W744" s="456">
        <f t="shared" ca="1" si="237"/>
        <v>2</v>
      </c>
      <c r="X744" s="456">
        <f t="shared" ca="1" si="238"/>
        <v>1</v>
      </c>
      <c r="Y744" s="250"/>
      <c r="Z744" s="250"/>
    </row>
    <row r="745" spans="1:26" s="111" customFormat="1" ht="25.5" x14ac:dyDescent="0.2">
      <c r="A745" s="399"/>
      <c r="B745" s="494"/>
      <c r="C745" s="495" t="s">
        <v>544</v>
      </c>
      <c r="D745" s="419">
        <v>60</v>
      </c>
      <c r="E745" s="316" t="s">
        <v>518</v>
      </c>
      <c r="F745" s="420">
        <v>0</v>
      </c>
      <c r="G745" s="419">
        <v>62</v>
      </c>
      <c r="H745" s="316" t="s">
        <v>518</v>
      </c>
      <c r="I745" s="420">
        <v>5</v>
      </c>
      <c r="J745" s="499"/>
      <c r="K745" s="508">
        <f>ABS((G745*20+I745)-(D745*20+F745))</f>
        <v>45</v>
      </c>
      <c r="L745" s="501">
        <v>3.25</v>
      </c>
      <c r="M745" s="501"/>
      <c r="N745" s="501"/>
      <c r="O745" s="502">
        <f>K745*L745</f>
        <v>146.25</v>
      </c>
      <c r="P745" s="501"/>
      <c r="Q745" s="503"/>
      <c r="R745" s="504">
        <f t="shared" si="243"/>
        <v>146.25</v>
      </c>
      <c r="S745" s="331" t="str">
        <f t="shared" si="244"/>
        <v>m²</v>
      </c>
      <c r="T745" s="320">
        <v>36</v>
      </c>
      <c r="U745" s="507" t="s">
        <v>519</v>
      </c>
      <c r="V745" s="455">
        <f t="shared" ca="1" si="236"/>
        <v>1251.6500000000015</v>
      </c>
      <c r="W745" s="456">
        <f t="shared" ca="1" si="237"/>
        <v>2</v>
      </c>
      <c r="X745" s="456">
        <f t="shared" ca="1" si="238"/>
        <v>1</v>
      </c>
      <c r="Y745" s="250"/>
      <c r="Z745" s="250"/>
    </row>
    <row r="746" spans="1:26" s="111" customFormat="1" ht="15" x14ac:dyDescent="0.2">
      <c r="A746" s="399"/>
      <c r="B746" s="494"/>
      <c r="C746" s="495"/>
      <c r="D746" s="419"/>
      <c r="E746" s="316"/>
      <c r="F746" s="420"/>
      <c r="G746" s="419"/>
      <c r="H746" s="316"/>
      <c r="I746" s="420"/>
      <c r="J746" s="499"/>
      <c r="K746" s="508"/>
      <c r="L746" s="501"/>
      <c r="M746" s="501"/>
      <c r="N746" s="501"/>
      <c r="O746" s="502"/>
      <c r="P746" s="501"/>
      <c r="Q746" s="503"/>
      <c r="R746" s="504"/>
      <c r="S746" s="505"/>
      <c r="T746" s="320"/>
      <c r="U746" s="507"/>
      <c r="V746" s="455">
        <f t="shared" ca="1" si="236"/>
        <v>1251.6500000000015</v>
      </c>
      <c r="W746" s="456">
        <f t="shared" ca="1" si="237"/>
        <v>0</v>
      </c>
      <c r="X746" s="456">
        <f t="shared" ca="1" si="238"/>
        <v>1</v>
      </c>
      <c r="Y746" s="250"/>
      <c r="Z746" s="250"/>
    </row>
    <row r="747" spans="1:26" s="111" customFormat="1" ht="15.75" x14ac:dyDescent="0.2">
      <c r="A747" s="399"/>
      <c r="B747" s="494"/>
      <c r="C747" s="434" t="s">
        <v>532</v>
      </c>
      <c r="D747" s="417"/>
      <c r="E747" s="314"/>
      <c r="F747" s="418"/>
      <c r="G747" s="419"/>
      <c r="H747" s="316"/>
      <c r="I747" s="420"/>
      <c r="J747" s="431"/>
      <c r="K747" s="433"/>
      <c r="L747" s="433"/>
      <c r="M747" s="433"/>
      <c r="N747" s="328"/>
      <c r="O747" s="328"/>
      <c r="P747" s="328"/>
      <c r="Q747" s="334"/>
      <c r="R747" s="333"/>
      <c r="S747" s="331"/>
      <c r="T747" s="992">
        <v>37</v>
      </c>
      <c r="U747" s="335"/>
      <c r="V747" s="455">
        <f t="shared" ca="1" si="236"/>
        <v>1251.6500000000015</v>
      </c>
      <c r="W747" s="456">
        <f t="shared" ca="1" si="237"/>
        <v>2</v>
      </c>
      <c r="X747" s="456">
        <f t="shared" ca="1" si="238"/>
        <v>1</v>
      </c>
      <c r="Y747" s="250"/>
      <c r="Z747" s="250"/>
    </row>
    <row r="748" spans="1:26" s="111" customFormat="1" ht="25.5" x14ac:dyDescent="0.2">
      <c r="A748" s="399"/>
      <c r="B748" s="494"/>
      <c r="C748" s="312" t="s">
        <v>536</v>
      </c>
      <c r="D748" s="419">
        <v>57</v>
      </c>
      <c r="E748" s="316" t="s">
        <v>518</v>
      </c>
      <c r="F748" s="420">
        <v>16</v>
      </c>
      <c r="G748" s="419">
        <v>60</v>
      </c>
      <c r="H748" s="316" t="s">
        <v>518</v>
      </c>
      <c r="I748" s="420">
        <v>0</v>
      </c>
      <c r="J748" s="431">
        <v>2</v>
      </c>
      <c r="K748" s="421">
        <f t="shared" ref="K748:K756" si="245">ABS((G748*20+I748)-(D748*20+F748))</f>
        <v>44</v>
      </c>
      <c r="L748" s="328"/>
      <c r="M748" s="328">
        <v>0.35</v>
      </c>
      <c r="N748" s="328"/>
      <c r="O748" s="493">
        <f>M748*K748*J748</f>
        <v>30.799999999999997</v>
      </c>
      <c r="P748" s="328"/>
      <c r="Q748" s="334"/>
      <c r="R748" s="333">
        <f t="shared" ref="R748:R756" si="246">O748</f>
        <v>30.799999999999997</v>
      </c>
      <c r="S748" s="331" t="str">
        <f>$L$944</f>
        <v>m²</v>
      </c>
      <c r="T748" s="320">
        <v>37</v>
      </c>
      <c r="U748" s="424" t="s">
        <v>519</v>
      </c>
      <c r="V748" s="455">
        <f t="shared" ca="1" si="236"/>
        <v>1251.6500000000015</v>
      </c>
      <c r="W748" s="456">
        <f t="shared" ca="1" si="237"/>
        <v>2</v>
      </c>
      <c r="X748" s="456">
        <f t="shared" ca="1" si="238"/>
        <v>1</v>
      </c>
      <c r="Y748" s="250"/>
      <c r="Z748" s="250"/>
    </row>
    <row r="749" spans="1:26" s="111" customFormat="1" ht="25.5" x14ac:dyDescent="0.2">
      <c r="A749" s="399"/>
      <c r="B749" s="494"/>
      <c r="C749" s="312" t="s">
        <v>537</v>
      </c>
      <c r="D749" s="419">
        <v>57</v>
      </c>
      <c r="E749" s="316" t="s">
        <v>518</v>
      </c>
      <c r="F749" s="420">
        <v>16</v>
      </c>
      <c r="G749" s="419">
        <v>60</v>
      </c>
      <c r="H749" s="316" t="s">
        <v>518</v>
      </c>
      <c r="I749" s="420">
        <v>0</v>
      </c>
      <c r="J749" s="431">
        <f>ROUNDUP(K749/30,0)+1</f>
        <v>3</v>
      </c>
      <c r="K749" s="421">
        <f t="shared" si="245"/>
        <v>44</v>
      </c>
      <c r="L749" s="328">
        <v>12</v>
      </c>
      <c r="M749" s="328">
        <v>0.25</v>
      </c>
      <c r="N749" s="328"/>
      <c r="O749" s="493">
        <f>M749*L749*J749</f>
        <v>9</v>
      </c>
      <c r="P749" s="328"/>
      <c r="Q749" s="334"/>
      <c r="R749" s="333">
        <f t="shared" si="246"/>
        <v>9</v>
      </c>
      <c r="S749" s="331" t="str">
        <f t="shared" ref="S749:S756" si="247">$L$944</f>
        <v>m²</v>
      </c>
      <c r="T749" s="320">
        <v>37</v>
      </c>
      <c r="U749" s="424" t="s">
        <v>519</v>
      </c>
      <c r="V749" s="455">
        <f t="shared" ca="1" si="236"/>
        <v>1251.6500000000015</v>
      </c>
      <c r="W749" s="456">
        <f t="shared" ca="1" si="237"/>
        <v>2</v>
      </c>
      <c r="X749" s="456">
        <f t="shared" ca="1" si="238"/>
        <v>1</v>
      </c>
      <c r="Y749" s="250"/>
      <c r="Z749" s="250"/>
    </row>
    <row r="750" spans="1:26" s="111" customFormat="1" ht="25.5" x14ac:dyDescent="0.2">
      <c r="A750" s="399"/>
      <c r="B750" s="494"/>
      <c r="C750" s="312" t="s">
        <v>538</v>
      </c>
      <c r="D750" s="419">
        <v>57</v>
      </c>
      <c r="E750" s="316" t="s">
        <v>518</v>
      </c>
      <c r="F750" s="420">
        <v>16</v>
      </c>
      <c r="G750" s="419">
        <v>60</v>
      </c>
      <c r="H750" s="316" t="s">
        <v>518</v>
      </c>
      <c r="I750" s="420">
        <v>0</v>
      </c>
      <c r="J750" s="431">
        <v>2</v>
      </c>
      <c r="K750" s="421">
        <f t="shared" si="245"/>
        <v>44</v>
      </c>
      <c r="L750" s="328"/>
      <c r="M750" s="328">
        <v>0.25</v>
      </c>
      <c r="N750" s="328"/>
      <c r="O750" s="493">
        <f>M750*K750*J750</f>
        <v>22</v>
      </c>
      <c r="P750" s="328"/>
      <c r="Q750" s="334"/>
      <c r="R750" s="333">
        <f t="shared" si="246"/>
        <v>22</v>
      </c>
      <c r="S750" s="331" t="str">
        <f t="shared" si="247"/>
        <v>m²</v>
      </c>
      <c r="T750" s="320">
        <v>37</v>
      </c>
      <c r="U750" s="424" t="s">
        <v>519</v>
      </c>
      <c r="V750" s="455">
        <f t="shared" ca="1" si="236"/>
        <v>1251.6500000000015</v>
      </c>
      <c r="W750" s="456">
        <f t="shared" ca="1" si="237"/>
        <v>2</v>
      </c>
      <c r="X750" s="456">
        <f t="shared" ca="1" si="238"/>
        <v>1</v>
      </c>
      <c r="Y750" s="250"/>
      <c r="Z750" s="250"/>
    </row>
    <row r="751" spans="1:26" s="111" customFormat="1" ht="25.5" x14ac:dyDescent="0.2">
      <c r="A751" s="399"/>
      <c r="B751" s="494"/>
      <c r="C751" s="312" t="s">
        <v>539</v>
      </c>
      <c r="D751" s="419">
        <v>57</v>
      </c>
      <c r="E751" s="316" t="s">
        <v>518</v>
      </c>
      <c r="F751" s="420">
        <v>16</v>
      </c>
      <c r="G751" s="419">
        <v>60</v>
      </c>
      <c r="H751" s="316" t="s">
        <v>518</v>
      </c>
      <c r="I751" s="420">
        <v>0</v>
      </c>
      <c r="J751" s="431">
        <v>2</v>
      </c>
      <c r="K751" s="421">
        <f t="shared" si="245"/>
        <v>44</v>
      </c>
      <c r="L751" s="328">
        <v>0.28299999999999997</v>
      </c>
      <c r="M751" s="328"/>
      <c r="N751" s="328"/>
      <c r="O751" s="493">
        <f>J751*K751*L751</f>
        <v>24.903999999999996</v>
      </c>
      <c r="P751" s="328"/>
      <c r="Q751" s="334"/>
      <c r="R751" s="333">
        <f t="shared" si="246"/>
        <v>24.903999999999996</v>
      </c>
      <c r="S751" s="331" t="str">
        <f t="shared" si="247"/>
        <v>m²</v>
      </c>
      <c r="T751" s="320">
        <v>37</v>
      </c>
      <c r="U751" s="424" t="s">
        <v>519</v>
      </c>
      <c r="V751" s="455">
        <f t="shared" ca="1" si="236"/>
        <v>1251.6500000000015</v>
      </c>
      <c r="W751" s="456">
        <f t="shared" ca="1" si="237"/>
        <v>2</v>
      </c>
      <c r="X751" s="456">
        <f t="shared" ca="1" si="238"/>
        <v>1</v>
      </c>
      <c r="Y751" s="250"/>
      <c r="Z751" s="250"/>
    </row>
    <row r="752" spans="1:26" s="111" customFormat="1" ht="25.5" x14ac:dyDescent="0.2">
      <c r="A752" s="399"/>
      <c r="B752" s="494"/>
      <c r="C752" s="312" t="s">
        <v>540</v>
      </c>
      <c r="D752" s="419">
        <v>57</v>
      </c>
      <c r="E752" s="316" t="s">
        <v>518</v>
      </c>
      <c r="F752" s="420">
        <v>16</v>
      </c>
      <c r="G752" s="419">
        <v>60</v>
      </c>
      <c r="H752" s="316" t="s">
        <v>518</v>
      </c>
      <c r="I752" s="420">
        <v>0</v>
      </c>
      <c r="J752" s="431">
        <f>(ROUNDUP(K752/30,0)+1)*2</f>
        <v>6</v>
      </c>
      <c r="K752" s="421">
        <f t="shared" si="245"/>
        <v>44</v>
      </c>
      <c r="L752" s="328"/>
      <c r="M752" s="328"/>
      <c r="N752" s="493">
        <f>(2.3*0.25)+((0.2*0.2)/2)</f>
        <v>0.59499999999999997</v>
      </c>
      <c r="O752" s="493">
        <f>N752*J752</f>
        <v>3.57</v>
      </c>
      <c r="P752" s="328"/>
      <c r="Q752" s="334"/>
      <c r="R752" s="333">
        <f t="shared" si="246"/>
        <v>3.57</v>
      </c>
      <c r="S752" s="331" t="str">
        <f t="shared" si="247"/>
        <v>m²</v>
      </c>
      <c r="T752" s="320">
        <v>37</v>
      </c>
      <c r="U752" s="424" t="s">
        <v>519</v>
      </c>
      <c r="V752" s="455">
        <f t="shared" ca="1" si="236"/>
        <v>1251.6500000000015</v>
      </c>
      <c r="W752" s="456">
        <f t="shared" ca="1" si="237"/>
        <v>2</v>
      </c>
      <c r="X752" s="456">
        <f t="shared" ca="1" si="238"/>
        <v>1</v>
      </c>
      <c r="Y752" s="250"/>
      <c r="Z752" s="250"/>
    </row>
    <row r="753" spans="1:26" s="111" customFormat="1" ht="25.5" x14ac:dyDescent="0.2">
      <c r="A753" s="399"/>
      <c r="B753" s="494"/>
      <c r="C753" s="312" t="s">
        <v>541</v>
      </c>
      <c r="D753" s="419">
        <v>57</v>
      </c>
      <c r="E753" s="316" t="s">
        <v>518</v>
      </c>
      <c r="F753" s="420">
        <v>16</v>
      </c>
      <c r="G753" s="419">
        <v>60</v>
      </c>
      <c r="H753" s="316" t="s">
        <v>518</v>
      </c>
      <c r="I753" s="420">
        <v>0</v>
      </c>
      <c r="J753" s="431"/>
      <c r="K753" s="421">
        <f t="shared" si="245"/>
        <v>44</v>
      </c>
      <c r="L753" s="328">
        <v>2.8</v>
      </c>
      <c r="M753" s="328"/>
      <c r="N753" s="328"/>
      <c r="O753" s="493">
        <f>K753*L753</f>
        <v>123.19999999999999</v>
      </c>
      <c r="P753" s="328"/>
      <c r="Q753" s="334"/>
      <c r="R753" s="333">
        <f t="shared" si="246"/>
        <v>123.19999999999999</v>
      </c>
      <c r="S753" s="331" t="str">
        <f t="shared" si="247"/>
        <v>m²</v>
      </c>
      <c r="T753" s="320">
        <v>37</v>
      </c>
      <c r="U753" s="424" t="s">
        <v>519</v>
      </c>
      <c r="V753" s="455">
        <f t="shared" ca="1" si="236"/>
        <v>1251.6500000000015</v>
      </c>
      <c r="W753" s="456">
        <f t="shared" ca="1" si="237"/>
        <v>2</v>
      </c>
      <c r="X753" s="456">
        <f t="shared" ca="1" si="238"/>
        <v>1</v>
      </c>
      <c r="Y753" s="250"/>
      <c r="Z753" s="250"/>
    </row>
    <row r="754" spans="1:26" s="111" customFormat="1" ht="25.5" x14ac:dyDescent="0.2">
      <c r="A754" s="399"/>
      <c r="B754" s="494"/>
      <c r="C754" s="312" t="s">
        <v>542</v>
      </c>
      <c r="D754" s="419">
        <v>57</v>
      </c>
      <c r="E754" s="316" t="s">
        <v>518</v>
      </c>
      <c r="F754" s="420">
        <v>16</v>
      </c>
      <c r="G754" s="419">
        <v>60</v>
      </c>
      <c r="H754" s="316" t="s">
        <v>518</v>
      </c>
      <c r="I754" s="420">
        <v>0</v>
      </c>
      <c r="J754" s="431"/>
      <c r="K754" s="421">
        <f t="shared" si="245"/>
        <v>44</v>
      </c>
      <c r="L754" s="328">
        <v>3.25</v>
      </c>
      <c r="M754" s="328"/>
      <c r="N754" s="328"/>
      <c r="O754" s="493">
        <f>K754*L754</f>
        <v>143</v>
      </c>
      <c r="P754" s="328"/>
      <c r="Q754" s="334"/>
      <c r="R754" s="333">
        <f t="shared" si="246"/>
        <v>143</v>
      </c>
      <c r="S754" s="331" t="str">
        <f t="shared" si="247"/>
        <v>m²</v>
      </c>
      <c r="T754" s="320">
        <v>37</v>
      </c>
      <c r="U754" s="424" t="s">
        <v>519</v>
      </c>
      <c r="V754" s="455">
        <f t="shared" ca="1" si="236"/>
        <v>1251.6500000000015</v>
      </c>
      <c r="W754" s="456">
        <f t="shared" ca="1" si="237"/>
        <v>2</v>
      </c>
      <c r="X754" s="456">
        <f t="shared" ca="1" si="238"/>
        <v>1</v>
      </c>
      <c r="Y754" s="250"/>
      <c r="Z754" s="250"/>
    </row>
    <row r="755" spans="1:26" s="111" customFormat="1" ht="25.5" x14ac:dyDescent="0.2">
      <c r="A755" s="399"/>
      <c r="B755" s="494"/>
      <c r="C755" s="312" t="s">
        <v>543</v>
      </c>
      <c r="D755" s="419">
        <v>57</v>
      </c>
      <c r="E755" s="316" t="s">
        <v>518</v>
      </c>
      <c r="F755" s="420">
        <v>16</v>
      </c>
      <c r="G755" s="419">
        <v>60</v>
      </c>
      <c r="H755" s="316" t="s">
        <v>518</v>
      </c>
      <c r="I755" s="420">
        <v>0</v>
      </c>
      <c r="J755" s="431"/>
      <c r="K755" s="421">
        <f t="shared" si="245"/>
        <v>44</v>
      </c>
      <c r="L755" s="328">
        <v>2.8</v>
      </c>
      <c r="M755" s="328"/>
      <c r="N755" s="328"/>
      <c r="O755" s="493">
        <f>K755*L755</f>
        <v>123.19999999999999</v>
      </c>
      <c r="P755" s="328"/>
      <c r="Q755" s="334"/>
      <c r="R755" s="333">
        <f t="shared" si="246"/>
        <v>123.19999999999999</v>
      </c>
      <c r="S755" s="331" t="str">
        <f t="shared" si="247"/>
        <v>m²</v>
      </c>
      <c r="T755" s="320">
        <v>37</v>
      </c>
      <c r="U755" s="424" t="s">
        <v>519</v>
      </c>
      <c r="V755" s="455">
        <f t="shared" ca="1" si="236"/>
        <v>1251.6500000000015</v>
      </c>
      <c r="W755" s="456">
        <f t="shared" ca="1" si="237"/>
        <v>2</v>
      </c>
      <c r="X755" s="456">
        <f t="shared" ca="1" si="238"/>
        <v>1</v>
      </c>
      <c r="Y755" s="250"/>
      <c r="Z755" s="250"/>
    </row>
    <row r="756" spans="1:26" s="111" customFormat="1" ht="25.5" x14ac:dyDescent="0.2">
      <c r="A756" s="399"/>
      <c r="B756" s="494"/>
      <c r="C756" s="495" t="s">
        <v>544</v>
      </c>
      <c r="D756" s="419">
        <v>57</v>
      </c>
      <c r="E756" s="316" t="s">
        <v>518</v>
      </c>
      <c r="F756" s="420">
        <v>16</v>
      </c>
      <c r="G756" s="419">
        <v>60</v>
      </c>
      <c r="H756" s="316" t="s">
        <v>518</v>
      </c>
      <c r="I756" s="420">
        <v>0</v>
      </c>
      <c r="J756" s="499"/>
      <c r="K756" s="508">
        <f t="shared" si="245"/>
        <v>44</v>
      </c>
      <c r="L756" s="501">
        <v>3.25</v>
      </c>
      <c r="M756" s="501"/>
      <c r="N756" s="501"/>
      <c r="O756" s="502">
        <f>K756*L756</f>
        <v>143</v>
      </c>
      <c r="P756" s="501"/>
      <c r="Q756" s="503"/>
      <c r="R756" s="504">
        <f t="shared" si="246"/>
        <v>143</v>
      </c>
      <c r="S756" s="331" t="str">
        <f t="shared" si="247"/>
        <v>m²</v>
      </c>
      <c r="T756" s="320">
        <v>37</v>
      </c>
      <c r="U756" s="507" t="s">
        <v>519</v>
      </c>
      <c r="V756" s="455">
        <f t="shared" ca="1" si="236"/>
        <v>1251.6500000000015</v>
      </c>
      <c r="W756" s="456">
        <f t="shared" ca="1" si="237"/>
        <v>2</v>
      </c>
      <c r="X756" s="456">
        <f t="shared" ca="1" si="238"/>
        <v>1</v>
      </c>
      <c r="Y756" s="250"/>
      <c r="Z756" s="250"/>
    </row>
    <row r="757" spans="1:26" s="111" customFormat="1" ht="15" x14ac:dyDescent="0.2">
      <c r="A757" s="399"/>
      <c r="B757" s="494"/>
      <c r="C757" s="495"/>
      <c r="D757" s="419"/>
      <c r="E757" s="316"/>
      <c r="F757" s="420"/>
      <c r="G757" s="419"/>
      <c r="H757" s="316"/>
      <c r="I757" s="420"/>
      <c r="J757" s="499"/>
      <c r="K757" s="508"/>
      <c r="L757" s="501"/>
      <c r="M757" s="501"/>
      <c r="N757" s="501"/>
      <c r="O757" s="502"/>
      <c r="P757" s="501"/>
      <c r="Q757" s="503"/>
      <c r="R757" s="504"/>
      <c r="S757" s="505"/>
      <c r="T757" s="320"/>
      <c r="U757" s="507"/>
      <c r="V757" s="455">
        <f t="shared" ca="1" si="236"/>
        <v>1251.6500000000015</v>
      </c>
      <c r="W757" s="456">
        <f t="shared" ca="1" si="237"/>
        <v>0</v>
      </c>
      <c r="X757" s="456">
        <f t="shared" ca="1" si="238"/>
        <v>1</v>
      </c>
      <c r="Y757" s="250"/>
      <c r="Z757" s="250"/>
    </row>
    <row r="758" spans="1:26" s="111" customFormat="1" ht="15.75" x14ac:dyDescent="0.2">
      <c r="A758" s="399"/>
      <c r="B758" s="494"/>
      <c r="C758" s="434" t="s">
        <v>532</v>
      </c>
      <c r="D758" s="417"/>
      <c r="E758" s="314"/>
      <c r="F758" s="418"/>
      <c r="G758" s="419"/>
      <c r="H758" s="316"/>
      <c r="I758" s="420"/>
      <c r="J758" s="431"/>
      <c r="K758" s="433"/>
      <c r="L758" s="433"/>
      <c r="M758" s="433"/>
      <c r="N758" s="328"/>
      <c r="O758" s="328"/>
      <c r="P758" s="328"/>
      <c r="Q758" s="334"/>
      <c r="R758" s="333"/>
      <c r="S758" s="331"/>
      <c r="T758" s="320">
        <v>38</v>
      </c>
      <c r="U758" s="335"/>
      <c r="V758" s="455">
        <f t="shared" ca="1" si="236"/>
        <v>1251.6500000000015</v>
      </c>
      <c r="W758" s="456">
        <f t="shared" ca="1" si="237"/>
        <v>2</v>
      </c>
      <c r="X758" s="456">
        <f t="shared" ca="1" si="238"/>
        <v>1</v>
      </c>
      <c r="Y758" s="250"/>
      <c r="Z758" s="250"/>
    </row>
    <row r="759" spans="1:26" s="111" customFormat="1" ht="25.5" x14ac:dyDescent="0.2">
      <c r="A759" s="399"/>
      <c r="B759" s="494"/>
      <c r="C759" s="312" t="s">
        <v>536</v>
      </c>
      <c r="D759" s="419">
        <v>55</v>
      </c>
      <c r="E759" s="316" t="s">
        <v>518</v>
      </c>
      <c r="F759" s="420">
        <v>10</v>
      </c>
      <c r="G759" s="419">
        <v>57</v>
      </c>
      <c r="H759" s="316" t="s">
        <v>518</v>
      </c>
      <c r="I759" s="420">
        <v>16</v>
      </c>
      <c r="J759" s="431">
        <v>2</v>
      </c>
      <c r="K759" s="421">
        <f t="shared" ref="K759:K767" si="248">ABS((G759*20+I759)-(D759*20+F759))</f>
        <v>46</v>
      </c>
      <c r="L759" s="328"/>
      <c r="M759" s="328">
        <v>0.35</v>
      </c>
      <c r="N759" s="328"/>
      <c r="O759" s="493">
        <f>M759*K759*J759</f>
        <v>32.199999999999996</v>
      </c>
      <c r="P759" s="328"/>
      <c r="Q759" s="334"/>
      <c r="R759" s="333">
        <f t="shared" ref="R759:R767" si="249">O759</f>
        <v>32.199999999999996</v>
      </c>
      <c r="S759" s="331" t="str">
        <f t="shared" ref="S759:S767" si="250">$L$944</f>
        <v>m²</v>
      </c>
      <c r="T759" s="320">
        <v>38</v>
      </c>
      <c r="U759" s="424" t="s">
        <v>519</v>
      </c>
      <c r="V759" s="455">
        <f t="shared" ca="1" si="236"/>
        <v>1251.6500000000015</v>
      </c>
      <c r="W759" s="456">
        <f t="shared" ca="1" si="237"/>
        <v>2</v>
      </c>
      <c r="X759" s="456">
        <f t="shared" ca="1" si="238"/>
        <v>1</v>
      </c>
      <c r="Y759" s="250"/>
      <c r="Z759" s="250"/>
    </row>
    <row r="760" spans="1:26" s="111" customFormat="1" ht="25.5" x14ac:dyDescent="0.2">
      <c r="A760" s="399"/>
      <c r="B760" s="494"/>
      <c r="C760" s="312" t="s">
        <v>537</v>
      </c>
      <c r="D760" s="419">
        <v>55</v>
      </c>
      <c r="E760" s="316" t="s">
        <v>518</v>
      </c>
      <c r="F760" s="420">
        <v>10</v>
      </c>
      <c r="G760" s="419">
        <v>57</v>
      </c>
      <c r="H760" s="316" t="s">
        <v>518</v>
      </c>
      <c r="I760" s="420">
        <v>16</v>
      </c>
      <c r="J760" s="431">
        <f>ROUNDUP(K760/30,0)+1</f>
        <v>3</v>
      </c>
      <c r="K760" s="421">
        <f t="shared" si="248"/>
        <v>46</v>
      </c>
      <c r="L760" s="328">
        <v>12</v>
      </c>
      <c r="M760" s="328">
        <v>0.25</v>
      </c>
      <c r="N760" s="328"/>
      <c r="O760" s="493">
        <f>M760*L760*J760</f>
        <v>9</v>
      </c>
      <c r="P760" s="328"/>
      <c r="Q760" s="334"/>
      <c r="R760" s="333">
        <f t="shared" si="249"/>
        <v>9</v>
      </c>
      <c r="S760" s="331" t="str">
        <f t="shared" si="250"/>
        <v>m²</v>
      </c>
      <c r="T760" s="320">
        <v>38</v>
      </c>
      <c r="U760" s="424" t="s">
        <v>519</v>
      </c>
      <c r="V760" s="455">
        <f t="shared" ca="1" si="236"/>
        <v>1251.6500000000015</v>
      </c>
      <c r="W760" s="456">
        <f t="shared" ca="1" si="237"/>
        <v>2</v>
      </c>
      <c r="X760" s="456">
        <f t="shared" ca="1" si="238"/>
        <v>1</v>
      </c>
      <c r="Y760" s="250"/>
      <c r="Z760" s="250"/>
    </row>
    <row r="761" spans="1:26" s="111" customFormat="1" ht="25.5" x14ac:dyDescent="0.2">
      <c r="A761" s="399"/>
      <c r="B761" s="494"/>
      <c r="C761" s="312" t="s">
        <v>538</v>
      </c>
      <c r="D761" s="419">
        <v>55</v>
      </c>
      <c r="E761" s="316" t="s">
        <v>518</v>
      </c>
      <c r="F761" s="420">
        <v>10</v>
      </c>
      <c r="G761" s="419">
        <v>57</v>
      </c>
      <c r="H761" s="316" t="s">
        <v>518</v>
      </c>
      <c r="I761" s="420">
        <v>16</v>
      </c>
      <c r="J761" s="431">
        <v>2</v>
      </c>
      <c r="K761" s="421">
        <f t="shared" si="248"/>
        <v>46</v>
      </c>
      <c r="L761" s="328"/>
      <c r="M761" s="328">
        <v>0.25</v>
      </c>
      <c r="N761" s="328"/>
      <c r="O761" s="493">
        <f>M761*K761*J761</f>
        <v>23</v>
      </c>
      <c r="P761" s="328"/>
      <c r="Q761" s="334"/>
      <c r="R761" s="333">
        <f t="shared" si="249"/>
        <v>23</v>
      </c>
      <c r="S761" s="331" t="str">
        <f t="shared" si="250"/>
        <v>m²</v>
      </c>
      <c r="T761" s="320">
        <v>38</v>
      </c>
      <c r="U761" s="424" t="s">
        <v>519</v>
      </c>
      <c r="V761" s="455">
        <f t="shared" ca="1" si="236"/>
        <v>1251.6500000000015</v>
      </c>
      <c r="W761" s="456">
        <f t="shared" ca="1" si="237"/>
        <v>2</v>
      </c>
      <c r="X761" s="456">
        <f t="shared" ca="1" si="238"/>
        <v>1</v>
      </c>
      <c r="Y761" s="250"/>
      <c r="Z761" s="250"/>
    </row>
    <row r="762" spans="1:26" s="111" customFormat="1" ht="25.5" x14ac:dyDescent="0.2">
      <c r="A762" s="399"/>
      <c r="B762" s="494"/>
      <c r="C762" s="312" t="s">
        <v>539</v>
      </c>
      <c r="D762" s="419">
        <v>55</v>
      </c>
      <c r="E762" s="316" t="s">
        <v>518</v>
      </c>
      <c r="F762" s="420">
        <v>10</v>
      </c>
      <c r="G762" s="419">
        <v>57</v>
      </c>
      <c r="H762" s="316" t="s">
        <v>518</v>
      </c>
      <c r="I762" s="420">
        <v>16</v>
      </c>
      <c r="J762" s="431">
        <v>2</v>
      </c>
      <c r="K762" s="421">
        <f t="shared" si="248"/>
        <v>46</v>
      </c>
      <c r="L762" s="328">
        <v>0.28299999999999997</v>
      </c>
      <c r="M762" s="328"/>
      <c r="N762" s="328"/>
      <c r="O762" s="493">
        <f>J762*K762*L762</f>
        <v>26.035999999999998</v>
      </c>
      <c r="P762" s="328"/>
      <c r="Q762" s="334"/>
      <c r="R762" s="333">
        <f t="shared" si="249"/>
        <v>26.035999999999998</v>
      </c>
      <c r="S762" s="331" t="str">
        <f t="shared" si="250"/>
        <v>m²</v>
      </c>
      <c r="T762" s="320">
        <v>38</v>
      </c>
      <c r="U762" s="424" t="s">
        <v>519</v>
      </c>
      <c r="V762" s="455">
        <f t="shared" ca="1" si="236"/>
        <v>1251.6500000000015</v>
      </c>
      <c r="W762" s="456">
        <f t="shared" ca="1" si="237"/>
        <v>2</v>
      </c>
      <c r="X762" s="456">
        <f t="shared" ca="1" si="238"/>
        <v>1</v>
      </c>
      <c r="Y762" s="250"/>
      <c r="Z762" s="250"/>
    </row>
    <row r="763" spans="1:26" s="111" customFormat="1" ht="25.5" x14ac:dyDescent="0.2">
      <c r="A763" s="399"/>
      <c r="B763" s="494"/>
      <c r="C763" s="312" t="s">
        <v>540</v>
      </c>
      <c r="D763" s="419">
        <v>55</v>
      </c>
      <c r="E763" s="316" t="s">
        <v>518</v>
      </c>
      <c r="F763" s="420">
        <v>10</v>
      </c>
      <c r="G763" s="419">
        <v>57</v>
      </c>
      <c r="H763" s="316" t="s">
        <v>518</v>
      </c>
      <c r="I763" s="420">
        <v>16</v>
      </c>
      <c r="J763" s="431">
        <f>(ROUNDUP(K763/30,0)+1)*2</f>
        <v>6</v>
      </c>
      <c r="K763" s="421">
        <f t="shared" si="248"/>
        <v>46</v>
      </c>
      <c r="L763" s="328"/>
      <c r="M763" s="328"/>
      <c r="N763" s="493">
        <f>(2.3*0.25)+((0.2*0.2)/2)</f>
        <v>0.59499999999999997</v>
      </c>
      <c r="O763" s="493">
        <f>N763*J763</f>
        <v>3.57</v>
      </c>
      <c r="P763" s="328"/>
      <c r="Q763" s="334"/>
      <c r="R763" s="333">
        <f t="shared" si="249"/>
        <v>3.57</v>
      </c>
      <c r="S763" s="331" t="str">
        <f t="shared" si="250"/>
        <v>m²</v>
      </c>
      <c r="T763" s="320">
        <v>38</v>
      </c>
      <c r="U763" s="424" t="s">
        <v>519</v>
      </c>
      <c r="V763" s="455">
        <f t="shared" ca="1" si="236"/>
        <v>1251.6500000000015</v>
      </c>
      <c r="W763" s="456">
        <f t="shared" ca="1" si="237"/>
        <v>2</v>
      </c>
      <c r="X763" s="456">
        <f t="shared" ca="1" si="238"/>
        <v>1</v>
      </c>
      <c r="Y763" s="250"/>
      <c r="Z763" s="250"/>
    </row>
    <row r="764" spans="1:26" s="111" customFormat="1" ht="25.5" x14ac:dyDescent="0.2">
      <c r="A764" s="399"/>
      <c r="B764" s="494"/>
      <c r="C764" s="312" t="s">
        <v>541</v>
      </c>
      <c r="D764" s="419">
        <v>55</v>
      </c>
      <c r="E764" s="316" t="s">
        <v>518</v>
      </c>
      <c r="F764" s="420">
        <v>10</v>
      </c>
      <c r="G764" s="419">
        <v>57</v>
      </c>
      <c r="H764" s="316" t="s">
        <v>518</v>
      </c>
      <c r="I764" s="420">
        <v>16</v>
      </c>
      <c r="J764" s="431"/>
      <c r="K764" s="421">
        <f t="shared" si="248"/>
        <v>46</v>
      </c>
      <c r="L764" s="328">
        <v>2.8</v>
      </c>
      <c r="M764" s="328"/>
      <c r="N764" s="328"/>
      <c r="O764" s="493">
        <f>K764*L764</f>
        <v>128.79999999999998</v>
      </c>
      <c r="P764" s="328"/>
      <c r="Q764" s="334"/>
      <c r="R764" s="333">
        <f t="shared" si="249"/>
        <v>128.79999999999998</v>
      </c>
      <c r="S764" s="331" t="str">
        <f t="shared" si="250"/>
        <v>m²</v>
      </c>
      <c r="T764" s="320">
        <v>38</v>
      </c>
      <c r="U764" s="424" t="s">
        <v>519</v>
      </c>
      <c r="V764" s="455">
        <f t="shared" ca="1" si="236"/>
        <v>1251.6500000000015</v>
      </c>
      <c r="W764" s="456">
        <f t="shared" ca="1" si="237"/>
        <v>2</v>
      </c>
      <c r="X764" s="456">
        <f t="shared" ca="1" si="238"/>
        <v>1</v>
      </c>
      <c r="Y764" s="250"/>
      <c r="Z764" s="250"/>
    </row>
    <row r="765" spans="1:26" s="111" customFormat="1" ht="25.5" x14ac:dyDescent="0.2">
      <c r="A765" s="399"/>
      <c r="B765" s="494"/>
      <c r="C765" s="312" t="s">
        <v>542</v>
      </c>
      <c r="D765" s="419">
        <v>55</v>
      </c>
      <c r="E765" s="316" t="s">
        <v>518</v>
      </c>
      <c r="F765" s="420">
        <v>10</v>
      </c>
      <c r="G765" s="419">
        <v>57</v>
      </c>
      <c r="H765" s="316" t="s">
        <v>518</v>
      </c>
      <c r="I765" s="420">
        <v>16</v>
      </c>
      <c r="J765" s="431"/>
      <c r="K765" s="421">
        <f t="shared" si="248"/>
        <v>46</v>
      </c>
      <c r="L765" s="328">
        <v>3.25</v>
      </c>
      <c r="M765" s="328"/>
      <c r="N765" s="328"/>
      <c r="O765" s="493">
        <f>K765*L765</f>
        <v>149.5</v>
      </c>
      <c r="P765" s="328"/>
      <c r="Q765" s="334"/>
      <c r="R765" s="333">
        <f t="shared" si="249"/>
        <v>149.5</v>
      </c>
      <c r="S765" s="331" t="str">
        <f t="shared" si="250"/>
        <v>m²</v>
      </c>
      <c r="T765" s="320">
        <v>38</v>
      </c>
      <c r="U765" s="424" t="s">
        <v>519</v>
      </c>
      <c r="V765" s="455">
        <f t="shared" ca="1" si="236"/>
        <v>1251.6500000000015</v>
      </c>
      <c r="W765" s="456">
        <f t="shared" ca="1" si="237"/>
        <v>2</v>
      </c>
      <c r="X765" s="456">
        <f t="shared" ca="1" si="238"/>
        <v>1</v>
      </c>
      <c r="Y765" s="250"/>
      <c r="Z765" s="250"/>
    </row>
    <row r="766" spans="1:26" s="111" customFormat="1" ht="25.5" x14ac:dyDescent="0.2">
      <c r="A766" s="399"/>
      <c r="B766" s="494"/>
      <c r="C766" s="312" t="s">
        <v>543</v>
      </c>
      <c r="D766" s="419">
        <v>55</v>
      </c>
      <c r="E766" s="316" t="s">
        <v>518</v>
      </c>
      <c r="F766" s="420">
        <v>10</v>
      </c>
      <c r="G766" s="419">
        <v>57</v>
      </c>
      <c r="H766" s="316" t="s">
        <v>518</v>
      </c>
      <c r="I766" s="420">
        <v>16</v>
      </c>
      <c r="J766" s="431"/>
      <c r="K766" s="421">
        <f t="shared" si="248"/>
        <v>46</v>
      </c>
      <c r="L766" s="328">
        <v>2.8</v>
      </c>
      <c r="M766" s="328"/>
      <c r="N766" s="328"/>
      <c r="O766" s="493">
        <f>K766*L766</f>
        <v>128.79999999999998</v>
      </c>
      <c r="P766" s="328"/>
      <c r="Q766" s="334"/>
      <c r="R766" s="333">
        <f t="shared" si="249"/>
        <v>128.79999999999998</v>
      </c>
      <c r="S766" s="331" t="str">
        <f t="shared" si="250"/>
        <v>m²</v>
      </c>
      <c r="T766" s="320">
        <v>38</v>
      </c>
      <c r="U766" s="424" t="s">
        <v>519</v>
      </c>
      <c r="V766" s="455">
        <f t="shared" ca="1" si="236"/>
        <v>1251.6500000000015</v>
      </c>
      <c r="W766" s="456">
        <f t="shared" ca="1" si="237"/>
        <v>2</v>
      </c>
      <c r="X766" s="456">
        <f t="shared" ca="1" si="238"/>
        <v>1</v>
      </c>
      <c r="Y766" s="250"/>
      <c r="Z766" s="250"/>
    </row>
    <row r="767" spans="1:26" s="111" customFormat="1" ht="25.5" x14ac:dyDescent="0.2">
      <c r="A767" s="399"/>
      <c r="B767" s="494"/>
      <c r="C767" s="495" t="s">
        <v>544</v>
      </c>
      <c r="D767" s="419">
        <v>55</v>
      </c>
      <c r="E767" s="316" t="s">
        <v>518</v>
      </c>
      <c r="F767" s="420">
        <v>10</v>
      </c>
      <c r="G767" s="419">
        <v>57</v>
      </c>
      <c r="H767" s="316" t="s">
        <v>518</v>
      </c>
      <c r="I767" s="420">
        <v>16</v>
      </c>
      <c r="J767" s="499"/>
      <c r="K767" s="508">
        <f t="shared" si="248"/>
        <v>46</v>
      </c>
      <c r="L767" s="501">
        <v>3.25</v>
      </c>
      <c r="M767" s="501"/>
      <c r="N767" s="501"/>
      <c r="O767" s="502">
        <f>K767*L767</f>
        <v>149.5</v>
      </c>
      <c r="P767" s="501"/>
      <c r="Q767" s="503"/>
      <c r="R767" s="504">
        <f t="shared" si="249"/>
        <v>149.5</v>
      </c>
      <c r="S767" s="331" t="str">
        <f t="shared" si="250"/>
        <v>m²</v>
      </c>
      <c r="T767" s="320">
        <v>38</v>
      </c>
      <c r="U767" s="507" t="s">
        <v>519</v>
      </c>
      <c r="V767" s="455">
        <f t="shared" ca="1" si="236"/>
        <v>1251.6500000000015</v>
      </c>
      <c r="W767" s="456">
        <f t="shared" ca="1" si="237"/>
        <v>2</v>
      </c>
      <c r="X767" s="456">
        <f t="shared" ca="1" si="238"/>
        <v>1</v>
      </c>
      <c r="Y767" s="250"/>
      <c r="Z767" s="250"/>
    </row>
    <row r="768" spans="1:26" s="111" customFormat="1" ht="15" x14ac:dyDescent="0.2">
      <c r="A768" s="399"/>
      <c r="B768" s="494"/>
      <c r="C768" s="495"/>
      <c r="D768" s="419"/>
      <c r="E768" s="316"/>
      <c r="F768" s="420"/>
      <c r="G768" s="419"/>
      <c r="H768" s="316"/>
      <c r="I768" s="420"/>
      <c r="J768" s="499"/>
      <c r="K768" s="508"/>
      <c r="L768" s="501"/>
      <c r="M768" s="501"/>
      <c r="N768" s="501"/>
      <c r="O768" s="502"/>
      <c r="P768" s="501"/>
      <c r="Q768" s="503"/>
      <c r="R768" s="504"/>
      <c r="S768" s="505"/>
      <c r="T768" s="320"/>
      <c r="U768" s="507"/>
      <c r="V768" s="455">
        <f t="shared" ca="1" si="236"/>
        <v>1251.6500000000015</v>
      </c>
      <c r="W768" s="456">
        <f t="shared" ca="1" si="237"/>
        <v>0</v>
      </c>
      <c r="X768" s="456">
        <f t="shared" ca="1" si="238"/>
        <v>1</v>
      </c>
      <c r="Y768" s="250"/>
      <c r="Z768" s="250"/>
    </row>
    <row r="769" spans="1:26" s="111" customFormat="1" ht="15.75" x14ac:dyDescent="0.2">
      <c r="A769" s="399"/>
      <c r="B769" s="494"/>
      <c r="C769" s="434" t="s">
        <v>516</v>
      </c>
      <c r="D769" s="417">
        <v>4</v>
      </c>
      <c r="E769" s="314" t="s">
        <v>518</v>
      </c>
      <c r="F769" s="418">
        <v>16</v>
      </c>
      <c r="G769" s="417">
        <v>5</v>
      </c>
      <c r="H769" s="314" t="s">
        <v>518</v>
      </c>
      <c r="I769" s="418">
        <v>14.5</v>
      </c>
      <c r="J769" s="491"/>
      <c r="K769" s="416"/>
      <c r="L769" s="433"/>
      <c r="M769" s="433"/>
      <c r="N769" s="328"/>
      <c r="O769" s="328"/>
      <c r="P769" s="328"/>
      <c r="Q769" s="334"/>
      <c r="R769" s="333"/>
      <c r="S769" s="331"/>
      <c r="T769" s="320">
        <v>38</v>
      </c>
      <c r="U769" s="335"/>
      <c r="V769" s="455">
        <f t="shared" ca="1" si="236"/>
        <v>1251.6500000000015</v>
      </c>
      <c r="W769" s="456">
        <f t="shared" ca="1" si="237"/>
        <v>2</v>
      </c>
      <c r="X769" s="456">
        <f t="shared" ca="1" si="238"/>
        <v>1</v>
      </c>
      <c r="Y769" s="250"/>
      <c r="Z769" s="250"/>
    </row>
    <row r="770" spans="1:26" s="111" customFormat="1" ht="25.5" x14ac:dyDescent="0.2">
      <c r="A770" s="399"/>
      <c r="B770" s="494"/>
      <c r="C770" s="312" t="s">
        <v>536</v>
      </c>
      <c r="D770" s="417">
        <v>4</v>
      </c>
      <c r="E770" s="314" t="s">
        <v>518</v>
      </c>
      <c r="F770" s="418">
        <v>16</v>
      </c>
      <c r="G770" s="417">
        <v>5</v>
      </c>
      <c r="H770" s="314" t="s">
        <v>518</v>
      </c>
      <c r="I770" s="418">
        <v>14.5</v>
      </c>
      <c r="J770" s="431">
        <v>2</v>
      </c>
      <c r="K770" s="421">
        <f>ABS((G770*20+I770)-(D770*20+F770))</f>
        <v>18.5</v>
      </c>
      <c r="L770" s="328"/>
      <c r="M770" s="328">
        <v>0.35</v>
      </c>
      <c r="N770" s="328"/>
      <c r="O770" s="493">
        <f>M770*K770*J770</f>
        <v>12.95</v>
      </c>
      <c r="P770" s="328"/>
      <c r="Q770" s="334"/>
      <c r="R770" s="333">
        <f t="shared" ref="R770:R782" si="251">O770</f>
        <v>12.95</v>
      </c>
      <c r="S770" s="331" t="str">
        <f t="shared" ref="S770:S782" si="252">$L$944</f>
        <v>m²</v>
      </c>
      <c r="T770" s="320">
        <v>38</v>
      </c>
      <c r="U770" s="424" t="s">
        <v>519</v>
      </c>
      <c r="V770" s="455">
        <f t="shared" ca="1" si="236"/>
        <v>1251.6500000000015</v>
      </c>
      <c r="W770" s="456">
        <f t="shared" ca="1" si="237"/>
        <v>2</v>
      </c>
      <c r="X770" s="456">
        <f t="shared" ca="1" si="238"/>
        <v>1</v>
      </c>
      <c r="Y770" s="250"/>
      <c r="Z770" s="250"/>
    </row>
    <row r="771" spans="1:26" s="111" customFormat="1" ht="25.5" x14ac:dyDescent="0.2">
      <c r="A771" s="399"/>
      <c r="B771" s="494"/>
      <c r="C771" s="312" t="s">
        <v>537</v>
      </c>
      <c r="D771" s="417">
        <v>4</v>
      </c>
      <c r="E771" s="314" t="s">
        <v>518</v>
      </c>
      <c r="F771" s="418">
        <v>16</v>
      </c>
      <c r="G771" s="417">
        <v>5</v>
      </c>
      <c r="H771" s="314" t="s">
        <v>518</v>
      </c>
      <c r="I771" s="418">
        <v>14.5</v>
      </c>
      <c r="J771" s="431">
        <f>ROUNDUP(K771/30,0)+1</f>
        <v>2</v>
      </c>
      <c r="K771" s="421">
        <f>ABS((G771*20+I771)-(D771*20+F771))</f>
        <v>18.5</v>
      </c>
      <c r="L771" s="328">
        <v>6</v>
      </c>
      <c r="M771" s="328">
        <v>0.25</v>
      </c>
      <c r="N771" s="328"/>
      <c r="O771" s="493">
        <f>M771*L771*J771</f>
        <v>3</v>
      </c>
      <c r="P771" s="328"/>
      <c r="Q771" s="334"/>
      <c r="R771" s="333">
        <f t="shared" si="251"/>
        <v>3</v>
      </c>
      <c r="S771" s="331" t="str">
        <f t="shared" si="252"/>
        <v>m²</v>
      </c>
      <c r="T771" s="320">
        <v>38</v>
      </c>
      <c r="U771" s="424" t="s">
        <v>519</v>
      </c>
      <c r="V771" s="455">
        <f t="shared" ca="1" si="236"/>
        <v>1251.6500000000015</v>
      </c>
      <c r="W771" s="456">
        <f t="shared" ca="1" si="237"/>
        <v>2</v>
      </c>
      <c r="X771" s="456">
        <f t="shared" ca="1" si="238"/>
        <v>1</v>
      </c>
      <c r="Y771" s="250"/>
      <c r="Z771" s="250"/>
    </row>
    <row r="772" spans="1:26" s="111" customFormat="1" ht="25.5" x14ac:dyDescent="0.2">
      <c r="A772" s="399"/>
      <c r="B772" s="494"/>
      <c r="C772" s="312" t="s">
        <v>538</v>
      </c>
      <c r="D772" s="417">
        <v>4</v>
      </c>
      <c r="E772" s="314" t="s">
        <v>518</v>
      </c>
      <c r="F772" s="418">
        <v>16</v>
      </c>
      <c r="G772" s="417">
        <v>5</v>
      </c>
      <c r="H772" s="314" t="s">
        <v>518</v>
      </c>
      <c r="I772" s="418">
        <v>14.5</v>
      </c>
      <c r="J772" s="431">
        <v>2</v>
      </c>
      <c r="K772" s="421">
        <f>ABS((G772*20+I772)-(D772*20+F772))</f>
        <v>18.5</v>
      </c>
      <c r="L772" s="328"/>
      <c r="M772" s="328">
        <v>0.25</v>
      </c>
      <c r="N772" s="328"/>
      <c r="O772" s="493">
        <f>M772*K772*J772</f>
        <v>9.25</v>
      </c>
      <c r="P772" s="328"/>
      <c r="Q772" s="334"/>
      <c r="R772" s="333">
        <f t="shared" si="251"/>
        <v>9.25</v>
      </c>
      <c r="S772" s="331" t="str">
        <f t="shared" si="252"/>
        <v>m²</v>
      </c>
      <c r="T772" s="320">
        <v>38</v>
      </c>
      <c r="U772" s="424" t="s">
        <v>519</v>
      </c>
      <c r="V772" s="455">
        <f t="shared" ca="1" si="236"/>
        <v>1251.6500000000015</v>
      </c>
      <c r="W772" s="456">
        <f t="shared" ca="1" si="237"/>
        <v>2</v>
      </c>
      <c r="X772" s="456">
        <f t="shared" ca="1" si="238"/>
        <v>1</v>
      </c>
      <c r="Y772" s="250"/>
      <c r="Z772" s="250"/>
    </row>
    <row r="773" spans="1:26" s="111" customFormat="1" ht="25.5" x14ac:dyDescent="0.2">
      <c r="A773" s="399"/>
      <c r="B773" s="494"/>
      <c r="C773" s="312" t="s">
        <v>539</v>
      </c>
      <c r="D773" s="417">
        <v>4</v>
      </c>
      <c r="E773" s="314" t="s">
        <v>518</v>
      </c>
      <c r="F773" s="418">
        <v>16</v>
      </c>
      <c r="G773" s="417">
        <v>5</v>
      </c>
      <c r="H773" s="314" t="s">
        <v>518</v>
      </c>
      <c r="I773" s="418">
        <v>14.5</v>
      </c>
      <c r="J773" s="431">
        <v>2</v>
      </c>
      <c r="K773" s="421">
        <f>ABS((G773*20+I773)-(D773*20+F773))</f>
        <v>18.5</v>
      </c>
      <c r="L773" s="328">
        <v>0.28299999999999997</v>
      </c>
      <c r="M773" s="328"/>
      <c r="N773" s="328"/>
      <c r="O773" s="493">
        <f>J773*K773*L773</f>
        <v>10.470999999999998</v>
      </c>
      <c r="P773" s="328"/>
      <c r="Q773" s="334"/>
      <c r="R773" s="333">
        <f t="shared" si="251"/>
        <v>10.470999999999998</v>
      </c>
      <c r="S773" s="331" t="str">
        <f t="shared" si="252"/>
        <v>m²</v>
      </c>
      <c r="T773" s="320">
        <v>38</v>
      </c>
      <c r="U773" s="424" t="s">
        <v>519</v>
      </c>
      <c r="V773" s="455">
        <f t="shared" ca="1" si="236"/>
        <v>1251.6500000000015</v>
      </c>
      <c r="W773" s="456">
        <f t="shared" ca="1" si="237"/>
        <v>2</v>
      </c>
      <c r="X773" s="456">
        <f t="shared" ca="1" si="238"/>
        <v>1</v>
      </c>
      <c r="Y773" s="250"/>
      <c r="Z773" s="250"/>
    </row>
    <row r="774" spans="1:26" s="111" customFormat="1" ht="25.5" x14ac:dyDescent="0.2">
      <c r="A774" s="399"/>
      <c r="B774" s="494"/>
      <c r="C774" s="312" t="s">
        <v>540</v>
      </c>
      <c r="D774" s="417">
        <v>4</v>
      </c>
      <c r="E774" s="314" t="s">
        <v>518</v>
      </c>
      <c r="F774" s="418">
        <v>16</v>
      </c>
      <c r="G774" s="417">
        <v>5</v>
      </c>
      <c r="H774" s="314" t="s">
        <v>518</v>
      </c>
      <c r="I774" s="418">
        <v>14.5</v>
      </c>
      <c r="J774" s="431">
        <f>(ROUNDUP(K774/30,0)+1)*2</f>
        <v>4</v>
      </c>
      <c r="K774" s="421">
        <f t="shared" ref="K774:K780" si="253">ABS((G774*20+I774)-(D774*20+F774))</f>
        <v>18.5</v>
      </c>
      <c r="L774" s="328"/>
      <c r="M774" s="328"/>
      <c r="N774" s="493">
        <f>(2.3*0.25)+(2*((0.2*0.2)/2))</f>
        <v>0.61499999999999999</v>
      </c>
      <c r="O774" s="493">
        <f>N774*J774</f>
        <v>2.46</v>
      </c>
      <c r="P774" s="328"/>
      <c r="Q774" s="334"/>
      <c r="R774" s="333">
        <f t="shared" si="251"/>
        <v>2.46</v>
      </c>
      <c r="S774" s="331" t="str">
        <f t="shared" si="252"/>
        <v>m²</v>
      </c>
      <c r="T774" s="320">
        <v>38</v>
      </c>
      <c r="U774" s="424" t="s">
        <v>519</v>
      </c>
      <c r="V774" s="455">
        <f t="shared" ca="1" si="236"/>
        <v>1251.6500000000015</v>
      </c>
      <c r="W774" s="456">
        <f t="shared" ca="1" si="237"/>
        <v>2</v>
      </c>
      <c r="X774" s="456">
        <f t="shared" ca="1" si="238"/>
        <v>1</v>
      </c>
      <c r="Y774" s="250"/>
      <c r="Z774" s="250"/>
    </row>
    <row r="775" spans="1:26" s="111" customFormat="1" ht="25.5" x14ac:dyDescent="0.2">
      <c r="A775" s="399"/>
      <c r="B775" s="494"/>
      <c r="C775" s="312" t="s">
        <v>541</v>
      </c>
      <c r="D775" s="417">
        <v>4</v>
      </c>
      <c r="E775" s="314" t="s">
        <v>518</v>
      </c>
      <c r="F775" s="418">
        <v>16</v>
      </c>
      <c r="G775" s="417">
        <v>5</v>
      </c>
      <c r="H775" s="314" t="s">
        <v>518</v>
      </c>
      <c r="I775" s="418">
        <v>14.5</v>
      </c>
      <c r="J775" s="431"/>
      <c r="K775" s="421">
        <f t="shared" si="253"/>
        <v>18.5</v>
      </c>
      <c r="L775" s="328">
        <v>1.9</v>
      </c>
      <c r="M775" s="328"/>
      <c r="N775" s="328"/>
      <c r="O775" s="493">
        <f>K775*L775</f>
        <v>35.15</v>
      </c>
      <c r="P775" s="328"/>
      <c r="Q775" s="334"/>
      <c r="R775" s="333">
        <f t="shared" si="251"/>
        <v>35.15</v>
      </c>
      <c r="S775" s="331" t="str">
        <f t="shared" si="252"/>
        <v>m²</v>
      </c>
      <c r="T775" s="320">
        <v>38</v>
      </c>
      <c r="U775" s="424" t="s">
        <v>519</v>
      </c>
      <c r="V775" s="455">
        <f t="shared" ca="1" si="236"/>
        <v>1251.6500000000015</v>
      </c>
      <c r="W775" s="456">
        <f t="shared" ca="1" si="237"/>
        <v>2</v>
      </c>
      <c r="X775" s="456">
        <f t="shared" ca="1" si="238"/>
        <v>1</v>
      </c>
      <c r="Y775" s="250"/>
      <c r="Z775" s="250"/>
    </row>
    <row r="776" spans="1:26" s="111" customFormat="1" ht="25.5" x14ac:dyDescent="0.2">
      <c r="A776" s="399"/>
      <c r="B776" s="494"/>
      <c r="C776" s="312" t="s">
        <v>542</v>
      </c>
      <c r="D776" s="417">
        <v>4</v>
      </c>
      <c r="E776" s="314" t="s">
        <v>518</v>
      </c>
      <c r="F776" s="418">
        <v>16</v>
      </c>
      <c r="G776" s="417">
        <v>5</v>
      </c>
      <c r="H776" s="314" t="s">
        <v>518</v>
      </c>
      <c r="I776" s="418">
        <v>14.5</v>
      </c>
      <c r="J776" s="431"/>
      <c r="K776" s="421">
        <f t="shared" si="253"/>
        <v>18.5</v>
      </c>
      <c r="L776" s="328">
        <v>2.2999999999999998</v>
      </c>
      <c r="M776" s="328"/>
      <c r="N776" s="328"/>
      <c r="O776" s="493">
        <f>K776*L776</f>
        <v>42.55</v>
      </c>
      <c r="P776" s="328"/>
      <c r="Q776" s="334"/>
      <c r="R776" s="333">
        <f t="shared" si="251"/>
        <v>42.55</v>
      </c>
      <c r="S776" s="331" t="str">
        <f t="shared" si="252"/>
        <v>m²</v>
      </c>
      <c r="T776" s="320">
        <v>38</v>
      </c>
      <c r="U776" s="424" t="s">
        <v>519</v>
      </c>
      <c r="V776" s="455">
        <f t="shared" ca="1" si="236"/>
        <v>1251.6500000000015</v>
      </c>
      <c r="W776" s="456">
        <f t="shared" ca="1" si="237"/>
        <v>2</v>
      </c>
      <c r="X776" s="456">
        <f t="shared" ca="1" si="238"/>
        <v>1</v>
      </c>
      <c r="Y776" s="250"/>
      <c r="Z776" s="250"/>
    </row>
    <row r="777" spans="1:26" s="111" customFormat="1" ht="25.5" x14ac:dyDescent="0.2">
      <c r="A777" s="399"/>
      <c r="B777" s="494"/>
      <c r="C777" s="312" t="s">
        <v>543</v>
      </c>
      <c r="D777" s="417">
        <v>4</v>
      </c>
      <c r="E777" s="314" t="s">
        <v>518</v>
      </c>
      <c r="F777" s="418">
        <v>16</v>
      </c>
      <c r="G777" s="417">
        <v>5</v>
      </c>
      <c r="H777" s="314" t="s">
        <v>518</v>
      </c>
      <c r="I777" s="418">
        <v>14.5</v>
      </c>
      <c r="J777" s="431"/>
      <c r="K777" s="421">
        <f t="shared" si="253"/>
        <v>18.5</v>
      </c>
      <c r="L777" s="328">
        <v>1.9</v>
      </c>
      <c r="M777" s="328"/>
      <c r="N777" s="328"/>
      <c r="O777" s="493">
        <f>K777*L777</f>
        <v>35.15</v>
      </c>
      <c r="P777" s="328"/>
      <c r="Q777" s="334"/>
      <c r="R777" s="333">
        <f t="shared" si="251"/>
        <v>35.15</v>
      </c>
      <c r="S777" s="331" t="str">
        <f t="shared" si="252"/>
        <v>m²</v>
      </c>
      <c r="T777" s="320">
        <v>38</v>
      </c>
      <c r="U777" s="424" t="s">
        <v>519</v>
      </c>
      <c r="V777" s="455">
        <f t="shared" ca="1" si="236"/>
        <v>1251.6500000000015</v>
      </c>
      <c r="W777" s="456">
        <f t="shared" ca="1" si="237"/>
        <v>2</v>
      </c>
      <c r="X777" s="456">
        <f t="shared" ca="1" si="238"/>
        <v>1</v>
      </c>
      <c r="Y777" s="250"/>
      <c r="Z777" s="250"/>
    </row>
    <row r="778" spans="1:26" s="111" customFormat="1" ht="25.5" x14ac:dyDescent="0.2">
      <c r="A778" s="399"/>
      <c r="B778" s="494"/>
      <c r="C778" s="312" t="s">
        <v>544</v>
      </c>
      <c r="D778" s="417">
        <v>4</v>
      </c>
      <c r="E778" s="314" t="s">
        <v>518</v>
      </c>
      <c r="F778" s="418">
        <v>16</v>
      </c>
      <c r="G778" s="417">
        <v>5</v>
      </c>
      <c r="H778" s="314" t="s">
        <v>518</v>
      </c>
      <c r="I778" s="418">
        <v>14.5</v>
      </c>
      <c r="J778" s="431"/>
      <c r="K778" s="421">
        <f t="shared" si="253"/>
        <v>18.5</v>
      </c>
      <c r="L778" s="328">
        <v>2.2999999999999998</v>
      </c>
      <c r="M778" s="328"/>
      <c r="N778" s="328"/>
      <c r="O778" s="493">
        <f>K778*L778</f>
        <v>42.55</v>
      </c>
      <c r="P778" s="328"/>
      <c r="Q778" s="334"/>
      <c r="R778" s="333">
        <f t="shared" si="251"/>
        <v>42.55</v>
      </c>
      <c r="S778" s="331" t="str">
        <f t="shared" si="252"/>
        <v>m²</v>
      </c>
      <c r="T778" s="320">
        <v>38</v>
      </c>
      <c r="U778" s="424" t="s">
        <v>519</v>
      </c>
      <c r="V778" s="455">
        <f t="shared" ca="1" si="236"/>
        <v>1251.6500000000015</v>
      </c>
      <c r="W778" s="456">
        <f t="shared" ca="1" si="237"/>
        <v>2</v>
      </c>
      <c r="X778" s="456">
        <f t="shared" ca="1" si="238"/>
        <v>1</v>
      </c>
      <c r="Y778" s="250"/>
      <c r="Z778" s="250"/>
    </row>
    <row r="779" spans="1:26" s="111" customFormat="1" ht="25.5" x14ac:dyDescent="0.2">
      <c r="A779" s="399"/>
      <c r="B779" s="494"/>
      <c r="C779" s="312" t="s">
        <v>545</v>
      </c>
      <c r="D779" s="417">
        <v>4</v>
      </c>
      <c r="E779" s="314" t="s">
        <v>518</v>
      </c>
      <c r="F779" s="418">
        <v>16</v>
      </c>
      <c r="G779" s="417">
        <v>5</v>
      </c>
      <c r="H779" s="314" t="s">
        <v>518</v>
      </c>
      <c r="I779" s="418">
        <v>14.5</v>
      </c>
      <c r="J779" s="431">
        <v>2</v>
      </c>
      <c r="K779" s="421">
        <f t="shared" si="253"/>
        <v>18.5</v>
      </c>
      <c r="L779" s="328">
        <v>0.28299999999999997</v>
      </c>
      <c r="M779" s="328"/>
      <c r="N779" s="328"/>
      <c r="O779" s="493">
        <f>J779*K779*L779</f>
        <v>10.470999999999998</v>
      </c>
      <c r="P779" s="328"/>
      <c r="Q779" s="334"/>
      <c r="R779" s="333">
        <f t="shared" si="251"/>
        <v>10.470999999999998</v>
      </c>
      <c r="S779" s="331" t="str">
        <f t="shared" si="252"/>
        <v>m²</v>
      </c>
      <c r="T779" s="320">
        <v>38</v>
      </c>
      <c r="U779" s="424" t="s">
        <v>519</v>
      </c>
      <c r="V779" s="455">
        <f t="shared" ca="1" si="236"/>
        <v>1251.6500000000015</v>
      </c>
      <c r="W779" s="456">
        <f t="shared" ca="1" si="237"/>
        <v>2</v>
      </c>
      <c r="X779" s="456">
        <f t="shared" ca="1" si="238"/>
        <v>1</v>
      </c>
      <c r="Y779" s="250"/>
      <c r="Z779" s="250"/>
    </row>
    <row r="780" spans="1:26" s="111" customFormat="1" ht="25.5" x14ac:dyDescent="0.2">
      <c r="A780" s="399"/>
      <c r="B780" s="494"/>
      <c r="C780" s="426" t="s">
        <v>546</v>
      </c>
      <c r="D780" s="417">
        <v>4</v>
      </c>
      <c r="E780" s="314" t="s">
        <v>518</v>
      </c>
      <c r="F780" s="418">
        <v>16</v>
      </c>
      <c r="G780" s="417">
        <v>5</v>
      </c>
      <c r="H780" s="314" t="s">
        <v>518</v>
      </c>
      <c r="I780" s="418">
        <v>14.5</v>
      </c>
      <c r="J780" s="431"/>
      <c r="K780" s="421">
        <f t="shared" si="253"/>
        <v>18.5</v>
      </c>
      <c r="L780" s="328">
        <v>6</v>
      </c>
      <c r="M780" s="328"/>
      <c r="N780" s="328"/>
      <c r="O780" s="493">
        <f>K780*L780</f>
        <v>111</v>
      </c>
      <c r="P780" s="328"/>
      <c r="Q780" s="334"/>
      <c r="R780" s="333">
        <f t="shared" si="251"/>
        <v>111</v>
      </c>
      <c r="S780" s="331" t="str">
        <f t="shared" si="252"/>
        <v>m²</v>
      </c>
      <c r="T780" s="320">
        <v>38</v>
      </c>
      <c r="U780" s="424" t="s">
        <v>519</v>
      </c>
      <c r="V780" s="455">
        <f t="shared" ca="1" si="236"/>
        <v>1251.6500000000015</v>
      </c>
      <c r="W780" s="456">
        <f t="shared" ca="1" si="237"/>
        <v>2</v>
      </c>
      <c r="X780" s="456">
        <f t="shared" ca="1" si="238"/>
        <v>1</v>
      </c>
      <c r="Y780" s="250"/>
      <c r="Z780" s="250"/>
    </row>
    <row r="781" spans="1:26" s="111" customFormat="1" ht="25.5" x14ac:dyDescent="0.2">
      <c r="A781" s="399"/>
      <c r="B781" s="494"/>
      <c r="C781" s="312" t="s">
        <v>547</v>
      </c>
      <c r="D781" s="417">
        <v>4</v>
      </c>
      <c r="E781" s="314" t="s">
        <v>518</v>
      </c>
      <c r="F781" s="418">
        <v>16</v>
      </c>
      <c r="G781" s="417">
        <v>5</v>
      </c>
      <c r="H781" s="314" t="s">
        <v>518</v>
      </c>
      <c r="I781" s="418">
        <v>14.5</v>
      </c>
      <c r="J781" s="431">
        <f>ROUNDUP(K781/20,0)+1</f>
        <v>2</v>
      </c>
      <c r="K781" s="421">
        <f>ABS((G781*20+I781)-(D781*20+F781))</f>
        <v>18.5</v>
      </c>
      <c r="L781" s="328">
        <v>6</v>
      </c>
      <c r="M781" s="328">
        <v>0.25</v>
      </c>
      <c r="N781" s="328"/>
      <c r="O781" s="493">
        <f>M781*L781*J781</f>
        <v>3</v>
      </c>
      <c r="P781" s="328"/>
      <c r="Q781" s="334"/>
      <c r="R781" s="333">
        <f t="shared" si="251"/>
        <v>3</v>
      </c>
      <c r="S781" s="331" t="str">
        <f t="shared" si="252"/>
        <v>m²</v>
      </c>
      <c r="T781" s="320">
        <v>38</v>
      </c>
      <c r="U781" s="424" t="s">
        <v>519</v>
      </c>
      <c r="V781" s="455">
        <f t="shared" ref="V781:V844" ca="1" si="254">IF(OFFSET(V781,1,1)=1,OFFSET(V781,0,-4),OFFSET(V781,1,0))</f>
        <v>1251.6500000000015</v>
      </c>
      <c r="W781" s="456">
        <f t="shared" ref="W781:W844" ca="1" si="255">IF(LEFT(_xlfn.FORMULATEXT(V781),3)="=SO",1,IF(COUNTA(A781:U781)=0,0,2))</f>
        <v>2</v>
      </c>
      <c r="X781" s="456">
        <f t="shared" ref="X781:X844" ca="1" si="256">IF(COUNTA(OFFSET(A780,1,0))-COUNTA(A780)=-1,0,1)</f>
        <v>1</v>
      </c>
      <c r="Y781" s="250"/>
      <c r="Z781" s="250"/>
    </row>
    <row r="782" spans="1:26" s="111" customFormat="1" ht="25.5" x14ac:dyDescent="0.2">
      <c r="A782" s="399"/>
      <c r="B782" s="494"/>
      <c r="C782" s="312" t="s">
        <v>548</v>
      </c>
      <c r="D782" s="417">
        <v>4</v>
      </c>
      <c r="E782" s="314" t="s">
        <v>518</v>
      </c>
      <c r="F782" s="418">
        <v>16</v>
      </c>
      <c r="G782" s="417">
        <v>5</v>
      </c>
      <c r="H782" s="314" t="s">
        <v>518</v>
      </c>
      <c r="I782" s="418">
        <v>14.5</v>
      </c>
      <c r="J782" s="431">
        <v>2</v>
      </c>
      <c r="K782" s="421">
        <f>ABS((G782*20+I782)-(D782*20+F782))</f>
        <v>18.5</v>
      </c>
      <c r="L782" s="328"/>
      <c r="M782" s="328">
        <v>0.25</v>
      </c>
      <c r="N782" s="328"/>
      <c r="O782" s="493">
        <f>M782*K782*J782</f>
        <v>9.25</v>
      </c>
      <c r="P782" s="328"/>
      <c r="Q782" s="334"/>
      <c r="R782" s="333">
        <f t="shared" si="251"/>
        <v>9.25</v>
      </c>
      <c r="S782" s="331" t="str">
        <f t="shared" si="252"/>
        <v>m²</v>
      </c>
      <c r="T782" s="320">
        <v>38</v>
      </c>
      <c r="U782" s="424" t="s">
        <v>519</v>
      </c>
      <c r="V782" s="455">
        <f t="shared" ca="1" si="254"/>
        <v>1251.6500000000015</v>
      </c>
      <c r="W782" s="456">
        <f t="shared" ca="1" si="255"/>
        <v>2</v>
      </c>
      <c r="X782" s="456">
        <f t="shared" ca="1" si="256"/>
        <v>1</v>
      </c>
      <c r="Y782" s="250"/>
      <c r="Z782" s="250"/>
    </row>
    <row r="783" spans="1:26" s="111" customFormat="1" ht="15" x14ac:dyDescent="0.2">
      <c r="A783" s="399"/>
      <c r="B783" s="494"/>
      <c r="C783" s="495"/>
      <c r="D783" s="419"/>
      <c r="E783" s="316"/>
      <c r="F783" s="420"/>
      <c r="G783" s="419"/>
      <c r="H783" s="316"/>
      <c r="I783" s="420"/>
      <c r="J783" s="499"/>
      <c r="K783" s="508"/>
      <c r="L783" s="501"/>
      <c r="M783" s="501"/>
      <c r="N783" s="501"/>
      <c r="O783" s="502"/>
      <c r="P783" s="501"/>
      <c r="Q783" s="503"/>
      <c r="R783" s="504"/>
      <c r="S783" s="505"/>
      <c r="T783" s="320"/>
      <c r="U783" s="507"/>
      <c r="V783" s="455">
        <f t="shared" ca="1" si="254"/>
        <v>1251.6500000000015</v>
      </c>
      <c r="W783" s="456">
        <f t="shared" ca="1" si="255"/>
        <v>0</v>
      </c>
      <c r="X783" s="456">
        <f t="shared" ca="1" si="256"/>
        <v>1</v>
      </c>
      <c r="Y783" s="250"/>
      <c r="Z783" s="250"/>
    </row>
    <row r="784" spans="1:26" s="111" customFormat="1" ht="15.75" x14ac:dyDescent="0.2">
      <c r="A784" s="399"/>
      <c r="B784" s="494"/>
      <c r="C784" s="434" t="s">
        <v>532</v>
      </c>
      <c r="D784" s="417"/>
      <c r="E784" s="314"/>
      <c r="F784" s="418"/>
      <c r="G784" s="419"/>
      <c r="H784" s="316"/>
      <c r="I784" s="420"/>
      <c r="J784" s="431"/>
      <c r="K784" s="433"/>
      <c r="L784" s="433"/>
      <c r="M784" s="433"/>
      <c r="N784" s="328"/>
      <c r="O784" s="328"/>
      <c r="P784" s="328"/>
      <c r="Q784" s="334"/>
      <c r="R784" s="333"/>
      <c r="S784" s="331"/>
      <c r="T784" s="320">
        <v>39</v>
      </c>
      <c r="U784" s="335"/>
      <c r="V784" s="455">
        <f t="shared" ca="1" si="254"/>
        <v>1251.6500000000015</v>
      </c>
      <c r="W784" s="456">
        <f t="shared" ca="1" si="255"/>
        <v>2</v>
      </c>
      <c r="X784" s="456">
        <f t="shared" ca="1" si="256"/>
        <v>1</v>
      </c>
      <c r="Y784" s="250"/>
      <c r="Z784" s="250"/>
    </row>
    <row r="785" spans="1:26" s="111" customFormat="1" ht="25.5" x14ac:dyDescent="0.2">
      <c r="A785" s="399"/>
      <c r="B785" s="494"/>
      <c r="C785" s="312" t="s">
        <v>536</v>
      </c>
      <c r="D785" s="419">
        <v>51</v>
      </c>
      <c r="E785" s="316" t="s">
        <v>518</v>
      </c>
      <c r="F785" s="420">
        <v>8</v>
      </c>
      <c r="G785" s="419">
        <v>55</v>
      </c>
      <c r="H785" s="316" t="s">
        <v>518</v>
      </c>
      <c r="I785" s="420">
        <v>10</v>
      </c>
      <c r="J785" s="431">
        <v>2</v>
      </c>
      <c r="K785" s="421">
        <f t="shared" ref="K785:K793" si="257">ABS((G785*20+I785)-(D785*20+F785))</f>
        <v>82</v>
      </c>
      <c r="L785" s="328"/>
      <c r="M785" s="328">
        <v>0.35</v>
      </c>
      <c r="N785" s="328"/>
      <c r="O785" s="493">
        <f>M785*K785*J785</f>
        <v>57.4</v>
      </c>
      <c r="P785" s="328"/>
      <c r="Q785" s="334"/>
      <c r="R785" s="333">
        <f t="shared" ref="R785:R793" si="258">O785</f>
        <v>57.4</v>
      </c>
      <c r="S785" s="331" t="str">
        <f t="shared" ref="S785:S793" si="259">$L$944</f>
        <v>m²</v>
      </c>
      <c r="T785" s="320">
        <v>39</v>
      </c>
      <c r="U785" s="424" t="s">
        <v>519</v>
      </c>
      <c r="V785" s="455">
        <f t="shared" ca="1" si="254"/>
        <v>1251.6500000000015</v>
      </c>
      <c r="W785" s="456">
        <f t="shared" ca="1" si="255"/>
        <v>2</v>
      </c>
      <c r="X785" s="456">
        <f t="shared" ca="1" si="256"/>
        <v>1</v>
      </c>
      <c r="Y785" s="250"/>
      <c r="Z785" s="250"/>
    </row>
    <row r="786" spans="1:26" s="111" customFormat="1" ht="25.5" x14ac:dyDescent="0.2">
      <c r="A786" s="399"/>
      <c r="B786" s="494"/>
      <c r="C786" s="312" t="s">
        <v>537</v>
      </c>
      <c r="D786" s="419">
        <v>51</v>
      </c>
      <c r="E786" s="316" t="s">
        <v>518</v>
      </c>
      <c r="F786" s="420">
        <v>8</v>
      </c>
      <c r="G786" s="419">
        <v>55</v>
      </c>
      <c r="H786" s="316" t="s">
        <v>518</v>
      </c>
      <c r="I786" s="420">
        <v>10</v>
      </c>
      <c r="J786" s="431">
        <f>ROUNDUP(K786/30,0)+1</f>
        <v>4</v>
      </c>
      <c r="K786" s="421">
        <f t="shared" si="257"/>
        <v>82</v>
      </c>
      <c r="L786" s="328">
        <v>12</v>
      </c>
      <c r="M786" s="328">
        <v>0.25</v>
      </c>
      <c r="N786" s="328"/>
      <c r="O786" s="493">
        <f>M786*L786*J786</f>
        <v>12</v>
      </c>
      <c r="P786" s="328"/>
      <c r="Q786" s="334"/>
      <c r="R786" s="333">
        <f t="shared" si="258"/>
        <v>12</v>
      </c>
      <c r="S786" s="331" t="str">
        <f t="shared" si="259"/>
        <v>m²</v>
      </c>
      <c r="T786" s="320">
        <v>39</v>
      </c>
      <c r="U786" s="424" t="s">
        <v>519</v>
      </c>
      <c r="V786" s="455">
        <f t="shared" ca="1" si="254"/>
        <v>1251.6500000000015</v>
      </c>
      <c r="W786" s="456">
        <f t="shared" ca="1" si="255"/>
        <v>2</v>
      </c>
      <c r="X786" s="456">
        <f t="shared" ca="1" si="256"/>
        <v>1</v>
      </c>
      <c r="Y786" s="250"/>
      <c r="Z786" s="250"/>
    </row>
    <row r="787" spans="1:26" s="111" customFormat="1" ht="25.5" x14ac:dyDescent="0.2">
      <c r="A787" s="399"/>
      <c r="B787" s="494"/>
      <c r="C787" s="312" t="s">
        <v>538</v>
      </c>
      <c r="D787" s="419">
        <v>51</v>
      </c>
      <c r="E787" s="316" t="s">
        <v>518</v>
      </c>
      <c r="F787" s="420">
        <v>8</v>
      </c>
      <c r="G787" s="419">
        <v>55</v>
      </c>
      <c r="H787" s="316" t="s">
        <v>518</v>
      </c>
      <c r="I787" s="420">
        <v>10</v>
      </c>
      <c r="J787" s="431">
        <v>2</v>
      </c>
      <c r="K787" s="421">
        <f t="shared" si="257"/>
        <v>82</v>
      </c>
      <c r="L787" s="328"/>
      <c r="M787" s="328">
        <v>0.25</v>
      </c>
      <c r="N787" s="328"/>
      <c r="O787" s="493">
        <f>M787*K787*J787</f>
        <v>41</v>
      </c>
      <c r="P787" s="328"/>
      <c r="Q787" s="334"/>
      <c r="R787" s="333">
        <f t="shared" si="258"/>
        <v>41</v>
      </c>
      <c r="S787" s="331" t="str">
        <f t="shared" si="259"/>
        <v>m²</v>
      </c>
      <c r="T787" s="320">
        <v>39</v>
      </c>
      <c r="U787" s="424" t="s">
        <v>519</v>
      </c>
      <c r="V787" s="455">
        <f t="shared" ca="1" si="254"/>
        <v>1251.6500000000015</v>
      </c>
      <c r="W787" s="456">
        <f t="shared" ca="1" si="255"/>
        <v>2</v>
      </c>
      <c r="X787" s="456">
        <f t="shared" ca="1" si="256"/>
        <v>1</v>
      </c>
      <c r="Y787" s="250"/>
      <c r="Z787" s="250"/>
    </row>
    <row r="788" spans="1:26" s="111" customFormat="1" ht="25.5" x14ac:dyDescent="0.2">
      <c r="A788" s="399"/>
      <c r="B788" s="494"/>
      <c r="C788" s="312" t="s">
        <v>539</v>
      </c>
      <c r="D788" s="419">
        <v>51</v>
      </c>
      <c r="E788" s="316" t="s">
        <v>518</v>
      </c>
      <c r="F788" s="420">
        <v>8</v>
      </c>
      <c r="G788" s="419">
        <v>55</v>
      </c>
      <c r="H788" s="316" t="s">
        <v>518</v>
      </c>
      <c r="I788" s="420">
        <v>10</v>
      </c>
      <c r="J788" s="431">
        <v>2</v>
      </c>
      <c r="K788" s="421">
        <f t="shared" si="257"/>
        <v>82</v>
      </c>
      <c r="L788" s="328">
        <v>0.28299999999999997</v>
      </c>
      <c r="M788" s="328"/>
      <c r="N788" s="328"/>
      <c r="O788" s="493">
        <f>J788*K788*L788</f>
        <v>46.411999999999999</v>
      </c>
      <c r="P788" s="328"/>
      <c r="Q788" s="334"/>
      <c r="R788" s="333">
        <f t="shared" si="258"/>
        <v>46.411999999999999</v>
      </c>
      <c r="S788" s="331" t="str">
        <f t="shared" si="259"/>
        <v>m²</v>
      </c>
      <c r="T788" s="320">
        <v>39</v>
      </c>
      <c r="U788" s="424" t="s">
        <v>519</v>
      </c>
      <c r="V788" s="455">
        <f t="shared" ca="1" si="254"/>
        <v>1251.6500000000015</v>
      </c>
      <c r="W788" s="456">
        <f t="shared" ca="1" si="255"/>
        <v>2</v>
      </c>
      <c r="X788" s="456">
        <f t="shared" ca="1" si="256"/>
        <v>1</v>
      </c>
      <c r="Y788" s="250"/>
      <c r="Z788" s="250"/>
    </row>
    <row r="789" spans="1:26" s="111" customFormat="1" ht="25.5" x14ac:dyDescent="0.2">
      <c r="A789" s="399"/>
      <c r="B789" s="494"/>
      <c r="C789" s="312" t="s">
        <v>540</v>
      </c>
      <c r="D789" s="419">
        <v>51</v>
      </c>
      <c r="E789" s="316" t="s">
        <v>518</v>
      </c>
      <c r="F789" s="420">
        <v>8</v>
      </c>
      <c r="G789" s="419">
        <v>55</v>
      </c>
      <c r="H789" s="316" t="s">
        <v>518</v>
      </c>
      <c r="I789" s="420">
        <v>10</v>
      </c>
      <c r="J789" s="431">
        <f>(ROUNDUP(K789/30,0)+1)*2</f>
        <v>8</v>
      </c>
      <c r="K789" s="421">
        <f t="shared" si="257"/>
        <v>82</v>
      </c>
      <c r="L789" s="328"/>
      <c r="M789" s="328"/>
      <c r="N789" s="493">
        <f>(2.3*0.25)+((0.2*0.2)/2)</f>
        <v>0.59499999999999997</v>
      </c>
      <c r="O789" s="493">
        <f>N789*J789</f>
        <v>4.76</v>
      </c>
      <c r="P789" s="328"/>
      <c r="Q789" s="334"/>
      <c r="R789" s="333">
        <f t="shared" si="258"/>
        <v>4.76</v>
      </c>
      <c r="S789" s="331" t="str">
        <f t="shared" si="259"/>
        <v>m²</v>
      </c>
      <c r="T789" s="320">
        <v>39</v>
      </c>
      <c r="U789" s="424" t="s">
        <v>519</v>
      </c>
      <c r="V789" s="455">
        <f t="shared" ca="1" si="254"/>
        <v>1251.6500000000015</v>
      </c>
      <c r="W789" s="456">
        <f t="shared" ca="1" si="255"/>
        <v>2</v>
      </c>
      <c r="X789" s="456">
        <f t="shared" ca="1" si="256"/>
        <v>1</v>
      </c>
      <c r="Y789" s="250"/>
      <c r="Z789" s="250"/>
    </row>
    <row r="790" spans="1:26" s="111" customFormat="1" ht="25.5" x14ac:dyDescent="0.2">
      <c r="A790" s="399"/>
      <c r="B790" s="494"/>
      <c r="C790" s="312" t="s">
        <v>541</v>
      </c>
      <c r="D790" s="419">
        <v>51</v>
      </c>
      <c r="E790" s="316" t="s">
        <v>518</v>
      </c>
      <c r="F790" s="420">
        <v>8</v>
      </c>
      <c r="G790" s="419">
        <v>55</v>
      </c>
      <c r="H790" s="316" t="s">
        <v>518</v>
      </c>
      <c r="I790" s="420">
        <v>10</v>
      </c>
      <c r="J790" s="431"/>
      <c r="K790" s="421">
        <f t="shared" si="257"/>
        <v>82</v>
      </c>
      <c r="L790" s="328">
        <v>2.8</v>
      </c>
      <c r="M790" s="328"/>
      <c r="N790" s="328"/>
      <c r="O790" s="493">
        <f>K790*L790</f>
        <v>229.6</v>
      </c>
      <c r="P790" s="328"/>
      <c r="Q790" s="334"/>
      <c r="R790" s="333">
        <f t="shared" si="258"/>
        <v>229.6</v>
      </c>
      <c r="S790" s="331" t="str">
        <f t="shared" si="259"/>
        <v>m²</v>
      </c>
      <c r="T790" s="320">
        <v>39</v>
      </c>
      <c r="U790" s="424" t="s">
        <v>519</v>
      </c>
      <c r="V790" s="455">
        <f t="shared" ca="1" si="254"/>
        <v>1251.6500000000015</v>
      </c>
      <c r="W790" s="456">
        <f t="shared" ca="1" si="255"/>
        <v>2</v>
      </c>
      <c r="X790" s="456">
        <f t="shared" ca="1" si="256"/>
        <v>1</v>
      </c>
      <c r="Y790" s="250"/>
      <c r="Z790" s="250"/>
    </row>
    <row r="791" spans="1:26" s="111" customFormat="1" ht="25.5" x14ac:dyDescent="0.2">
      <c r="A791" s="399"/>
      <c r="B791" s="494"/>
      <c r="C791" s="312" t="s">
        <v>542</v>
      </c>
      <c r="D791" s="419">
        <v>51</v>
      </c>
      <c r="E791" s="316" t="s">
        <v>518</v>
      </c>
      <c r="F791" s="420">
        <v>8</v>
      </c>
      <c r="G791" s="419">
        <v>55</v>
      </c>
      <c r="H791" s="316" t="s">
        <v>518</v>
      </c>
      <c r="I791" s="420">
        <v>10</v>
      </c>
      <c r="J791" s="431"/>
      <c r="K791" s="421">
        <f t="shared" si="257"/>
        <v>82</v>
      </c>
      <c r="L791" s="328">
        <v>3.25</v>
      </c>
      <c r="M791" s="328"/>
      <c r="N791" s="328"/>
      <c r="O791" s="493">
        <f>K791*L791</f>
        <v>266.5</v>
      </c>
      <c r="P791" s="328"/>
      <c r="Q791" s="334"/>
      <c r="R791" s="333">
        <f t="shared" si="258"/>
        <v>266.5</v>
      </c>
      <c r="S791" s="331" t="str">
        <f t="shared" si="259"/>
        <v>m²</v>
      </c>
      <c r="T791" s="320">
        <v>39</v>
      </c>
      <c r="U791" s="424" t="s">
        <v>519</v>
      </c>
      <c r="V791" s="455">
        <f t="shared" ca="1" si="254"/>
        <v>1251.6500000000015</v>
      </c>
      <c r="W791" s="456">
        <f t="shared" ca="1" si="255"/>
        <v>2</v>
      </c>
      <c r="X791" s="456">
        <f t="shared" ca="1" si="256"/>
        <v>1</v>
      </c>
      <c r="Y791" s="250"/>
      <c r="Z791" s="250"/>
    </row>
    <row r="792" spans="1:26" s="111" customFormat="1" ht="25.5" x14ac:dyDescent="0.2">
      <c r="A792" s="399"/>
      <c r="B792" s="494"/>
      <c r="C792" s="312" t="s">
        <v>543</v>
      </c>
      <c r="D792" s="419">
        <v>51</v>
      </c>
      <c r="E792" s="316" t="s">
        <v>518</v>
      </c>
      <c r="F792" s="420">
        <v>8</v>
      </c>
      <c r="G792" s="419">
        <v>55</v>
      </c>
      <c r="H792" s="316" t="s">
        <v>518</v>
      </c>
      <c r="I792" s="420">
        <v>10</v>
      </c>
      <c r="J792" s="431"/>
      <c r="K792" s="421">
        <f t="shared" si="257"/>
        <v>82</v>
      </c>
      <c r="L792" s="328">
        <v>2.8</v>
      </c>
      <c r="M792" s="328"/>
      <c r="N792" s="328"/>
      <c r="O792" s="493">
        <f>K792*L792</f>
        <v>229.6</v>
      </c>
      <c r="P792" s="328"/>
      <c r="Q792" s="334"/>
      <c r="R792" s="333">
        <f t="shared" si="258"/>
        <v>229.6</v>
      </c>
      <c r="S792" s="331" t="str">
        <f t="shared" si="259"/>
        <v>m²</v>
      </c>
      <c r="T792" s="320">
        <v>39</v>
      </c>
      <c r="U792" s="424" t="s">
        <v>519</v>
      </c>
      <c r="V792" s="455">
        <f t="shared" ca="1" si="254"/>
        <v>1251.6500000000015</v>
      </c>
      <c r="W792" s="456">
        <f t="shared" ca="1" si="255"/>
        <v>2</v>
      </c>
      <c r="X792" s="456">
        <f t="shared" ca="1" si="256"/>
        <v>1</v>
      </c>
      <c r="Y792" s="250"/>
      <c r="Z792" s="250"/>
    </row>
    <row r="793" spans="1:26" s="111" customFormat="1" ht="25.5" x14ac:dyDescent="0.2">
      <c r="A793" s="399"/>
      <c r="B793" s="494"/>
      <c r="C793" s="495" t="s">
        <v>544</v>
      </c>
      <c r="D793" s="419">
        <v>51</v>
      </c>
      <c r="E793" s="316" t="s">
        <v>518</v>
      </c>
      <c r="F793" s="420">
        <v>8</v>
      </c>
      <c r="G793" s="419">
        <v>55</v>
      </c>
      <c r="H793" s="316" t="s">
        <v>518</v>
      </c>
      <c r="I793" s="420">
        <v>10</v>
      </c>
      <c r="J793" s="499"/>
      <c r="K793" s="508">
        <f t="shared" si="257"/>
        <v>82</v>
      </c>
      <c r="L793" s="501">
        <v>3.25</v>
      </c>
      <c r="M793" s="501"/>
      <c r="N793" s="501"/>
      <c r="O793" s="502">
        <f>K793*L793</f>
        <v>266.5</v>
      </c>
      <c r="P793" s="501"/>
      <c r="Q793" s="1098"/>
      <c r="R793" s="1097">
        <f t="shared" si="258"/>
        <v>266.5</v>
      </c>
      <c r="S793" s="331" t="str">
        <f t="shared" si="259"/>
        <v>m²</v>
      </c>
      <c r="T793" s="320">
        <v>39</v>
      </c>
      <c r="U793" s="507" t="s">
        <v>519</v>
      </c>
      <c r="V793" s="455">
        <f t="shared" ca="1" si="254"/>
        <v>1251.6500000000015</v>
      </c>
      <c r="W793" s="456">
        <f t="shared" ca="1" si="255"/>
        <v>2</v>
      </c>
      <c r="X793" s="456">
        <f t="shared" ca="1" si="256"/>
        <v>1</v>
      </c>
      <c r="Y793" s="250"/>
      <c r="Z793" s="250"/>
    </row>
    <row r="794" spans="1:26" s="111" customFormat="1" ht="15" x14ac:dyDescent="0.2">
      <c r="A794" s="399"/>
      <c r="B794" s="494"/>
      <c r="C794" s="495"/>
      <c r="D794" s="419"/>
      <c r="E794" s="316"/>
      <c r="F794" s="420"/>
      <c r="G794" s="419"/>
      <c r="H794" s="316"/>
      <c r="I794" s="420"/>
      <c r="J794" s="499"/>
      <c r="K794" s="508"/>
      <c r="L794" s="501"/>
      <c r="M794" s="501"/>
      <c r="N794" s="501"/>
      <c r="O794" s="502"/>
      <c r="P794" s="501"/>
      <c r="Q794" s="1098"/>
      <c r="R794" s="1097"/>
      <c r="S794" s="505"/>
      <c r="T794" s="320"/>
      <c r="U794" s="507"/>
      <c r="V794" s="455">
        <f t="shared" ca="1" si="254"/>
        <v>1251.6500000000015</v>
      </c>
      <c r="W794" s="456">
        <f t="shared" ca="1" si="255"/>
        <v>0</v>
      </c>
      <c r="X794" s="456">
        <f t="shared" ca="1" si="256"/>
        <v>1</v>
      </c>
      <c r="Y794" s="250"/>
      <c r="Z794" s="250"/>
    </row>
    <row r="795" spans="1:26" s="111" customFormat="1" ht="15.75" x14ac:dyDescent="0.2">
      <c r="A795" s="399"/>
      <c r="B795" s="494"/>
      <c r="C795" s="434" t="s">
        <v>516</v>
      </c>
      <c r="D795" s="417">
        <v>4</v>
      </c>
      <c r="E795" s="314" t="s">
        <v>518</v>
      </c>
      <c r="F795" s="418">
        <v>0</v>
      </c>
      <c r="G795" s="417">
        <v>4</v>
      </c>
      <c r="H795" s="314" t="s">
        <v>518</v>
      </c>
      <c r="I795" s="418">
        <v>16</v>
      </c>
      <c r="J795" s="491"/>
      <c r="K795" s="433"/>
      <c r="L795" s="433"/>
      <c r="M795" s="433"/>
      <c r="N795" s="328"/>
      <c r="O795" s="328"/>
      <c r="P795" s="328"/>
      <c r="Q795" s="334"/>
      <c r="R795" s="333"/>
      <c r="S795" s="331"/>
      <c r="T795" s="320">
        <v>39</v>
      </c>
      <c r="U795" s="335"/>
      <c r="V795" s="455">
        <f t="shared" ca="1" si="254"/>
        <v>1251.6500000000015</v>
      </c>
      <c r="W795" s="456">
        <f t="shared" ca="1" si="255"/>
        <v>2</v>
      </c>
      <c r="X795" s="456">
        <f t="shared" ca="1" si="256"/>
        <v>1</v>
      </c>
      <c r="Y795" s="250"/>
      <c r="Z795" s="250"/>
    </row>
    <row r="796" spans="1:26" s="111" customFormat="1" ht="25.5" x14ac:dyDescent="0.2">
      <c r="A796" s="399"/>
      <c r="B796" s="494"/>
      <c r="C796" s="312" t="s">
        <v>536</v>
      </c>
      <c r="D796" s="417">
        <v>4</v>
      </c>
      <c r="E796" s="314" t="s">
        <v>518</v>
      </c>
      <c r="F796" s="418">
        <v>0</v>
      </c>
      <c r="G796" s="417">
        <v>4</v>
      </c>
      <c r="H796" s="314" t="s">
        <v>518</v>
      </c>
      <c r="I796" s="418">
        <v>16</v>
      </c>
      <c r="J796" s="431">
        <v>2</v>
      </c>
      <c r="K796" s="421">
        <f>ABS((G796*20+I796)-(D796*20+F796))</f>
        <v>16</v>
      </c>
      <c r="L796" s="328"/>
      <c r="M796" s="328">
        <v>0.35</v>
      </c>
      <c r="N796" s="328"/>
      <c r="O796" s="493">
        <f>M796*K796*J796</f>
        <v>11.2</v>
      </c>
      <c r="P796" s="328"/>
      <c r="Q796" s="334"/>
      <c r="R796" s="333">
        <f t="shared" ref="R796:R808" si="260">O796</f>
        <v>11.2</v>
      </c>
      <c r="S796" s="331" t="str">
        <f t="shared" ref="S796:S808" si="261">$L$944</f>
        <v>m²</v>
      </c>
      <c r="T796" s="320">
        <v>39</v>
      </c>
      <c r="U796" s="424" t="s">
        <v>519</v>
      </c>
      <c r="V796" s="455">
        <f t="shared" ca="1" si="254"/>
        <v>1251.6500000000015</v>
      </c>
      <c r="W796" s="456">
        <f t="shared" ca="1" si="255"/>
        <v>2</v>
      </c>
      <c r="X796" s="456">
        <f t="shared" ca="1" si="256"/>
        <v>1</v>
      </c>
      <c r="Y796" s="250"/>
      <c r="Z796" s="250"/>
    </row>
    <row r="797" spans="1:26" s="111" customFormat="1" ht="25.5" x14ac:dyDescent="0.2">
      <c r="A797" s="399"/>
      <c r="B797" s="494"/>
      <c r="C797" s="312" t="s">
        <v>537</v>
      </c>
      <c r="D797" s="417">
        <v>4</v>
      </c>
      <c r="E797" s="314" t="s">
        <v>518</v>
      </c>
      <c r="F797" s="418">
        <v>0</v>
      </c>
      <c r="G797" s="417">
        <v>4</v>
      </c>
      <c r="H797" s="314" t="s">
        <v>518</v>
      </c>
      <c r="I797" s="418">
        <v>16</v>
      </c>
      <c r="J797" s="431">
        <f>ROUNDUP(K797/30,0)+1</f>
        <v>2</v>
      </c>
      <c r="K797" s="421">
        <f>ABS((G797*20+I797)-(D797*20+F797))</f>
        <v>16</v>
      </c>
      <c r="L797" s="328">
        <v>6</v>
      </c>
      <c r="M797" s="328">
        <v>0.25</v>
      </c>
      <c r="N797" s="328"/>
      <c r="O797" s="493">
        <f>M797*L797*J797</f>
        <v>3</v>
      </c>
      <c r="P797" s="328"/>
      <c r="Q797" s="334"/>
      <c r="R797" s="333">
        <f t="shared" si="260"/>
        <v>3</v>
      </c>
      <c r="S797" s="331" t="str">
        <f t="shared" si="261"/>
        <v>m²</v>
      </c>
      <c r="T797" s="320">
        <v>39</v>
      </c>
      <c r="U797" s="424" t="s">
        <v>519</v>
      </c>
      <c r="V797" s="455">
        <f t="shared" ca="1" si="254"/>
        <v>1251.6500000000015</v>
      </c>
      <c r="W797" s="456">
        <f t="shared" ca="1" si="255"/>
        <v>2</v>
      </c>
      <c r="X797" s="456">
        <f t="shared" ca="1" si="256"/>
        <v>1</v>
      </c>
      <c r="Y797" s="250"/>
      <c r="Z797" s="250"/>
    </row>
    <row r="798" spans="1:26" s="111" customFormat="1" ht="25.5" x14ac:dyDescent="0.2">
      <c r="A798" s="399"/>
      <c r="B798" s="494"/>
      <c r="C798" s="312" t="s">
        <v>538</v>
      </c>
      <c r="D798" s="417">
        <v>4</v>
      </c>
      <c r="E798" s="314" t="s">
        <v>518</v>
      </c>
      <c r="F798" s="418">
        <v>0</v>
      </c>
      <c r="G798" s="417">
        <v>4</v>
      </c>
      <c r="H798" s="314" t="s">
        <v>518</v>
      </c>
      <c r="I798" s="418">
        <v>16</v>
      </c>
      <c r="J798" s="431">
        <v>2</v>
      </c>
      <c r="K798" s="421">
        <f>ABS((G798*20+I798)-(D798*20+F798))</f>
        <v>16</v>
      </c>
      <c r="L798" s="328"/>
      <c r="M798" s="328">
        <v>0.25</v>
      </c>
      <c r="N798" s="328"/>
      <c r="O798" s="493">
        <f>M798*K798*J798</f>
        <v>8</v>
      </c>
      <c r="P798" s="328"/>
      <c r="Q798" s="334"/>
      <c r="R798" s="333">
        <f t="shared" si="260"/>
        <v>8</v>
      </c>
      <c r="S798" s="331" t="str">
        <f t="shared" si="261"/>
        <v>m²</v>
      </c>
      <c r="T798" s="320">
        <v>39</v>
      </c>
      <c r="U798" s="424" t="s">
        <v>519</v>
      </c>
      <c r="V798" s="455">
        <f t="shared" ca="1" si="254"/>
        <v>1251.6500000000015</v>
      </c>
      <c r="W798" s="456">
        <f t="shared" ca="1" si="255"/>
        <v>2</v>
      </c>
      <c r="X798" s="456">
        <f t="shared" ca="1" si="256"/>
        <v>1</v>
      </c>
      <c r="Y798" s="250"/>
      <c r="Z798" s="250"/>
    </row>
    <row r="799" spans="1:26" s="111" customFormat="1" ht="25.5" x14ac:dyDescent="0.2">
      <c r="A799" s="399"/>
      <c r="B799" s="494"/>
      <c r="C799" s="312" t="s">
        <v>539</v>
      </c>
      <c r="D799" s="417">
        <v>4</v>
      </c>
      <c r="E799" s="314" t="s">
        <v>518</v>
      </c>
      <c r="F799" s="418">
        <v>0</v>
      </c>
      <c r="G799" s="417">
        <v>4</v>
      </c>
      <c r="H799" s="314" t="s">
        <v>518</v>
      </c>
      <c r="I799" s="418">
        <v>16</v>
      </c>
      <c r="J799" s="431">
        <v>2</v>
      </c>
      <c r="K799" s="421">
        <f>ABS((G799*20+I799)-(D799*20+F799))</f>
        <v>16</v>
      </c>
      <c r="L799" s="328">
        <v>0.28299999999999997</v>
      </c>
      <c r="M799" s="328"/>
      <c r="N799" s="328"/>
      <c r="O799" s="493">
        <f>J799*K799*L799</f>
        <v>9.0559999999999992</v>
      </c>
      <c r="P799" s="328"/>
      <c r="Q799" s="334"/>
      <c r="R799" s="333">
        <f t="shared" si="260"/>
        <v>9.0559999999999992</v>
      </c>
      <c r="S799" s="331" t="str">
        <f t="shared" si="261"/>
        <v>m²</v>
      </c>
      <c r="T799" s="320">
        <v>39</v>
      </c>
      <c r="U799" s="424" t="s">
        <v>519</v>
      </c>
      <c r="V799" s="455">
        <f t="shared" ca="1" si="254"/>
        <v>1251.6500000000015</v>
      </c>
      <c r="W799" s="456">
        <f t="shared" ca="1" si="255"/>
        <v>2</v>
      </c>
      <c r="X799" s="456">
        <f t="shared" ca="1" si="256"/>
        <v>1</v>
      </c>
      <c r="Y799" s="250"/>
      <c r="Z799" s="250"/>
    </row>
    <row r="800" spans="1:26" s="111" customFormat="1" ht="25.5" x14ac:dyDescent="0.2">
      <c r="A800" s="399"/>
      <c r="B800" s="494"/>
      <c r="C800" s="312" t="s">
        <v>540</v>
      </c>
      <c r="D800" s="417">
        <v>4</v>
      </c>
      <c r="E800" s="314" t="s">
        <v>518</v>
      </c>
      <c r="F800" s="418">
        <v>0</v>
      </c>
      <c r="G800" s="417">
        <v>4</v>
      </c>
      <c r="H800" s="314" t="s">
        <v>518</v>
      </c>
      <c r="I800" s="418">
        <v>16</v>
      </c>
      <c r="J800" s="431">
        <f>(ROUNDUP(K800/30,0)+1)*2</f>
        <v>4</v>
      </c>
      <c r="K800" s="421">
        <f t="shared" ref="K800:K806" si="262">ABS((G800*20+I800)-(D800*20+F800))</f>
        <v>16</v>
      </c>
      <c r="L800" s="328"/>
      <c r="M800" s="328"/>
      <c r="N800" s="493">
        <f>(2.3*0.25)+(2*((0.2*0.2)/2))</f>
        <v>0.61499999999999999</v>
      </c>
      <c r="O800" s="493">
        <f>N800*J800</f>
        <v>2.46</v>
      </c>
      <c r="P800" s="328"/>
      <c r="Q800" s="334"/>
      <c r="R800" s="333">
        <f t="shared" si="260"/>
        <v>2.46</v>
      </c>
      <c r="S800" s="331" t="str">
        <f t="shared" si="261"/>
        <v>m²</v>
      </c>
      <c r="T800" s="320">
        <v>39</v>
      </c>
      <c r="U800" s="424" t="s">
        <v>519</v>
      </c>
      <c r="V800" s="455">
        <f t="shared" ca="1" si="254"/>
        <v>1251.6500000000015</v>
      </c>
      <c r="W800" s="456">
        <f t="shared" ca="1" si="255"/>
        <v>2</v>
      </c>
      <c r="X800" s="456">
        <f t="shared" ca="1" si="256"/>
        <v>1</v>
      </c>
      <c r="Y800" s="250"/>
      <c r="Z800" s="250"/>
    </row>
    <row r="801" spans="1:26" s="111" customFormat="1" ht="25.5" x14ac:dyDescent="0.2">
      <c r="A801" s="399"/>
      <c r="B801" s="494"/>
      <c r="C801" s="312" t="s">
        <v>541</v>
      </c>
      <c r="D801" s="417">
        <v>4</v>
      </c>
      <c r="E801" s="314" t="s">
        <v>518</v>
      </c>
      <c r="F801" s="418">
        <v>0</v>
      </c>
      <c r="G801" s="417">
        <v>4</v>
      </c>
      <c r="H801" s="314" t="s">
        <v>518</v>
      </c>
      <c r="I801" s="418">
        <v>16</v>
      </c>
      <c r="J801" s="431"/>
      <c r="K801" s="421">
        <f t="shared" si="262"/>
        <v>16</v>
      </c>
      <c r="L801" s="328">
        <v>1.9</v>
      </c>
      <c r="M801" s="328"/>
      <c r="N801" s="328"/>
      <c r="O801" s="493">
        <f>K801*L801</f>
        <v>30.4</v>
      </c>
      <c r="P801" s="328"/>
      <c r="Q801" s="334"/>
      <c r="R801" s="333">
        <f t="shared" si="260"/>
        <v>30.4</v>
      </c>
      <c r="S801" s="331" t="str">
        <f t="shared" si="261"/>
        <v>m²</v>
      </c>
      <c r="T801" s="320">
        <v>39</v>
      </c>
      <c r="U801" s="424" t="s">
        <v>519</v>
      </c>
      <c r="V801" s="455">
        <f t="shared" ca="1" si="254"/>
        <v>1251.6500000000015</v>
      </c>
      <c r="W801" s="456">
        <f t="shared" ca="1" si="255"/>
        <v>2</v>
      </c>
      <c r="X801" s="456">
        <f t="shared" ca="1" si="256"/>
        <v>1</v>
      </c>
      <c r="Y801" s="250"/>
      <c r="Z801" s="250"/>
    </row>
    <row r="802" spans="1:26" s="111" customFormat="1" ht="25.5" x14ac:dyDescent="0.2">
      <c r="A802" s="399"/>
      <c r="B802" s="494"/>
      <c r="C802" s="312" t="s">
        <v>542</v>
      </c>
      <c r="D802" s="417">
        <v>4</v>
      </c>
      <c r="E802" s="314" t="s">
        <v>518</v>
      </c>
      <c r="F802" s="418">
        <v>0</v>
      </c>
      <c r="G802" s="417">
        <v>4</v>
      </c>
      <c r="H802" s="314" t="s">
        <v>518</v>
      </c>
      <c r="I802" s="418">
        <v>16</v>
      </c>
      <c r="J802" s="431"/>
      <c r="K802" s="421">
        <f t="shared" si="262"/>
        <v>16</v>
      </c>
      <c r="L802" s="328">
        <v>2.2999999999999998</v>
      </c>
      <c r="M802" s="328"/>
      <c r="N802" s="328"/>
      <c r="O802" s="493">
        <f>K802*L802</f>
        <v>36.799999999999997</v>
      </c>
      <c r="P802" s="328"/>
      <c r="Q802" s="334"/>
      <c r="R802" s="333">
        <f t="shared" si="260"/>
        <v>36.799999999999997</v>
      </c>
      <c r="S802" s="331" t="str">
        <f t="shared" si="261"/>
        <v>m²</v>
      </c>
      <c r="T802" s="320">
        <v>39</v>
      </c>
      <c r="U802" s="424" t="s">
        <v>519</v>
      </c>
      <c r="V802" s="455">
        <f t="shared" ca="1" si="254"/>
        <v>1251.6500000000015</v>
      </c>
      <c r="W802" s="456">
        <f t="shared" ca="1" si="255"/>
        <v>2</v>
      </c>
      <c r="X802" s="456">
        <f t="shared" ca="1" si="256"/>
        <v>1</v>
      </c>
      <c r="Y802" s="250"/>
      <c r="Z802" s="250"/>
    </row>
    <row r="803" spans="1:26" s="111" customFormat="1" ht="25.5" x14ac:dyDescent="0.2">
      <c r="A803" s="399"/>
      <c r="B803" s="494"/>
      <c r="C803" s="312" t="s">
        <v>543</v>
      </c>
      <c r="D803" s="417">
        <v>4</v>
      </c>
      <c r="E803" s="314" t="s">
        <v>518</v>
      </c>
      <c r="F803" s="418">
        <v>0</v>
      </c>
      <c r="G803" s="417">
        <v>4</v>
      </c>
      <c r="H803" s="314" t="s">
        <v>518</v>
      </c>
      <c r="I803" s="418">
        <v>16</v>
      </c>
      <c r="J803" s="431"/>
      <c r="K803" s="421">
        <f t="shared" si="262"/>
        <v>16</v>
      </c>
      <c r="L803" s="328">
        <v>1.9</v>
      </c>
      <c r="M803" s="328"/>
      <c r="N803" s="328"/>
      <c r="O803" s="493">
        <f>K803*L803</f>
        <v>30.4</v>
      </c>
      <c r="P803" s="328"/>
      <c r="Q803" s="334"/>
      <c r="R803" s="333">
        <f t="shared" si="260"/>
        <v>30.4</v>
      </c>
      <c r="S803" s="331" t="str">
        <f t="shared" si="261"/>
        <v>m²</v>
      </c>
      <c r="T803" s="320">
        <v>39</v>
      </c>
      <c r="U803" s="424" t="s">
        <v>519</v>
      </c>
      <c r="V803" s="455">
        <f t="shared" ca="1" si="254"/>
        <v>1251.6500000000015</v>
      </c>
      <c r="W803" s="456">
        <f t="shared" ca="1" si="255"/>
        <v>2</v>
      </c>
      <c r="X803" s="456">
        <f t="shared" ca="1" si="256"/>
        <v>1</v>
      </c>
      <c r="Y803" s="250"/>
      <c r="Z803" s="250"/>
    </row>
    <row r="804" spans="1:26" s="111" customFormat="1" ht="25.5" x14ac:dyDescent="0.2">
      <c r="A804" s="399"/>
      <c r="B804" s="494"/>
      <c r="C804" s="312" t="s">
        <v>544</v>
      </c>
      <c r="D804" s="417">
        <v>4</v>
      </c>
      <c r="E804" s="314" t="s">
        <v>518</v>
      </c>
      <c r="F804" s="418">
        <v>0</v>
      </c>
      <c r="G804" s="417">
        <v>4</v>
      </c>
      <c r="H804" s="314" t="s">
        <v>518</v>
      </c>
      <c r="I804" s="418">
        <v>16</v>
      </c>
      <c r="J804" s="431"/>
      <c r="K804" s="421">
        <f t="shared" si="262"/>
        <v>16</v>
      </c>
      <c r="L804" s="328">
        <v>2.2999999999999998</v>
      </c>
      <c r="M804" s="328"/>
      <c r="N804" s="328"/>
      <c r="O804" s="493">
        <f>K804*L804</f>
        <v>36.799999999999997</v>
      </c>
      <c r="P804" s="328"/>
      <c r="Q804" s="334"/>
      <c r="R804" s="333">
        <f t="shared" si="260"/>
        <v>36.799999999999997</v>
      </c>
      <c r="S804" s="331" t="str">
        <f t="shared" si="261"/>
        <v>m²</v>
      </c>
      <c r="T804" s="320">
        <v>39</v>
      </c>
      <c r="U804" s="424" t="s">
        <v>519</v>
      </c>
      <c r="V804" s="455">
        <f t="shared" ca="1" si="254"/>
        <v>1251.6500000000015</v>
      </c>
      <c r="W804" s="456">
        <f t="shared" ca="1" si="255"/>
        <v>2</v>
      </c>
      <c r="X804" s="456">
        <f t="shared" ca="1" si="256"/>
        <v>1</v>
      </c>
      <c r="Y804" s="250"/>
      <c r="Z804" s="250"/>
    </row>
    <row r="805" spans="1:26" s="111" customFormat="1" ht="25.5" x14ac:dyDescent="0.2">
      <c r="A805" s="399"/>
      <c r="B805" s="494"/>
      <c r="C805" s="312" t="s">
        <v>545</v>
      </c>
      <c r="D805" s="417">
        <v>4</v>
      </c>
      <c r="E805" s="314" t="s">
        <v>518</v>
      </c>
      <c r="F805" s="418">
        <v>0</v>
      </c>
      <c r="G805" s="417">
        <v>4</v>
      </c>
      <c r="H805" s="314" t="s">
        <v>518</v>
      </c>
      <c r="I805" s="418">
        <v>16</v>
      </c>
      <c r="J805" s="431">
        <v>2</v>
      </c>
      <c r="K805" s="421">
        <f t="shared" si="262"/>
        <v>16</v>
      </c>
      <c r="L805" s="328">
        <v>0.28299999999999997</v>
      </c>
      <c r="M805" s="328"/>
      <c r="N805" s="328"/>
      <c r="O805" s="493">
        <f>J805*K805*L805</f>
        <v>9.0559999999999992</v>
      </c>
      <c r="P805" s="328"/>
      <c r="Q805" s="334"/>
      <c r="R805" s="333">
        <f t="shared" si="260"/>
        <v>9.0559999999999992</v>
      </c>
      <c r="S805" s="331" t="str">
        <f t="shared" si="261"/>
        <v>m²</v>
      </c>
      <c r="T805" s="320">
        <v>39</v>
      </c>
      <c r="U805" s="424" t="s">
        <v>519</v>
      </c>
      <c r="V805" s="455">
        <f t="shared" ca="1" si="254"/>
        <v>1251.6500000000015</v>
      </c>
      <c r="W805" s="456">
        <f t="shared" ca="1" si="255"/>
        <v>2</v>
      </c>
      <c r="X805" s="456">
        <f t="shared" ca="1" si="256"/>
        <v>1</v>
      </c>
      <c r="Y805" s="250"/>
      <c r="Z805" s="250"/>
    </row>
    <row r="806" spans="1:26" s="111" customFormat="1" ht="25.5" x14ac:dyDescent="0.2">
      <c r="A806" s="399"/>
      <c r="B806" s="494"/>
      <c r="C806" s="426" t="s">
        <v>546</v>
      </c>
      <c r="D806" s="417">
        <v>4</v>
      </c>
      <c r="E806" s="314" t="s">
        <v>518</v>
      </c>
      <c r="F806" s="418">
        <v>0</v>
      </c>
      <c r="G806" s="417">
        <v>4</v>
      </c>
      <c r="H806" s="314" t="s">
        <v>518</v>
      </c>
      <c r="I806" s="418">
        <v>16</v>
      </c>
      <c r="J806" s="431"/>
      <c r="K806" s="421">
        <f t="shared" si="262"/>
        <v>16</v>
      </c>
      <c r="L806" s="328">
        <v>6</v>
      </c>
      <c r="M806" s="328"/>
      <c r="N806" s="328"/>
      <c r="O806" s="493">
        <f>K806*L806</f>
        <v>96</v>
      </c>
      <c r="P806" s="328"/>
      <c r="Q806" s="334"/>
      <c r="R806" s="333">
        <f t="shared" si="260"/>
        <v>96</v>
      </c>
      <c r="S806" s="331" t="str">
        <f t="shared" si="261"/>
        <v>m²</v>
      </c>
      <c r="T806" s="320">
        <v>39</v>
      </c>
      <c r="U806" s="424" t="s">
        <v>519</v>
      </c>
      <c r="V806" s="455">
        <f t="shared" ca="1" si="254"/>
        <v>1251.6500000000015</v>
      </c>
      <c r="W806" s="456">
        <f t="shared" ca="1" si="255"/>
        <v>2</v>
      </c>
      <c r="X806" s="456">
        <f t="shared" ca="1" si="256"/>
        <v>1</v>
      </c>
      <c r="Y806" s="250"/>
      <c r="Z806" s="250"/>
    </row>
    <row r="807" spans="1:26" s="111" customFormat="1" ht="25.5" x14ac:dyDescent="0.2">
      <c r="A807" s="399"/>
      <c r="B807" s="494"/>
      <c r="C807" s="312" t="s">
        <v>547</v>
      </c>
      <c r="D807" s="417">
        <v>4</v>
      </c>
      <c r="E807" s="314" t="s">
        <v>518</v>
      </c>
      <c r="F807" s="418">
        <v>0</v>
      </c>
      <c r="G807" s="417">
        <v>4</v>
      </c>
      <c r="H807" s="314" t="s">
        <v>518</v>
      </c>
      <c r="I807" s="418">
        <v>16</v>
      </c>
      <c r="J807" s="431">
        <f>ROUNDUP(K807/20,0)+1</f>
        <v>2</v>
      </c>
      <c r="K807" s="421">
        <f>ABS((G807*20+I807)-(D807*20+F807))</f>
        <v>16</v>
      </c>
      <c r="L807" s="328">
        <v>6</v>
      </c>
      <c r="M807" s="328">
        <v>0.25</v>
      </c>
      <c r="N807" s="328"/>
      <c r="O807" s="493">
        <f>M807*L807*J807</f>
        <v>3</v>
      </c>
      <c r="P807" s="328"/>
      <c r="Q807" s="334"/>
      <c r="R807" s="333">
        <f t="shared" si="260"/>
        <v>3</v>
      </c>
      <c r="S807" s="331" t="str">
        <f t="shared" si="261"/>
        <v>m²</v>
      </c>
      <c r="T807" s="320">
        <v>39</v>
      </c>
      <c r="U807" s="424" t="s">
        <v>519</v>
      </c>
      <c r="V807" s="455">
        <f t="shared" ca="1" si="254"/>
        <v>1251.6500000000015</v>
      </c>
      <c r="W807" s="456">
        <f t="shared" ca="1" si="255"/>
        <v>2</v>
      </c>
      <c r="X807" s="456">
        <f t="shared" ca="1" si="256"/>
        <v>1</v>
      </c>
      <c r="Y807" s="250"/>
      <c r="Z807" s="250"/>
    </row>
    <row r="808" spans="1:26" s="111" customFormat="1" ht="25.5" x14ac:dyDescent="0.2">
      <c r="A808" s="399"/>
      <c r="B808" s="494"/>
      <c r="C808" s="312" t="s">
        <v>548</v>
      </c>
      <c r="D808" s="417">
        <v>4</v>
      </c>
      <c r="E808" s="314" t="s">
        <v>518</v>
      </c>
      <c r="F808" s="418">
        <v>0</v>
      </c>
      <c r="G808" s="417">
        <v>4</v>
      </c>
      <c r="H808" s="314" t="s">
        <v>518</v>
      </c>
      <c r="I808" s="418">
        <v>16</v>
      </c>
      <c r="J808" s="431">
        <v>2</v>
      </c>
      <c r="K808" s="421">
        <f>ABS((G808*20+I808)-(D808*20+F808))</f>
        <v>16</v>
      </c>
      <c r="L808" s="328"/>
      <c r="M808" s="328">
        <v>0.25</v>
      </c>
      <c r="N808" s="328"/>
      <c r="O808" s="493">
        <f>M808*K808*J808</f>
        <v>8</v>
      </c>
      <c r="P808" s="328"/>
      <c r="Q808" s="334"/>
      <c r="R808" s="333">
        <f t="shared" si="260"/>
        <v>8</v>
      </c>
      <c r="S808" s="331" t="str">
        <f t="shared" si="261"/>
        <v>m²</v>
      </c>
      <c r="T808" s="320">
        <v>39</v>
      </c>
      <c r="U808" s="424" t="s">
        <v>519</v>
      </c>
      <c r="V808" s="455">
        <f t="shared" ca="1" si="254"/>
        <v>1251.6500000000015</v>
      </c>
      <c r="W808" s="456">
        <f t="shared" ca="1" si="255"/>
        <v>2</v>
      </c>
      <c r="X808" s="456">
        <f t="shared" ca="1" si="256"/>
        <v>1</v>
      </c>
      <c r="Y808" s="250"/>
      <c r="Z808" s="250"/>
    </row>
    <row r="809" spans="1:26" s="111" customFormat="1" ht="15" x14ac:dyDescent="0.2">
      <c r="A809" s="399"/>
      <c r="B809" s="494"/>
      <c r="C809" s="495"/>
      <c r="D809" s="417"/>
      <c r="E809" s="314"/>
      <c r="F809" s="418"/>
      <c r="G809" s="417"/>
      <c r="H809" s="314"/>
      <c r="I809" s="418"/>
      <c r="J809" s="499"/>
      <c r="K809" s="500"/>
      <c r="L809" s="501"/>
      <c r="M809" s="501"/>
      <c r="N809" s="501"/>
      <c r="O809" s="502"/>
      <c r="P809" s="501"/>
      <c r="Q809" s="1098"/>
      <c r="R809" s="1111"/>
      <c r="S809" s="505"/>
      <c r="T809" s="320"/>
      <c r="U809" s="507"/>
      <c r="V809" s="455">
        <f t="shared" ca="1" si="254"/>
        <v>1251.6500000000015</v>
      </c>
      <c r="W809" s="456">
        <f t="shared" ca="1" si="255"/>
        <v>0</v>
      </c>
      <c r="X809" s="456">
        <f t="shared" ca="1" si="256"/>
        <v>1</v>
      </c>
      <c r="Y809" s="250"/>
      <c r="Z809" s="250"/>
    </row>
    <row r="810" spans="1:26" s="111" customFormat="1" ht="15.75" x14ac:dyDescent="0.2">
      <c r="A810" s="399"/>
      <c r="B810" s="494"/>
      <c r="C810" s="434" t="s">
        <v>532</v>
      </c>
      <c r="D810" s="417"/>
      <c r="E810" s="314"/>
      <c r="F810" s="418"/>
      <c r="G810" s="419"/>
      <c r="H810" s="316"/>
      <c r="I810" s="420"/>
      <c r="J810" s="431"/>
      <c r="K810" s="433"/>
      <c r="L810" s="433"/>
      <c r="M810" s="433"/>
      <c r="N810" s="328"/>
      <c r="O810" s="328"/>
      <c r="P810" s="328"/>
      <c r="Q810" s="334"/>
      <c r="R810" s="333"/>
      <c r="S810" s="331"/>
      <c r="T810" s="320">
        <v>40</v>
      </c>
      <c r="U810" s="335"/>
      <c r="V810" s="455">
        <f t="shared" ca="1" si="254"/>
        <v>1251.6500000000015</v>
      </c>
      <c r="W810" s="456">
        <f t="shared" ca="1" si="255"/>
        <v>2</v>
      </c>
      <c r="X810" s="456">
        <f t="shared" ca="1" si="256"/>
        <v>1</v>
      </c>
      <c r="Y810" s="250"/>
      <c r="Z810" s="250"/>
    </row>
    <row r="811" spans="1:26" s="111" customFormat="1" ht="25.5" x14ac:dyDescent="0.2">
      <c r="A811" s="399"/>
      <c r="B811" s="494"/>
      <c r="C811" s="312" t="s">
        <v>536</v>
      </c>
      <c r="D811" s="419">
        <v>49</v>
      </c>
      <c r="E811" s="316" t="s">
        <v>518</v>
      </c>
      <c r="F811" s="420">
        <v>13</v>
      </c>
      <c r="G811" s="419">
        <v>51</v>
      </c>
      <c r="H811" s="316" t="s">
        <v>518</v>
      </c>
      <c r="I811" s="420">
        <v>8</v>
      </c>
      <c r="J811" s="431">
        <v>2</v>
      </c>
      <c r="K811" s="421">
        <f t="shared" ref="K811:K819" si="263">ABS((G811*20+I811)-(D811*20+F811))</f>
        <v>35</v>
      </c>
      <c r="L811" s="328"/>
      <c r="M811" s="328">
        <v>0.35</v>
      </c>
      <c r="N811" s="328"/>
      <c r="O811" s="493">
        <f>M811*K811*J811</f>
        <v>24.5</v>
      </c>
      <c r="P811" s="328"/>
      <c r="Q811" s="334"/>
      <c r="R811" s="333">
        <f t="shared" ref="R811:R819" si="264">O811</f>
        <v>24.5</v>
      </c>
      <c r="S811" s="331" t="str">
        <f t="shared" ref="S811:S819" si="265">$L$944</f>
        <v>m²</v>
      </c>
      <c r="T811" s="320">
        <v>40</v>
      </c>
      <c r="U811" s="424" t="s">
        <v>519</v>
      </c>
      <c r="V811" s="455">
        <f t="shared" ca="1" si="254"/>
        <v>1251.6500000000015</v>
      </c>
      <c r="W811" s="456">
        <f t="shared" ca="1" si="255"/>
        <v>2</v>
      </c>
      <c r="X811" s="456">
        <f t="shared" ca="1" si="256"/>
        <v>1</v>
      </c>
      <c r="Y811" s="250"/>
      <c r="Z811" s="250"/>
    </row>
    <row r="812" spans="1:26" s="111" customFormat="1" ht="25.5" x14ac:dyDescent="0.2">
      <c r="A812" s="399"/>
      <c r="B812" s="494"/>
      <c r="C812" s="312" t="s">
        <v>537</v>
      </c>
      <c r="D812" s="419">
        <v>49</v>
      </c>
      <c r="E812" s="316" t="s">
        <v>518</v>
      </c>
      <c r="F812" s="420">
        <v>13</v>
      </c>
      <c r="G812" s="419">
        <v>51</v>
      </c>
      <c r="H812" s="316" t="s">
        <v>518</v>
      </c>
      <c r="I812" s="420">
        <v>8</v>
      </c>
      <c r="J812" s="431">
        <f>ROUNDUP(K812/30,0)+1</f>
        <v>3</v>
      </c>
      <c r="K812" s="421">
        <f t="shared" si="263"/>
        <v>35</v>
      </c>
      <c r="L812" s="328">
        <v>12</v>
      </c>
      <c r="M812" s="328">
        <v>0.25</v>
      </c>
      <c r="N812" s="328"/>
      <c r="O812" s="493">
        <f>M812*L812*J812</f>
        <v>9</v>
      </c>
      <c r="P812" s="328"/>
      <c r="Q812" s="334"/>
      <c r="R812" s="333">
        <f t="shared" si="264"/>
        <v>9</v>
      </c>
      <c r="S812" s="331" t="str">
        <f t="shared" si="265"/>
        <v>m²</v>
      </c>
      <c r="T812" s="320">
        <v>40</v>
      </c>
      <c r="U812" s="424" t="s">
        <v>519</v>
      </c>
      <c r="V812" s="455">
        <f t="shared" ca="1" si="254"/>
        <v>1251.6500000000015</v>
      </c>
      <c r="W812" s="456">
        <f t="shared" ca="1" si="255"/>
        <v>2</v>
      </c>
      <c r="X812" s="456">
        <f t="shared" ca="1" si="256"/>
        <v>1</v>
      </c>
      <c r="Y812" s="250"/>
      <c r="Z812" s="250"/>
    </row>
    <row r="813" spans="1:26" s="111" customFormat="1" ht="25.5" x14ac:dyDescent="0.2">
      <c r="A813" s="399"/>
      <c r="B813" s="494"/>
      <c r="C813" s="312" t="s">
        <v>538</v>
      </c>
      <c r="D813" s="419">
        <v>49</v>
      </c>
      <c r="E813" s="316" t="s">
        <v>518</v>
      </c>
      <c r="F813" s="420">
        <v>13</v>
      </c>
      <c r="G813" s="419">
        <v>51</v>
      </c>
      <c r="H813" s="316" t="s">
        <v>518</v>
      </c>
      <c r="I813" s="420">
        <v>8</v>
      </c>
      <c r="J813" s="431">
        <v>2</v>
      </c>
      <c r="K813" s="421">
        <f t="shared" si="263"/>
        <v>35</v>
      </c>
      <c r="L813" s="328"/>
      <c r="M813" s="328">
        <v>0.25</v>
      </c>
      <c r="N813" s="328"/>
      <c r="O813" s="493">
        <f>M813*K813*J813</f>
        <v>17.5</v>
      </c>
      <c r="P813" s="328"/>
      <c r="Q813" s="334"/>
      <c r="R813" s="333">
        <f t="shared" si="264"/>
        <v>17.5</v>
      </c>
      <c r="S813" s="331" t="str">
        <f t="shared" si="265"/>
        <v>m²</v>
      </c>
      <c r="T813" s="320">
        <v>40</v>
      </c>
      <c r="U813" s="424" t="s">
        <v>519</v>
      </c>
      <c r="V813" s="455">
        <f t="shared" ca="1" si="254"/>
        <v>1251.6500000000015</v>
      </c>
      <c r="W813" s="456">
        <f t="shared" ca="1" si="255"/>
        <v>2</v>
      </c>
      <c r="X813" s="456">
        <f t="shared" ca="1" si="256"/>
        <v>1</v>
      </c>
      <c r="Y813" s="250"/>
      <c r="Z813" s="250"/>
    </row>
    <row r="814" spans="1:26" s="111" customFormat="1" ht="25.5" x14ac:dyDescent="0.2">
      <c r="A814" s="399"/>
      <c r="B814" s="494"/>
      <c r="C814" s="312" t="s">
        <v>539</v>
      </c>
      <c r="D814" s="419">
        <v>49</v>
      </c>
      <c r="E814" s="316" t="s">
        <v>518</v>
      </c>
      <c r="F814" s="420">
        <v>13</v>
      </c>
      <c r="G814" s="419">
        <v>51</v>
      </c>
      <c r="H814" s="316" t="s">
        <v>518</v>
      </c>
      <c r="I814" s="420">
        <v>8</v>
      </c>
      <c r="J814" s="431">
        <v>2</v>
      </c>
      <c r="K814" s="421">
        <f t="shared" si="263"/>
        <v>35</v>
      </c>
      <c r="L814" s="328">
        <v>0.28299999999999997</v>
      </c>
      <c r="M814" s="328"/>
      <c r="N814" s="328"/>
      <c r="O814" s="493">
        <f>J814*K814*L814</f>
        <v>19.809999999999999</v>
      </c>
      <c r="P814" s="328"/>
      <c r="Q814" s="334"/>
      <c r="R814" s="333">
        <f t="shared" si="264"/>
        <v>19.809999999999999</v>
      </c>
      <c r="S814" s="331" t="str">
        <f t="shared" si="265"/>
        <v>m²</v>
      </c>
      <c r="T814" s="320">
        <v>40</v>
      </c>
      <c r="U814" s="424" t="s">
        <v>519</v>
      </c>
      <c r="V814" s="455">
        <f t="shared" ca="1" si="254"/>
        <v>1251.6500000000015</v>
      </c>
      <c r="W814" s="456">
        <f t="shared" ca="1" si="255"/>
        <v>2</v>
      </c>
      <c r="X814" s="456">
        <f t="shared" ca="1" si="256"/>
        <v>1</v>
      </c>
      <c r="Y814" s="250"/>
      <c r="Z814" s="250"/>
    </row>
    <row r="815" spans="1:26" s="111" customFormat="1" ht="25.5" x14ac:dyDescent="0.2">
      <c r="A815" s="399"/>
      <c r="B815" s="494"/>
      <c r="C815" s="312" t="s">
        <v>540</v>
      </c>
      <c r="D815" s="419">
        <v>49</v>
      </c>
      <c r="E815" s="316" t="s">
        <v>518</v>
      </c>
      <c r="F815" s="420">
        <v>13</v>
      </c>
      <c r="G815" s="419">
        <v>51</v>
      </c>
      <c r="H815" s="316" t="s">
        <v>518</v>
      </c>
      <c r="I815" s="420">
        <v>8</v>
      </c>
      <c r="J815" s="431">
        <f>(ROUNDUP(K815/30,0)+1)*2</f>
        <v>6</v>
      </c>
      <c r="K815" s="421">
        <f t="shared" si="263"/>
        <v>35</v>
      </c>
      <c r="L815" s="328"/>
      <c r="M815" s="328"/>
      <c r="N815" s="493">
        <f>(2.3*0.25)+((0.2*0.2)/2)</f>
        <v>0.59499999999999997</v>
      </c>
      <c r="O815" s="493">
        <f>N815*J815</f>
        <v>3.57</v>
      </c>
      <c r="P815" s="328"/>
      <c r="Q815" s="334"/>
      <c r="R815" s="333">
        <f t="shared" si="264"/>
        <v>3.57</v>
      </c>
      <c r="S815" s="331" t="str">
        <f t="shared" si="265"/>
        <v>m²</v>
      </c>
      <c r="T815" s="320">
        <v>40</v>
      </c>
      <c r="U815" s="424" t="s">
        <v>519</v>
      </c>
      <c r="V815" s="455">
        <f t="shared" ca="1" si="254"/>
        <v>1251.6500000000015</v>
      </c>
      <c r="W815" s="456">
        <f t="shared" ca="1" si="255"/>
        <v>2</v>
      </c>
      <c r="X815" s="456">
        <f t="shared" ca="1" si="256"/>
        <v>1</v>
      </c>
      <c r="Y815" s="250"/>
      <c r="Z815" s="250"/>
    </row>
    <row r="816" spans="1:26" s="111" customFormat="1" ht="25.5" x14ac:dyDescent="0.2">
      <c r="A816" s="399"/>
      <c r="B816" s="494"/>
      <c r="C816" s="312" t="s">
        <v>541</v>
      </c>
      <c r="D816" s="419">
        <v>49</v>
      </c>
      <c r="E816" s="316" t="s">
        <v>518</v>
      </c>
      <c r="F816" s="420">
        <v>13</v>
      </c>
      <c r="G816" s="419">
        <v>51</v>
      </c>
      <c r="H816" s="316" t="s">
        <v>518</v>
      </c>
      <c r="I816" s="420">
        <v>8</v>
      </c>
      <c r="J816" s="431"/>
      <c r="K816" s="421">
        <f t="shared" si="263"/>
        <v>35</v>
      </c>
      <c r="L816" s="328">
        <v>2.8</v>
      </c>
      <c r="M816" s="328"/>
      <c r="N816" s="328"/>
      <c r="O816" s="493">
        <f>K816*L816</f>
        <v>98</v>
      </c>
      <c r="P816" s="328"/>
      <c r="Q816" s="334"/>
      <c r="R816" s="333">
        <f t="shared" si="264"/>
        <v>98</v>
      </c>
      <c r="S816" s="331" t="str">
        <f t="shared" si="265"/>
        <v>m²</v>
      </c>
      <c r="T816" s="320">
        <v>40</v>
      </c>
      <c r="U816" s="424" t="s">
        <v>519</v>
      </c>
      <c r="V816" s="455">
        <f t="shared" ca="1" si="254"/>
        <v>1251.6500000000015</v>
      </c>
      <c r="W816" s="456">
        <f t="shared" ca="1" si="255"/>
        <v>2</v>
      </c>
      <c r="X816" s="456">
        <f t="shared" ca="1" si="256"/>
        <v>1</v>
      </c>
      <c r="Y816" s="250"/>
      <c r="Z816" s="250"/>
    </row>
    <row r="817" spans="1:26" s="111" customFormat="1" ht="25.5" x14ac:dyDescent="0.2">
      <c r="A817" s="399"/>
      <c r="B817" s="494"/>
      <c r="C817" s="312" t="s">
        <v>542</v>
      </c>
      <c r="D817" s="419">
        <v>49</v>
      </c>
      <c r="E817" s="316" t="s">
        <v>518</v>
      </c>
      <c r="F817" s="420">
        <v>13</v>
      </c>
      <c r="G817" s="419">
        <v>51</v>
      </c>
      <c r="H817" s="316" t="s">
        <v>518</v>
      </c>
      <c r="I817" s="420">
        <v>8</v>
      </c>
      <c r="J817" s="431"/>
      <c r="K817" s="421">
        <f t="shared" si="263"/>
        <v>35</v>
      </c>
      <c r="L817" s="328">
        <v>3.25</v>
      </c>
      <c r="M817" s="328"/>
      <c r="N817" s="328"/>
      <c r="O817" s="493">
        <f>K817*L817</f>
        <v>113.75</v>
      </c>
      <c r="P817" s="328"/>
      <c r="Q817" s="334"/>
      <c r="R817" s="333">
        <f t="shared" si="264"/>
        <v>113.75</v>
      </c>
      <c r="S817" s="331" t="str">
        <f t="shared" si="265"/>
        <v>m²</v>
      </c>
      <c r="T817" s="320">
        <v>40</v>
      </c>
      <c r="U817" s="424" t="s">
        <v>519</v>
      </c>
      <c r="V817" s="455">
        <f t="shared" ca="1" si="254"/>
        <v>1251.6500000000015</v>
      </c>
      <c r="W817" s="456">
        <f t="shared" ca="1" si="255"/>
        <v>2</v>
      </c>
      <c r="X817" s="456">
        <f t="shared" ca="1" si="256"/>
        <v>1</v>
      </c>
      <c r="Y817" s="250"/>
      <c r="Z817" s="250"/>
    </row>
    <row r="818" spans="1:26" s="111" customFormat="1" ht="25.5" x14ac:dyDescent="0.2">
      <c r="A818" s="399"/>
      <c r="B818" s="494"/>
      <c r="C818" s="312" t="s">
        <v>543</v>
      </c>
      <c r="D818" s="419">
        <v>49</v>
      </c>
      <c r="E818" s="316" t="s">
        <v>518</v>
      </c>
      <c r="F818" s="420">
        <v>13</v>
      </c>
      <c r="G818" s="419">
        <v>51</v>
      </c>
      <c r="H818" s="316" t="s">
        <v>518</v>
      </c>
      <c r="I818" s="420">
        <v>8</v>
      </c>
      <c r="J818" s="431"/>
      <c r="K818" s="421">
        <f t="shared" si="263"/>
        <v>35</v>
      </c>
      <c r="L818" s="328">
        <v>2.8</v>
      </c>
      <c r="M818" s="328"/>
      <c r="N818" s="328"/>
      <c r="O818" s="493">
        <f>K818*L818</f>
        <v>98</v>
      </c>
      <c r="P818" s="328"/>
      <c r="Q818" s="334"/>
      <c r="R818" s="333">
        <f t="shared" si="264"/>
        <v>98</v>
      </c>
      <c r="S818" s="331" t="str">
        <f t="shared" si="265"/>
        <v>m²</v>
      </c>
      <c r="T818" s="320">
        <v>40</v>
      </c>
      <c r="U818" s="424" t="s">
        <v>519</v>
      </c>
      <c r="V818" s="455">
        <f t="shared" ca="1" si="254"/>
        <v>1251.6500000000015</v>
      </c>
      <c r="W818" s="456">
        <f t="shared" ca="1" si="255"/>
        <v>2</v>
      </c>
      <c r="X818" s="456">
        <f t="shared" ca="1" si="256"/>
        <v>1</v>
      </c>
      <c r="Y818" s="250"/>
      <c r="Z818" s="250"/>
    </row>
    <row r="819" spans="1:26" s="111" customFormat="1" ht="25.5" x14ac:dyDescent="0.2">
      <c r="A819" s="399"/>
      <c r="B819" s="494"/>
      <c r="C819" s="495" t="s">
        <v>544</v>
      </c>
      <c r="D819" s="419">
        <v>49</v>
      </c>
      <c r="E819" s="316" t="s">
        <v>518</v>
      </c>
      <c r="F819" s="420">
        <v>13</v>
      </c>
      <c r="G819" s="419">
        <v>51</v>
      </c>
      <c r="H819" s="316" t="s">
        <v>518</v>
      </c>
      <c r="I819" s="420">
        <v>8</v>
      </c>
      <c r="J819" s="499"/>
      <c r="K819" s="508">
        <f t="shared" si="263"/>
        <v>35</v>
      </c>
      <c r="L819" s="501">
        <v>3.25</v>
      </c>
      <c r="M819" s="501"/>
      <c r="N819" s="501"/>
      <c r="O819" s="502">
        <f>K819*L819</f>
        <v>113.75</v>
      </c>
      <c r="P819" s="501"/>
      <c r="Q819" s="1098"/>
      <c r="R819" s="1111">
        <f t="shared" si="264"/>
        <v>113.75</v>
      </c>
      <c r="S819" s="331" t="str">
        <f t="shared" si="265"/>
        <v>m²</v>
      </c>
      <c r="T819" s="320">
        <v>40</v>
      </c>
      <c r="U819" s="507" t="s">
        <v>519</v>
      </c>
      <c r="V819" s="455">
        <f t="shared" ca="1" si="254"/>
        <v>1251.6500000000015</v>
      </c>
      <c r="W819" s="456">
        <f t="shared" ca="1" si="255"/>
        <v>2</v>
      </c>
      <c r="X819" s="456">
        <f t="shared" ca="1" si="256"/>
        <v>1</v>
      </c>
      <c r="Y819" s="250"/>
      <c r="Z819" s="250"/>
    </row>
    <row r="820" spans="1:26" s="111" customFormat="1" ht="15" x14ac:dyDescent="0.2">
      <c r="A820" s="399"/>
      <c r="B820" s="494"/>
      <c r="C820" s="495"/>
      <c r="D820" s="419"/>
      <c r="E820" s="316"/>
      <c r="F820" s="420"/>
      <c r="G820" s="419"/>
      <c r="H820" s="316"/>
      <c r="I820" s="420"/>
      <c r="J820" s="499"/>
      <c r="K820" s="1041"/>
      <c r="L820" s="501"/>
      <c r="M820" s="501"/>
      <c r="N820" s="501"/>
      <c r="O820" s="502"/>
      <c r="P820" s="501"/>
      <c r="Q820" s="1098"/>
      <c r="R820" s="1111"/>
      <c r="S820" s="331"/>
      <c r="T820" s="320"/>
      <c r="U820" s="507"/>
      <c r="V820" s="455">
        <f t="shared" ca="1" si="254"/>
        <v>1251.6500000000015</v>
      </c>
      <c r="W820" s="456">
        <f t="shared" ca="1" si="255"/>
        <v>0</v>
      </c>
      <c r="X820" s="456">
        <f t="shared" ca="1" si="256"/>
        <v>1</v>
      </c>
      <c r="Y820" s="250"/>
      <c r="Z820" s="250"/>
    </row>
    <row r="821" spans="1:26" s="111" customFormat="1" ht="15.75" x14ac:dyDescent="0.2">
      <c r="A821" s="399"/>
      <c r="B821" s="494"/>
      <c r="C821" s="434" t="s">
        <v>516</v>
      </c>
      <c r="D821" s="417">
        <v>3</v>
      </c>
      <c r="E821" s="314" t="s">
        <v>518</v>
      </c>
      <c r="F821" s="418">
        <v>4</v>
      </c>
      <c r="G821" s="417">
        <v>4</v>
      </c>
      <c r="H821" s="314" t="s">
        <v>518</v>
      </c>
      <c r="I821" s="418">
        <v>0</v>
      </c>
      <c r="J821" s="491"/>
      <c r="K821" s="433"/>
      <c r="L821" s="433"/>
      <c r="M821" s="433"/>
      <c r="N821" s="328"/>
      <c r="O821" s="328"/>
      <c r="P821" s="328"/>
      <c r="Q821" s="334"/>
      <c r="R821" s="333"/>
      <c r="S821" s="331"/>
      <c r="T821" s="320">
        <v>40</v>
      </c>
      <c r="U821" s="335"/>
      <c r="V821" s="455">
        <f t="shared" ca="1" si="254"/>
        <v>1251.6500000000015</v>
      </c>
      <c r="W821" s="456">
        <f t="shared" ca="1" si="255"/>
        <v>2</v>
      </c>
      <c r="X821" s="456">
        <f t="shared" ca="1" si="256"/>
        <v>1</v>
      </c>
      <c r="Y821" s="250"/>
      <c r="Z821" s="250"/>
    </row>
    <row r="822" spans="1:26" s="111" customFormat="1" ht="25.5" x14ac:dyDescent="0.2">
      <c r="A822" s="399"/>
      <c r="B822" s="494"/>
      <c r="C822" s="312" t="s">
        <v>536</v>
      </c>
      <c r="D822" s="417">
        <v>3</v>
      </c>
      <c r="E822" s="314" t="s">
        <v>518</v>
      </c>
      <c r="F822" s="418">
        <v>4</v>
      </c>
      <c r="G822" s="417">
        <v>4</v>
      </c>
      <c r="H822" s="314" t="s">
        <v>518</v>
      </c>
      <c r="I822" s="418">
        <v>0</v>
      </c>
      <c r="J822" s="431">
        <v>2</v>
      </c>
      <c r="K822" s="421">
        <f>ABS((G822*20+I822)-(D822*20+F822))</f>
        <v>16</v>
      </c>
      <c r="L822" s="328"/>
      <c r="M822" s="328">
        <v>0.35</v>
      </c>
      <c r="N822" s="328"/>
      <c r="O822" s="493">
        <f>M822*K822*J822</f>
        <v>11.2</v>
      </c>
      <c r="P822" s="328"/>
      <c r="Q822" s="334"/>
      <c r="R822" s="333">
        <f t="shared" ref="R822:R834" si="266">O822</f>
        <v>11.2</v>
      </c>
      <c r="S822" s="331" t="str">
        <f t="shared" ref="S822:S834" si="267">$L$944</f>
        <v>m²</v>
      </c>
      <c r="T822" s="320">
        <v>40</v>
      </c>
      <c r="U822" s="424" t="s">
        <v>519</v>
      </c>
      <c r="V822" s="455">
        <f t="shared" ca="1" si="254"/>
        <v>1251.6500000000015</v>
      </c>
      <c r="W822" s="456">
        <f t="shared" ca="1" si="255"/>
        <v>2</v>
      </c>
      <c r="X822" s="456">
        <f t="shared" ca="1" si="256"/>
        <v>1</v>
      </c>
      <c r="Y822" s="250"/>
      <c r="Z822" s="250"/>
    </row>
    <row r="823" spans="1:26" s="111" customFormat="1" ht="25.5" x14ac:dyDescent="0.2">
      <c r="A823" s="399"/>
      <c r="B823" s="494"/>
      <c r="C823" s="312" t="s">
        <v>537</v>
      </c>
      <c r="D823" s="417">
        <v>3</v>
      </c>
      <c r="E823" s="314" t="s">
        <v>518</v>
      </c>
      <c r="F823" s="418">
        <v>4</v>
      </c>
      <c r="G823" s="417">
        <v>4</v>
      </c>
      <c r="H823" s="314" t="s">
        <v>518</v>
      </c>
      <c r="I823" s="418">
        <v>0</v>
      </c>
      <c r="J823" s="431">
        <f>ROUNDUP(K823/30,0)+1</f>
        <v>2</v>
      </c>
      <c r="K823" s="421">
        <f>ABS((G823*20+I823)-(D823*20+F823))</f>
        <v>16</v>
      </c>
      <c r="L823" s="328">
        <v>6</v>
      </c>
      <c r="M823" s="328">
        <v>0.25</v>
      </c>
      <c r="N823" s="328"/>
      <c r="O823" s="493">
        <f>M823*L823*J823</f>
        <v>3</v>
      </c>
      <c r="P823" s="328"/>
      <c r="Q823" s="334"/>
      <c r="R823" s="333">
        <f t="shared" si="266"/>
        <v>3</v>
      </c>
      <c r="S823" s="331" t="str">
        <f t="shared" si="267"/>
        <v>m²</v>
      </c>
      <c r="T823" s="320">
        <v>40</v>
      </c>
      <c r="U823" s="424" t="s">
        <v>519</v>
      </c>
      <c r="V823" s="455">
        <f t="shared" ca="1" si="254"/>
        <v>1251.6500000000015</v>
      </c>
      <c r="W823" s="456">
        <f t="shared" ca="1" si="255"/>
        <v>2</v>
      </c>
      <c r="X823" s="456">
        <f t="shared" ca="1" si="256"/>
        <v>1</v>
      </c>
      <c r="Y823" s="250"/>
      <c r="Z823" s="250"/>
    </row>
    <row r="824" spans="1:26" s="111" customFormat="1" ht="25.5" x14ac:dyDescent="0.2">
      <c r="A824" s="399"/>
      <c r="B824" s="494"/>
      <c r="C824" s="312" t="s">
        <v>538</v>
      </c>
      <c r="D824" s="417">
        <v>3</v>
      </c>
      <c r="E824" s="314" t="s">
        <v>518</v>
      </c>
      <c r="F824" s="418">
        <v>4</v>
      </c>
      <c r="G824" s="417">
        <v>4</v>
      </c>
      <c r="H824" s="314" t="s">
        <v>518</v>
      </c>
      <c r="I824" s="418">
        <v>0</v>
      </c>
      <c r="J824" s="431">
        <v>2</v>
      </c>
      <c r="K824" s="421">
        <f>ABS((G824*20+I824)-(D824*20+F824))</f>
        <v>16</v>
      </c>
      <c r="L824" s="328"/>
      <c r="M824" s="328">
        <v>0.25</v>
      </c>
      <c r="N824" s="328"/>
      <c r="O824" s="493">
        <f>M824*K824*J824</f>
        <v>8</v>
      </c>
      <c r="P824" s="328"/>
      <c r="Q824" s="334"/>
      <c r="R824" s="333">
        <f t="shared" si="266"/>
        <v>8</v>
      </c>
      <c r="S824" s="331" t="str">
        <f t="shared" si="267"/>
        <v>m²</v>
      </c>
      <c r="T824" s="320">
        <v>40</v>
      </c>
      <c r="U824" s="424" t="s">
        <v>519</v>
      </c>
      <c r="V824" s="455">
        <f t="shared" ca="1" si="254"/>
        <v>1251.6500000000015</v>
      </c>
      <c r="W824" s="456">
        <f t="shared" ca="1" si="255"/>
        <v>2</v>
      </c>
      <c r="X824" s="456">
        <f t="shared" ca="1" si="256"/>
        <v>1</v>
      </c>
      <c r="Y824" s="250"/>
      <c r="Z824" s="250"/>
    </row>
    <row r="825" spans="1:26" s="111" customFormat="1" ht="25.5" x14ac:dyDescent="0.2">
      <c r="A825" s="399"/>
      <c r="B825" s="494"/>
      <c r="C825" s="312" t="s">
        <v>539</v>
      </c>
      <c r="D825" s="417">
        <v>3</v>
      </c>
      <c r="E825" s="314" t="s">
        <v>518</v>
      </c>
      <c r="F825" s="418">
        <v>4</v>
      </c>
      <c r="G825" s="417">
        <v>4</v>
      </c>
      <c r="H825" s="314" t="s">
        <v>518</v>
      </c>
      <c r="I825" s="418">
        <v>0</v>
      </c>
      <c r="J825" s="431">
        <v>2</v>
      </c>
      <c r="K825" s="421">
        <f>ABS((G825*20+I825)-(D825*20+F825))</f>
        <v>16</v>
      </c>
      <c r="L825" s="328">
        <v>0.28299999999999997</v>
      </c>
      <c r="M825" s="328"/>
      <c r="N825" s="328"/>
      <c r="O825" s="493">
        <f>J825*K825*L825</f>
        <v>9.0559999999999992</v>
      </c>
      <c r="P825" s="328"/>
      <c r="Q825" s="334"/>
      <c r="R825" s="333">
        <f t="shared" si="266"/>
        <v>9.0559999999999992</v>
      </c>
      <c r="S825" s="331" t="str">
        <f t="shared" si="267"/>
        <v>m²</v>
      </c>
      <c r="T825" s="320">
        <v>40</v>
      </c>
      <c r="U825" s="424" t="s">
        <v>519</v>
      </c>
      <c r="V825" s="455">
        <f t="shared" ca="1" si="254"/>
        <v>1251.6500000000015</v>
      </c>
      <c r="W825" s="456">
        <f t="shared" ca="1" si="255"/>
        <v>2</v>
      </c>
      <c r="X825" s="456">
        <f t="shared" ca="1" si="256"/>
        <v>1</v>
      </c>
      <c r="Y825" s="250"/>
      <c r="Z825" s="250"/>
    </row>
    <row r="826" spans="1:26" s="111" customFormat="1" ht="25.5" x14ac:dyDescent="0.2">
      <c r="A826" s="399"/>
      <c r="B826" s="494"/>
      <c r="C826" s="312" t="s">
        <v>540</v>
      </c>
      <c r="D826" s="417">
        <v>3</v>
      </c>
      <c r="E826" s="314" t="s">
        <v>518</v>
      </c>
      <c r="F826" s="418">
        <v>4</v>
      </c>
      <c r="G826" s="417">
        <v>4</v>
      </c>
      <c r="H826" s="314" t="s">
        <v>518</v>
      </c>
      <c r="I826" s="418">
        <v>0</v>
      </c>
      <c r="J826" s="431">
        <f>(ROUNDUP(K826/30,0)+1)*2</f>
        <v>4</v>
      </c>
      <c r="K826" s="421">
        <f t="shared" ref="K826:K832" si="268">ABS((G826*20+I826)-(D826*20+F826))</f>
        <v>16</v>
      </c>
      <c r="L826" s="328"/>
      <c r="M826" s="328"/>
      <c r="N826" s="493">
        <f>(2.3*0.25)+(2*((0.2*0.2)/2))</f>
        <v>0.61499999999999999</v>
      </c>
      <c r="O826" s="493">
        <f>N826*J826</f>
        <v>2.46</v>
      </c>
      <c r="P826" s="328"/>
      <c r="Q826" s="334"/>
      <c r="R826" s="333">
        <f t="shared" si="266"/>
        <v>2.46</v>
      </c>
      <c r="S826" s="331" t="str">
        <f t="shared" si="267"/>
        <v>m²</v>
      </c>
      <c r="T826" s="320">
        <v>40</v>
      </c>
      <c r="U826" s="424" t="s">
        <v>519</v>
      </c>
      <c r="V826" s="455">
        <f t="shared" ca="1" si="254"/>
        <v>1251.6500000000015</v>
      </c>
      <c r="W826" s="456">
        <f t="shared" ca="1" si="255"/>
        <v>2</v>
      </c>
      <c r="X826" s="456">
        <f t="shared" ca="1" si="256"/>
        <v>1</v>
      </c>
      <c r="Y826" s="250"/>
      <c r="Z826" s="250"/>
    </row>
    <row r="827" spans="1:26" s="111" customFormat="1" ht="25.5" x14ac:dyDescent="0.2">
      <c r="A827" s="399"/>
      <c r="B827" s="494"/>
      <c r="C827" s="312" t="s">
        <v>541</v>
      </c>
      <c r="D827" s="417">
        <v>3</v>
      </c>
      <c r="E827" s="314" t="s">
        <v>518</v>
      </c>
      <c r="F827" s="418">
        <v>4</v>
      </c>
      <c r="G827" s="417">
        <v>4</v>
      </c>
      <c r="H827" s="314" t="s">
        <v>518</v>
      </c>
      <c r="I827" s="418">
        <v>0</v>
      </c>
      <c r="J827" s="431"/>
      <c r="K827" s="421">
        <f t="shared" si="268"/>
        <v>16</v>
      </c>
      <c r="L827" s="328">
        <v>1.9</v>
      </c>
      <c r="M827" s="328"/>
      <c r="N827" s="328"/>
      <c r="O827" s="493">
        <f>K827*L827</f>
        <v>30.4</v>
      </c>
      <c r="P827" s="328"/>
      <c r="Q827" s="334"/>
      <c r="R827" s="333">
        <f t="shared" si="266"/>
        <v>30.4</v>
      </c>
      <c r="S827" s="331" t="str">
        <f t="shared" si="267"/>
        <v>m²</v>
      </c>
      <c r="T827" s="320">
        <v>40</v>
      </c>
      <c r="U827" s="424" t="s">
        <v>519</v>
      </c>
      <c r="V827" s="455">
        <f t="shared" ca="1" si="254"/>
        <v>1251.6500000000015</v>
      </c>
      <c r="W827" s="456">
        <f t="shared" ca="1" si="255"/>
        <v>2</v>
      </c>
      <c r="X827" s="456">
        <f t="shared" ca="1" si="256"/>
        <v>1</v>
      </c>
      <c r="Y827" s="250"/>
      <c r="Z827" s="250"/>
    </row>
    <row r="828" spans="1:26" s="111" customFormat="1" ht="25.5" x14ac:dyDescent="0.2">
      <c r="A828" s="399"/>
      <c r="B828" s="494"/>
      <c r="C828" s="312" t="s">
        <v>542</v>
      </c>
      <c r="D828" s="417">
        <v>3</v>
      </c>
      <c r="E828" s="314" t="s">
        <v>518</v>
      </c>
      <c r="F828" s="418">
        <v>4</v>
      </c>
      <c r="G828" s="417">
        <v>4</v>
      </c>
      <c r="H828" s="314" t="s">
        <v>518</v>
      </c>
      <c r="I828" s="418">
        <v>0</v>
      </c>
      <c r="J828" s="431"/>
      <c r="K828" s="421">
        <f t="shared" si="268"/>
        <v>16</v>
      </c>
      <c r="L828" s="328">
        <v>2.2999999999999998</v>
      </c>
      <c r="M828" s="328"/>
      <c r="N828" s="328"/>
      <c r="O828" s="493">
        <f>K828*L828</f>
        <v>36.799999999999997</v>
      </c>
      <c r="P828" s="328"/>
      <c r="Q828" s="334"/>
      <c r="R828" s="333">
        <f t="shared" si="266"/>
        <v>36.799999999999997</v>
      </c>
      <c r="S828" s="331" t="str">
        <f t="shared" si="267"/>
        <v>m²</v>
      </c>
      <c r="T828" s="320">
        <v>40</v>
      </c>
      <c r="U828" s="424" t="s">
        <v>519</v>
      </c>
      <c r="V828" s="455">
        <f t="shared" ca="1" si="254"/>
        <v>1251.6500000000015</v>
      </c>
      <c r="W828" s="456">
        <f t="shared" ca="1" si="255"/>
        <v>2</v>
      </c>
      <c r="X828" s="456">
        <f t="shared" ca="1" si="256"/>
        <v>1</v>
      </c>
      <c r="Y828" s="250"/>
      <c r="Z828" s="250"/>
    </row>
    <row r="829" spans="1:26" s="111" customFormat="1" ht="25.5" x14ac:dyDescent="0.2">
      <c r="A829" s="399"/>
      <c r="B829" s="494"/>
      <c r="C829" s="312" t="s">
        <v>543</v>
      </c>
      <c r="D829" s="417">
        <v>3</v>
      </c>
      <c r="E829" s="314" t="s">
        <v>518</v>
      </c>
      <c r="F829" s="418">
        <v>4</v>
      </c>
      <c r="G829" s="417">
        <v>4</v>
      </c>
      <c r="H829" s="314" t="s">
        <v>518</v>
      </c>
      <c r="I829" s="418">
        <v>0</v>
      </c>
      <c r="J829" s="431"/>
      <c r="K829" s="421">
        <f t="shared" si="268"/>
        <v>16</v>
      </c>
      <c r="L829" s="328">
        <v>1.9</v>
      </c>
      <c r="M829" s="328"/>
      <c r="N829" s="328"/>
      <c r="O829" s="493">
        <f>K829*L829</f>
        <v>30.4</v>
      </c>
      <c r="P829" s="328"/>
      <c r="Q829" s="334"/>
      <c r="R829" s="333">
        <f t="shared" si="266"/>
        <v>30.4</v>
      </c>
      <c r="S829" s="331" t="str">
        <f t="shared" si="267"/>
        <v>m²</v>
      </c>
      <c r="T829" s="320">
        <v>40</v>
      </c>
      <c r="U829" s="424" t="s">
        <v>519</v>
      </c>
      <c r="V829" s="455">
        <f t="shared" ca="1" si="254"/>
        <v>1251.6500000000015</v>
      </c>
      <c r="W829" s="456">
        <f t="shared" ca="1" si="255"/>
        <v>2</v>
      </c>
      <c r="X829" s="456">
        <f t="shared" ca="1" si="256"/>
        <v>1</v>
      </c>
      <c r="Y829" s="250"/>
      <c r="Z829" s="250"/>
    </row>
    <row r="830" spans="1:26" s="111" customFormat="1" ht="25.5" x14ac:dyDescent="0.2">
      <c r="A830" s="399"/>
      <c r="B830" s="494"/>
      <c r="C830" s="312" t="s">
        <v>544</v>
      </c>
      <c r="D830" s="417">
        <v>3</v>
      </c>
      <c r="E830" s="314" t="s">
        <v>518</v>
      </c>
      <c r="F830" s="418">
        <v>4</v>
      </c>
      <c r="G830" s="417">
        <v>4</v>
      </c>
      <c r="H830" s="314" t="s">
        <v>518</v>
      </c>
      <c r="I830" s="418">
        <v>0</v>
      </c>
      <c r="J830" s="431"/>
      <c r="K830" s="421">
        <f t="shared" si="268"/>
        <v>16</v>
      </c>
      <c r="L830" s="328">
        <v>2.2999999999999998</v>
      </c>
      <c r="M830" s="328"/>
      <c r="N830" s="328"/>
      <c r="O830" s="493">
        <f>K830*L830</f>
        <v>36.799999999999997</v>
      </c>
      <c r="P830" s="328"/>
      <c r="Q830" s="334"/>
      <c r="R830" s="333">
        <f t="shared" si="266"/>
        <v>36.799999999999997</v>
      </c>
      <c r="S830" s="331" t="str">
        <f t="shared" si="267"/>
        <v>m²</v>
      </c>
      <c r="T830" s="320">
        <v>40</v>
      </c>
      <c r="U830" s="424" t="s">
        <v>519</v>
      </c>
      <c r="V830" s="455">
        <f t="shared" ca="1" si="254"/>
        <v>1251.6500000000015</v>
      </c>
      <c r="W830" s="456">
        <f t="shared" ca="1" si="255"/>
        <v>2</v>
      </c>
      <c r="X830" s="456">
        <f t="shared" ca="1" si="256"/>
        <v>1</v>
      </c>
      <c r="Y830" s="250"/>
      <c r="Z830" s="250"/>
    </row>
    <row r="831" spans="1:26" s="111" customFormat="1" ht="25.5" x14ac:dyDescent="0.2">
      <c r="A831" s="399"/>
      <c r="B831" s="494"/>
      <c r="C831" s="312" t="s">
        <v>545</v>
      </c>
      <c r="D831" s="417">
        <v>3</v>
      </c>
      <c r="E831" s="314" t="s">
        <v>518</v>
      </c>
      <c r="F831" s="418">
        <v>4</v>
      </c>
      <c r="G831" s="417">
        <v>4</v>
      </c>
      <c r="H831" s="314" t="s">
        <v>518</v>
      </c>
      <c r="I831" s="418">
        <v>0</v>
      </c>
      <c r="J831" s="431">
        <v>2</v>
      </c>
      <c r="K831" s="421">
        <f t="shared" si="268"/>
        <v>16</v>
      </c>
      <c r="L831" s="328">
        <v>0.28299999999999997</v>
      </c>
      <c r="M831" s="328"/>
      <c r="N831" s="328"/>
      <c r="O831" s="493">
        <f>J831*K831*L831</f>
        <v>9.0559999999999992</v>
      </c>
      <c r="P831" s="328"/>
      <c r="Q831" s="334"/>
      <c r="R831" s="333">
        <f t="shared" si="266"/>
        <v>9.0559999999999992</v>
      </c>
      <c r="S831" s="331" t="str">
        <f t="shared" si="267"/>
        <v>m²</v>
      </c>
      <c r="T831" s="320">
        <v>40</v>
      </c>
      <c r="U831" s="424" t="s">
        <v>519</v>
      </c>
      <c r="V831" s="455">
        <f t="shared" ca="1" si="254"/>
        <v>1251.6500000000015</v>
      </c>
      <c r="W831" s="456">
        <f t="shared" ca="1" si="255"/>
        <v>2</v>
      </c>
      <c r="X831" s="456">
        <f t="shared" ca="1" si="256"/>
        <v>1</v>
      </c>
      <c r="Y831" s="250"/>
      <c r="Z831" s="250"/>
    </row>
    <row r="832" spans="1:26" s="111" customFormat="1" ht="25.5" x14ac:dyDescent="0.2">
      <c r="A832" s="399"/>
      <c r="B832" s="494"/>
      <c r="C832" s="426" t="s">
        <v>546</v>
      </c>
      <c r="D832" s="417">
        <v>3</v>
      </c>
      <c r="E832" s="314" t="s">
        <v>518</v>
      </c>
      <c r="F832" s="418">
        <v>4</v>
      </c>
      <c r="G832" s="417">
        <v>4</v>
      </c>
      <c r="H832" s="314" t="s">
        <v>518</v>
      </c>
      <c r="I832" s="418">
        <v>0</v>
      </c>
      <c r="J832" s="431"/>
      <c r="K832" s="421">
        <f t="shared" si="268"/>
        <v>16</v>
      </c>
      <c r="L832" s="328">
        <v>6</v>
      </c>
      <c r="M832" s="328"/>
      <c r="N832" s="328"/>
      <c r="O832" s="493">
        <f>K832*L832</f>
        <v>96</v>
      </c>
      <c r="P832" s="328"/>
      <c r="Q832" s="334"/>
      <c r="R832" s="333">
        <f t="shared" si="266"/>
        <v>96</v>
      </c>
      <c r="S832" s="331" t="str">
        <f t="shared" si="267"/>
        <v>m²</v>
      </c>
      <c r="T832" s="320">
        <v>40</v>
      </c>
      <c r="U832" s="424" t="s">
        <v>519</v>
      </c>
      <c r="V832" s="455">
        <f t="shared" ca="1" si="254"/>
        <v>1251.6500000000015</v>
      </c>
      <c r="W832" s="456">
        <f t="shared" ca="1" si="255"/>
        <v>2</v>
      </c>
      <c r="X832" s="456">
        <f t="shared" ca="1" si="256"/>
        <v>1</v>
      </c>
      <c r="Y832" s="250"/>
      <c r="Z832" s="250"/>
    </row>
    <row r="833" spans="1:26" s="111" customFormat="1" ht="25.5" x14ac:dyDescent="0.2">
      <c r="A833" s="399"/>
      <c r="B833" s="494"/>
      <c r="C833" s="312" t="s">
        <v>547</v>
      </c>
      <c r="D833" s="417">
        <v>3</v>
      </c>
      <c r="E833" s="314" t="s">
        <v>518</v>
      </c>
      <c r="F833" s="418">
        <v>4</v>
      </c>
      <c r="G833" s="417">
        <v>4</v>
      </c>
      <c r="H833" s="314" t="s">
        <v>518</v>
      </c>
      <c r="I833" s="418">
        <v>0</v>
      </c>
      <c r="J833" s="431">
        <f>ROUNDUP(K833/20,0)+1</f>
        <v>2</v>
      </c>
      <c r="K833" s="421">
        <f>ABS((G833*20+I833)-(D833*20+F833))</f>
        <v>16</v>
      </c>
      <c r="L833" s="328">
        <v>6</v>
      </c>
      <c r="M833" s="328">
        <v>0.25</v>
      </c>
      <c r="N833" s="328"/>
      <c r="O833" s="493">
        <f>M833*L833*J833</f>
        <v>3</v>
      </c>
      <c r="P833" s="328"/>
      <c r="Q833" s="334"/>
      <c r="R833" s="333">
        <f t="shared" si="266"/>
        <v>3</v>
      </c>
      <c r="S833" s="331" t="str">
        <f t="shared" si="267"/>
        <v>m²</v>
      </c>
      <c r="T833" s="320">
        <v>40</v>
      </c>
      <c r="U833" s="424" t="s">
        <v>519</v>
      </c>
      <c r="V833" s="455">
        <f t="shared" ca="1" si="254"/>
        <v>1251.6500000000015</v>
      </c>
      <c r="W833" s="456">
        <f t="shared" ca="1" si="255"/>
        <v>2</v>
      </c>
      <c r="X833" s="456">
        <f t="shared" ca="1" si="256"/>
        <v>1</v>
      </c>
      <c r="Y833" s="250"/>
      <c r="Z833" s="250"/>
    </row>
    <row r="834" spans="1:26" s="111" customFormat="1" ht="25.5" x14ac:dyDescent="0.2">
      <c r="A834" s="399"/>
      <c r="B834" s="494"/>
      <c r="C834" s="312" t="s">
        <v>548</v>
      </c>
      <c r="D834" s="417">
        <v>3</v>
      </c>
      <c r="E834" s="314" t="s">
        <v>518</v>
      </c>
      <c r="F834" s="418">
        <v>4</v>
      </c>
      <c r="G834" s="417">
        <v>4</v>
      </c>
      <c r="H834" s="314" t="s">
        <v>518</v>
      </c>
      <c r="I834" s="418">
        <v>0</v>
      </c>
      <c r="J834" s="431">
        <v>2</v>
      </c>
      <c r="K834" s="421">
        <f>ABS((G834*20+I834)-(D834*20+F834))</f>
        <v>16</v>
      </c>
      <c r="L834" s="328"/>
      <c r="M834" s="328">
        <v>0.25</v>
      </c>
      <c r="N834" s="328"/>
      <c r="O834" s="493">
        <f>M834*K834*J834</f>
        <v>8</v>
      </c>
      <c r="P834" s="328"/>
      <c r="Q834" s="334"/>
      <c r="R834" s="333">
        <f t="shared" si="266"/>
        <v>8</v>
      </c>
      <c r="S834" s="331" t="str">
        <f t="shared" si="267"/>
        <v>m²</v>
      </c>
      <c r="T834" s="320">
        <v>40</v>
      </c>
      <c r="U834" s="424" t="s">
        <v>519</v>
      </c>
      <c r="V834" s="455">
        <f t="shared" ca="1" si="254"/>
        <v>1251.6500000000015</v>
      </c>
      <c r="W834" s="456">
        <f t="shared" ca="1" si="255"/>
        <v>2</v>
      </c>
      <c r="X834" s="456">
        <f t="shared" ca="1" si="256"/>
        <v>1</v>
      </c>
      <c r="Y834" s="250"/>
      <c r="Z834" s="250"/>
    </row>
    <row r="835" spans="1:26" s="111" customFormat="1" ht="15" x14ac:dyDescent="0.2">
      <c r="A835" s="399"/>
      <c r="B835" s="494"/>
      <c r="C835" s="495"/>
      <c r="D835" s="419"/>
      <c r="E835" s="316"/>
      <c r="F835" s="420"/>
      <c r="G835" s="419"/>
      <c r="H835" s="316"/>
      <c r="I835" s="420"/>
      <c r="J835" s="499"/>
      <c r="K835" s="508"/>
      <c r="L835" s="501"/>
      <c r="M835" s="501"/>
      <c r="N835" s="501"/>
      <c r="O835" s="502"/>
      <c r="P835" s="501"/>
      <c r="Q835" s="503"/>
      <c r="R835" s="504"/>
      <c r="S835" s="505"/>
      <c r="T835" s="320"/>
      <c r="U835" s="507"/>
      <c r="V835" s="455">
        <f t="shared" ca="1" si="254"/>
        <v>1251.6500000000015</v>
      </c>
      <c r="W835" s="456">
        <f t="shared" ca="1" si="255"/>
        <v>0</v>
      </c>
      <c r="X835" s="456">
        <f t="shared" ca="1" si="256"/>
        <v>1</v>
      </c>
      <c r="Y835" s="250"/>
      <c r="Z835" s="250"/>
    </row>
    <row r="836" spans="1:26" s="111" customFormat="1" ht="15.75" x14ac:dyDescent="0.2">
      <c r="A836" s="399"/>
      <c r="B836" s="494"/>
      <c r="C836" s="434" t="s">
        <v>532</v>
      </c>
      <c r="D836" s="417"/>
      <c r="E836" s="314"/>
      <c r="F836" s="418"/>
      <c r="G836" s="419"/>
      <c r="H836" s="316"/>
      <c r="I836" s="420"/>
      <c r="J836" s="431"/>
      <c r="K836" s="433"/>
      <c r="L836" s="433"/>
      <c r="M836" s="433"/>
      <c r="N836" s="328"/>
      <c r="O836" s="328"/>
      <c r="P836" s="328"/>
      <c r="Q836" s="334"/>
      <c r="R836" s="333"/>
      <c r="S836" s="331"/>
      <c r="T836" s="320">
        <v>41</v>
      </c>
      <c r="U836" s="335"/>
      <c r="V836" s="455">
        <f t="shared" ca="1" si="254"/>
        <v>1251.6500000000015</v>
      </c>
      <c r="W836" s="456">
        <f t="shared" ca="1" si="255"/>
        <v>2</v>
      </c>
      <c r="X836" s="456">
        <f t="shared" ca="1" si="256"/>
        <v>1</v>
      </c>
      <c r="Y836" s="250"/>
      <c r="Z836" s="250"/>
    </row>
    <row r="837" spans="1:26" s="111" customFormat="1" ht="25.5" x14ac:dyDescent="0.2">
      <c r="A837" s="399"/>
      <c r="B837" s="494"/>
      <c r="C837" s="312" t="s">
        <v>536</v>
      </c>
      <c r="D837" s="419">
        <v>48</v>
      </c>
      <c r="E837" s="316" t="s">
        <v>518</v>
      </c>
      <c r="F837" s="420">
        <v>8</v>
      </c>
      <c r="G837" s="419">
        <v>49</v>
      </c>
      <c r="H837" s="316" t="s">
        <v>518</v>
      </c>
      <c r="I837" s="420">
        <v>13</v>
      </c>
      <c r="J837" s="431">
        <v>2</v>
      </c>
      <c r="K837" s="421">
        <f t="shared" ref="K837:K845" si="269">ABS((G837*20+I837)-(D837*20+F837))</f>
        <v>25</v>
      </c>
      <c r="L837" s="328"/>
      <c r="M837" s="328">
        <v>0.35</v>
      </c>
      <c r="N837" s="328"/>
      <c r="O837" s="493">
        <f>M837*K837*J837</f>
        <v>17.5</v>
      </c>
      <c r="P837" s="328"/>
      <c r="Q837" s="334"/>
      <c r="R837" s="333">
        <f t="shared" ref="R837:R845" si="270">O837</f>
        <v>17.5</v>
      </c>
      <c r="S837" s="331" t="str">
        <f t="shared" ref="S837:S845" si="271">$L$944</f>
        <v>m²</v>
      </c>
      <c r="T837" s="320">
        <v>41</v>
      </c>
      <c r="U837" s="424" t="s">
        <v>519</v>
      </c>
      <c r="V837" s="455">
        <f t="shared" ca="1" si="254"/>
        <v>1251.6500000000015</v>
      </c>
      <c r="W837" s="456">
        <f t="shared" ca="1" si="255"/>
        <v>2</v>
      </c>
      <c r="X837" s="456">
        <f t="shared" ca="1" si="256"/>
        <v>1</v>
      </c>
      <c r="Y837" s="250"/>
      <c r="Z837" s="250"/>
    </row>
    <row r="838" spans="1:26" s="111" customFormat="1" ht="25.5" x14ac:dyDescent="0.2">
      <c r="A838" s="399"/>
      <c r="B838" s="494"/>
      <c r="C838" s="312" t="s">
        <v>537</v>
      </c>
      <c r="D838" s="419">
        <v>48</v>
      </c>
      <c r="E838" s="316" t="s">
        <v>518</v>
      </c>
      <c r="F838" s="420">
        <v>8</v>
      </c>
      <c r="G838" s="419">
        <v>49</v>
      </c>
      <c r="H838" s="316" t="s">
        <v>518</v>
      </c>
      <c r="I838" s="420">
        <v>13</v>
      </c>
      <c r="J838" s="431">
        <f>ROUNDUP(K838/30,0)+1</f>
        <v>2</v>
      </c>
      <c r="K838" s="421">
        <f t="shared" si="269"/>
        <v>25</v>
      </c>
      <c r="L838" s="328">
        <v>12</v>
      </c>
      <c r="M838" s="328">
        <v>0.25</v>
      </c>
      <c r="N838" s="328"/>
      <c r="O838" s="493">
        <f>M838*L838*J838</f>
        <v>6</v>
      </c>
      <c r="P838" s="328"/>
      <c r="Q838" s="334"/>
      <c r="R838" s="333">
        <f t="shared" si="270"/>
        <v>6</v>
      </c>
      <c r="S838" s="331" t="str">
        <f t="shared" si="271"/>
        <v>m²</v>
      </c>
      <c r="T838" s="320">
        <v>41</v>
      </c>
      <c r="U838" s="424" t="s">
        <v>519</v>
      </c>
      <c r="V838" s="455">
        <f t="shared" ca="1" si="254"/>
        <v>1251.6500000000015</v>
      </c>
      <c r="W838" s="456">
        <f t="shared" ca="1" si="255"/>
        <v>2</v>
      </c>
      <c r="X838" s="456">
        <f t="shared" ca="1" si="256"/>
        <v>1</v>
      </c>
      <c r="Y838" s="250"/>
      <c r="Z838" s="250"/>
    </row>
    <row r="839" spans="1:26" s="111" customFormat="1" ht="25.5" x14ac:dyDescent="0.2">
      <c r="A839" s="399"/>
      <c r="B839" s="494"/>
      <c r="C839" s="312" t="s">
        <v>538</v>
      </c>
      <c r="D839" s="419">
        <v>48</v>
      </c>
      <c r="E839" s="316" t="s">
        <v>518</v>
      </c>
      <c r="F839" s="420">
        <v>8</v>
      </c>
      <c r="G839" s="419">
        <v>49</v>
      </c>
      <c r="H839" s="316" t="s">
        <v>518</v>
      </c>
      <c r="I839" s="420">
        <v>13</v>
      </c>
      <c r="J839" s="431">
        <v>2</v>
      </c>
      <c r="K839" s="421">
        <f t="shared" si="269"/>
        <v>25</v>
      </c>
      <c r="L839" s="328"/>
      <c r="M839" s="328">
        <v>0.25</v>
      </c>
      <c r="N839" s="328"/>
      <c r="O839" s="493">
        <f>M839*K839*J839</f>
        <v>12.5</v>
      </c>
      <c r="P839" s="328"/>
      <c r="Q839" s="334"/>
      <c r="R839" s="333">
        <f t="shared" si="270"/>
        <v>12.5</v>
      </c>
      <c r="S839" s="331" t="str">
        <f t="shared" si="271"/>
        <v>m²</v>
      </c>
      <c r="T839" s="320">
        <v>41</v>
      </c>
      <c r="U839" s="424" t="s">
        <v>519</v>
      </c>
      <c r="V839" s="455">
        <f t="shared" ca="1" si="254"/>
        <v>1251.6500000000015</v>
      </c>
      <c r="W839" s="456">
        <f t="shared" ca="1" si="255"/>
        <v>2</v>
      </c>
      <c r="X839" s="456">
        <f t="shared" ca="1" si="256"/>
        <v>1</v>
      </c>
      <c r="Y839" s="250"/>
      <c r="Z839" s="250"/>
    </row>
    <row r="840" spans="1:26" s="111" customFormat="1" ht="25.5" x14ac:dyDescent="0.2">
      <c r="A840" s="399"/>
      <c r="B840" s="494"/>
      <c r="C840" s="312" t="s">
        <v>539</v>
      </c>
      <c r="D840" s="419">
        <v>48</v>
      </c>
      <c r="E840" s="316" t="s">
        <v>518</v>
      </c>
      <c r="F840" s="420">
        <v>8</v>
      </c>
      <c r="G840" s="419">
        <v>49</v>
      </c>
      <c r="H840" s="316" t="s">
        <v>518</v>
      </c>
      <c r="I840" s="420">
        <v>13</v>
      </c>
      <c r="J840" s="431">
        <v>2</v>
      </c>
      <c r="K840" s="421">
        <f t="shared" si="269"/>
        <v>25</v>
      </c>
      <c r="L840" s="328">
        <v>0.28299999999999997</v>
      </c>
      <c r="M840" s="328"/>
      <c r="N840" s="328"/>
      <c r="O840" s="493">
        <f>J840*K840*L840</f>
        <v>14.149999999999999</v>
      </c>
      <c r="P840" s="328"/>
      <c r="Q840" s="334"/>
      <c r="R840" s="333">
        <f t="shared" si="270"/>
        <v>14.149999999999999</v>
      </c>
      <c r="S840" s="331" t="str">
        <f t="shared" si="271"/>
        <v>m²</v>
      </c>
      <c r="T840" s="320">
        <v>41</v>
      </c>
      <c r="U840" s="424" t="s">
        <v>519</v>
      </c>
      <c r="V840" s="455">
        <f t="shared" ca="1" si="254"/>
        <v>1251.6500000000015</v>
      </c>
      <c r="W840" s="456">
        <f t="shared" ca="1" si="255"/>
        <v>2</v>
      </c>
      <c r="X840" s="456">
        <f t="shared" ca="1" si="256"/>
        <v>1</v>
      </c>
      <c r="Y840" s="250"/>
      <c r="Z840" s="250"/>
    </row>
    <row r="841" spans="1:26" s="111" customFormat="1" ht="25.5" x14ac:dyDescent="0.2">
      <c r="A841" s="399"/>
      <c r="B841" s="494"/>
      <c r="C841" s="312" t="s">
        <v>540</v>
      </c>
      <c r="D841" s="419">
        <v>48</v>
      </c>
      <c r="E841" s="316" t="s">
        <v>518</v>
      </c>
      <c r="F841" s="420">
        <v>8</v>
      </c>
      <c r="G841" s="419">
        <v>49</v>
      </c>
      <c r="H841" s="316" t="s">
        <v>518</v>
      </c>
      <c r="I841" s="420">
        <v>13</v>
      </c>
      <c r="J841" s="431">
        <f>(ROUNDUP(K841/30,0)+1)*2</f>
        <v>4</v>
      </c>
      <c r="K841" s="421">
        <f t="shared" si="269"/>
        <v>25</v>
      </c>
      <c r="L841" s="328"/>
      <c r="M841" s="328"/>
      <c r="N841" s="493">
        <f>(2.3*0.25)+((0.2*0.2)/2)</f>
        <v>0.59499999999999997</v>
      </c>
      <c r="O841" s="493">
        <f>N841*J841</f>
        <v>2.38</v>
      </c>
      <c r="P841" s="328"/>
      <c r="Q841" s="334"/>
      <c r="R841" s="333">
        <f t="shared" si="270"/>
        <v>2.38</v>
      </c>
      <c r="S841" s="331" t="str">
        <f t="shared" si="271"/>
        <v>m²</v>
      </c>
      <c r="T841" s="320">
        <v>41</v>
      </c>
      <c r="U841" s="424" t="s">
        <v>519</v>
      </c>
      <c r="V841" s="455">
        <f t="shared" ca="1" si="254"/>
        <v>1251.6500000000015</v>
      </c>
      <c r="W841" s="456">
        <f t="shared" ca="1" si="255"/>
        <v>2</v>
      </c>
      <c r="X841" s="456">
        <f t="shared" ca="1" si="256"/>
        <v>1</v>
      </c>
      <c r="Y841" s="250"/>
      <c r="Z841" s="250"/>
    </row>
    <row r="842" spans="1:26" s="111" customFormat="1" ht="25.5" x14ac:dyDescent="0.2">
      <c r="A842" s="399"/>
      <c r="B842" s="494"/>
      <c r="C842" s="312" t="s">
        <v>541</v>
      </c>
      <c r="D842" s="419">
        <v>48</v>
      </c>
      <c r="E842" s="316" t="s">
        <v>518</v>
      </c>
      <c r="F842" s="420">
        <v>8</v>
      </c>
      <c r="G842" s="419">
        <v>49</v>
      </c>
      <c r="H842" s="316" t="s">
        <v>518</v>
      </c>
      <c r="I842" s="420">
        <v>13</v>
      </c>
      <c r="J842" s="431"/>
      <c r="K842" s="421">
        <f t="shared" si="269"/>
        <v>25</v>
      </c>
      <c r="L842" s="328">
        <v>2.8</v>
      </c>
      <c r="M842" s="328"/>
      <c r="N842" s="328"/>
      <c r="O842" s="493">
        <f>K842*L842</f>
        <v>70</v>
      </c>
      <c r="P842" s="328"/>
      <c r="Q842" s="334"/>
      <c r="R842" s="333">
        <f t="shared" si="270"/>
        <v>70</v>
      </c>
      <c r="S842" s="331" t="str">
        <f t="shared" si="271"/>
        <v>m²</v>
      </c>
      <c r="T842" s="320">
        <v>41</v>
      </c>
      <c r="U842" s="424" t="s">
        <v>519</v>
      </c>
      <c r="V842" s="455">
        <f t="shared" ca="1" si="254"/>
        <v>1251.6500000000015</v>
      </c>
      <c r="W842" s="456">
        <f t="shared" ca="1" si="255"/>
        <v>2</v>
      </c>
      <c r="X842" s="456">
        <f t="shared" ca="1" si="256"/>
        <v>1</v>
      </c>
      <c r="Y842" s="250"/>
      <c r="Z842" s="250"/>
    </row>
    <row r="843" spans="1:26" s="111" customFormat="1" ht="25.5" x14ac:dyDescent="0.2">
      <c r="A843" s="399"/>
      <c r="B843" s="494"/>
      <c r="C843" s="312" t="s">
        <v>542</v>
      </c>
      <c r="D843" s="419">
        <v>48</v>
      </c>
      <c r="E843" s="316" t="s">
        <v>518</v>
      </c>
      <c r="F843" s="420">
        <v>8</v>
      </c>
      <c r="G843" s="419">
        <v>49</v>
      </c>
      <c r="H843" s="316" t="s">
        <v>518</v>
      </c>
      <c r="I843" s="420">
        <v>13</v>
      </c>
      <c r="J843" s="431"/>
      <c r="K843" s="421">
        <f t="shared" si="269"/>
        <v>25</v>
      </c>
      <c r="L843" s="328">
        <v>3.25</v>
      </c>
      <c r="M843" s="328"/>
      <c r="N843" s="328"/>
      <c r="O843" s="493">
        <f>K843*L843</f>
        <v>81.25</v>
      </c>
      <c r="P843" s="328"/>
      <c r="Q843" s="334"/>
      <c r="R843" s="333">
        <f t="shared" si="270"/>
        <v>81.25</v>
      </c>
      <c r="S843" s="331" t="str">
        <f t="shared" si="271"/>
        <v>m²</v>
      </c>
      <c r="T843" s="320">
        <v>41</v>
      </c>
      <c r="U843" s="424" t="s">
        <v>519</v>
      </c>
      <c r="V843" s="455">
        <f t="shared" ca="1" si="254"/>
        <v>1251.6500000000015</v>
      </c>
      <c r="W843" s="456">
        <f t="shared" ca="1" si="255"/>
        <v>2</v>
      </c>
      <c r="X843" s="456">
        <f t="shared" ca="1" si="256"/>
        <v>1</v>
      </c>
      <c r="Y843" s="250"/>
      <c r="Z843" s="250"/>
    </row>
    <row r="844" spans="1:26" s="111" customFormat="1" ht="25.5" x14ac:dyDescent="0.2">
      <c r="A844" s="399"/>
      <c r="B844" s="494"/>
      <c r="C844" s="312" t="s">
        <v>543</v>
      </c>
      <c r="D844" s="419">
        <v>48</v>
      </c>
      <c r="E844" s="316" t="s">
        <v>518</v>
      </c>
      <c r="F844" s="420">
        <v>8</v>
      </c>
      <c r="G844" s="419">
        <v>49</v>
      </c>
      <c r="H844" s="316" t="s">
        <v>518</v>
      </c>
      <c r="I844" s="420">
        <v>13</v>
      </c>
      <c r="J844" s="431"/>
      <c r="K844" s="421">
        <f t="shared" si="269"/>
        <v>25</v>
      </c>
      <c r="L844" s="328">
        <v>2.8</v>
      </c>
      <c r="M844" s="328"/>
      <c r="N844" s="328"/>
      <c r="O844" s="493">
        <f>K844*L844</f>
        <v>70</v>
      </c>
      <c r="P844" s="328"/>
      <c r="Q844" s="334"/>
      <c r="R844" s="333">
        <f t="shared" si="270"/>
        <v>70</v>
      </c>
      <c r="S844" s="331" t="str">
        <f t="shared" si="271"/>
        <v>m²</v>
      </c>
      <c r="T844" s="320">
        <v>41</v>
      </c>
      <c r="U844" s="424" t="s">
        <v>519</v>
      </c>
      <c r="V844" s="455">
        <f t="shared" ca="1" si="254"/>
        <v>1251.6500000000015</v>
      </c>
      <c r="W844" s="456">
        <f t="shared" ca="1" si="255"/>
        <v>2</v>
      </c>
      <c r="X844" s="456">
        <f t="shared" ca="1" si="256"/>
        <v>1</v>
      </c>
      <c r="Y844" s="250"/>
      <c r="Z844" s="250"/>
    </row>
    <row r="845" spans="1:26" s="111" customFormat="1" ht="25.5" x14ac:dyDescent="0.2">
      <c r="A845" s="399"/>
      <c r="B845" s="494"/>
      <c r="C845" s="495" t="s">
        <v>544</v>
      </c>
      <c r="D845" s="419">
        <v>48</v>
      </c>
      <c r="E845" s="316" t="s">
        <v>518</v>
      </c>
      <c r="F845" s="420">
        <v>8</v>
      </c>
      <c r="G845" s="419">
        <v>49</v>
      </c>
      <c r="H845" s="316" t="s">
        <v>518</v>
      </c>
      <c r="I845" s="420">
        <v>13</v>
      </c>
      <c r="J845" s="499"/>
      <c r="K845" s="508">
        <f t="shared" si="269"/>
        <v>25</v>
      </c>
      <c r="L845" s="501">
        <v>3.25</v>
      </c>
      <c r="M845" s="501"/>
      <c r="N845" s="501"/>
      <c r="O845" s="502">
        <f>K845*L845</f>
        <v>81.25</v>
      </c>
      <c r="P845" s="501"/>
      <c r="Q845" s="1098"/>
      <c r="R845" s="1111">
        <f t="shared" si="270"/>
        <v>81.25</v>
      </c>
      <c r="S845" s="331" t="str">
        <f t="shared" si="271"/>
        <v>m²</v>
      </c>
      <c r="T845" s="320">
        <v>41</v>
      </c>
      <c r="U845" s="507" t="s">
        <v>519</v>
      </c>
      <c r="V845" s="455">
        <f t="shared" ref="V845:V946" ca="1" si="272">IF(OFFSET(V845,1,1)=1,OFFSET(V845,0,-4),OFFSET(V845,1,0))</f>
        <v>1251.6500000000015</v>
      </c>
      <c r="W845" s="456">
        <f t="shared" ref="W845:W860" ca="1" si="273">IF(LEFT(_xlfn.FORMULATEXT(V845),3)="=SO",1,IF(COUNTA(A845:U845)=0,0,2))</f>
        <v>2</v>
      </c>
      <c r="X845" s="456">
        <f t="shared" ref="X845:X860" ca="1" si="274">IF(COUNTA(OFFSET(A844,1,0))-COUNTA(A844)=-1,0,1)</f>
        <v>1</v>
      </c>
      <c r="Y845" s="250"/>
      <c r="Z845" s="250"/>
    </row>
    <row r="846" spans="1:26" s="111" customFormat="1" ht="15" x14ac:dyDescent="0.2">
      <c r="A846" s="399"/>
      <c r="B846" s="494"/>
      <c r="C846" s="495"/>
      <c r="D846" s="419"/>
      <c r="E846" s="316"/>
      <c r="F846" s="420"/>
      <c r="G846" s="419"/>
      <c r="H846" s="316"/>
      <c r="I846" s="420"/>
      <c r="J846" s="499"/>
      <c r="K846" s="1041"/>
      <c r="L846" s="501"/>
      <c r="M846" s="501"/>
      <c r="N846" s="501"/>
      <c r="O846" s="502"/>
      <c r="P846" s="501"/>
      <c r="Q846" s="1098"/>
      <c r="R846" s="1111"/>
      <c r="S846" s="331"/>
      <c r="T846" s="320"/>
      <c r="U846" s="507"/>
      <c r="V846" s="455">
        <f t="shared" ca="1" si="272"/>
        <v>1251.6500000000015</v>
      </c>
      <c r="W846" s="456">
        <f t="shared" ca="1" si="273"/>
        <v>0</v>
      </c>
      <c r="X846" s="456">
        <f t="shared" ca="1" si="274"/>
        <v>1</v>
      </c>
      <c r="Y846" s="250"/>
      <c r="Z846" s="250"/>
    </row>
    <row r="847" spans="1:26" s="111" customFormat="1" ht="15.75" x14ac:dyDescent="0.2">
      <c r="A847" s="399"/>
      <c r="B847" s="494"/>
      <c r="C847" s="434" t="s">
        <v>516</v>
      </c>
      <c r="D847" s="417">
        <v>2</v>
      </c>
      <c r="E847" s="314" t="s">
        <v>518</v>
      </c>
      <c r="F847" s="418">
        <v>6</v>
      </c>
      <c r="G847" s="417">
        <v>3</v>
      </c>
      <c r="H847" s="314" t="s">
        <v>518</v>
      </c>
      <c r="I847" s="418">
        <v>4</v>
      </c>
      <c r="J847" s="491"/>
      <c r="K847" s="433"/>
      <c r="L847" s="433"/>
      <c r="M847" s="433"/>
      <c r="N847" s="328"/>
      <c r="O847" s="328"/>
      <c r="P847" s="328"/>
      <c r="Q847" s="334"/>
      <c r="R847" s="333"/>
      <c r="S847" s="331"/>
      <c r="T847" s="320">
        <v>41</v>
      </c>
      <c r="U847" s="335"/>
      <c r="V847" s="455">
        <f t="shared" ca="1" si="272"/>
        <v>1251.6500000000015</v>
      </c>
      <c r="W847" s="456">
        <f t="shared" ca="1" si="273"/>
        <v>2</v>
      </c>
      <c r="X847" s="456">
        <f t="shared" ca="1" si="274"/>
        <v>1</v>
      </c>
      <c r="Y847" s="250"/>
      <c r="Z847" s="250"/>
    </row>
    <row r="848" spans="1:26" s="111" customFormat="1" ht="25.5" x14ac:dyDescent="0.2">
      <c r="A848" s="399"/>
      <c r="B848" s="494"/>
      <c r="C848" s="312" t="s">
        <v>536</v>
      </c>
      <c r="D848" s="417">
        <v>2</v>
      </c>
      <c r="E848" s="314" t="s">
        <v>518</v>
      </c>
      <c r="F848" s="418">
        <v>6</v>
      </c>
      <c r="G848" s="417">
        <v>3</v>
      </c>
      <c r="H848" s="314" t="s">
        <v>518</v>
      </c>
      <c r="I848" s="418">
        <v>4</v>
      </c>
      <c r="J848" s="431">
        <v>2</v>
      </c>
      <c r="K848" s="421">
        <f>ABS((G848*20+I848)-(D848*20+F848))</f>
        <v>18</v>
      </c>
      <c r="L848" s="328"/>
      <c r="M848" s="328">
        <v>0.35</v>
      </c>
      <c r="N848" s="328"/>
      <c r="O848" s="493">
        <f>M848*K848*J848</f>
        <v>12.6</v>
      </c>
      <c r="P848" s="328"/>
      <c r="Q848" s="334"/>
      <c r="R848" s="333">
        <f t="shared" ref="R848:R860" si="275">O848</f>
        <v>12.6</v>
      </c>
      <c r="S848" s="331" t="str">
        <f t="shared" ref="S848:S860" si="276">$L$944</f>
        <v>m²</v>
      </c>
      <c r="T848" s="320">
        <v>41</v>
      </c>
      <c r="U848" s="424" t="s">
        <v>519</v>
      </c>
      <c r="V848" s="455">
        <f t="shared" ca="1" si="272"/>
        <v>1251.6500000000015</v>
      </c>
      <c r="W848" s="456">
        <f t="shared" ca="1" si="273"/>
        <v>2</v>
      </c>
      <c r="X848" s="456">
        <f t="shared" ca="1" si="274"/>
        <v>1</v>
      </c>
      <c r="Y848" s="250"/>
      <c r="Z848" s="250"/>
    </row>
    <row r="849" spans="1:26" s="111" customFormat="1" ht="25.5" x14ac:dyDescent="0.2">
      <c r="A849" s="399"/>
      <c r="B849" s="494"/>
      <c r="C849" s="312" t="s">
        <v>537</v>
      </c>
      <c r="D849" s="417">
        <v>2</v>
      </c>
      <c r="E849" s="314" t="s">
        <v>518</v>
      </c>
      <c r="F849" s="418">
        <v>6</v>
      </c>
      <c r="G849" s="417">
        <v>3</v>
      </c>
      <c r="H849" s="314" t="s">
        <v>518</v>
      </c>
      <c r="I849" s="418">
        <v>4</v>
      </c>
      <c r="J849" s="431">
        <f>ROUNDUP(K849/30,0)+1</f>
        <v>2</v>
      </c>
      <c r="K849" s="421">
        <f>ABS((G849*20+I849)-(D849*20+F849))</f>
        <v>18</v>
      </c>
      <c r="L849" s="328">
        <v>6</v>
      </c>
      <c r="M849" s="328">
        <v>0.25</v>
      </c>
      <c r="N849" s="328"/>
      <c r="O849" s="493">
        <f>M849*L849*J849</f>
        <v>3</v>
      </c>
      <c r="P849" s="328"/>
      <c r="Q849" s="334"/>
      <c r="R849" s="333">
        <f t="shared" si="275"/>
        <v>3</v>
      </c>
      <c r="S849" s="331" t="str">
        <f t="shared" si="276"/>
        <v>m²</v>
      </c>
      <c r="T849" s="320">
        <v>41</v>
      </c>
      <c r="U849" s="424" t="s">
        <v>519</v>
      </c>
      <c r="V849" s="455">
        <f t="shared" ca="1" si="272"/>
        <v>1251.6500000000015</v>
      </c>
      <c r="W849" s="456">
        <f t="shared" ca="1" si="273"/>
        <v>2</v>
      </c>
      <c r="X849" s="456">
        <f t="shared" ca="1" si="274"/>
        <v>1</v>
      </c>
      <c r="Y849" s="250"/>
      <c r="Z849" s="250"/>
    </row>
    <row r="850" spans="1:26" s="111" customFormat="1" ht="25.5" x14ac:dyDescent="0.2">
      <c r="A850" s="399"/>
      <c r="B850" s="494"/>
      <c r="C850" s="312" t="s">
        <v>538</v>
      </c>
      <c r="D850" s="417">
        <v>2</v>
      </c>
      <c r="E850" s="314" t="s">
        <v>518</v>
      </c>
      <c r="F850" s="418">
        <v>6</v>
      </c>
      <c r="G850" s="417">
        <v>3</v>
      </c>
      <c r="H850" s="314" t="s">
        <v>518</v>
      </c>
      <c r="I850" s="418">
        <v>4</v>
      </c>
      <c r="J850" s="431">
        <v>2</v>
      </c>
      <c r="K850" s="421">
        <f>ABS((G850*20+I850)-(D850*20+F850))</f>
        <v>18</v>
      </c>
      <c r="L850" s="328"/>
      <c r="M850" s="328">
        <v>0.25</v>
      </c>
      <c r="N850" s="328"/>
      <c r="O850" s="493">
        <f>M850*K850*J850</f>
        <v>9</v>
      </c>
      <c r="P850" s="328"/>
      <c r="Q850" s="334"/>
      <c r="R850" s="333">
        <f t="shared" si="275"/>
        <v>9</v>
      </c>
      <c r="S850" s="331" t="str">
        <f t="shared" si="276"/>
        <v>m²</v>
      </c>
      <c r="T850" s="320">
        <v>41</v>
      </c>
      <c r="U850" s="424" t="s">
        <v>519</v>
      </c>
      <c r="V850" s="455">
        <f t="shared" ca="1" si="272"/>
        <v>1251.6500000000015</v>
      </c>
      <c r="W850" s="456">
        <f t="shared" ca="1" si="273"/>
        <v>2</v>
      </c>
      <c r="X850" s="456">
        <f t="shared" ca="1" si="274"/>
        <v>1</v>
      </c>
      <c r="Y850" s="250"/>
      <c r="Z850" s="250"/>
    </row>
    <row r="851" spans="1:26" s="111" customFormat="1" ht="25.5" x14ac:dyDescent="0.2">
      <c r="A851" s="399"/>
      <c r="B851" s="494"/>
      <c r="C851" s="312" t="s">
        <v>539</v>
      </c>
      <c r="D851" s="417">
        <v>2</v>
      </c>
      <c r="E851" s="314" t="s">
        <v>518</v>
      </c>
      <c r="F851" s="418">
        <v>6</v>
      </c>
      <c r="G851" s="417">
        <v>3</v>
      </c>
      <c r="H851" s="314" t="s">
        <v>518</v>
      </c>
      <c r="I851" s="418">
        <v>4</v>
      </c>
      <c r="J851" s="431">
        <v>2</v>
      </c>
      <c r="K851" s="421">
        <f>ABS((G851*20+I851)-(D851*20+F851))</f>
        <v>18</v>
      </c>
      <c r="L851" s="328">
        <v>0.28299999999999997</v>
      </c>
      <c r="M851" s="328"/>
      <c r="N851" s="328"/>
      <c r="O851" s="493">
        <f>J851*K851*L851</f>
        <v>10.187999999999999</v>
      </c>
      <c r="P851" s="328"/>
      <c r="Q851" s="334"/>
      <c r="R851" s="333">
        <f t="shared" si="275"/>
        <v>10.187999999999999</v>
      </c>
      <c r="S851" s="331" t="str">
        <f t="shared" si="276"/>
        <v>m²</v>
      </c>
      <c r="T851" s="320">
        <v>41</v>
      </c>
      <c r="U851" s="424" t="s">
        <v>519</v>
      </c>
      <c r="V851" s="455">
        <f t="shared" ca="1" si="272"/>
        <v>1251.6500000000015</v>
      </c>
      <c r="W851" s="456">
        <f t="shared" ca="1" si="273"/>
        <v>2</v>
      </c>
      <c r="X851" s="456">
        <f t="shared" ca="1" si="274"/>
        <v>1</v>
      </c>
      <c r="Y851" s="250"/>
      <c r="Z851" s="250"/>
    </row>
    <row r="852" spans="1:26" s="111" customFormat="1" ht="25.5" x14ac:dyDescent="0.2">
      <c r="A852" s="399"/>
      <c r="B852" s="494"/>
      <c r="C852" s="312" t="s">
        <v>540</v>
      </c>
      <c r="D852" s="417">
        <v>2</v>
      </c>
      <c r="E852" s="314" t="s">
        <v>518</v>
      </c>
      <c r="F852" s="418">
        <v>6</v>
      </c>
      <c r="G852" s="417">
        <v>3</v>
      </c>
      <c r="H852" s="314" t="s">
        <v>518</v>
      </c>
      <c r="I852" s="418">
        <v>4</v>
      </c>
      <c r="J852" s="431">
        <f>(ROUNDUP(K852/30,0)+1)*2</f>
        <v>4</v>
      </c>
      <c r="K852" s="421">
        <f t="shared" ref="K852:K858" si="277">ABS((G852*20+I852)-(D852*20+F852))</f>
        <v>18</v>
      </c>
      <c r="L852" s="328"/>
      <c r="M852" s="328"/>
      <c r="N852" s="493">
        <f>(2.3*0.25)+(2*((0.2*0.2)/2))</f>
        <v>0.61499999999999999</v>
      </c>
      <c r="O852" s="493">
        <f>N852*J852</f>
        <v>2.46</v>
      </c>
      <c r="P852" s="328"/>
      <c r="Q852" s="334"/>
      <c r="R852" s="333">
        <f t="shared" si="275"/>
        <v>2.46</v>
      </c>
      <c r="S852" s="331" t="str">
        <f t="shared" si="276"/>
        <v>m²</v>
      </c>
      <c r="T852" s="320">
        <v>41</v>
      </c>
      <c r="U852" s="424" t="s">
        <v>519</v>
      </c>
      <c r="V852" s="455">
        <f t="shared" ca="1" si="272"/>
        <v>1251.6500000000015</v>
      </c>
      <c r="W852" s="456">
        <f t="shared" ca="1" si="273"/>
        <v>2</v>
      </c>
      <c r="X852" s="456">
        <f t="shared" ca="1" si="274"/>
        <v>1</v>
      </c>
      <c r="Y852" s="250"/>
      <c r="Z852" s="250"/>
    </row>
    <row r="853" spans="1:26" s="111" customFormat="1" ht="25.5" x14ac:dyDescent="0.2">
      <c r="A853" s="399"/>
      <c r="B853" s="494"/>
      <c r="C853" s="312" t="s">
        <v>541</v>
      </c>
      <c r="D853" s="417">
        <v>2</v>
      </c>
      <c r="E853" s="314" t="s">
        <v>518</v>
      </c>
      <c r="F853" s="418">
        <v>6</v>
      </c>
      <c r="G853" s="417">
        <v>3</v>
      </c>
      <c r="H853" s="314" t="s">
        <v>518</v>
      </c>
      <c r="I853" s="418">
        <v>4</v>
      </c>
      <c r="J853" s="431"/>
      <c r="K853" s="421">
        <f t="shared" si="277"/>
        <v>18</v>
      </c>
      <c r="L853" s="328">
        <v>1.9</v>
      </c>
      <c r="M853" s="328"/>
      <c r="N853" s="328"/>
      <c r="O853" s="493">
        <f>K853*L853</f>
        <v>34.199999999999996</v>
      </c>
      <c r="P853" s="328"/>
      <c r="Q853" s="334"/>
      <c r="R853" s="333">
        <f t="shared" si="275"/>
        <v>34.199999999999996</v>
      </c>
      <c r="S853" s="331" t="str">
        <f t="shared" si="276"/>
        <v>m²</v>
      </c>
      <c r="T853" s="320">
        <v>41</v>
      </c>
      <c r="U853" s="424" t="s">
        <v>519</v>
      </c>
      <c r="V853" s="455">
        <f t="shared" ca="1" si="272"/>
        <v>1251.6500000000015</v>
      </c>
      <c r="W853" s="456">
        <f t="shared" ca="1" si="273"/>
        <v>2</v>
      </c>
      <c r="X853" s="456">
        <f t="shared" ca="1" si="274"/>
        <v>1</v>
      </c>
      <c r="Y853" s="250"/>
      <c r="Z853" s="250"/>
    </row>
    <row r="854" spans="1:26" s="111" customFormat="1" ht="25.5" x14ac:dyDescent="0.2">
      <c r="A854" s="399"/>
      <c r="B854" s="494"/>
      <c r="C854" s="312" t="s">
        <v>542</v>
      </c>
      <c r="D854" s="417">
        <v>2</v>
      </c>
      <c r="E854" s="314" t="s">
        <v>518</v>
      </c>
      <c r="F854" s="418">
        <v>6</v>
      </c>
      <c r="G854" s="417">
        <v>3</v>
      </c>
      <c r="H854" s="314" t="s">
        <v>518</v>
      </c>
      <c r="I854" s="418">
        <v>4</v>
      </c>
      <c r="J854" s="431"/>
      <c r="K854" s="421">
        <f t="shared" si="277"/>
        <v>18</v>
      </c>
      <c r="L854" s="328">
        <v>2.2999999999999998</v>
      </c>
      <c r="M854" s="328"/>
      <c r="N854" s="328"/>
      <c r="O854" s="493">
        <f>K854*L854</f>
        <v>41.4</v>
      </c>
      <c r="P854" s="328"/>
      <c r="Q854" s="334"/>
      <c r="R854" s="333">
        <f t="shared" si="275"/>
        <v>41.4</v>
      </c>
      <c r="S854" s="331" t="str">
        <f t="shared" si="276"/>
        <v>m²</v>
      </c>
      <c r="T854" s="320">
        <v>41</v>
      </c>
      <c r="U854" s="424" t="s">
        <v>519</v>
      </c>
      <c r="V854" s="455">
        <f t="shared" ca="1" si="272"/>
        <v>1251.6500000000015</v>
      </c>
      <c r="W854" s="456">
        <f t="shared" ca="1" si="273"/>
        <v>2</v>
      </c>
      <c r="X854" s="456">
        <f t="shared" ca="1" si="274"/>
        <v>1</v>
      </c>
      <c r="Y854" s="250"/>
      <c r="Z854" s="250"/>
    </row>
    <row r="855" spans="1:26" s="111" customFormat="1" ht="25.5" x14ac:dyDescent="0.2">
      <c r="A855" s="399"/>
      <c r="B855" s="494"/>
      <c r="C855" s="312" t="s">
        <v>543</v>
      </c>
      <c r="D855" s="417">
        <v>2</v>
      </c>
      <c r="E855" s="314" t="s">
        <v>518</v>
      </c>
      <c r="F855" s="418">
        <v>6</v>
      </c>
      <c r="G855" s="417">
        <v>3</v>
      </c>
      <c r="H855" s="314" t="s">
        <v>518</v>
      </c>
      <c r="I855" s="418">
        <v>4</v>
      </c>
      <c r="J855" s="431"/>
      <c r="K855" s="421">
        <f t="shared" si="277"/>
        <v>18</v>
      </c>
      <c r="L855" s="328">
        <v>1.9</v>
      </c>
      <c r="M855" s="328"/>
      <c r="N855" s="328"/>
      <c r="O855" s="493">
        <f>K855*L855</f>
        <v>34.199999999999996</v>
      </c>
      <c r="P855" s="328"/>
      <c r="Q855" s="334"/>
      <c r="R855" s="333">
        <f t="shared" si="275"/>
        <v>34.199999999999996</v>
      </c>
      <c r="S855" s="331" t="str">
        <f t="shared" si="276"/>
        <v>m²</v>
      </c>
      <c r="T855" s="320">
        <v>41</v>
      </c>
      <c r="U855" s="424" t="s">
        <v>519</v>
      </c>
      <c r="V855" s="455">
        <f t="shared" ca="1" si="272"/>
        <v>1251.6500000000015</v>
      </c>
      <c r="W855" s="456">
        <f t="shared" ca="1" si="273"/>
        <v>2</v>
      </c>
      <c r="X855" s="456">
        <f t="shared" ca="1" si="274"/>
        <v>1</v>
      </c>
      <c r="Y855" s="250"/>
      <c r="Z855" s="250"/>
    </row>
    <row r="856" spans="1:26" s="111" customFormat="1" ht="25.5" x14ac:dyDescent="0.2">
      <c r="A856" s="399"/>
      <c r="B856" s="494"/>
      <c r="C856" s="312" t="s">
        <v>544</v>
      </c>
      <c r="D856" s="417">
        <v>2</v>
      </c>
      <c r="E856" s="314" t="s">
        <v>518</v>
      </c>
      <c r="F856" s="418">
        <v>6</v>
      </c>
      <c r="G856" s="417">
        <v>3</v>
      </c>
      <c r="H856" s="314" t="s">
        <v>518</v>
      </c>
      <c r="I856" s="418">
        <v>4</v>
      </c>
      <c r="J856" s="431"/>
      <c r="K856" s="421">
        <f t="shared" si="277"/>
        <v>18</v>
      </c>
      <c r="L856" s="328">
        <v>2.2999999999999998</v>
      </c>
      <c r="M856" s="328"/>
      <c r="N856" s="328"/>
      <c r="O856" s="493">
        <f>K856*L856</f>
        <v>41.4</v>
      </c>
      <c r="P856" s="328"/>
      <c r="Q856" s="334"/>
      <c r="R856" s="333">
        <f t="shared" si="275"/>
        <v>41.4</v>
      </c>
      <c r="S856" s="331" t="str">
        <f t="shared" si="276"/>
        <v>m²</v>
      </c>
      <c r="T856" s="320">
        <v>41</v>
      </c>
      <c r="U856" s="424" t="s">
        <v>519</v>
      </c>
      <c r="V856" s="455">
        <f t="shared" ca="1" si="272"/>
        <v>1251.6500000000015</v>
      </c>
      <c r="W856" s="456">
        <f t="shared" ca="1" si="273"/>
        <v>2</v>
      </c>
      <c r="X856" s="456">
        <f t="shared" ca="1" si="274"/>
        <v>1</v>
      </c>
      <c r="Y856" s="250"/>
      <c r="Z856" s="250"/>
    </row>
    <row r="857" spans="1:26" s="111" customFormat="1" ht="25.5" x14ac:dyDescent="0.2">
      <c r="A857" s="399"/>
      <c r="B857" s="494"/>
      <c r="C857" s="312" t="s">
        <v>545</v>
      </c>
      <c r="D857" s="417">
        <v>2</v>
      </c>
      <c r="E857" s="314" t="s">
        <v>518</v>
      </c>
      <c r="F857" s="418">
        <v>6</v>
      </c>
      <c r="G857" s="417">
        <v>3</v>
      </c>
      <c r="H857" s="314" t="s">
        <v>518</v>
      </c>
      <c r="I857" s="418">
        <v>4</v>
      </c>
      <c r="J857" s="431">
        <v>2</v>
      </c>
      <c r="K857" s="421">
        <f t="shared" si="277"/>
        <v>18</v>
      </c>
      <c r="L857" s="328">
        <v>0.28299999999999997</v>
      </c>
      <c r="M857" s="328"/>
      <c r="N857" s="328"/>
      <c r="O857" s="493">
        <f>J857*K857*L857</f>
        <v>10.187999999999999</v>
      </c>
      <c r="P857" s="328"/>
      <c r="Q857" s="334"/>
      <c r="R857" s="333">
        <f t="shared" si="275"/>
        <v>10.187999999999999</v>
      </c>
      <c r="S857" s="331" t="str">
        <f t="shared" si="276"/>
        <v>m²</v>
      </c>
      <c r="T857" s="320">
        <v>41</v>
      </c>
      <c r="U857" s="424" t="s">
        <v>519</v>
      </c>
      <c r="V857" s="455">
        <f t="shared" ca="1" si="272"/>
        <v>1251.6500000000015</v>
      </c>
      <c r="W857" s="456">
        <f t="shared" ca="1" si="273"/>
        <v>2</v>
      </c>
      <c r="X857" s="456">
        <f t="shared" ca="1" si="274"/>
        <v>1</v>
      </c>
      <c r="Y857" s="250"/>
      <c r="Z857" s="250"/>
    </row>
    <row r="858" spans="1:26" s="111" customFormat="1" ht="25.5" x14ac:dyDescent="0.2">
      <c r="A858" s="399"/>
      <c r="B858" s="494"/>
      <c r="C858" s="426" t="s">
        <v>546</v>
      </c>
      <c r="D858" s="417">
        <v>2</v>
      </c>
      <c r="E858" s="314" t="s">
        <v>518</v>
      </c>
      <c r="F858" s="418">
        <v>6</v>
      </c>
      <c r="G858" s="417">
        <v>3</v>
      </c>
      <c r="H858" s="314" t="s">
        <v>518</v>
      </c>
      <c r="I858" s="418">
        <v>4</v>
      </c>
      <c r="J858" s="431"/>
      <c r="K858" s="421">
        <f t="shared" si="277"/>
        <v>18</v>
      </c>
      <c r="L858" s="328">
        <v>6</v>
      </c>
      <c r="M858" s="328"/>
      <c r="N858" s="328"/>
      <c r="O858" s="493">
        <f>K858*L858</f>
        <v>108</v>
      </c>
      <c r="P858" s="328"/>
      <c r="Q858" s="334"/>
      <c r="R858" s="333">
        <f t="shared" si="275"/>
        <v>108</v>
      </c>
      <c r="S858" s="331" t="str">
        <f t="shared" si="276"/>
        <v>m²</v>
      </c>
      <c r="T858" s="320">
        <v>41</v>
      </c>
      <c r="U858" s="424" t="s">
        <v>519</v>
      </c>
      <c r="V858" s="455">
        <f t="shared" ca="1" si="272"/>
        <v>1251.6500000000015</v>
      </c>
      <c r="W858" s="456">
        <f t="shared" ca="1" si="273"/>
        <v>2</v>
      </c>
      <c r="X858" s="456">
        <f t="shared" ca="1" si="274"/>
        <v>1</v>
      </c>
      <c r="Y858" s="250"/>
      <c r="Z858" s="250"/>
    </row>
    <row r="859" spans="1:26" s="111" customFormat="1" ht="25.5" x14ac:dyDescent="0.2">
      <c r="A859" s="399"/>
      <c r="B859" s="494"/>
      <c r="C859" s="312" t="s">
        <v>547</v>
      </c>
      <c r="D859" s="417">
        <v>2</v>
      </c>
      <c r="E859" s="314" t="s">
        <v>518</v>
      </c>
      <c r="F859" s="418">
        <v>6</v>
      </c>
      <c r="G859" s="417">
        <v>3</v>
      </c>
      <c r="H859" s="314" t="s">
        <v>518</v>
      </c>
      <c r="I859" s="418">
        <v>4</v>
      </c>
      <c r="J859" s="431">
        <f>ROUNDUP(K859/20,0)+1</f>
        <v>2</v>
      </c>
      <c r="K859" s="421">
        <f>ABS((G859*20+I859)-(D859*20+F859))</f>
        <v>18</v>
      </c>
      <c r="L859" s="328">
        <v>6</v>
      </c>
      <c r="M859" s="328">
        <v>0.25</v>
      </c>
      <c r="N859" s="328"/>
      <c r="O859" s="493">
        <f>M859*L859*J859</f>
        <v>3</v>
      </c>
      <c r="P859" s="328"/>
      <c r="Q859" s="334"/>
      <c r="R859" s="333">
        <f t="shared" si="275"/>
        <v>3</v>
      </c>
      <c r="S859" s="331" t="str">
        <f t="shared" si="276"/>
        <v>m²</v>
      </c>
      <c r="T859" s="320">
        <v>41</v>
      </c>
      <c r="U859" s="424" t="s">
        <v>519</v>
      </c>
      <c r="V859" s="455">
        <f t="shared" ca="1" si="272"/>
        <v>1251.6500000000015</v>
      </c>
      <c r="W859" s="456">
        <f t="shared" ca="1" si="273"/>
        <v>2</v>
      </c>
      <c r="X859" s="456">
        <f t="shared" ca="1" si="274"/>
        <v>1</v>
      </c>
      <c r="Y859" s="250"/>
      <c r="Z859" s="250"/>
    </row>
    <row r="860" spans="1:26" s="111" customFormat="1" ht="25.5" x14ac:dyDescent="0.2">
      <c r="A860" s="399"/>
      <c r="B860" s="494"/>
      <c r="C860" s="312" t="s">
        <v>548</v>
      </c>
      <c r="D860" s="417">
        <v>2</v>
      </c>
      <c r="E860" s="314" t="s">
        <v>518</v>
      </c>
      <c r="F860" s="418">
        <v>6</v>
      </c>
      <c r="G860" s="417">
        <v>3</v>
      </c>
      <c r="H860" s="314" t="s">
        <v>518</v>
      </c>
      <c r="I860" s="418">
        <v>4</v>
      </c>
      <c r="J860" s="431">
        <v>2</v>
      </c>
      <c r="K860" s="421">
        <f>ABS((G860*20+I860)-(D860*20+F860))</f>
        <v>18</v>
      </c>
      <c r="L860" s="328"/>
      <c r="M860" s="328">
        <v>0.25</v>
      </c>
      <c r="N860" s="328"/>
      <c r="O860" s="493">
        <f>M860*K860*J860</f>
        <v>9</v>
      </c>
      <c r="P860" s="328"/>
      <c r="Q860" s="334"/>
      <c r="R860" s="333">
        <f t="shared" si="275"/>
        <v>9</v>
      </c>
      <c r="S860" s="331" t="str">
        <f t="shared" si="276"/>
        <v>m²</v>
      </c>
      <c r="T860" s="320">
        <v>41</v>
      </c>
      <c r="U860" s="424" t="s">
        <v>519</v>
      </c>
      <c r="V860" s="455">
        <f t="shared" ca="1" si="272"/>
        <v>1251.6500000000015</v>
      </c>
      <c r="W860" s="456">
        <f t="shared" ca="1" si="273"/>
        <v>2</v>
      </c>
      <c r="X860" s="456">
        <f t="shared" ca="1" si="274"/>
        <v>1</v>
      </c>
      <c r="Y860" s="250"/>
      <c r="Z860" s="250"/>
    </row>
    <row r="861" spans="1:26" s="111" customFormat="1" ht="15" x14ac:dyDescent="0.2">
      <c r="A861" s="399"/>
      <c r="B861" s="494"/>
      <c r="C861" s="495"/>
      <c r="D861" s="419"/>
      <c r="E861" s="316"/>
      <c r="F861" s="420"/>
      <c r="G861" s="419"/>
      <c r="H861" s="316"/>
      <c r="I861" s="420"/>
      <c r="J861" s="499"/>
      <c r="K861" s="508"/>
      <c r="L861" s="501"/>
      <c r="M861" s="501"/>
      <c r="N861" s="501"/>
      <c r="O861" s="502"/>
      <c r="P861" s="501"/>
      <c r="Q861" s="1098"/>
      <c r="R861" s="1111"/>
      <c r="S861" s="505"/>
      <c r="T861" s="320"/>
      <c r="U861" s="507"/>
      <c r="V861" s="455">
        <f t="shared" ca="1" si="272"/>
        <v>1251.6500000000015</v>
      </c>
      <c r="W861" s="456">
        <f t="shared" ref="W861:W883" ca="1" si="278">IF(LEFT(_xlfn.FORMULATEXT(V861),3)="=SO",1,IF(COUNTA(A861:U861)=0,0,2))</f>
        <v>0</v>
      </c>
      <c r="X861" s="456">
        <f t="shared" ref="X861:X883" ca="1" si="279">IF(COUNTA(OFFSET(A860,1,0))-COUNTA(A860)=-1,0,1)</f>
        <v>1</v>
      </c>
      <c r="Y861" s="250"/>
      <c r="Z861" s="250"/>
    </row>
    <row r="862" spans="1:26" s="111" customFormat="1" ht="15.75" x14ac:dyDescent="0.2">
      <c r="A862" s="399"/>
      <c r="B862" s="494"/>
      <c r="C862" s="434" t="s">
        <v>532</v>
      </c>
      <c r="D862" s="417"/>
      <c r="E862" s="314"/>
      <c r="F862" s="418"/>
      <c r="G862" s="419"/>
      <c r="H862" s="316"/>
      <c r="I862" s="420"/>
      <c r="J862" s="431"/>
      <c r="K862" s="433"/>
      <c r="L862" s="433"/>
      <c r="M862" s="433"/>
      <c r="N862" s="328"/>
      <c r="O862" s="328"/>
      <c r="P862" s="328"/>
      <c r="Q862" s="334"/>
      <c r="R862" s="333"/>
      <c r="S862" s="331"/>
      <c r="T862" s="320">
        <v>42</v>
      </c>
      <c r="U862" s="335"/>
      <c r="V862" s="455">
        <f t="shared" ca="1" si="272"/>
        <v>1251.6500000000015</v>
      </c>
      <c r="W862" s="456">
        <f t="shared" ca="1" si="278"/>
        <v>2</v>
      </c>
      <c r="X862" s="456">
        <f t="shared" ca="1" si="279"/>
        <v>1</v>
      </c>
      <c r="Y862" s="250"/>
      <c r="Z862" s="250"/>
    </row>
    <row r="863" spans="1:26" s="111" customFormat="1" ht="25.5" x14ac:dyDescent="0.2">
      <c r="A863" s="399"/>
      <c r="B863" s="494"/>
      <c r="C863" s="312" t="s">
        <v>536</v>
      </c>
      <c r="D863" s="419">
        <v>45</v>
      </c>
      <c r="E863" s="316" t="s">
        <v>518</v>
      </c>
      <c r="F863" s="420">
        <v>6</v>
      </c>
      <c r="G863" s="419">
        <v>48</v>
      </c>
      <c r="H863" s="316" t="s">
        <v>518</v>
      </c>
      <c r="I863" s="420">
        <v>8</v>
      </c>
      <c r="J863" s="431">
        <v>2</v>
      </c>
      <c r="K863" s="421">
        <f t="shared" ref="K863:K871" si="280">ABS((G863*20+I863)-(D863*20+F863))</f>
        <v>62</v>
      </c>
      <c r="L863" s="328"/>
      <c r="M863" s="328">
        <v>0.35</v>
      </c>
      <c r="N863" s="328"/>
      <c r="O863" s="493">
        <f>M863*K863*J863</f>
        <v>43.4</v>
      </c>
      <c r="P863" s="328"/>
      <c r="Q863" s="334"/>
      <c r="R863" s="333">
        <f t="shared" ref="R863:R871" si="281">O863</f>
        <v>43.4</v>
      </c>
      <c r="S863" s="331" t="str">
        <f t="shared" ref="S863:S871" si="282">$L$944</f>
        <v>m²</v>
      </c>
      <c r="T863" s="320">
        <v>42</v>
      </c>
      <c r="U863" s="424" t="s">
        <v>519</v>
      </c>
      <c r="V863" s="455">
        <f t="shared" ca="1" si="272"/>
        <v>1251.6500000000015</v>
      </c>
      <c r="W863" s="456">
        <f t="shared" ca="1" si="278"/>
        <v>2</v>
      </c>
      <c r="X863" s="456">
        <f t="shared" ca="1" si="279"/>
        <v>1</v>
      </c>
      <c r="Y863" s="250"/>
      <c r="Z863" s="250"/>
    </row>
    <row r="864" spans="1:26" s="111" customFormat="1" ht="25.5" x14ac:dyDescent="0.2">
      <c r="A864" s="399"/>
      <c r="B864" s="494"/>
      <c r="C864" s="312" t="s">
        <v>537</v>
      </c>
      <c r="D864" s="419">
        <v>45</v>
      </c>
      <c r="E864" s="316" t="s">
        <v>518</v>
      </c>
      <c r="F864" s="420">
        <v>6</v>
      </c>
      <c r="G864" s="419">
        <v>48</v>
      </c>
      <c r="H864" s="316" t="s">
        <v>518</v>
      </c>
      <c r="I864" s="420">
        <v>8</v>
      </c>
      <c r="J864" s="431">
        <f>ROUNDUP(K864/30,0)+1</f>
        <v>4</v>
      </c>
      <c r="K864" s="421">
        <f t="shared" si="280"/>
        <v>62</v>
      </c>
      <c r="L864" s="328">
        <v>12</v>
      </c>
      <c r="M864" s="328">
        <v>0.25</v>
      </c>
      <c r="N864" s="328"/>
      <c r="O864" s="493">
        <f>M864*L864*J864</f>
        <v>12</v>
      </c>
      <c r="P864" s="328"/>
      <c r="Q864" s="334"/>
      <c r="R864" s="333">
        <f t="shared" si="281"/>
        <v>12</v>
      </c>
      <c r="S864" s="331" t="str">
        <f t="shared" si="282"/>
        <v>m²</v>
      </c>
      <c r="T864" s="320">
        <v>42</v>
      </c>
      <c r="U864" s="424" t="s">
        <v>519</v>
      </c>
      <c r="V864" s="455">
        <f t="shared" ca="1" si="272"/>
        <v>1251.6500000000015</v>
      </c>
      <c r="W864" s="456">
        <f t="shared" ca="1" si="278"/>
        <v>2</v>
      </c>
      <c r="X864" s="456">
        <f t="shared" ca="1" si="279"/>
        <v>1</v>
      </c>
      <c r="Y864" s="250"/>
      <c r="Z864" s="250"/>
    </row>
    <row r="865" spans="1:26" s="111" customFormat="1" ht="25.5" x14ac:dyDescent="0.2">
      <c r="A865" s="399"/>
      <c r="B865" s="494"/>
      <c r="C865" s="312" t="s">
        <v>538</v>
      </c>
      <c r="D865" s="419">
        <v>45</v>
      </c>
      <c r="E865" s="316" t="s">
        <v>518</v>
      </c>
      <c r="F865" s="420">
        <v>6</v>
      </c>
      <c r="G865" s="419">
        <v>48</v>
      </c>
      <c r="H865" s="316" t="s">
        <v>518</v>
      </c>
      <c r="I865" s="420">
        <v>8</v>
      </c>
      <c r="J865" s="431">
        <v>2</v>
      </c>
      <c r="K865" s="421">
        <f t="shared" si="280"/>
        <v>62</v>
      </c>
      <c r="L865" s="328"/>
      <c r="M865" s="328">
        <v>0.25</v>
      </c>
      <c r="N865" s="328"/>
      <c r="O865" s="493">
        <f>M865*K865*J865</f>
        <v>31</v>
      </c>
      <c r="P865" s="328"/>
      <c r="Q865" s="334"/>
      <c r="R865" s="333">
        <f t="shared" si="281"/>
        <v>31</v>
      </c>
      <c r="S865" s="331" t="str">
        <f t="shared" si="282"/>
        <v>m²</v>
      </c>
      <c r="T865" s="320">
        <v>42</v>
      </c>
      <c r="U865" s="424" t="s">
        <v>519</v>
      </c>
      <c r="V865" s="455">
        <f t="shared" ca="1" si="272"/>
        <v>1251.6500000000015</v>
      </c>
      <c r="W865" s="456">
        <f t="shared" ca="1" si="278"/>
        <v>2</v>
      </c>
      <c r="X865" s="456">
        <f t="shared" ca="1" si="279"/>
        <v>1</v>
      </c>
      <c r="Y865" s="250"/>
      <c r="Z865" s="250"/>
    </row>
    <row r="866" spans="1:26" s="111" customFormat="1" ht="25.5" x14ac:dyDescent="0.2">
      <c r="A866" s="399"/>
      <c r="B866" s="494"/>
      <c r="C866" s="312" t="s">
        <v>539</v>
      </c>
      <c r="D866" s="419">
        <v>45</v>
      </c>
      <c r="E866" s="316" t="s">
        <v>518</v>
      </c>
      <c r="F866" s="420">
        <v>6</v>
      </c>
      <c r="G866" s="419">
        <v>48</v>
      </c>
      <c r="H866" s="316" t="s">
        <v>518</v>
      </c>
      <c r="I866" s="420">
        <v>8</v>
      </c>
      <c r="J866" s="431">
        <v>2</v>
      </c>
      <c r="K866" s="421">
        <f t="shared" si="280"/>
        <v>62</v>
      </c>
      <c r="L866" s="328">
        <v>0.28299999999999997</v>
      </c>
      <c r="M866" s="328"/>
      <c r="N866" s="328"/>
      <c r="O866" s="493">
        <f>J866*K866*L866</f>
        <v>35.091999999999999</v>
      </c>
      <c r="P866" s="328"/>
      <c r="Q866" s="334"/>
      <c r="R866" s="333">
        <f t="shared" si="281"/>
        <v>35.091999999999999</v>
      </c>
      <c r="S866" s="331" t="str">
        <f t="shared" si="282"/>
        <v>m²</v>
      </c>
      <c r="T866" s="320">
        <v>42</v>
      </c>
      <c r="U866" s="424" t="s">
        <v>519</v>
      </c>
      <c r="V866" s="455">
        <f t="shared" ca="1" si="272"/>
        <v>1251.6500000000015</v>
      </c>
      <c r="W866" s="456">
        <f t="shared" ca="1" si="278"/>
        <v>2</v>
      </c>
      <c r="X866" s="456">
        <f t="shared" ca="1" si="279"/>
        <v>1</v>
      </c>
      <c r="Y866" s="250"/>
      <c r="Z866" s="250"/>
    </row>
    <row r="867" spans="1:26" s="111" customFormat="1" ht="25.5" x14ac:dyDescent="0.2">
      <c r="A867" s="399"/>
      <c r="B867" s="494"/>
      <c r="C867" s="312" t="s">
        <v>540</v>
      </c>
      <c r="D867" s="419">
        <v>45</v>
      </c>
      <c r="E867" s="316" t="s">
        <v>518</v>
      </c>
      <c r="F867" s="420">
        <v>6</v>
      </c>
      <c r="G867" s="419">
        <v>48</v>
      </c>
      <c r="H867" s="316" t="s">
        <v>518</v>
      </c>
      <c r="I867" s="420">
        <v>8</v>
      </c>
      <c r="J867" s="431">
        <f>(ROUNDUP(K867/30,0)+1)*2</f>
        <v>8</v>
      </c>
      <c r="K867" s="421">
        <f t="shared" si="280"/>
        <v>62</v>
      </c>
      <c r="L867" s="328"/>
      <c r="M867" s="328"/>
      <c r="N867" s="493">
        <f>(2.3*0.25)+((0.2*0.2)/2)</f>
        <v>0.59499999999999997</v>
      </c>
      <c r="O867" s="493">
        <f>N867*J867</f>
        <v>4.76</v>
      </c>
      <c r="P867" s="328"/>
      <c r="Q867" s="334"/>
      <c r="R867" s="333">
        <f t="shared" si="281"/>
        <v>4.76</v>
      </c>
      <c r="S867" s="331" t="str">
        <f t="shared" si="282"/>
        <v>m²</v>
      </c>
      <c r="T867" s="320">
        <v>42</v>
      </c>
      <c r="U867" s="424" t="s">
        <v>519</v>
      </c>
      <c r="V867" s="455">
        <f t="shared" ca="1" si="272"/>
        <v>1251.6500000000015</v>
      </c>
      <c r="W867" s="456">
        <f t="shared" ca="1" si="278"/>
        <v>2</v>
      </c>
      <c r="X867" s="456">
        <f t="shared" ca="1" si="279"/>
        <v>1</v>
      </c>
      <c r="Y867" s="250"/>
      <c r="Z867" s="250"/>
    </row>
    <row r="868" spans="1:26" s="111" customFormat="1" ht="25.5" x14ac:dyDescent="0.2">
      <c r="A868" s="399"/>
      <c r="B868" s="494"/>
      <c r="C868" s="312" t="s">
        <v>541</v>
      </c>
      <c r="D868" s="419">
        <v>45</v>
      </c>
      <c r="E868" s="316" t="s">
        <v>518</v>
      </c>
      <c r="F868" s="420">
        <v>6</v>
      </c>
      <c r="G868" s="419">
        <v>48</v>
      </c>
      <c r="H868" s="316" t="s">
        <v>518</v>
      </c>
      <c r="I868" s="420">
        <v>8</v>
      </c>
      <c r="J868" s="431"/>
      <c r="K868" s="421">
        <f t="shared" si="280"/>
        <v>62</v>
      </c>
      <c r="L868" s="328">
        <v>2.8</v>
      </c>
      <c r="M868" s="328"/>
      <c r="N868" s="328"/>
      <c r="O868" s="493">
        <f>K868*L868</f>
        <v>173.6</v>
      </c>
      <c r="P868" s="328"/>
      <c r="Q868" s="334"/>
      <c r="R868" s="333">
        <f t="shared" si="281"/>
        <v>173.6</v>
      </c>
      <c r="S868" s="331" t="str">
        <f t="shared" si="282"/>
        <v>m²</v>
      </c>
      <c r="T868" s="320">
        <v>42</v>
      </c>
      <c r="U868" s="424" t="s">
        <v>519</v>
      </c>
      <c r="V868" s="455">
        <f t="shared" ca="1" si="272"/>
        <v>1251.6500000000015</v>
      </c>
      <c r="W868" s="456">
        <f t="shared" ca="1" si="278"/>
        <v>2</v>
      </c>
      <c r="X868" s="456">
        <f t="shared" ca="1" si="279"/>
        <v>1</v>
      </c>
      <c r="Y868" s="250"/>
      <c r="Z868" s="250"/>
    </row>
    <row r="869" spans="1:26" s="111" customFormat="1" ht="25.5" x14ac:dyDescent="0.2">
      <c r="A869" s="399"/>
      <c r="B869" s="494"/>
      <c r="C869" s="312" t="s">
        <v>542</v>
      </c>
      <c r="D869" s="419">
        <v>45</v>
      </c>
      <c r="E869" s="316" t="s">
        <v>518</v>
      </c>
      <c r="F869" s="420">
        <v>6</v>
      </c>
      <c r="G869" s="419">
        <v>48</v>
      </c>
      <c r="H869" s="316" t="s">
        <v>518</v>
      </c>
      <c r="I869" s="420">
        <v>8</v>
      </c>
      <c r="J869" s="431"/>
      <c r="K869" s="421">
        <f t="shared" si="280"/>
        <v>62</v>
      </c>
      <c r="L869" s="328">
        <v>3.25</v>
      </c>
      <c r="M869" s="328"/>
      <c r="N869" s="328"/>
      <c r="O869" s="493">
        <f>K869*L869</f>
        <v>201.5</v>
      </c>
      <c r="P869" s="328"/>
      <c r="Q869" s="334"/>
      <c r="R869" s="333">
        <f t="shared" si="281"/>
        <v>201.5</v>
      </c>
      <c r="S869" s="331" t="str">
        <f t="shared" si="282"/>
        <v>m²</v>
      </c>
      <c r="T869" s="320">
        <v>42</v>
      </c>
      <c r="U869" s="424" t="s">
        <v>519</v>
      </c>
      <c r="V869" s="455">
        <f t="shared" ca="1" si="272"/>
        <v>1251.6500000000015</v>
      </c>
      <c r="W869" s="456">
        <f t="shared" ca="1" si="278"/>
        <v>2</v>
      </c>
      <c r="X869" s="456">
        <f t="shared" ca="1" si="279"/>
        <v>1</v>
      </c>
      <c r="Y869" s="250"/>
      <c r="Z869" s="250"/>
    </row>
    <row r="870" spans="1:26" s="111" customFormat="1" ht="25.5" x14ac:dyDescent="0.2">
      <c r="A870" s="399"/>
      <c r="B870" s="494"/>
      <c r="C870" s="312" t="s">
        <v>543</v>
      </c>
      <c r="D870" s="419">
        <v>45</v>
      </c>
      <c r="E870" s="316" t="s">
        <v>518</v>
      </c>
      <c r="F870" s="420">
        <v>6</v>
      </c>
      <c r="G870" s="419">
        <v>48</v>
      </c>
      <c r="H870" s="316" t="s">
        <v>518</v>
      </c>
      <c r="I870" s="420">
        <v>8</v>
      </c>
      <c r="J870" s="431"/>
      <c r="K870" s="421">
        <f t="shared" si="280"/>
        <v>62</v>
      </c>
      <c r="L870" s="328">
        <v>2.8</v>
      </c>
      <c r="M870" s="328"/>
      <c r="N870" s="328"/>
      <c r="O870" s="493">
        <f>K870*L870</f>
        <v>173.6</v>
      </c>
      <c r="P870" s="328"/>
      <c r="Q870" s="334"/>
      <c r="R870" s="333">
        <f t="shared" si="281"/>
        <v>173.6</v>
      </c>
      <c r="S870" s="331" t="str">
        <f t="shared" si="282"/>
        <v>m²</v>
      </c>
      <c r="T870" s="320">
        <v>42</v>
      </c>
      <c r="U870" s="424" t="s">
        <v>519</v>
      </c>
      <c r="V870" s="455">
        <f t="shared" ca="1" si="272"/>
        <v>1251.6500000000015</v>
      </c>
      <c r="W870" s="456">
        <f t="shared" ca="1" si="278"/>
        <v>2</v>
      </c>
      <c r="X870" s="456">
        <f t="shared" ca="1" si="279"/>
        <v>1</v>
      </c>
      <c r="Y870" s="250"/>
      <c r="Z870" s="250"/>
    </row>
    <row r="871" spans="1:26" s="111" customFormat="1" ht="25.5" x14ac:dyDescent="0.2">
      <c r="A871" s="399"/>
      <c r="B871" s="494"/>
      <c r="C871" s="495" t="s">
        <v>544</v>
      </c>
      <c r="D871" s="419">
        <v>45</v>
      </c>
      <c r="E871" s="316" t="s">
        <v>518</v>
      </c>
      <c r="F871" s="420">
        <v>6</v>
      </c>
      <c r="G871" s="419">
        <v>48</v>
      </c>
      <c r="H871" s="316" t="s">
        <v>518</v>
      </c>
      <c r="I871" s="420">
        <v>8</v>
      </c>
      <c r="J871" s="499"/>
      <c r="K871" s="508">
        <f t="shared" si="280"/>
        <v>62</v>
      </c>
      <c r="L871" s="501">
        <v>3.25</v>
      </c>
      <c r="M871" s="501"/>
      <c r="N871" s="501"/>
      <c r="O871" s="502">
        <f>K871*L871</f>
        <v>201.5</v>
      </c>
      <c r="P871" s="501"/>
      <c r="Q871" s="1098"/>
      <c r="R871" s="1111">
        <f t="shared" si="281"/>
        <v>201.5</v>
      </c>
      <c r="S871" s="331" t="str">
        <f t="shared" si="282"/>
        <v>m²</v>
      </c>
      <c r="T871" s="320">
        <v>42</v>
      </c>
      <c r="U871" s="507" t="s">
        <v>519</v>
      </c>
      <c r="V871" s="455">
        <f t="shared" ca="1" si="272"/>
        <v>1251.6500000000015</v>
      </c>
      <c r="W871" s="456">
        <f t="shared" ca="1" si="278"/>
        <v>2</v>
      </c>
      <c r="X871" s="456">
        <f t="shared" ca="1" si="279"/>
        <v>1</v>
      </c>
      <c r="Y871" s="250"/>
      <c r="Z871" s="250"/>
    </row>
    <row r="872" spans="1:26" s="111" customFormat="1" ht="15" x14ac:dyDescent="0.2">
      <c r="A872" s="399"/>
      <c r="B872" s="494"/>
      <c r="C872" s="495"/>
      <c r="D872" s="419"/>
      <c r="E872" s="316"/>
      <c r="F872" s="420"/>
      <c r="G872" s="419"/>
      <c r="H872" s="316"/>
      <c r="I872" s="420"/>
      <c r="J872" s="499"/>
      <c r="K872" s="1041"/>
      <c r="L872" s="501"/>
      <c r="M872" s="501"/>
      <c r="N872" s="501"/>
      <c r="O872" s="502"/>
      <c r="P872" s="501"/>
      <c r="Q872" s="1098"/>
      <c r="R872" s="1111"/>
      <c r="S872" s="331"/>
      <c r="T872" s="320"/>
      <c r="U872" s="507"/>
      <c r="V872" s="455">
        <f t="shared" ca="1" si="272"/>
        <v>1251.6500000000015</v>
      </c>
      <c r="W872" s="456">
        <f t="shared" ca="1" si="278"/>
        <v>0</v>
      </c>
      <c r="X872" s="456">
        <f t="shared" ca="1" si="279"/>
        <v>1</v>
      </c>
      <c r="Y872" s="250"/>
      <c r="Z872" s="250"/>
    </row>
    <row r="873" spans="1:26" s="111" customFormat="1" ht="15.75" x14ac:dyDescent="0.2">
      <c r="A873" s="399"/>
      <c r="B873" s="494"/>
      <c r="C873" s="434" t="s">
        <v>516</v>
      </c>
      <c r="D873" s="417">
        <v>2</v>
      </c>
      <c r="E873" s="314" t="s">
        <v>518</v>
      </c>
      <c r="F873" s="418">
        <v>0</v>
      </c>
      <c r="G873" s="417">
        <v>2</v>
      </c>
      <c r="H873" s="314" t="s">
        <v>518</v>
      </c>
      <c r="I873" s="418">
        <v>6</v>
      </c>
      <c r="J873" s="491"/>
      <c r="K873" s="433"/>
      <c r="L873" s="433"/>
      <c r="M873" s="433"/>
      <c r="N873" s="328"/>
      <c r="O873" s="328"/>
      <c r="P873" s="328"/>
      <c r="Q873" s="334"/>
      <c r="R873" s="333"/>
      <c r="S873" s="331"/>
      <c r="T873" s="320">
        <v>42</v>
      </c>
      <c r="U873" s="335"/>
      <c r="V873" s="455">
        <f t="shared" ca="1" si="272"/>
        <v>1251.6500000000015</v>
      </c>
      <c r="W873" s="456">
        <f t="shared" ca="1" si="278"/>
        <v>2</v>
      </c>
      <c r="X873" s="456">
        <f t="shared" ca="1" si="279"/>
        <v>1</v>
      </c>
      <c r="Y873" s="250"/>
      <c r="Z873" s="250"/>
    </row>
    <row r="874" spans="1:26" s="111" customFormat="1" ht="25.5" x14ac:dyDescent="0.2">
      <c r="A874" s="399"/>
      <c r="B874" s="494"/>
      <c r="C874" s="312" t="s">
        <v>536</v>
      </c>
      <c r="D874" s="417">
        <v>2</v>
      </c>
      <c r="E874" s="314" t="s">
        <v>518</v>
      </c>
      <c r="F874" s="418">
        <v>0</v>
      </c>
      <c r="G874" s="417">
        <v>2</v>
      </c>
      <c r="H874" s="314" t="s">
        <v>518</v>
      </c>
      <c r="I874" s="418">
        <v>6</v>
      </c>
      <c r="J874" s="431">
        <v>2</v>
      </c>
      <c r="K874" s="421">
        <f>ABS((G874*20+I874)-(D874*20+F874))</f>
        <v>6</v>
      </c>
      <c r="L874" s="328"/>
      <c r="M874" s="328">
        <v>0.35</v>
      </c>
      <c r="N874" s="328"/>
      <c r="O874" s="493">
        <f>M874*K874*J874</f>
        <v>4.1999999999999993</v>
      </c>
      <c r="P874" s="328"/>
      <c r="Q874" s="334"/>
      <c r="R874" s="333">
        <f t="shared" ref="R874:R886" si="283">O874</f>
        <v>4.1999999999999993</v>
      </c>
      <c r="S874" s="331" t="str">
        <f t="shared" ref="S874:S886" si="284">$L$944</f>
        <v>m²</v>
      </c>
      <c r="T874" s="320">
        <v>42</v>
      </c>
      <c r="U874" s="424" t="s">
        <v>519</v>
      </c>
      <c r="V874" s="455">
        <f t="shared" ca="1" si="272"/>
        <v>1251.6500000000015</v>
      </c>
      <c r="W874" s="456">
        <f t="shared" ca="1" si="278"/>
        <v>2</v>
      </c>
      <c r="X874" s="456">
        <f t="shared" ca="1" si="279"/>
        <v>1</v>
      </c>
      <c r="Y874" s="250"/>
      <c r="Z874" s="250"/>
    </row>
    <row r="875" spans="1:26" s="111" customFormat="1" ht="25.5" x14ac:dyDescent="0.2">
      <c r="A875" s="399"/>
      <c r="B875" s="494"/>
      <c r="C875" s="312" t="s">
        <v>537</v>
      </c>
      <c r="D875" s="417">
        <v>2</v>
      </c>
      <c r="E875" s="314" t="s">
        <v>518</v>
      </c>
      <c r="F875" s="418">
        <v>0</v>
      </c>
      <c r="G875" s="417">
        <v>2</v>
      </c>
      <c r="H875" s="314" t="s">
        <v>518</v>
      </c>
      <c r="I875" s="418">
        <v>6</v>
      </c>
      <c r="J875" s="431">
        <f>ROUNDUP(K875/30,0)+1</f>
        <v>2</v>
      </c>
      <c r="K875" s="421">
        <f>ABS((G875*20+I875)-(D875*20+F875))</f>
        <v>6</v>
      </c>
      <c r="L875" s="328">
        <v>6</v>
      </c>
      <c r="M875" s="328">
        <v>0.25</v>
      </c>
      <c r="N875" s="328"/>
      <c r="O875" s="493">
        <f>M875*L875*J875</f>
        <v>3</v>
      </c>
      <c r="P875" s="328"/>
      <c r="Q875" s="334"/>
      <c r="R875" s="333">
        <f t="shared" si="283"/>
        <v>3</v>
      </c>
      <c r="S875" s="331" t="str">
        <f t="shared" si="284"/>
        <v>m²</v>
      </c>
      <c r="T875" s="320">
        <v>42</v>
      </c>
      <c r="U875" s="424" t="s">
        <v>519</v>
      </c>
      <c r="V875" s="455">
        <f t="shared" ca="1" si="272"/>
        <v>1251.6500000000015</v>
      </c>
      <c r="W875" s="456">
        <f t="shared" ca="1" si="278"/>
        <v>2</v>
      </c>
      <c r="X875" s="456">
        <f t="shared" ca="1" si="279"/>
        <v>1</v>
      </c>
      <c r="Y875" s="250"/>
      <c r="Z875" s="250"/>
    </row>
    <row r="876" spans="1:26" s="111" customFormat="1" ht="25.5" x14ac:dyDescent="0.2">
      <c r="A876" s="399"/>
      <c r="B876" s="494"/>
      <c r="C876" s="312" t="s">
        <v>538</v>
      </c>
      <c r="D876" s="417">
        <v>2</v>
      </c>
      <c r="E876" s="314" t="s">
        <v>518</v>
      </c>
      <c r="F876" s="418">
        <v>0</v>
      </c>
      <c r="G876" s="417">
        <v>2</v>
      </c>
      <c r="H876" s="314" t="s">
        <v>518</v>
      </c>
      <c r="I876" s="418">
        <v>6</v>
      </c>
      <c r="J876" s="431">
        <v>2</v>
      </c>
      <c r="K876" s="421">
        <f>ABS((G876*20+I876)-(D876*20+F876))</f>
        <v>6</v>
      </c>
      <c r="L876" s="328"/>
      <c r="M876" s="328">
        <v>0.25</v>
      </c>
      <c r="N876" s="328"/>
      <c r="O876" s="493">
        <f>M876*K876*J876</f>
        <v>3</v>
      </c>
      <c r="P876" s="328"/>
      <c r="Q876" s="334"/>
      <c r="R876" s="333">
        <f t="shared" si="283"/>
        <v>3</v>
      </c>
      <c r="S876" s="331" t="str">
        <f t="shared" si="284"/>
        <v>m²</v>
      </c>
      <c r="T876" s="320">
        <v>42</v>
      </c>
      <c r="U876" s="424" t="s">
        <v>519</v>
      </c>
      <c r="V876" s="455">
        <f t="shared" ca="1" si="272"/>
        <v>1251.6500000000015</v>
      </c>
      <c r="W876" s="456">
        <f t="shared" ca="1" si="278"/>
        <v>2</v>
      </c>
      <c r="X876" s="456">
        <f t="shared" ca="1" si="279"/>
        <v>1</v>
      </c>
      <c r="Y876" s="250"/>
      <c r="Z876" s="250"/>
    </row>
    <row r="877" spans="1:26" s="111" customFormat="1" ht="25.5" x14ac:dyDescent="0.2">
      <c r="A877" s="399"/>
      <c r="B877" s="494"/>
      <c r="C877" s="312" t="s">
        <v>539</v>
      </c>
      <c r="D877" s="417">
        <v>2</v>
      </c>
      <c r="E877" s="314" t="s">
        <v>518</v>
      </c>
      <c r="F877" s="418">
        <v>0</v>
      </c>
      <c r="G877" s="417">
        <v>2</v>
      </c>
      <c r="H877" s="314" t="s">
        <v>518</v>
      </c>
      <c r="I877" s="418">
        <v>6</v>
      </c>
      <c r="J877" s="431">
        <v>2</v>
      </c>
      <c r="K877" s="421">
        <f>ABS((G877*20+I877)-(D877*20+F877))</f>
        <v>6</v>
      </c>
      <c r="L877" s="328">
        <v>0.28299999999999997</v>
      </c>
      <c r="M877" s="328"/>
      <c r="N877" s="328"/>
      <c r="O877" s="493">
        <f>J877*K877*L877</f>
        <v>3.3959999999999999</v>
      </c>
      <c r="P877" s="328"/>
      <c r="Q877" s="334"/>
      <c r="R877" s="333">
        <f t="shared" si="283"/>
        <v>3.3959999999999999</v>
      </c>
      <c r="S877" s="331" t="str">
        <f t="shared" si="284"/>
        <v>m²</v>
      </c>
      <c r="T877" s="320">
        <v>42</v>
      </c>
      <c r="U877" s="424" t="s">
        <v>519</v>
      </c>
      <c r="V877" s="455">
        <f t="shared" ca="1" si="272"/>
        <v>1251.6500000000015</v>
      </c>
      <c r="W877" s="456">
        <f t="shared" ca="1" si="278"/>
        <v>2</v>
      </c>
      <c r="X877" s="456">
        <f t="shared" ca="1" si="279"/>
        <v>1</v>
      </c>
      <c r="Y877" s="250"/>
      <c r="Z877" s="250"/>
    </row>
    <row r="878" spans="1:26" s="111" customFormat="1" ht="25.5" x14ac:dyDescent="0.2">
      <c r="A878" s="399"/>
      <c r="B878" s="494"/>
      <c r="C878" s="312" t="s">
        <v>540</v>
      </c>
      <c r="D878" s="417">
        <v>2</v>
      </c>
      <c r="E878" s="314" t="s">
        <v>518</v>
      </c>
      <c r="F878" s="418">
        <v>0</v>
      </c>
      <c r="G878" s="417">
        <v>2</v>
      </c>
      <c r="H878" s="314" t="s">
        <v>518</v>
      </c>
      <c r="I878" s="418">
        <v>6</v>
      </c>
      <c r="J878" s="431">
        <f>(ROUNDUP(K878/30,0)+1)*2</f>
        <v>4</v>
      </c>
      <c r="K878" s="421">
        <f t="shared" ref="K878:K884" si="285">ABS((G878*20+I878)-(D878*20+F878))</f>
        <v>6</v>
      </c>
      <c r="L878" s="328"/>
      <c r="M878" s="328"/>
      <c r="N878" s="493">
        <f>(2.3*0.25)+(2*((0.2*0.2)/2))</f>
        <v>0.61499999999999999</v>
      </c>
      <c r="O878" s="493">
        <f>N878*J878</f>
        <v>2.46</v>
      </c>
      <c r="P878" s="328"/>
      <c r="Q878" s="334"/>
      <c r="R878" s="333">
        <f t="shared" si="283"/>
        <v>2.46</v>
      </c>
      <c r="S878" s="331" t="str">
        <f t="shared" si="284"/>
        <v>m²</v>
      </c>
      <c r="T878" s="320">
        <v>42</v>
      </c>
      <c r="U878" s="424" t="s">
        <v>519</v>
      </c>
      <c r="V878" s="455">
        <f t="shared" ca="1" si="272"/>
        <v>1251.6500000000015</v>
      </c>
      <c r="W878" s="456">
        <f t="shared" ca="1" si="278"/>
        <v>2</v>
      </c>
      <c r="X878" s="456">
        <f t="shared" ca="1" si="279"/>
        <v>1</v>
      </c>
      <c r="Y878" s="250"/>
      <c r="Z878" s="250"/>
    </row>
    <row r="879" spans="1:26" s="111" customFormat="1" ht="25.5" x14ac:dyDescent="0.2">
      <c r="A879" s="399"/>
      <c r="B879" s="494"/>
      <c r="C879" s="312" t="s">
        <v>541</v>
      </c>
      <c r="D879" s="417">
        <v>2</v>
      </c>
      <c r="E879" s="314" t="s">
        <v>518</v>
      </c>
      <c r="F879" s="418">
        <v>0</v>
      </c>
      <c r="G879" s="417">
        <v>2</v>
      </c>
      <c r="H879" s="314" t="s">
        <v>518</v>
      </c>
      <c r="I879" s="418">
        <v>6</v>
      </c>
      <c r="J879" s="431"/>
      <c r="K879" s="421">
        <f t="shared" si="285"/>
        <v>6</v>
      </c>
      <c r="L879" s="328">
        <v>1.9</v>
      </c>
      <c r="M879" s="328"/>
      <c r="N879" s="328"/>
      <c r="O879" s="493">
        <f>K879*L879</f>
        <v>11.399999999999999</v>
      </c>
      <c r="P879" s="328"/>
      <c r="Q879" s="334"/>
      <c r="R879" s="333">
        <f t="shared" si="283"/>
        <v>11.399999999999999</v>
      </c>
      <c r="S879" s="331" t="str">
        <f t="shared" si="284"/>
        <v>m²</v>
      </c>
      <c r="T879" s="320">
        <v>42</v>
      </c>
      <c r="U879" s="424" t="s">
        <v>519</v>
      </c>
      <c r="V879" s="455">
        <f t="shared" ca="1" si="272"/>
        <v>1251.6500000000015</v>
      </c>
      <c r="W879" s="456">
        <f t="shared" ca="1" si="278"/>
        <v>2</v>
      </c>
      <c r="X879" s="456">
        <f t="shared" ca="1" si="279"/>
        <v>1</v>
      </c>
      <c r="Y879" s="250"/>
      <c r="Z879" s="250"/>
    </row>
    <row r="880" spans="1:26" s="111" customFormat="1" ht="25.5" x14ac:dyDescent="0.2">
      <c r="A880" s="399"/>
      <c r="B880" s="494"/>
      <c r="C880" s="312" t="s">
        <v>542</v>
      </c>
      <c r="D880" s="417">
        <v>2</v>
      </c>
      <c r="E880" s="314" t="s">
        <v>518</v>
      </c>
      <c r="F880" s="418">
        <v>0</v>
      </c>
      <c r="G880" s="417">
        <v>2</v>
      </c>
      <c r="H880" s="314" t="s">
        <v>518</v>
      </c>
      <c r="I880" s="418">
        <v>6</v>
      </c>
      <c r="J880" s="431"/>
      <c r="K880" s="421">
        <f t="shared" si="285"/>
        <v>6</v>
      </c>
      <c r="L880" s="328">
        <v>2.2999999999999998</v>
      </c>
      <c r="M880" s="328"/>
      <c r="N880" s="328"/>
      <c r="O880" s="493">
        <f>K880*L880</f>
        <v>13.799999999999999</v>
      </c>
      <c r="P880" s="328"/>
      <c r="Q880" s="334"/>
      <c r="R880" s="333">
        <f t="shared" si="283"/>
        <v>13.799999999999999</v>
      </c>
      <c r="S880" s="331" t="str">
        <f t="shared" si="284"/>
        <v>m²</v>
      </c>
      <c r="T880" s="320">
        <v>42</v>
      </c>
      <c r="U880" s="424" t="s">
        <v>519</v>
      </c>
      <c r="V880" s="455">
        <f t="shared" ca="1" si="272"/>
        <v>1251.6500000000015</v>
      </c>
      <c r="W880" s="456">
        <f t="shared" ca="1" si="278"/>
        <v>2</v>
      </c>
      <c r="X880" s="456">
        <f t="shared" ca="1" si="279"/>
        <v>1</v>
      </c>
      <c r="Y880" s="250"/>
      <c r="Z880" s="250"/>
    </row>
    <row r="881" spans="1:26" s="111" customFormat="1" ht="25.5" x14ac:dyDescent="0.2">
      <c r="A881" s="399"/>
      <c r="B881" s="494"/>
      <c r="C881" s="312" t="s">
        <v>543</v>
      </c>
      <c r="D881" s="417">
        <v>2</v>
      </c>
      <c r="E881" s="314" t="s">
        <v>518</v>
      </c>
      <c r="F881" s="418">
        <v>0</v>
      </c>
      <c r="G881" s="417">
        <v>2</v>
      </c>
      <c r="H881" s="314" t="s">
        <v>518</v>
      </c>
      <c r="I881" s="418">
        <v>6</v>
      </c>
      <c r="J881" s="431"/>
      <c r="K881" s="421">
        <f t="shared" si="285"/>
        <v>6</v>
      </c>
      <c r="L881" s="328">
        <v>1.9</v>
      </c>
      <c r="M881" s="328"/>
      <c r="N881" s="328"/>
      <c r="O881" s="493">
        <f>K881*L881</f>
        <v>11.399999999999999</v>
      </c>
      <c r="P881" s="328"/>
      <c r="Q881" s="334"/>
      <c r="R881" s="333">
        <f t="shared" si="283"/>
        <v>11.399999999999999</v>
      </c>
      <c r="S881" s="331" t="str">
        <f t="shared" si="284"/>
        <v>m²</v>
      </c>
      <c r="T881" s="320">
        <v>42</v>
      </c>
      <c r="U881" s="424" t="s">
        <v>519</v>
      </c>
      <c r="V881" s="455">
        <f t="shared" ca="1" si="272"/>
        <v>1251.6500000000015</v>
      </c>
      <c r="W881" s="456">
        <f t="shared" ca="1" si="278"/>
        <v>2</v>
      </c>
      <c r="X881" s="456">
        <f t="shared" ca="1" si="279"/>
        <v>1</v>
      </c>
      <c r="Y881" s="250"/>
      <c r="Z881" s="250"/>
    </row>
    <row r="882" spans="1:26" s="111" customFormat="1" ht="25.5" x14ac:dyDescent="0.2">
      <c r="A882" s="399"/>
      <c r="B882" s="494"/>
      <c r="C882" s="312" t="s">
        <v>544</v>
      </c>
      <c r="D882" s="417">
        <v>2</v>
      </c>
      <c r="E882" s="314" t="s">
        <v>518</v>
      </c>
      <c r="F882" s="418">
        <v>0</v>
      </c>
      <c r="G882" s="417">
        <v>2</v>
      </c>
      <c r="H882" s="314" t="s">
        <v>518</v>
      </c>
      <c r="I882" s="418">
        <v>6</v>
      </c>
      <c r="J882" s="431"/>
      <c r="K882" s="421">
        <f t="shared" si="285"/>
        <v>6</v>
      </c>
      <c r="L882" s="328">
        <v>2.2999999999999998</v>
      </c>
      <c r="M882" s="328"/>
      <c r="N882" s="328"/>
      <c r="O882" s="493">
        <f>K882*L882</f>
        <v>13.799999999999999</v>
      </c>
      <c r="P882" s="328"/>
      <c r="Q882" s="334"/>
      <c r="R882" s="333">
        <f t="shared" si="283"/>
        <v>13.799999999999999</v>
      </c>
      <c r="S882" s="331" t="str">
        <f t="shared" si="284"/>
        <v>m²</v>
      </c>
      <c r="T882" s="320">
        <v>42</v>
      </c>
      <c r="U882" s="424" t="s">
        <v>519</v>
      </c>
      <c r="V882" s="455">
        <f t="shared" ca="1" si="272"/>
        <v>1251.6500000000015</v>
      </c>
      <c r="W882" s="456">
        <f t="shared" ca="1" si="278"/>
        <v>2</v>
      </c>
      <c r="X882" s="456">
        <f t="shared" ca="1" si="279"/>
        <v>1</v>
      </c>
      <c r="Y882" s="250"/>
      <c r="Z882" s="250"/>
    </row>
    <row r="883" spans="1:26" s="111" customFormat="1" ht="25.5" x14ac:dyDescent="0.2">
      <c r="A883" s="399"/>
      <c r="B883" s="494"/>
      <c r="C883" s="312" t="s">
        <v>545</v>
      </c>
      <c r="D883" s="417">
        <v>2</v>
      </c>
      <c r="E883" s="314" t="s">
        <v>518</v>
      </c>
      <c r="F883" s="418">
        <v>0</v>
      </c>
      <c r="G883" s="417">
        <v>2</v>
      </c>
      <c r="H883" s="314" t="s">
        <v>518</v>
      </c>
      <c r="I883" s="418">
        <v>6</v>
      </c>
      <c r="J883" s="431">
        <v>2</v>
      </c>
      <c r="K883" s="421">
        <f t="shared" si="285"/>
        <v>6</v>
      </c>
      <c r="L883" s="328">
        <v>0.28299999999999997</v>
      </c>
      <c r="M883" s="328"/>
      <c r="N883" s="328"/>
      <c r="O883" s="493">
        <f>J883*K883*L883</f>
        <v>3.3959999999999999</v>
      </c>
      <c r="P883" s="328"/>
      <c r="Q883" s="334"/>
      <c r="R883" s="333">
        <f t="shared" si="283"/>
        <v>3.3959999999999999</v>
      </c>
      <c r="S883" s="331" t="str">
        <f t="shared" si="284"/>
        <v>m²</v>
      </c>
      <c r="T883" s="320">
        <v>42</v>
      </c>
      <c r="U883" s="424" t="s">
        <v>519</v>
      </c>
      <c r="V883" s="455">
        <f t="shared" ca="1" si="272"/>
        <v>1251.6500000000015</v>
      </c>
      <c r="W883" s="456">
        <f t="shared" ca="1" si="278"/>
        <v>2</v>
      </c>
      <c r="X883" s="456">
        <f t="shared" ca="1" si="279"/>
        <v>1</v>
      </c>
      <c r="Y883" s="250"/>
      <c r="Z883" s="250"/>
    </row>
    <row r="884" spans="1:26" s="111" customFormat="1" ht="25.5" x14ac:dyDescent="0.2">
      <c r="A884" s="399"/>
      <c r="B884" s="494"/>
      <c r="C884" s="426" t="s">
        <v>546</v>
      </c>
      <c r="D884" s="417">
        <v>2</v>
      </c>
      <c r="E884" s="314" t="s">
        <v>518</v>
      </c>
      <c r="F884" s="418">
        <v>0</v>
      </c>
      <c r="G884" s="417">
        <v>2</v>
      </c>
      <c r="H884" s="314" t="s">
        <v>518</v>
      </c>
      <c r="I884" s="418">
        <v>6</v>
      </c>
      <c r="J884" s="431"/>
      <c r="K884" s="421">
        <f t="shared" si="285"/>
        <v>6</v>
      </c>
      <c r="L884" s="328">
        <v>6</v>
      </c>
      <c r="M884" s="328"/>
      <c r="N884" s="328"/>
      <c r="O884" s="493">
        <f>K884*L884</f>
        <v>36</v>
      </c>
      <c r="P884" s="328"/>
      <c r="Q884" s="334"/>
      <c r="R884" s="333">
        <f t="shared" si="283"/>
        <v>36</v>
      </c>
      <c r="S884" s="331" t="str">
        <f t="shared" si="284"/>
        <v>m²</v>
      </c>
      <c r="T884" s="320">
        <v>42</v>
      </c>
      <c r="U884" s="424" t="s">
        <v>519</v>
      </c>
      <c r="V884" s="455">
        <f t="shared" ca="1" si="272"/>
        <v>1251.6500000000015</v>
      </c>
      <c r="W884" s="456">
        <f t="shared" ref="W884:W890" ca="1" si="286">IF(LEFT(_xlfn.FORMULATEXT(V884),3)="=SO",1,IF(COUNTA(A884:U884)=0,0,2))</f>
        <v>2</v>
      </c>
      <c r="X884" s="456">
        <f t="shared" ref="X884:X890" ca="1" si="287">IF(COUNTA(OFFSET(A883,1,0))-COUNTA(A883)=-1,0,1)</f>
        <v>1</v>
      </c>
      <c r="Y884" s="250"/>
      <c r="Z884" s="250"/>
    </row>
    <row r="885" spans="1:26" s="111" customFormat="1" ht="25.5" x14ac:dyDescent="0.2">
      <c r="A885" s="399"/>
      <c r="B885" s="494"/>
      <c r="C885" s="312" t="s">
        <v>547</v>
      </c>
      <c r="D885" s="417">
        <v>2</v>
      </c>
      <c r="E885" s="314" t="s">
        <v>518</v>
      </c>
      <c r="F885" s="418">
        <v>0</v>
      </c>
      <c r="G885" s="417">
        <v>2</v>
      </c>
      <c r="H885" s="314" t="s">
        <v>518</v>
      </c>
      <c r="I885" s="418">
        <v>6</v>
      </c>
      <c r="J885" s="431">
        <f>ROUNDUP(K885/20,0)+1</f>
        <v>2</v>
      </c>
      <c r="K885" s="421">
        <f>ABS((G885*20+I885)-(D885*20+F885))</f>
        <v>6</v>
      </c>
      <c r="L885" s="328">
        <v>6</v>
      </c>
      <c r="M885" s="328">
        <v>0.25</v>
      </c>
      <c r="N885" s="328"/>
      <c r="O885" s="493">
        <f>M885*L885*J885</f>
        <v>3</v>
      </c>
      <c r="P885" s="328"/>
      <c r="Q885" s="334"/>
      <c r="R885" s="333">
        <f t="shared" si="283"/>
        <v>3</v>
      </c>
      <c r="S885" s="331" t="str">
        <f t="shared" si="284"/>
        <v>m²</v>
      </c>
      <c r="T885" s="320">
        <v>42</v>
      </c>
      <c r="U885" s="424" t="s">
        <v>519</v>
      </c>
      <c r="V885" s="455">
        <f t="shared" ca="1" si="272"/>
        <v>1251.6500000000015</v>
      </c>
      <c r="W885" s="456">
        <f t="shared" ca="1" si="286"/>
        <v>2</v>
      </c>
      <c r="X885" s="456">
        <f t="shared" ca="1" si="287"/>
        <v>1</v>
      </c>
      <c r="Y885" s="250"/>
      <c r="Z885" s="250"/>
    </row>
    <row r="886" spans="1:26" s="111" customFormat="1" ht="25.5" x14ac:dyDescent="0.2">
      <c r="A886" s="399"/>
      <c r="B886" s="494"/>
      <c r="C886" s="312" t="s">
        <v>548</v>
      </c>
      <c r="D886" s="417">
        <v>2</v>
      </c>
      <c r="E886" s="314" t="s">
        <v>518</v>
      </c>
      <c r="F886" s="418">
        <v>0</v>
      </c>
      <c r="G886" s="417">
        <v>2</v>
      </c>
      <c r="H886" s="314" t="s">
        <v>518</v>
      </c>
      <c r="I886" s="418">
        <v>6</v>
      </c>
      <c r="J886" s="431">
        <v>2</v>
      </c>
      <c r="K886" s="421">
        <f>ABS((G886*20+I886)-(D886*20+F886))</f>
        <v>6</v>
      </c>
      <c r="L886" s="328"/>
      <c r="M886" s="328">
        <v>0.25</v>
      </c>
      <c r="N886" s="328"/>
      <c r="O886" s="493">
        <f>M886*K886*J886</f>
        <v>3</v>
      </c>
      <c r="P886" s="328"/>
      <c r="Q886" s="334"/>
      <c r="R886" s="333">
        <f t="shared" si="283"/>
        <v>3</v>
      </c>
      <c r="S886" s="331" t="str">
        <f t="shared" si="284"/>
        <v>m²</v>
      </c>
      <c r="T886" s="320">
        <v>42</v>
      </c>
      <c r="U886" s="424" t="s">
        <v>519</v>
      </c>
      <c r="V886" s="455">
        <f t="shared" ca="1" si="272"/>
        <v>1251.6500000000015</v>
      </c>
      <c r="W886" s="456">
        <f t="shared" ca="1" si="286"/>
        <v>2</v>
      </c>
      <c r="X886" s="456">
        <f t="shared" ca="1" si="287"/>
        <v>1</v>
      </c>
      <c r="Y886" s="250"/>
      <c r="Z886" s="250"/>
    </row>
    <row r="887" spans="1:26" s="111" customFormat="1" ht="15" x14ac:dyDescent="0.2">
      <c r="A887" s="399"/>
      <c r="B887" s="494"/>
      <c r="C887" s="495"/>
      <c r="D887" s="417"/>
      <c r="E887" s="314"/>
      <c r="F887" s="418"/>
      <c r="G887" s="417"/>
      <c r="H887" s="314"/>
      <c r="I887" s="418"/>
      <c r="J887" s="499"/>
      <c r="K887" s="500"/>
      <c r="L887" s="501"/>
      <c r="M887" s="501"/>
      <c r="N887" s="501"/>
      <c r="O887" s="502"/>
      <c r="P887" s="501"/>
      <c r="Q887" s="1098"/>
      <c r="R887" s="1111"/>
      <c r="S887" s="505"/>
      <c r="T887" s="320"/>
      <c r="U887" s="507"/>
      <c r="V887" s="455">
        <f t="shared" ca="1" si="272"/>
        <v>1251.6500000000015</v>
      </c>
      <c r="W887" s="456">
        <f t="shared" ca="1" si="286"/>
        <v>0</v>
      </c>
      <c r="X887" s="456">
        <f t="shared" ca="1" si="287"/>
        <v>1</v>
      </c>
      <c r="Y887" s="250"/>
      <c r="Z887" s="250"/>
    </row>
    <row r="888" spans="1:26" s="111" customFormat="1" ht="15.75" x14ac:dyDescent="0.2">
      <c r="A888" s="399"/>
      <c r="B888" s="494"/>
      <c r="C888" s="434" t="s">
        <v>532</v>
      </c>
      <c r="D888" s="417"/>
      <c r="E888" s="314"/>
      <c r="F888" s="418"/>
      <c r="G888" s="419"/>
      <c r="H888" s="316"/>
      <c r="I888" s="420"/>
      <c r="J888" s="431"/>
      <c r="K888" s="433"/>
      <c r="L888" s="433"/>
      <c r="M888" s="433"/>
      <c r="N888" s="328"/>
      <c r="O888" s="328"/>
      <c r="P888" s="328"/>
      <c r="Q888" s="334"/>
      <c r="R888" s="333"/>
      <c r="S888" s="331"/>
      <c r="T888" s="320">
        <v>43</v>
      </c>
      <c r="U888" s="335"/>
      <c r="V888" s="455">
        <f t="shared" ca="1" si="272"/>
        <v>1251.6500000000015</v>
      </c>
      <c r="W888" s="456">
        <f t="shared" ca="1" si="286"/>
        <v>2</v>
      </c>
      <c r="X888" s="456">
        <f t="shared" ca="1" si="287"/>
        <v>1</v>
      </c>
      <c r="Y888" s="250"/>
      <c r="Z888" s="250"/>
    </row>
    <row r="889" spans="1:26" s="111" customFormat="1" ht="25.5" x14ac:dyDescent="0.2">
      <c r="A889" s="399"/>
      <c r="B889" s="494"/>
      <c r="C889" s="312" t="s">
        <v>536</v>
      </c>
      <c r="D889" s="419">
        <v>42</v>
      </c>
      <c r="E889" s="316" t="s">
        <v>518</v>
      </c>
      <c r="F889" s="420">
        <v>3</v>
      </c>
      <c r="G889" s="419">
        <v>45</v>
      </c>
      <c r="H889" s="316" t="s">
        <v>518</v>
      </c>
      <c r="I889" s="420">
        <v>6</v>
      </c>
      <c r="J889" s="431">
        <v>2</v>
      </c>
      <c r="K889" s="421">
        <f t="shared" ref="K889:K897" si="288">ABS((G889*20+I889)-(D889*20+F889))</f>
        <v>63</v>
      </c>
      <c r="L889" s="328"/>
      <c r="M889" s="328">
        <v>0.35</v>
      </c>
      <c r="N889" s="328"/>
      <c r="O889" s="493">
        <f>M889*K889*J889</f>
        <v>44.099999999999994</v>
      </c>
      <c r="P889" s="328"/>
      <c r="Q889" s="334"/>
      <c r="R889" s="333">
        <f t="shared" ref="R889:R897" si="289">O889</f>
        <v>44.099999999999994</v>
      </c>
      <c r="S889" s="331" t="str">
        <f t="shared" ref="S889:S897" si="290">$L$944</f>
        <v>m²</v>
      </c>
      <c r="T889" s="320">
        <v>43</v>
      </c>
      <c r="U889" s="424" t="s">
        <v>519</v>
      </c>
      <c r="V889" s="455">
        <f t="shared" ca="1" si="272"/>
        <v>1251.6500000000015</v>
      </c>
      <c r="W889" s="456">
        <f t="shared" ca="1" si="286"/>
        <v>2</v>
      </c>
      <c r="X889" s="456">
        <f t="shared" ca="1" si="287"/>
        <v>1</v>
      </c>
      <c r="Y889" s="250"/>
      <c r="Z889" s="250"/>
    </row>
    <row r="890" spans="1:26" s="111" customFormat="1" ht="25.5" x14ac:dyDescent="0.2">
      <c r="A890" s="399"/>
      <c r="B890" s="494"/>
      <c r="C890" s="312" t="s">
        <v>537</v>
      </c>
      <c r="D890" s="419">
        <v>42</v>
      </c>
      <c r="E890" s="316" t="s">
        <v>518</v>
      </c>
      <c r="F890" s="420">
        <v>3</v>
      </c>
      <c r="G890" s="419">
        <v>45</v>
      </c>
      <c r="H890" s="316" t="s">
        <v>518</v>
      </c>
      <c r="I890" s="420">
        <v>6</v>
      </c>
      <c r="J890" s="431">
        <f>ROUNDUP(K890/30,0)+1</f>
        <v>4</v>
      </c>
      <c r="K890" s="421">
        <f t="shared" si="288"/>
        <v>63</v>
      </c>
      <c r="L890" s="328">
        <v>12</v>
      </c>
      <c r="M890" s="328">
        <v>0.25</v>
      </c>
      <c r="N890" s="328"/>
      <c r="O890" s="493">
        <f>M890*L890*J890</f>
        <v>12</v>
      </c>
      <c r="P890" s="328"/>
      <c r="Q890" s="334"/>
      <c r="R890" s="333">
        <f t="shared" si="289"/>
        <v>12</v>
      </c>
      <c r="S890" s="331" t="str">
        <f t="shared" si="290"/>
        <v>m²</v>
      </c>
      <c r="T890" s="320">
        <v>43</v>
      </c>
      <c r="U890" s="424" t="s">
        <v>519</v>
      </c>
      <c r="V890" s="455">
        <f t="shared" ca="1" si="272"/>
        <v>1251.6500000000015</v>
      </c>
      <c r="W890" s="456">
        <f t="shared" ca="1" si="286"/>
        <v>2</v>
      </c>
      <c r="X890" s="456">
        <f t="shared" ca="1" si="287"/>
        <v>1</v>
      </c>
      <c r="Y890" s="250"/>
      <c r="Z890" s="250"/>
    </row>
    <row r="891" spans="1:26" s="111" customFormat="1" ht="25.5" x14ac:dyDescent="0.2">
      <c r="A891" s="399"/>
      <c r="B891" s="494"/>
      <c r="C891" s="312" t="s">
        <v>538</v>
      </c>
      <c r="D891" s="419">
        <v>42</v>
      </c>
      <c r="E891" s="316" t="s">
        <v>518</v>
      </c>
      <c r="F891" s="420">
        <v>3</v>
      </c>
      <c r="G891" s="419">
        <v>45</v>
      </c>
      <c r="H891" s="316" t="s">
        <v>518</v>
      </c>
      <c r="I891" s="420">
        <v>6</v>
      </c>
      <c r="J891" s="431">
        <v>2</v>
      </c>
      <c r="K891" s="421">
        <f t="shared" si="288"/>
        <v>63</v>
      </c>
      <c r="L891" s="328"/>
      <c r="M891" s="328">
        <v>0.25</v>
      </c>
      <c r="N891" s="328"/>
      <c r="O891" s="493">
        <f>M891*K891*J891</f>
        <v>31.5</v>
      </c>
      <c r="P891" s="328"/>
      <c r="Q891" s="334"/>
      <c r="R891" s="333">
        <f t="shared" si="289"/>
        <v>31.5</v>
      </c>
      <c r="S891" s="331" t="str">
        <f t="shared" si="290"/>
        <v>m²</v>
      </c>
      <c r="T891" s="320">
        <v>43</v>
      </c>
      <c r="U891" s="424" t="s">
        <v>519</v>
      </c>
      <c r="V891" s="455">
        <f t="shared" ca="1" si="272"/>
        <v>1251.6500000000015</v>
      </c>
      <c r="W891" s="456">
        <f t="shared" ref="W891:W895" ca="1" si="291">IF(LEFT(_xlfn.FORMULATEXT(V891),3)="=SO",1,IF(COUNTA(A891:U891)=0,0,2))</f>
        <v>2</v>
      </c>
      <c r="X891" s="456">
        <f t="shared" ref="X891:X895" ca="1" si="292">IF(COUNTA(OFFSET(A890,1,0))-COUNTA(A890)=-1,0,1)</f>
        <v>1</v>
      </c>
      <c r="Y891" s="250"/>
      <c r="Z891" s="250"/>
    </row>
    <row r="892" spans="1:26" s="111" customFormat="1" ht="25.5" x14ac:dyDescent="0.2">
      <c r="A892" s="399"/>
      <c r="B892" s="494"/>
      <c r="C892" s="312" t="s">
        <v>539</v>
      </c>
      <c r="D892" s="419">
        <v>42</v>
      </c>
      <c r="E892" s="316" t="s">
        <v>518</v>
      </c>
      <c r="F892" s="420">
        <v>3</v>
      </c>
      <c r="G892" s="419">
        <v>45</v>
      </c>
      <c r="H892" s="316" t="s">
        <v>518</v>
      </c>
      <c r="I892" s="420">
        <v>6</v>
      </c>
      <c r="J892" s="431">
        <v>2</v>
      </c>
      <c r="K892" s="421">
        <f t="shared" si="288"/>
        <v>63</v>
      </c>
      <c r="L892" s="328">
        <v>0.28299999999999997</v>
      </c>
      <c r="M892" s="328"/>
      <c r="N892" s="328"/>
      <c r="O892" s="493">
        <f>J892*K892*L892</f>
        <v>35.657999999999994</v>
      </c>
      <c r="P892" s="328"/>
      <c r="Q892" s="334"/>
      <c r="R892" s="333">
        <f t="shared" si="289"/>
        <v>35.657999999999994</v>
      </c>
      <c r="S892" s="331" t="str">
        <f t="shared" si="290"/>
        <v>m²</v>
      </c>
      <c r="T892" s="320">
        <v>43</v>
      </c>
      <c r="U892" s="424" t="s">
        <v>519</v>
      </c>
      <c r="V892" s="455">
        <f t="shared" ca="1" si="272"/>
        <v>1251.6500000000015</v>
      </c>
      <c r="W892" s="456">
        <f t="shared" ca="1" si="291"/>
        <v>2</v>
      </c>
      <c r="X892" s="456">
        <f t="shared" ca="1" si="292"/>
        <v>1</v>
      </c>
      <c r="Y892" s="250"/>
      <c r="Z892" s="250"/>
    </row>
    <row r="893" spans="1:26" s="111" customFormat="1" ht="25.5" x14ac:dyDescent="0.2">
      <c r="A893" s="399"/>
      <c r="B893" s="494"/>
      <c r="C893" s="312" t="s">
        <v>540</v>
      </c>
      <c r="D893" s="419">
        <v>42</v>
      </c>
      <c r="E893" s="316" t="s">
        <v>518</v>
      </c>
      <c r="F893" s="420">
        <v>3</v>
      </c>
      <c r="G893" s="419">
        <v>45</v>
      </c>
      <c r="H893" s="316" t="s">
        <v>518</v>
      </c>
      <c r="I893" s="420">
        <v>6</v>
      </c>
      <c r="J893" s="431">
        <f>(ROUNDUP(K893/30,0)+1)*2</f>
        <v>8</v>
      </c>
      <c r="K893" s="421">
        <f t="shared" si="288"/>
        <v>63</v>
      </c>
      <c r="L893" s="328"/>
      <c r="M893" s="328"/>
      <c r="N893" s="493">
        <f>(2.3*0.25)+((0.2*0.2)/2)</f>
        <v>0.59499999999999997</v>
      </c>
      <c r="O893" s="493">
        <f>N893*J893</f>
        <v>4.76</v>
      </c>
      <c r="P893" s="328"/>
      <c r="Q893" s="334"/>
      <c r="R893" s="333">
        <f t="shared" si="289"/>
        <v>4.76</v>
      </c>
      <c r="S893" s="331" t="str">
        <f t="shared" si="290"/>
        <v>m²</v>
      </c>
      <c r="T893" s="320">
        <v>43</v>
      </c>
      <c r="U893" s="424" t="s">
        <v>519</v>
      </c>
      <c r="V893" s="455">
        <f t="shared" ca="1" si="272"/>
        <v>1251.6500000000015</v>
      </c>
      <c r="W893" s="456">
        <f t="shared" ca="1" si="291"/>
        <v>2</v>
      </c>
      <c r="X893" s="456">
        <f t="shared" ca="1" si="292"/>
        <v>1</v>
      </c>
      <c r="Y893" s="250"/>
      <c r="Z893" s="250"/>
    </row>
    <row r="894" spans="1:26" s="111" customFormat="1" ht="25.5" x14ac:dyDescent="0.2">
      <c r="A894" s="399"/>
      <c r="B894" s="494"/>
      <c r="C894" s="312" t="s">
        <v>541</v>
      </c>
      <c r="D894" s="419">
        <v>42</v>
      </c>
      <c r="E894" s="316" t="s">
        <v>518</v>
      </c>
      <c r="F894" s="420">
        <v>3</v>
      </c>
      <c r="G894" s="419">
        <v>45</v>
      </c>
      <c r="H894" s="316" t="s">
        <v>518</v>
      </c>
      <c r="I894" s="420">
        <v>6</v>
      </c>
      <c r="J894" s="431"/>
      <c r="K894" s="421">
        <f t="shared" si="288"/>
        <v>63</v>
      </c>
      <c r="L894" s="328">
        <v>2.8</v>
      </c>
      <c r="M894" s="328"/>
      <c r="N894" s="328"/>
      <c r="O894" s="493">
        <f>K894*L894</f>
        <v>176.39999999999998</v>
      </c>
      <c r="P894" s="328"/>
      <c r="Q894" s="334"/>
      <c r="R894" s="333">
        <f t="shared" si="289"/>
        <v>176.39999999999998</v>
      </c>
      <c r="S894" s="331" t="str">
        <f t="shared" si="290"/>
        <v>m²</v>
      </c>
      <c r="T894" s="320">
        <v>43</v>
      </c>
      <c r="U894" s="424" t="s">
        <v>519</v>
      </c>
      <c r="V894" s="455">
        <f t="shared" ca="1" si="272"/>
        <v>1251.6500000000015</v>
      </c>
      <c r="W894" s="456">
        <f t="shared" ca="1" si="291"/>
        <v>2</v>
      </c>
      <c r="X894" s="456">
        <f t="shared" ca="1" si="292"/>
        <v>1</v>
      </c>
      <c r="Y894" s="250"/>
      <c r="Z894" s="250"/>
    </row>
    <row r="895" spans="1:26" s="111" customFormat="1" ht="25.5" x14ac:dyDescent="0.2">
      <c r="A895" s="399"/>
      <c r="B895" s="494"/>
      <c r="C895" s="312" t="s">
        <v>542</v>
      </c>
      <c r="D895" s="419">
        <v>42</v>
      </c>
      <c r="E895" s="316" t="s">
        <v>518</v>
      </c>
      <c r="F895" s="420">
        <v>3</v>
      </c>
      <c r="G895" s="419">
        <v>45</v>
      </c>
      <c r="H895" s="316" t="s">
        <v>518</v>
      </c>
      <c r="I895" s="420">
        <v>6</v>
      </c>
      <c r="J895" s="431"/>
      <c r="K895" s="421">
        <f t="shared" si="288"/>
        <v>63</v>
      </c>
      <c r="L895" s="328">
        <v>3.25</v>
      </c>
      <c r="M895" s="328"/>
      <c r="N895" s="328"/>
      <c r="O895" s="493">
        <f>K895*L895</f>
        <v>204.75</v>
      </c>
      <c r="P895" s="328"/>
      <c r="Q895" s="334"/>
      <c r="R895" s="333">
        <f t="shared" si="289"/>
        <v>204.75</v>
      </c>
      <c r="S895" s="331" t="str">
        <f t="shared" si="290"/>
        <v>m²</v>
      </c>
      <c r="T895" s="320">
        <v>43</v>
      </c>
      <c r="U895" s="424" t="s">
        <v>519</v>
      </c>
      <c r="V895" s="455">
        <f t="shared" ca="1" si="272"/>
        <v>1251.6500000000015</v>
      </c>
      <c r="W895" s="456">
        <f t="shared" ca="1" si="291"/>
        <v>2</v>
      </c>
      <c r="X895" s="456">
        <f t="shared" ca="1" si="292"/>
        <v>1</v>
      </c>
      <c r="Y895" s="250"/>
      <c r="Z895" s="250"/>
    </row>
    <row r="896" spans="1:26" s="111" customFormat="1" ht="25.5" x14ac:dyDescent="0.2">
      <c r="A896" s="399"/>
      <c r="B896" s="494"/>
      <c r="C896" s="312" t="s">
        <v>543</v>
      </c>
      <c r="D896" s="419">
        <v>42</v>
      </c>
      <c r="E896" s="316" t="s">
        <v>518</v>
      </c>
      <c r="F896" s="420">
        <v>3</v>
      </c>
      <c r="G896" s="419">
        <v>45</v>
      </c>
      <c r="H896" s="316" t="s">
        <v>518</v>
      </c>
      <c r="I896" s="420">
        <v>6</v>
      </c>
      <c r="J896" s="431"/>
      <c r="K896" s="421">
        <f t="shared" si="288"/>
        <v>63</v>
      </c>
      <c r="L896" s="328">
        <v>2.8</v>
      </c>
      <c r="M896" s="328"/>
      <c r="N896" s="328"/>
      <c r="O896" s="493">
        <f>K896*L896</f>
        <v>176.39999999999998</v>
      </c>
      <c r="P896" s="328"/>
      <c r="Q896" s="334"/>
      <c r="R896" s="333">
        <f t="shared" si="289"/>
        <v>176.39999999999998</v>
      </c>
      <c r="S896" s="331" t="str">
        <f t="shared" si="290"/>
        <v>m²</v>
      </c>
      <c r="T896" s="320">
        <v>43</v>
      </c>
      <c r="U896" s="424" t="s">
        <v>519</v>
      </c>
      <c r="V896" s="455">
        <f t="shared" ca="1" si="272"/>
        <v>1251.6500000000015</v>
      </c>
      <c r="W896" s="456">
        <f t="shared" ref="W896:W910" ca="1" si="293">IF(LEFT(_xlfn.FORMULATEXT(V896),3)="=SO",1,IF(COUNTA(A896:U896)=0,0,2))</f>
        <v>2</v>
      </c>
      <c r="X896" s="456">
        <f t="shared" ref="X896:X910" ca="1" si="294">IF(COUNTA(OFFSET(A895,1,0))-COUNTA(A895)=-1,0,1)</f>
        <v>1</v>
      </c>
      <c r="Y896" s="250"/>
      <c r="Z896" s="250"/>
    </row>
    <row r="897" spans="1:26" s="111" customFormat="1" ht="25.5" x14ac:dyDescent="0.2">
      <c r="A897" s="399"/>
      <c r="B897" s="494"/>
      <c r="C897" s="495" t="s">
        <v>544</v>
      </c>
      <c r="D897" s="419">
        <v>42</v>
      </c>
      <c r="E897" s="316" t="s">
        <v>518</v>
      </c>
      <c r="F897" s="420">
        <v>3</v>
      </c>
      <c r="G897" s="419">
        <v>45</v>
      </c>
      <c r="H897" s="316" t="s">
        <v>518</v>
      </c>
      <c r="I897" s="420">
        <v>6</v>
      </c>
      <c r="J897" s="499"/>
      <c r="K897" s="508">
        <f t="shared" si="288"/>
        <v>63</v>
      </c>
      <c r="L897" s="501">
        <v>3.25</v>
      </c>
      <c r="M897" s="501"/>
      <c r="N897" s="501"/>
      <c r="O897" s="502">
        <f>K897*L897</f>
        <v>204.75</v>
      </c>
      <c r="P897" s="501"/>
      <c r="Q897" s="1098"/>
      <c r="R897" s="1111">
        <f t="shared" si="289"/>
        <v>204.75</v>
      </c>
      <c r="S897" s="331" t="str">
        <f t="shared" si="290"/>
        <v>m²</v>
      </c>
      <c r="T897" s="320">
        <v>43</v>
      </c>
      <c r="U897" s="507" t="s">
        <v>519</v>
      </c>
      <c r="V897" s="455">
        <f t="shared" ca="1" si="272"/>
        <v>1251.6500000000015</v>
      </c>
      <c r="W897" s="456">
        <f t="shared" ca="1" si="293"/>
        <v>2</v>
      </c>
      <c r="X897" s="456">
        <f t="shared" ca="1" si="294"/>
        <v>1</v>
      </c>
      <c r="Y897" s="250"/>
      <c r="Z897" s="250"/>
    </row>
    <row r="898" spans="1:26" s="111" customFormat="1" ht="15" x14ac:dyDescent="0.2">
      <c r="A898" s="399"/>
      <c r="B898" s="494"/>
      <c r="C898" s="495"/>
      <c r="D898" s="419"/>
      <c r="E898" s="316"/>
      <c r="F898" s="420"/>
      <c r="G898" s="419"/>
      <c r="H898" s="316"/>
      <c r="I898" s="420"/>
      <c r="J898" s="499"/>
      <c r="K898" s="1041"/>
      <c r="L898" s="501"/>
      <c r="M898" s="501"/>
      <c r="N898" s="501"/>
      <c r="O898" s="502"/>
      <c r="P898" s="501"/>
      <c r="Q898" s="1098"/>
      <c r="R898" s="1111"/>
      <c r="S898" s="331"/>
      <c r="T898" s="320"/>
      <c r="U898" s="507"/>
      <c r="V898" s="455">
        <f t="shared" ca="1" si="272"/>
        <v>1251.6500000000015</v>
      </c>
      <c r="W898" s="456">
        <f t="shared" ca="1" si="293"/>
        <v>0</v>
      </c>
      <c r="X898" s="456">
        <f t="shared" ca="1" si="294"/>
        <v>1</v>
      </c>
      <c r="Y898" s="250"/>
      <c r="Z898" s="250"/>
    </row>
    <row r="899" spans="1:26" s="111" customFormat="1" ht="15.75" x14ac:dyDescent="0.2">
      <c r="A899" s="399"/>
      <c r="B899" s="494"/>
      <c r="C899" s="434" t="s">
        <v>516</v>
      </c>
      <c r="D899" s="417">
        <v>1</v>
      </c>
      <c r="E899" s="314" t="s">
        <v>518</v>
      </c>
      <c r="F899" s="418">
        <v>8</v>
      </c>
      <c r="G899" s="417">
        <v>2</v>
      </c>
      <c r="H899" s="314" t="s">
        <v>518</v>
      </c>
      <c r="I899" s="418">
        <v>0</v>
      </c>
      <c r="J899" s="491"/>
      <c r="K899" s="433"/>
      <c r="L899" s="433"/>
      <c r="M899" s="433"/>
      <c r="N899" s="328"/>
      <c r="O899" s="328"/>
      <c r="P899" s="328"/>
      <c r="Q899" s="334"/>
      <c r="R899" s="333"/>
      <c r="S899" s="331"/>
      <c r="T899" s="320">
        <v>43</v>
      </c>
      <c r="U899" s="335"/>
      <c r="V899" s="455">
        <f t="shared" ca="1" si="272"/>
        <v>1251.6500000000015</v>
      </c>
      <c r="W899" s="456">
        <f t="shared" ca="1" si="293"/>
        <v>2</v>
      </c>
      <c r="X899" s="456">
        <f t="shared" ca="1" si="294"/>
        <v>1</v>
      </c>
      <c r="Y899" s="250"/>
      <c r="Z899" s="250"/>
    </row>
    <row r="900" spans="1:26" s="111" customFormat="1" ht="25.5" x14ac:dyDescent="0.2">
      <c r="A900" s="399"/>
      <c r="B900" s="494"/>
      <c r="C900" s="312" t="s">
        <v>536</v>
      </c>
      <c r="D900" s="417">
        <v>1</v>
      </c>
      <c r="E900" s="314" t="s">
        <v>518</v>
      </c>
      <c r="F900" s="418">
        <v>8</v>
      </c>
      <c r="G900" s="417">
        <v>2</v>
      </c>
      <c r="H900" s="314" t="s">
        <v>518</v>
      </c>
      <c r="I900" s="418">
        <v>0</v>
      </c>
      <c r="J900" s="431">
        <v>2</v>
      </c>
      <c r="K900" s="421">
        <f>ABS((G900*20+I900)-(D900*20+F900))</f>
        <v>12</v>
      </c>
      <c r="L900" s="328"/>
      <c r="M900" s="328">
        <v>0.35</v>
      </c>
      <c r="N900" s="328"/>
      <c r="O900" s="493">
        <f>M900*K900*J900</f>
        <v>8.3999999999999986</v>
      </c>
      <c r="P900" s="328"/>
      <c r="Q900" s="334"/>
      <c r="R900" s="333">
        <f t="shared" ref="R900:R912" si="295">O900</f>
        <v>8.3999999999999986</v>
      </c>
      <c r="S900" s="331" t="str">
        <f t="shared" ref="S900:S912" si="296">$L$944</f>
        <v>m²</v>
      </c>
      <c r="T900" s="320">
        <v>43</v>
      </c>
      <c r="U900" s="424" t="s">
        <v>519</v>
      </c>
      <c r="V900" s="455">
        <f t="shared" ca="1" si="272"/>
        <v>1251.6500000000015</v>
      </c>
      <c r="W900" s="456">
        <f t="shared" ca="1" si="293"/>
        <v>2</v>
      </c>
      <c r="X900" s="456">
        <f t="shared" ca="1" si="294"/>
        <v>1</v>
      </c>
      <c r="Y900" s="250"/>
      <c r="Z900" s="250"/>
    </row>
    <row r="901" spans="1:26" s="111" customFormat="1" ht="25.5" x14ac:dyDescent="0.2">
      <c r="A901" s="399"/>
      <c r="B901" s="494"/>
      <c r="C901" s="312" t="s">
        <v>537</v>
      </c>
      <c r="D901" s="417">
        <v>1</v>
      </c>
      <c r="E901" s="314" t="s">
        <v>518</v>
      </c>
      <c r="F901" s="418">
        <v>8</v>
      </c>
      <c r="G901" s="417">
        <v>2</v>
      </c>
      <c r="H901" s="314" t="s">
        <v>518</v>
      </c>
      <c r="I901" s="418">
        <v>0</v>
      </c>
      <c r="J901" s="431">
        <f>ROUNDUP(K901/30,0)+1</f>
        <v>2</v>
      </c>
      <c r="K901" s="421">
        <f>ABS((G901*20+I901)-(D901*20+F901))</f>
        <v>12</v>
      </c>
      <c r="L901" s="328">
        <v>6</v>
      </c>
      <c r="M901" s="328">
        <v>0.25</v>
      </c>
      <c r="N901" s="328"/>
      <c r="O901" s="493">
        <f>M901*L901*J901</f>
        <v>3</v>
      </c>
      <c r="P901" s="328"/>
      <c r="Q901" s="334"/>
      <c r="R901" s="333">
        <f t="shared" si="295"/>
        <v>3</v>
      </c>
      <c r="S901" s="331" t="str">
        <f t="shared" si="296"/>
        <v>m²</v>
      </c>
      <c r="T901" s="320">
        <v>43</v>
      </c>
      <c r="U901" s="424" t="s">
        <v>519</v>
      </c>
      <c r="V901" s="455">
        <f t="shared" ca="1" si="272"/>
        <v>1251.6500000000015</v>
      </c>
      <c r="W901" s="456">
        <f t="shared" ca="1" si="293"/>
        <v>2</v>
      </c>
      <c r="X901" s="456">
        <f t="shared" ca="1" si="294"/>
        <v>1</v>
      </c>
      <c r="Y901" s="250"/>
      <c r="Z901" s="250"/>
    </row>
    <row r="902" spans="1:26" s="111" customFormat="1" ht="25.5" x14ac:dyDescent="0.2">
      <c r="A902" s="399"/>
      <c r="B902" s="494"/>
      <c r="C902" s="312" t="s">
        <v>538</v>
      </c>
      <c r="D902" s="417">
        <v>1</v>
      </c>
      <c r="E902" s="314" t="s">
        <v>518</v>
      </c>
      <c r="F902" s="418">
        <v>8</v>
      </c>
      <c r="G902" s="417">
        <v>2</v>
      </c>
      <c r="H902" s="314" t="s">
        <v>518</v>
      </c>
      <c r="I902" s="418">
        <v>0</v>
      </c>
      <c r="J902" s="431">
        <v>2</v>
      </c>
      <c r="K902" s="421">
        <f>ABS((G902*20+I902)-(D902*20+F902))</f>
        <v>12</v>
      </c>
      <c r="L902" s="328"/>
      <c r="M902" s="328">
        <v>0.25</v>
      </c>
      <c r="N902" s="328"/>
      <c r="O902" s="493">
        <f>M902*K902*J902</f>
        <v>6</v>
      </c>
      <c r="P902" s="328"/>
      <c r="Q902" s="334"/>
      <c r="R902" s="333">
        <f t="shared" si="295"/>
        <v>6</v>
      </c>
      <c r="S902" s="331" t="str">
        <f t="shared" si="296"/>
        <v>m²</v>
      </c>
      <c r="T902" s="320">
        <v>43</v>
      </c>
      <c r="U902" s="424" t="s">
        <v>519</v>
      </c>
      <c r="V902" s="455">
        <f t="shared" ca="1" si="272"/>
        <v>1251.6500000000015</v>
      </c>
      <c r="W902" s="456">
        <f t="shared" ca="1" si="293"/>
        <v>2</v>
      </c>
      <c r="X902" s="456">
        <f t="shared" ca="1" si="294"/>
        <v>1</v>
      </c>
      <c r="Y902" s="250"/>
      <c r="Z902" s="250"/>
    </row>
    <row r="903" spans="1:26" s="111" customFormat="1" ht="25.5" x14ac:dyDescent="0.2">
      <c r="A903" s="399"/>
      <c r="B903" s="494"/>
      <c r="C903" s="312" t="s">
        <v>539</v>
      </c>
      <c r="D903" s="417">
        <v>1</v>
      </c>
      <c r="E903" s="314" t="s">
        <v>518</v>
      </c>
      <c r="F903" s="418">
        <v>8</v>
      </c>
      <c r="G903" s="417">
        <v>2</v>
      </c>
      <c r="H903" s="314" t="s">
        <v>518</v>
      </c>
      <c r="I903" s="418">
        <v>0</v>
      </c>
      <c r="J903" s="431">
        <v>2</v>
      </c>
      <c r="K903" s="421">
        <f>ABS((G903*20+I903)-(D903*20+F903))</f>
        <v>12</v>
      </c>
      <c r="L903" s="328">
        <v>0.28299999999999997</v>
      </c>
      <c r="M903" s="328"/>
      <c r="N903" s="328"/>
      <c r="O903" s="493">
        <f>J903*K903*L903</f>
        <v>6.7919999999999998</v>
      </c>
      <c r="P903" s="328"/>
      <c r="Q903" s="334"/>
      <c r="R903" s="333">
        <f t="shared" si="295"/>
        <v>6.7919999999999998</v>
      </c>
      <c r="S903" s="331" t="str">
        <f t="shared" si="296"/>
        <v>m²</v>
      </c>
      <c r="T903" s="320">
        <v>43</v>
      </c>
      <c r="U903" s="424" t="s">
        <v>519</v>
      </c>
      <c r="V903" s="455">
        <f t="shared" ca="1" si="272"/>
        <v>1251.6500000000015</v>
      </c>
      <c r="W903" s="456">
        <f t="shared" ca="1" si="293"/>
        <v>2</v>
      </c>
      <c r="X903" s="456">
        <f t="shared" ca="1" si="294"/>
        <v>1</v>
      </c>
      <c r="Y903" s="250"/>
      <c r="Z903" s="250"/>
    </row>
    <row r="904" spans="1:26" s="111" customFormat="1" ht="25.5" x14ac:dyDescent="0.2">
      <c r="A904" s="399"/>
      <c r="B904" s="494"/>
      <c r="C904" s="312" t="s">
        <v>540</v>
      </c>
      <c r="D904" s="417">
        <v>1</v>
      </c>
      <c r="E904" s="314" t="s">
        <v>518</v>
      </c>
      <c r="F904" s="418">
        <v>8</v>
      </c>
      <c r="G904" s="417">
        <v>2</v>
      </c>
      <c r="H904" s="314" t="s">
        <v>518</v>
      </c>
      <c r="I904" s="418">
        <v>0</v>
      </c>
      <c r="J904" s="431">
        <f>(ROUNDUP(K904/30,0)+1)*2</f>
        <v>4</v>
      </c>
      <c r="K904" s="421">
        <f t="shared" ref="K904:K910" si="297">ABS((G904*20+I904)-(D904*20+F904))</f>
        <v>12</v>
      </c>
      <c r="L904" s="328"/>
      <c r="M904" s="328"/>
      <c r="N904" s="493">
        <f>(2.3*0.25)+(2*((0.2*0.2)/2))</f>
        <v>0.61499999999999999</v>
      </c>
      <c r="O904" s="493">
        <f>N904*J904</f>
        <v>2.46</v>
      </c>
      <c r="P904" s="328"/>
      <c r="Q904" s="334"/>
      <c r="R904" s="333">
        <f t="shared" si="295"/>
        <v>2.46</v>
      </c>
      <c r="S904" s="331" t="str">
        <f t="shared" si="296"/>
        <v>m²</v>
      </c>
      <c r="T904" s="320">
        <v>43</v>
      </c>
      <c r="U904" s="424" t="s">
        <v>519</v>
      </c>
      <c r="V904" s="455">
        <f t="shared" ca="1" si="272"/>
        <v>1251.6500000000015</v>
      </c>
      <c r="W904" s="456">
        <f t="shared" ca="1" si="293"/>
        <v>2</v>
      </c>
      <c r="X904" s="456">
        <f t="shared" ca="1" si="294"/>
        <v>1</v>
      </c>
      <c r="Y904" s="250"/>
      <c r="Z904" s="250"/>
    </row>
    <row r="905" spans="1:26" s="111" customFormat="1" ht="25.5" x14ac:dyDescent="0.2">
      <c r="A905" s="399"/>
      <c r="B905" s="494"/>
      <c r="C905" s="312" t="s">
        <v>541</v>
      </c>
      <c r="D905" s="417">
        <v>1</v>
      </c>
      <c r="E905" s="314" t="s">
        <v>518</v>
      </c>
      <c r="F905" s="418">
        <v>8</v>
      </c>
      <c r="G905" s="417">
        <v>2</v>
      </c>
      <c r="H905" s="314" t="s">
        <v>518</v>
      </c>
      <c r="I905" s="418">
        <v>0</v>
      </c>
      <c r="J905" s="431"/>
      <c r="K905" s="421">
        <f t="shared" si="297"/>
        <v>12</v>
      </c>
      <c r="L905" s="328">
        <v>1.9</v>
      </c>
      <c r="M905" s="328"/>
      <c r="N905" s="328"/>
      <c r="O905" s="493">
        <f>K905*L905</f>
        <v>22.799999999999997</v>
      </c>
      <c r="P905" s="328"/>
      <c r="Q905" s="334"/>
      <c r="R905" s="333">
        <f t="shared" si="295"/>
        <v>22.799999999999997</v>
      </c>
      <c r="S905" s="331" t="str">
        <f t="shared" si="296"/>
        <v>m²</v>
      </c>
      <c r="T905" s="320">
        <v>43</v>
      </c>
      <c r="U905" s="424" t="s">
        <v>519</v>
      </c>
      <c r="V905" s="455">
        <f t="shared" ca="1" si="272"/>
        <v>1251.6500000000015</v>
      </c>
      <c r="W905" s="456">
        <f t="shared" ca="1" si="293"/>
        <v>2</v>
      </c>
      <c r="X905" s="456">
        <f t="shared" ca="1" si="294"/>
        <v>1</v>
      </c>
      <c r="Y905" s="250"/>
      <c r="Z905" s="250"/>
    </row>
    <row r="906" spans="1:26" s="111" customFormat="1" ht="25.5" x14ac:dyDescent="0.2">
      <c r="A906" s="399"/>
      <c r="B906" s="494"/>
      <c r="C906" s="312" t="s">
        <v>542</v>
      </c>
      <c r="D906" s="417">
        <v>1</v>
      </c>
      <c r="E906" s="314" t="s">
        <v>518</v>
      </c>
      <c r="F906" s="418">
        <v>8</v>
      </c>
      <c r="G906" s="417">
        <v>2</v>
      </c>
      <c r="H906" s="314" t="s">
        <v>518</v>
      </c>
      <c r="I906" s="418">
        <v>0</v>
      </c>
      <c r="J906" s="431"/>
      <c r="K906" s="421">
        <f t="shared" si="297"/>
        <v>12</v>
      </c>
      <c r="L906" s="328">
        <v>2.2999999999999998</v>
      </c>
      <c r="M906" s="328"/>
      <c r="N906" s="328"/>
      <c r="O906" s="493">
        <f>K906*L906</f>
        <v>27.599999999999998</v>
      </c>
      <c r="P906" s="328"/>
      <c r="Q906" s="334"/>
      <c r="R906" s="333">
        <f t="shared" si="295"/>
        <v>27.599999999999998</v>
      </c>
      <c r="S906" s="331" t="str">
        <f t="shared" si="296"/>
        <v>m²</v>
      </c>
      <c r="T906" s="320">
        <v>43</v>
      </c>
      <c r="U906" s="424" t="s">
        <v>519</v>
      </c>
      <c r="V906" s="455">
        <f t="shared" ca="1" si="272"/>
        <v>1251.6500000000015</v>
      </c>
      <c r="W906" s="456">
        <f t="shared" ca="1" si="293"/>
        <v>2</v>
      </c>
      <c r="X906" s="456">
        <f t="shared" ca="1" si="294"/>
        <v>1</v>
      </c>
      <c r="Y906" s="250"/>
      <c r="Z906" s="250"/>
    </row>
    <row r="907" spans="1:26" s="111" customFormat="1" ht="25.5" x14ac:dyDescent="0.2">
      <c r="A907" s="399"/>
      <c r="B907" s="494"/>
      <c r="C907" s="312" t="s">
        <v>543</v>
      </c>
      <c r="D907" s="417">
        <v>1</v>
      </c>
      <c r="E907" s="314" t="s">
        <v>518</v>
      </c>
      <c r="F907" s="418">
        <v>8</v>
      </c>
      <c r="G907" s="417">
        <v>2</v>
      </c>
      <c r="H907" s="314" t="s">
        <v>518</v>
      </c>
      <c r="I907" s="418">
        <v>0</v>
      </c>
      <c r="J907" s="431"/>
      <c r="K907" s="421">
        <f t="shared" si="297"/>
        <v>12</v>
      </c>
      <c r="L907" s="328">
        <v>1.9</v>
      </c>
      <c r="M907" s="328"/>
      <c r="N907" s="328"/>
      <c r="O907" s="493">
        <f>K907*L907</f>
        <v>22.799999999999997</v>
      </c>
      <c r="P907" s="328"/>
      <c r="Q907" s="334"/>
      <c r="R907" s="333">
        <f t="shared" si="295"/>
        <v>22.799999999999997</v>
      </c>
      <c r="S907" s="331" t="str">
        <f t="shared" si="296"/>
        <v>m²</v>
      </c>
      <c r="T907" s="320">
        <v>43</v>
      </c>
      <c r="U907" s="424" t="s">
        <v>519</v>
      </c>
      <c r="V907" s="455">
        <f t="shared" ca="1" si="272"/>
        <v>1251.6500000000015</v>
      </c>
      <c r="W907" s="456">
        <f t="shared" ca="1" si="293"/>
        <v>2</v>
      </c>
      <c r="X907" s="456">
        <f t="shared" ca="1" si="294"/>
        <v>1</v>
      </c>
      <c r="Y907" s="250"/>
      <c r="Z907" s="250"/>
    </row>
    <row r="908" spans="1:26" s="111" customFormat="1" ht="25.5" x14ac:dyDescent="0.2">
      <c r="A908" s="399"/>
      <c r="B908" s="494"/>
      <c r="C908" s="312" t="s">
        <v>544</v>
      </c>
      <c r="D908" s="417">
        <v>1</v>
      </c>
      <c r="E908" s="314" t="s">
        <v>518</v>
      </c>
      <c r="F908" s="418">
        <v>8</v>
      </c>
      <c r="G908" s="417">
        <v>2</v>
      </c>
      <c r="H908" s="314" t="s">
        <v>518</v>
      </c>
      <c r="I908" s="418">
        <v>0</v>
      </c>
      <c r="J908" s="431"/>
      <c r="K908" s="421">
        <f t="shared" si="297"/>
        <v>12</v>
      </c>
      <c r="L908" s="328">
        <v>2.2999999999999998</v>
      </c>
      <c r="M908" s="328"/>
      <c r="N908" s="328"/>
      <c r="O908" s="493">
        <f>K908*L908</f>
        <v>27.599999999999998</v>
      </c>
      <c r="P908" s="328"/>
      <c r="Q908" s="334"/>
      <c r="R908" s="333">
        <f t="shared" si="295"/>
        <v>27.599999999999998</v>
      </c>
      <c r="S908" s="331" t="str">
        <f t="shared" si="296"/>
        <v>m²</v>
      </c>
      <c r="T908" s="320">
        <v>43</v>
      </c>
      <c r="U908" s="424" t="s">
        <v>519</v>
      </c>
      <c r="V908" s="455">
        <f t="shared" ca="1" si="272"/>
        <v>1251.6500000000015</v>
      </c>
      <c r="W908" s="456">
        <f t="shared" ca="1" si="293"/>
        <v>2</v>
      </c>
      <c r="X908" s="456">
        <f t="shared" ca="1" si="294"/>
        <v>1</v>
      </c>
      <c r="Y908" s="250"/>
      <c r="Z908" s="250"/>
    </row>
    <row r="909" spans="1:26" s="111" customFormat="1" ht="25.5" x14ac:dyDescent="0.2">
      <c r="A909" s="399"/>
      <c r="B909" s="494"/>
      <c r="C909" s="312" t="s">
        <v>545</v>
      </c>
      <c r="D909" s="417">
        <v>1</v>
      </c>
      <c r="E909" s="314" t="s">
        <v>518</v>
      </c>
      <c r="F909" s="418">
        <v>8</v>
      </c>
      <c r="G909" s="417">
        <v>2</v>
      </c>
      <c r="H909" s="314" t="s">
        <v>518</v>
      </c>
      <c r="I909" s="418">
        <v>0</v>
      </c>
      <c r="J909" s="431">
        <v>2</v>
      </c>
      <c r="K909" s="421">
        <f t="shared" si="297"/>
        <v>12</v>
      </c>
      <c r="L909" s="328">
        <v>0.28299999999999997</v>
      </c>
      <c r="M909" s="328"/>
      <c r="N909" s="328"/>
      <c r="O909" s="493">
        <f>J909*K909*L909</f>
        <v>6.7919999999999998</v>
      </c>
      <c r="P909" s="328"/>
      <c r="Q909" s="334"/>
      <c r="R909" s="333">
        <f t="shared" si="295"/>
        <v>6.7919999999999998</v>
      </c>
      <c r="S909" s="331" t="str">
        <f t="shared" si="296"/>
        <v>m²</v>
      </c>
      <c r="T909" s="320">
        <v>43</v>
      </c>
      <c r="U909" s="424" t="s">
        <v>519</v>
      </c>
      <c r="V909" s="455">
        <f t="shared" ca="1" si="272"/>
        <v>1251.6500000000015</v>
      </c>
      <c r="W909" s="456">
        <f t="shared" ca="1" si="293"/>
        <v>2</v>
      </c>
      <c r="X909" s="456">
        <f t="shared" ca="1" si="294"/>
        <v>1</v>
      </c>
      <c r="Y909" s="250"/>
      <c r="Z909" s="250"/>
    </row>
    <row r="910" spans="1:26" s="111" customFormat="1" ht="25.5" x14ac:dyDescent="0.2">
      <c r="A910" s="399"/>
      <c r="B910" s="494"/>
      <c r="C910" s="426" t="s">
        <v>546</v>
      </c>
      <c r="D910" s="417">
        <v>1</v>
      </c>
      <c r="E910" s="314" t="s">
        <v>518</v>
      </c>
      <c r="F910" s="418">
        <v>8</v>
      </c>
      <c r="G910" s="417">
        <v>2</v>
      </c>
      <c r="H910" s="314" t="s">
        <v>518</v>
      </c>
      <c r="I910" s="418">
        <v>0</v>
      </c>
      <c r="J910" s="431"/>
      <c r="K910" s="421">
        <f t="shared" si="297"/>
        <v>12</v>
      </c>
      <c r="L910" s="328">
        <v>6</v>
      </c>
      <c r="M910" s="328"/>
      <c r="N910" s="328"/>
      <c r="O910" s="493">
        <f>K910*L910</f>
        <v>72</v>
      </c>
      <c r="P910" s="328"/>
      <c r="Q910" s="334"/>
      <c r="R910" s="333">
        <f t="shared" si="295"/>
        <v>72</v>
      </c>
      <c r="S910" s="331" t="str">
        <f t="shared" si="296"/>
        <v>m²</v>
      </c>
      <c r="T910" s="320">
        <v>43</v>
      </c>
      <c r="U910" s="424" t="s">
        <v>519</v>
      </c>
      <c r="V910" s="455">
        <f t="shared" ca="1" si="272"/>
        <v>1251.6500000000015</v>
      </c>
      <c r="W910" s="456">
        <f t="shared" ca="1" si="293"/>
        <v>2</v>
      </c>
      <c r="X910" s="456">
        <f t="shared" ca="1" si="294"/>
        <v>1</v>
      </c>
      <c r="Y910" s="250"/>
      <c r="Z910" s="250"/>
    </row>
    <row r="911" spans="1:26" s="111" customFormat="1" ht="25.5" x14ac:dyDescent="0.2">
      <c r="A911" s="399"/>
      <c r="B911" s="494"/>
      <c r="C911" s="312" t="s">
        <v>547</v>
      </c>
      <c r="D911" s="417">
        <v>1</v>
      </c>
      <c r="E911" s="314" t="s">
        <v>518</v>
      </c>
      <c r="F911" s="418">
        <v>8</v>
      </c>
      <c r="G911" s="417">
        <v>2</v>
      </c>
      <c r="H911" s="314" t="s">
        <v>518</v>
      </c>
      <c r="I911" s="418">
        <v>0</v>
      </c>
      <c r="J911" s="431">
        <f>ROUNDUP(K911/20,0)+1</f>
        <v>2</v>
      </c>
      <c r="K911" s="421">
        <f>ABS((G911*20+I911)-(D911*20+F911))</f>
        <v>12</v>
      </c>
      <c r="L911" s="328">
        <v>6</v>
      </c>
      <c r="M911" s="328">
        <v>0.25</v>
      </c>
      <c r="N911" s="328"/>
      <c r="O911" s="493">
        <f>M911*L911*J911</f>
        <v>3</v>
      </c>
      <c r="P911" s="328"/>
      <c r="Q911" s="334"/>
      <c r="R911" s="333">
        <f t="shared" si="295"/>
        <v>3</v>
      </c>
      <c r="S911" s="331" t="str">
        <f t="shared" si="296"/>
        <v>m²</v>
      </c>
      <c r="T911" s="320">
        <v>43</v>
      </c>
      <c r="U911" s="424" t="s">
        <v>519</v>
      </c>
      <c r="V911" s="455">
        <f t="shared" ca="1" si="272"/>
        <v>1251.6500000000015</v>
      </c>
      <c r="W911" s="456">
        <f t="shared" ref="W911:W946" ca="1" si="298">IF(LEFT(_xlfn.FORMULATEXT(V911),3)="=SO",1,IF(COUNTA(A911:U911)=0,0,2))</f>
        <v>2</v>
      </c>
      <c r="X911" s="456">
        <f t="shared" ref="X911:X946" ca="1" si="299">IF(COUNTA(OFFSET(A910,1,0))-COUNTA(A910)=-1,0,1)</f>
        <v>1</v>
      </c>
      <c r="Y911" s="250"/>
      <c r="Z911" s="250"/>
    </row>
    <row r="912" spans="1:26" s="111" customFormat="1" ht="25.5" x14ac:dyDescent="0.2">
      <c r="A912" s="399"/>
      <c r="B912" s="494"/>
      <c r="C912" s="312" t="s">
        <v>548</v>
      </c>
      <c r="D912" s="417">
        <v>1</v>
      </c>
      <c r="E912" s="314" t="s">
        <v>518</v>
      </c>
      <c r="F912" s="418">
        <v>8</v>
      </c>
      <c r="G912" s="417">
        <v>2</v>
      </c>
      <c r="H912" s="314" t="s">
        <v>518</v>
      </c>
      <c r="I912" s="418">
        <v>0</v>
      </c>
      <c r="J912" s="431">
        <v>2</v>
      </c>
      <c r="K912" s="421">
        <f>ABS((G912*20+I912)-(D912*20+F912))</f>
        <v>12</v>
      </c>
      <c r="L912" s="328"/>
      <c r="M912" s="328">
        <v>0.25</v>
      </c>
      <c r="N912" s="328"/>
      <c r="O912" s="493">
        <f>M912*K912*J912</f>
        <v>6</v>
      </c>
      <c r="P912" s="328"/>
      <c r="Q912" s="334"/>
      <c r="R912" s="333">
        <f t="shared" si="295"/>
        <v>6</v>
      </c>
      <c r="S912" s="331" t="str">
        <f t="shared" si="296"/>
        <v>m²</v>
      </c>
      <c r="T912" s="320">
        <v>43</v>
      </c>
      <c r="U912" s="424" t="s">
        <v>519</v>
      </c>
      <c r="V912" s="455">
        <f t="shared" ca="1" si="272"/>
        <v>1251.6500000000015</v>
      </c>
      <c r="W912" s="456">
        <f t="shared" ca="1" si="298"/>
        <v>2</v>
      </c>
      <c r="X912" s="456">
        <f t="shared" ca="1" si="299"/>
        <v>1</v>
      </c>
      <c r="Y912" s="250"/>
      <c r="Z912" s="250"/>
    </row>
    <row r="913" spans="1:26" s="111" customFormat="1" ht="15" x14ac:dyDescent="0.2">
      <c r="A913" s="399"/>
      <c r="B913" s="494"/>
      <c r="C913" s="495"/>
      <c r="D913" s="417"/>
      <c r="E913" s="314"/>
      <c r="F913" s="418"/>
      <c r="G913" s="417"/>
      <c r="H913" s="314"/>
      <c r="I913" s="418"/>
      <c r="J913" s="499"/>
      <c r="K913" s="500"/>
      <c r="L913" s="501"/>
      <c r="M913" s="501"/>
      <c r="N913" s="501"/>
      <c r="O913" s="502"/>
      <c r="P913" s="501"/>
      <c r="Q913" s="1098"/>
      <c r="R913" s="1111"/>
      <c r="S913" s="505"/>
      <c r="T913" s="320"/>
      <c r="U913" s="507"/>
      <c r="V913" s="455">
        <f t="shared" ca="1" si="272"/>
        <v>1251.6500000000015</v>
      </c>
      <c r="W913" s="456">
        <f t="shared" ca="1" si="298"/>
        <v>0</v>
      </c>
      <c r="X913" s="456">
        <f t="shared" ca="1" si="299"/>
        <v>1</v>
      </c>
      <c r="Y913" s="250"/>
      <c r="Z913" s="250"/>
    </row>
    <row r="914" spans="1:26" s="111" customFormat="1" ht="15.75" x14ac:dyDescent="0.2">
      <c r="A914" s="399"/>
      <c r="B914" s="494"/>
      <c r="C914" s="434" t="s">
        <v>532</v>
      </c>
      <c r="D914" s="417"/>
      <c r="E914" s="314"/>
      <c r="F914" s="418"/>
      <c r="G914" s="419"/>
      <c r="H914" s="316"/>
      <c r="I914" s="420"/>
      <c r="J914" s="431"/>
      <c r="K914" s="433"/>
      <c r="L914" s="433"/>
      <c r="M914" s="433"/>
      <c r="N914" s="328"/>
      <c r="O914" s="328"/>
      <c r="P914" s="328"/>
      <c r="Q914" s="334"/>
      <c r="R914" s="333"/>
      <c r="S914" s="331"/>
      <c r="T914" s="320">
        <v>44</v>
      </c>
      <c r="U914" s="335"/>
      <c r="V914" s="455">
        <f t="shared" ca="1" si="272"/>
        <v>1251.6500000000015</v>
      </c>
      <c r="W914" s="456">
        <f t="shared" ca="1" si="298"/>
        <v>2</v>
      </c>
      <c r="X914" s="456">
        <f t="shared" ca="1" si="299"/>
        <v>1</v>
      </c>
      <c r="Y914" s="250"/>
      <c r="Z914" s="250"/>
    </row>
    <row r="915" spans="1:26" s="111" customFormat="1" ht="25.5" x14ac:dyDescent="0.2">
      <c r="A915" s="399"/>
      <c r="B915" s="494"/>
      <c r="C915" s="312" t="s">
        <v>536</v>
      </c>
      <c r="D915" s="419">
        <v>39</v>
      </c>
      <c r="E915" s="316" t="s">
        <v>518</v>
      </c>
      <c r="F915" s="420">
        <v>2</v>
      </c>
      <c r="G915" s="419">
        <v>42</v>
      </c>
      <c r="H915" s="316" t="s">
        <v>518</v>
      </c>
      <c r="I915" s="420">
        <v>3</v>
      </c>
      <c r="J915" s="431">
        <v>2</v>
      </c>
      <c r="K915" s="421">
        <f t="shared" ref="K915:K923" si="300">ABS((G915*20+I915)-(D915*20+F915))</f>
        <v>61</v>
      </c>
      <c r="L915" s="328"/>
      <c r="M915" s="328">
        <v>0.35</v>
      </c>
      <c r="N915" s="328"/>
      <c r="O915" s="493">
        <f>M915*K915*J915</f>
        <v>42.699999999999996</v>
      </c>
      <c r="P915" s="328"/>
      <c r="Q915" s="334"/>
      <c r="R915" s="333">
        <f t="shared" ref="R915:R923" si="301">O915</f>
        <v>42.699999999999996</v>
      </c>
      <c r="S915" s="331" t="str">
        <f>$L$944</f>
        <v>m²</v>
      </c>
      <c r="T915" s="320">
        <v>44</v>
      </c>
      <c r="U915" s="424" t="s">
        <v>519</v>
      </c>
      <c r="V915" s="455">
        <f t="shared" ca="1" si="272"/>
        <v>1251.6500000000015</v>
      </c>
      <c r="W915" s="456">
        <f t="shared" ca="1" si="298"/>
        <v>2</v>
      </c>
      <c r="X915" s="456">
        <f t="shared" ca="1" si="299"/>
        <v>1</v>
      </c>
      <c r="Y915" s="250"/>
      <c r="Z915" s="250"/>
    </row>
    <row r="916" spans="1:26" s="111" customFormat="1" ht="25.5" x14ac:dyDescent="0.2">
      <c r="A916" s="399"/>
      <c r="B916" s="494"/>
      <c r="C916" s="312" t="s">
        <v>537</v>
      </c>
      <c r="D916" s="419">
        <v>39</v>
      </c>
      <c r="E916" s="316" t="s">
        <v>518</v>
      </c>
      <c r="F916" s="420">
        <v>2</v>
      </c>
      <c r="G916" s="419">
        <v>42</v>
      </c>
      <c r="H916" s="316" t="s">
        <v>518</v>
      </c>
      <c r="I916" s="420">
        <v>3</v>
      </c>
      <c r="J916" s="431">
        <f>ROUNDUP(K916/30,0)+1</f>
        <v>4</v>
      </c>
      <c r="K916" s="421">
        <f t="shared" si="300"/>
        <v>61</v>
      </c>
      <c r="L916" s="328">
        <v>12</v>
      </c>
      <c r="M916" s="328">
        <v>0.25</v>
      </c>
      <c r="N916" s="328"/>
      <c r="O916" s="493">
        <f>M916*L916*J916</f>
        <v>12</v>
      </c>
      <c r="P916" s="328"/>
      <c r="Q916" s="334"/>
      <c r="R916" s="333">
        <f t="shared" si="301"/>
        <v>12</v>
      </c>
      <c r="S916" s="331" t="str">
        <f t="shared" ref="S916:S923" si="302">$L$944</f>
        <v>m²</v>
      </c>
      <c r="T916" s="320">
        <v>44</v>
      </c>
      <c r="U916" s="424" t="s">
        <v>519</v>
      </c>
      <c r="V916" s="455">
        <f t="shared" ca="1" si="272"/>
        <v>1251.6500000000015</v>
      </c>
      <c r="W916" s="456">
        <f t="shared" ref="W916:W940" ca="1" si="303">IF(LEFT(_xlfn.FORMULATEXT(V916),3)="=SO",1,IF(COUNTA(A916:U916)=0,0,2))</f>
        <v>2</v>
      </c>
      <c r="X916" s="456">
        <f t="shared" ref="X916:X940" ca="1" si="304">IF(COUNTA(OFFSET(A915,1,0))-COUNTA(A915)=-1,0,1)</f>
        <v>1</v>
      </c>
      <c r="Y916" s="250"/>
      <c r="Z916" s="250"/>
    </row>
    <row r="917" spans="1:26" s="111" customFormat="1" ht="25.5" x14ac:dyDescent="0.2">
      <c r="A917" s="399"/>
      <c r="B917" s="494"/>
      <c r="C917" s="312" t="s">
        <v>538</v>
      </c>
      <c r="D917" s="419">
        <v>39</v>
      </c>
      <c r="E917" s="316" t="s">
        <v>518</v>
      </c>
      <c r="F917" s="420">
        <v>2</v>
      </c>
      <c r="G917" s="419">
        <v>42</v>
      </c>
      <c r="H917" s="316" t="s">
        <v>518</v>
      </c>
      <c r="I917" s="420">
        <v>3</v>
      </c>
      <c r="J917" s="431">
        <v>2</v>
      </c>
      <c r="K917" s="421">
        <f t="shared" si="300"/>
        <v>61</v>
      </c>
      <c r="L917" s="328"/>
      <c r="M917" s="328">
        <v>0.25</v>
      </c>
      <c r="N917" s="328"/>
      <c r="O917" s="493">
        <f>M917*K917*J917</f>
        <v>30.5</v>
      </c>
      <c r="P917" s="328"/>
      <c r="Q917" s="334"/>
      <c r="R917" s="333">
        <f t="shared" si="301"/>
        <v>30.5</v>
      </c>
      <c r="S917" s="331" t="str">
        <f t="shared" si="302"/>
        <v>m²</v>
      </c>
      <c r="T917" s="320">
        <v>44</v>
      </c>
      <c r="U917" s="424" t="s">
        <v>519</v>
      </c>
      <c r="V917" s="455">
        <f t="shared" ca="1" si="272"/>
        <v>1251.6500000000015</v>
      </c>
      <c r="W917" s="456">
        <f t="shared" ca="1" si="303"/>
        <v>2</v>
      </c>
      <c r="X917" s="456">
        <f t="shared" ca="1" si="304"/>
        <v>1</v>
      </c>
      <c r="Y917" s="250"/>
      <c r="Z917" s="250"/>
    </row>
    <row r="918" spans="1:26" s="111" customFormat="1" ht="25.5" x14ac:dyDescent="0.2">
      <c r="A918" s="399"/>
      <c r="B918" s="494"/>
      <c r="C918" s="312" t="s">
        <v>539</v>
      </c>
      <c r="D918" s="419">
        <v>39</v>
      </c>
      <c r="E918" s="316" t="s">
        <v>518</v>
      </c>
      <c r="F918" s="420">
        <v>2</v>
      </c>
      <c r="G918" s="419">
        <v>42</v>
      </c>
      <c r="H918" s="316" t="s">
        <v>518</v>
      </c>
      <c r="I918" s="420">
        <v>3</v>
      </c>
      <c r="J918" s="431">
        <v>2</v>
      </c>
      <c r="K918" s="421">
        <f t="shared" si="300"/>
        <v>61</v>
      </c>
      <c r="L918" s="328">
        <v>0.28299999999999997</v>
      </c>
      <c r="M918" s="328"/>
      <c r="N918" s="328"/>
      <c r="O918" s="493">
        <f>J918*K918*L918</f>
        <v>34.525999999999996</v>
      </c>
      <c r="P918" s="328"/>
      <c r="Q918" s="334"/>
      <c r="R918" s="333">
        <f t="shared" si="301"/>
        <v>34.525999999999996</v>
      </c>
      <c r="S918" s="331" t="str">
        <f t="shared" si="302"/>
        <v>m²</v>
      </c>
      <c r="T918" s="320">
        <v>44</v>
      </c>
      <c r="U918" s="424" t="s">
        <v>519</v>
      </c>
      <c r="V918" s="455">
        <f t="shared" ca="1" si="272"/>
        <v>1251.6500000000015</v>
      </c>
      <c r="W918" s="456">
        <f t="shared" ca="1" si="303"/>
        <v>2</v>
      </c>
      <c r="X918" s="456">
        <f t="shared" ca="1" si="304"/>
        <v>1</v>
      </c>
      <c r="Y918" s="250"/>
      <c r="Z918" s="250"/>
    </row>
    <row r="919" spans="1:26" s="111" customFormat="1" ht="25.5" x14ac:dyDescent="0.2">
      <c r="A919" s="399"/>
      <c r="B919" s="494"/>
      <c r="C919" s="312" t="s">
        <v>540</v>
      </c>
      <c r="D919" s="419">
        <v>39</v>
      </c>
      <c r="E919" s="316" t="s">
        <v>518</v>
      </c>
      <c r="F919" s="420">
        <v>2</v>
      </c>
      <c r="G919" s="419">
        <v>42</v>
      </c>
      <c r="H919" s="316" t="s">
        <v>518</v>
      </c>
      <c r="I919" s="420">
        <v>3</v>
      </c>
      <c r="J919" s="431">
        <f>(ROUNDUP(K919/30,0)+1)*2</f>
        <v>8</v>
      </c>
      <c r="K919" s="421">
        <f t="shared" si="300"/>
        <v>61</v>
      </c>
      <c r="L919" s="328"/>
      <c r="M919" s="328"/>
      <c r="N919" s="493">
        <f>(2.3*0.25)+((0.2*0.2)/2)</f>
        <v>0.59499999999999997</v>
      </c>
      <c r="O919" s="493">
        <f>N919*J919</f>
        <v>4.76</v>
      </c>
      <c r="P919" s="328"/>
      <c r="Q919" s="334"/>
      <c r="R919" s="333">
        <f t="shared" si="301"/>
        <v>4.76</v>
      </c>
      <c r="S919" s="331" t="str">
        <f t="shared" si="302"/>
        <v>m²</v>
      </c>
      <c r="T919" s="320">
        <v>44</v>
      </c>
      <c r="U919" s="424" t="s">
        <v>519</v>
      </c>
      <c r="V919" s="455">
        <f t="shared" ca="1" si="272"/>
        <v>1251.6500000000015</v>
      </c>
      <c r="W919" s="456">
        <f t="shared" ca="1" si="303"/>
        <v>2</v>
      </c>
      <c r="X919" s="456">
        <f t="shared" ca="1" si="304"/>
        <v>1</v>
      </c>
      <c r="Y919" s="250"/>
      <c r="Z919" s="250"/>
    </row>
    <row r="920" spans="1:26" s="111" customFormat="1" ht="25.5" x14ac:dyDescent="0.2">
      <c r="A920" s="399"/>
      <c r="B920" s="494"/>
      <c r="C920" s="312" t="s">
        <v>541</v>
      </c>
      <c r="D920" s="419">
        <v>39</v>
      </c>
      <c r="E920" s="316" t="s">
        <v>518</v>
      </c>
      <c r="F920" s="420">
        <v>2</v>
      </c>
      <c r="G920" s="419">
        <v>42</v>
      </c>
      <c r="H920" s="316" t="s">
        <v>518</v>
      </c>
      <c r="I920" s="420">
        <v>3</v>
      </c>
      <c r="J920" s="431"/>
      <c r="K920" s="421">
        <f t="shared" si="300"/>
        <v>61</v>
      </c>
      <c r="L920" s="328">
        <v>2.8</v>
      </c>
      <c r="M920" s="328"/>
      <c r="N920" s="328"/>
      <c r="O920" s="493">
        <f>K920*L920</f>
        <v>170.79999999999998</v>
      </c>
      <c r="P920" s="328"/>
      <c r="Q920" s="334"/>
      <c r="R920" s="333">
        <f t="shared" si="301"/>
        <v>170.79999999999998</v>
      </c>
      <c r="S920" s="331" t="str">
        <f t="shared" si="302"/>
        <v>m²</v>
      </c>
      <c r="T920" s="320">
        <v>44</v>
      </c>
      <c r="U920" s="424" t="s">
        <v>519</v>
      </c>
      <c r="V920" s="455">
        <f t="shared" ca="1" si="272"/>
        <v>1251.6500000000015</v>
      </c>
      <c r="W920" s="456">
        <f t="shared" ca="1" si="303"/>
        <v>2</v>
      </c>
      <c r="X920" s="456">
        <f t="shared" ca="1" si="304"/>
        <v>1</v>
      </c>
      <c r="Y920" s="250"/>
      <c r="Z920" s="250"/>
    </row>
    <row r="921" spans="1:26" s="111" customFormat="1" ht="25.5" x14ac:dyDescent="0.2">
      <c r="A921" s="399"/>
      <c r="B921" s="494"/>
      <c r="C921" s="312" t="s">
        <v>542</v>
      </c>
      <c r="D921" s="419">
        <v>39</v>
      </c>
      <c r="E921" s="316" t="s">
        <v>518</v>
      </c>
      <c r="F921" s="420">
        <v>2</v>
      </c>
      <c r="G921" s="419">
        <v>42</v>
      </c>
      <c r="H921" s="316" t="s">
        <v>518</v>
      </c>
      <c r="I921" s="420">
        <v>3</v>
      </c>
      <c r="J921" s="431"/>
      <c r="K921" s="421">
        <f t="shared" si="300"/>
        <v>61</v>
      </c>
      <c r="L921" s="328">
        <v>3.25</v>
      </c>
      <c r="M921" s="328"/>
      <c r="N921" s="328"/>
      <c r="O921" s="493">
        <f>K921*L921</f>
        <v>198.25</v>
      </c>
      <c r="P921" s="328"/>
      <c r="Q921" s="334"/>
      <c r="R921" s="333">
        <f t="shared" si="301"/>
        <v>198.25</v>
      </c>
      <c r="S921" s="331" t="str">
        <f t="shared" si="302"/>
        <v>m²</v>
      </c>
      <c r="T921" s="320">
        <v>44</v>
      </c>
      <c r="U921" s="424" t="s">
        <v>519</v>
      </c>
      <c r="V921" s="455">
        <f t="shared" ca="1" si="272"/>
        <v>1251.6500000000015</v>
      </c>
      <c r="W921" s="456">
        <f t="shared" ca="1" si="303"/>
        <v>2</v>
      </c>
      <c r="X921" s="456">
        <f t="shared" ca="1" si="304"/>
        <v>1</v>
      </c>
      <c r="Y921" s="250"/>
      <c r="Z921" s="250"/>
    </row>
    <row r="922" spans="1:26" s="111" customFormat="1" ht="25.5" x14ac:dyDescent="0.2">
      <c r="A922" s="399"/>
      <c r="B922" s="494"/>
      <c r="C922" s="312" t="s">
        <v>543</v>
      </c>
      <c r="D922" s="419">
        <v>39</v>
      </c>
      <c r="E922" s="316" t="s">
        <v>518</v>
      </c>
      <c r="F922" s="420">
        <v>2</v>
      </c>
      <c r="G922" s="419">
        <v>42</v>
      </c>
      <c r="H922" s="316" t="s">
        <v>518</v>
      </c>
      <c r="I922" s="420">
        <v>3</v>
      </c>
      <c r="J922" s="431"/>
      <c r="K922" s="421">
        <f t="shared" si="300"/>
        <v>61</v>
      </c>
      <c r="L922" s="328">
        <v>2.8</v>
      </c>
      <c r="M922" s="328"/>
      <c r="N922" s="328"/>
      <c r="O922" s="493">
        <f>K922*L922</f>
        <v>170.79999999999998</v>
      </c>
      <c r="P922" s="328"/>
      <c r="Q922" s="334"/>
      <c r="R922" s="333">
        <f t="shared" si="301"/>
        <v>170.79999999999998</v>
      </c>
      <c r="S922" s="331" t="str">
        <f t="shared" si="302"/>
        <v>m²</v>
      </c>
      <c r="T922" s="320">
        <v>44</v>
      </c>
      <c r="U922" s="424" t="s">
        <v>519</v>
      </c>
      <c r="V922" s="455">
        <f t="shared" ca="1" si="272"/>
        <v>1251.6500000000015</v>
      </c>
      <c r="W922" s="456">
        <f t="shared" ca="1" si="303"/>
        <v>2</v>
      </c>
      <c r="X922" s="456">
        <f t="shared" ca="1" si="304"/>
        <v>1</v>
      </c>
      <c r="Y922" s="250"/>
      <c r="Z922" s="250"/>
    </row>
    <row r="923" spans="1:26" s="111" customFormat="1" ht="25.5" x14ac:dyDescent="0.2">
      <c r="A923" s="399"/>
      <c r="B923" s="494"/>
      <c r="C923" s="495" t="s">
        <v>544</v>
      </c>
      <c r="D923" s="419">
        <v>39</v>
      </c>
      <c r="E923" s="316" t="s">
        <v>518</v>
      </c>
      <c r="F923" s="420">
        <v>2</v>
      </c>
      <c r="G923" s="419">
        <v>42</v>
      </c>
      <c r="H923" s="316" t="s">
        <v>518</v>
      </c>
      <c r="I923" s="420">
        <v>3</v>
      </c>
      <c r="J923" s="499"/>
      <c r="K923" s="508">
        <f t="shared" si="300"/>
        <v>61</v>
      </c>
      <c r="L923" s="501">
        <v>3.25</v>
      </c>
      <c r="M923" s="501"/>
      <c r="N923" s="501"/>
      <c r="O923" s="502">
        <f>K923*L923</f>
        <v>198.25</v>
      </c>
      <c r="P923" s="501"/>
      <c r="Q923" s="1098"/>
      <c r="R923" s="1111">
        <f t="shared" si="301"/>
        <v>198.25</v>
      </c>
      <c r="S923" s="331" t="str">
        <f t="shared" si="302"/>
        <v>m²</v>
      </c>
      <c r="T923" s="320">
        <v>44</v>
      </c>
      <c r="U923" s="507" t="s">
        <v>519</v>
      </c>
      <c r="V923" s="455">
        <f t="shared" ca="1" si="272"/>
        <v>1251.6500000000015</v>
      </c>
      <c r="W923" s="456">
        <f t="shared" ca="1" si="303"/>
        <v>2</v>
      </c>
      <c r="X923" s="456">
        <f t="shared" ca="1" si="304"/>
        <v>1</v>
      </c>
      <c r="Y923" s="250"/>
      <c r="Z923" s="250"/>
    </row>
    <row r="924" spans="1:26" s="111" customFormat="1" ht="15" x14ac:dyDescent="0.2">
      <c r="A924" s="399"/>
      <c r="B924" s="494"/>
      <c r="C924" s="495"/>
      <c r="D924" s="419"/>
      <c r="E924" s="316"/>
      <c r="F924" s="420"/>
      <c r="G924" s="419"/>
      <c r="H924" s="316"/>
      <c r="I924" s="420"/>
      <c r="J924" s="499"/>
      <c r="K924" s="1195"/>
      <c r="L924" s="501"/>
      <c r="M924" s="501"/>
      <c r="N924" s="501"/>
      <c r="O924" s="502"/>
      <c r="P924" s="501"/>
      <c r="Q924" s="1098"/>
      <c r="R924" s="1111"/>
      <c r="S924" s="331"/>
      <c r="T924" s="320"/>
      <c r="U924" s="507"/>
      <c r="V924" s="455">
        <f t="shared" ca="1" si="272"/>
        <v>1251.6500000000015</v>
      </c>
      <c r="W924" s="456">
        <f t="shared" ca="1" si="303"/>
        <v>0</v>
      </c>
      <c r="X924" s="456">
        <f t="shared" ca="1" si="304"/>
        <v>1</v>
      </c>
      <c r="Y924" s="250"/>
      <c r="Z924" s="250"/>
    </row>
    <row r="925" spans="1:26" s="111" customFormat="1" ht="15.75" x14ac:dyDescent="0.2">
      <c r="A925" s="399"/>
      <c r="B925" s="494"/>
      <c r="C925" s="434" t="s">
        <v>516</v>
      </c>
      <c r="D925" s="417">
        <v>0</v>
      </c>
      <c r="E925" s="314" t="s">
        <v>518</v>
      </c>
      <c r="F925" s="418">
        <v>6</v>
      </c>
      <c r="G925" s="417">
        <v>1</v>
      </c>
      <c r="H925" s="314" t="s">
        <v>518</v>
      </c>
      <c r="I925" s="418">
        <v>8</v>
      </c>
      <c r="J925" s="491"/>
      <c r="K925" s="433"/>
      <c r="L925" s="433"/>
      <c r="M925" s="433"/>
      <c r="N925" s="328"/>
      <c r="O925" s="328"/>
      <c r="P925" s="328"/>
      <c r="Q925" s="334"/>
      <c r="R925" s="333"/>
      <c r="S925" s="331"/>
      <c r="T925" s="320">
        <v>44</v>
      </c>
      <c r="U925" s="335"/>
      <c r="V925" s="455">
        <f t="shared" ca="1" si="272"/>
        <v>1251.6500000000015</v>
      </c>
      <c r="W925" s="456">
        <f t="shared" ca="1" si="303"/>
        <v>2</v>
      </c>
      <c r="X925" s="456">
        <f t="shared" ca="1" si="304"/>
        <v>1</v>
      </c>
      <c r="Y925" s="250"/>
      <c r="Z925" s="250"/>
    </row>
    <row r="926" spans="1:26" s="111" customFormat="1" ht="25.5" x14ac:dyDescent="0.2">
      <c r="A926" s="399"/>
      <c r="B926" s="494"/>
      <c r="C926" s="312" t="s">
        <v>536</v>
      </c>
      <c r="D926" s="417">
        <v>0</v>
      </c>
      <c r="E926" s="314" t="s">
        <v>518</v>
      </c>
      <c r="F926" s="418">
        <v>6</v>
      </c>
      <c r="G926" s="417">
        <v>1</v>
      </c>
      <c r="H926" s="314" t="s">
        <v>518</v>
      </c>
      <c r="I926" s="418">
        <v>8</v>
      </c>
      <c r="J926" s="431">
        <v>2</v>
      </c>
      <c r="K926" s="421">
        <f>ABS((G926*20+I926)-(D926*20+F926))</f>
        <v>22</v>
      </c>
      <c r="L926" s="328"/>
      <c r="M926" s="328">
        <v>0.35</v>
      </c>
      <c r="N926" s="328"/>
      <c r="O926" s="493">
        <f>M926*K926*J926</f>
        <v>15.399999999999999</v>
      </c>
      <c r="P926" s="328"/>
      <c r="Q926" s="334"/>
      <c r="R926" s="333">
        <f t="shared" ref="R926:R938" si="305">O926</f>
        <v>15.399999999999999</v>
      </c>
      <c r="S926" s="331" t="str">
        <f t="shared" ref="S926:S938" si="306">$L$944</f>
        <v>m²</v>
      </c>
      <c r="T926" s="320">
        <v>44</v>
      </c>
      <c r="U926" s="424" t="s">
        <v>519</v>
      </c>
      <c r="V926" s="455">
        <f t="shared" ca="1" si="272"/>
        <v>1251.6500000000015</v>
      </c>
      <c r="W926" s="456">
        <f t="shared" ca="1" si="303"/>
        <v>2</v>
      </c>
      <c r="X926" s="456">
        <f t="shared" ca="1" si="304"/>
        <v>1</v>
      </c>
      <c r="Y926" s="250"/>
      <c r="Z926" s="250"/>
    </row>
    <row r="927" spans="1:26" s="111" customFormat="1" ht="25.5" x14ac:dyDescent="0.2">
      <c r="A927" s="399"/>
      <c r="B927" s="494"/>
      <c r="C927" s="312" t="s">
        <v>537</v>
      </c>
      <c r="D927" s="417">
        <v>0</v>
      </c>
      <c r="E927" s="314" t="s">
        <v>518</v>
      </c>
      <c r="F927" s="418">
        <v>6</v>
      </c>
      <c r="G927" s="417">
        <v>1</v>
      </c>
      <c r="H927" s="314" t="s">
        <v>518</v>
      </c>
      <c r="I927" s="418">
        <v>8</v>
      </c>
      <c r="J927" s="431">
        <f>ROUNDUP(K927/30,0)+1</f>
        <v>2</v>
      </c>
      <c r="K927" s="421">
        <f>ABS((G927*20+I927)-(D927*20+F927))</f>
        <v>22</v>
      </c>
      <c r="L927" s="328">
        <v>6</v>
      </c>
      <c r="M927" s="328">
        <v>0.25</v>
      </c>
      <c r="N927" s="328"/>
      <c r="O927" s="493">
        <f>M927*L927*J927</f>
        <v>3</v>
      </c>
      <c r="P927" s="328"/>
      <c r="Q927" s="334"/>
      <c r="R927" s="333">
        <f t="shared" si="305"/>
        <v>3</v>
      </c>
      <c r="S927" s="331" t="str">
        <f t="shared" si="306"/>
        <v>m²</v>
      </c>
      <c r="T927" s="320">
        <v>44</v>
      </c>
      <c r="U927" s="424" t="s">
        <v>519</v>
      </c>
      <c r="V927" s="455">
        <f t="shared" ca="1" si="272"/>
        <v>1251.6500000000015</v>
      </c>
      <c r="W927" s="456">
        <f t="shared" ca="1" si="303"/>
        <v>2</v>
      </c>
      <c r="X927" s="456">
        <f t="shared" ca="1" si="304"/>
        <v>1</v>
      </c>
      <c r="Y927" s="250"/>
      <c r="Z927" s="250"/>
    </row>
    <row r="928" spans="1:26" s="111" customFormat="1" ht="25.5" x14ac:dyDescent="0.2">
      <c r="A928" s="399"/>
      <c r="B928" s="494"/>
      <c r="C928" s="312" t="s">
        <v>538</v>
      </c>
      <c r="D928" s="417">
        <v>0</v>
      </c>
      <c r="E928" s="314" t="s">
        <v>518</v>
      </c>
      <c r="F928" s="418">
        <v>6</v>
      </c>
      <c r="G928" s="417">
        <v>1</v>
      </c>
      <c r="H928" s="314" t="s">
        <v>518</v>
      </c>
      <c r="I928" s="418">
        <v>8</v>
      </c>
      <c r="J928" s="431">
        <v>2</v>
      </c>
      <c r="K928" s="421">
        <f>ABS((G928*20+I928)-(D928*20+F928))</f>
        <v>22</v>
      </c>
      <c r="L928" s="328"/>
      <c r="M928" s="328">
        <v>0.25</v>
      </c>
      <c r="N928" s="328"/>
      <c r="O928" s="493">
        <f>M928*K928*J928</f>
        <v>11</v>
      </c>
      <c r="P928" s="328"/>
      <c r="Q928" s="334"/>
      <c r="R928" s="333">
        <f t="shared" si="305"/>
        <v>11</v>
      </c>
      <c r="S928" s="331" t="str">
        <f t="shared" si="306"/>
        <v>m²</v>
      </c>
      <c r="T928" s="320">
        <v>44</v>
      </c>
      <c r="U928" s="424" t="s">
        <v>519</v>
      </c>
      <c r="V928" s="455">
        <f t="shared" ca="1" si="272"/>
        <v>1251.6500000000015</v>
      </c>
      <c r="W928" s="456">
        <f t="shared" ca="1" si="303"/>
        <v>2</v>
      </c>
      <c r="X928" s="456">
        <f t="shared" ca="1" si="304"/>
        <v>1</v>
      </c>
      <c r="Y928" s="250"/>
      <c r="Z928" s="250"/>
    </row>
    <row r="929" spans="1:26" s="111" customFormat="1" ht="25.5" x14ac:dyDescent="0.2">
      <c r="A929" s="399"/>
      <c r="B929" s="494"/>
      <c r="C929" s="312" t="s">
        <v>539</v>
      </c>
      <c r="D929" s="417">
        <v>0</v>
      </c>
      <c r="E929" s="314" t="s">
        <v>518</v>
      </c>
      <c r="F929" s="418">
        <v>6</v>
      </c>
      <c r="G929" s="417">
        <v>1</v>
      </c>
      <c r="H929" s="314" t="s">
        <v>518</v>
      </c>
      <c r="I929" s="418">
        <v>8</v>
      </c>
      <c r="J929" s="431">
        <v>2</v>
      </c>
      <c r="K929" s="421">
        <f>ABS((G929*20+I929)-(D929*20+F929))</f>
        <v>22</v>
      </c>
      <c r="L929" s="328">
        <v>0.28299999999999997</v>
      </c>
      <c r="M929" s="328"/>
      <c r="N929" s="328"/>
      <c r="O929" s="493">
        <f>J929*K929*L929</f>
        <v>12.451999999999998</v>
      </c>
      <c r="P929" s="328"/>
      <c r="Q929" s="334"/>
      <c r="R929" s="333">
        <f t="shared" si="305"/>
        <v>12.451999999999998</v>
      </c>
      <c r="S929" s="331" t="str">
        <f t="shared" si="306"/>
        <v>m²</v>
      </c>
      <c r="T929" s="320">
        <v>44</v>
      </c>
      <c r="U929" s="424" t="s">
        <v>519</v>
      </c>
      <c r="V929" s="455">
        <f t="shared" ca="1" si="272"/>
        <v>1251.6500000000015</v>
      </c>
      <c r="W929" s="456">
        <f t="shared" ca="1" si="303"/>
        <v>2</v>
      </c>
      <c r="X929" s="456">
        <f t="shared" ca="1" si="304"/>
        <v>1</v>
      </c>
      <c r="Y929" s="250"/>
      <c r="Z929" s="250"/>
    </row>
    <row r="930" spans="1:26" s="111" customFormat="1" ht="25.5" x14ac:dyDescent="0.2">
      <c r="A930" s="399"/>
      <c r="B930" s="494"/>
      <c r="C930" s="312" t="s">
        <v>540</v>
      </c>
      <c r="D930" s="417">
        <v>0</v>
      </c>
      <c r="E930" s="314" t="s">
        <v>518</v>
      </c>
      <c r="F930" s="418">
        <v>6</v>
      </c>
      <c r="G930" s="417">
        <v>1</v>
      </c>
      <c r="H930" s="314" t="s">
        <v>518</v>
      </c>
      <c r="I930" s="418">
        <v>8</v>
      </c>
      <c r="J930" s="431">
        <f>(ROUNDUP(K930/30,0)+1)*2</f>
        <v>4</v>
      </c>
      <c r="K930" s="421">
        <f t="shared" ref="K930:K936" si="307">ABS((G930*20+I930)-(D930*20+F930))</f>
        <v>22</v>
      </c>
      <c r="L930" s="328"/>
      <c r="M930" s="328"/>
      <c r="N930" s="493">
        <f>(2.3*0.25)+(2*((0.2*0.2)/2))</f>
        <v>0.61499999999999999</v>
      </c>
      <c r="O930" s="493">
        <f>N930*J930</f>
        <v>2.46</v>
      </c>
      <c r="P930" s="328"/>
      <c r="Q930" s="334"/>
      <c r="R930" s="333">
        <f t="shared" si="305"/>
        <v>2.46</v>
      </c>
      <c r="S930" s="331" t="str">
        <f t="shared" si="306"/>
        <v>m²</v>
      </c>
      <c r="T930" s="320">
        <v>44</v>
      </c>
      <c r="U930" s="424" t="s">
        <v>519</v>
      </c>
      <c r="V930" s="455">
        <f t="shared" ca="1" si="272"/>
        <v>1251.6500000000015</v>
      </c>
      <c r="W930" s="456">
        <f t="shared" ca="1" si="303"/>
        <v>2</v>
      </c>
      <c r="X930" s="456">
        <f t="shared" ca="1" si="304"/>
        <v>1</v>
      </c>
      <c r="Y930" s="250"/>
      <c r="Z930" s="250"/>
    </row>
    <row r="931" spans="1:26" s="111" customFormat="1" ht="25.5" x14ac:dyDescent="0.2">
      <c r="A931" s="399"/>
      <c r="B931" s="494"/>
      <c r="C931" s="312" t="s">
        <v>541</v>
      </c>
      <c r="D931" s="417">
        <v>0</v>
      </c>
      <c r="E931" s="314" t="s">
        <v>518</v>
      </c>
      <c r="F931" s="418">
        <v>6</v>
      </c>
      <c r="G931" s="417">
        <v>1</v>
      </c>
      <c r="H931" s="314" t="s">
        <v>518</v>
      </c>
      <c r="I931" s="418">
        <v>8</v>
      </c>
      <c r="J931" s="431"/>
      <c r="K931" s="421">
        <f t="shared" si="307"/>
        <v>22</v>
      </c>
      <c r="L931" s="328">
        <v>1.9</v>
      </c>
      <c r="M931" s="328"/>
      <c r="N931" s="328"/>
      <c r="O931" s="493">
        <f>K931*L931</f>
        <v>41.8</v>
      </c>
      <c r="P931" s="328"/>
      <c r="Q931" s="334"/>
      <c r="R931" s="333">
        <f t="shared" si="305"/>
        <v>41.8</v>
      </c>
      <c r="S931" s="331" t="str">
        <f t="shared" si="306"/>
        <v>m²</v>
      </c>
      <c r="T931" s="320">
        <v>44</v>
      </c>
      <c r="U931" s="424" t="s">
        <v>519</v>
      </c>
      <c r="V931" s="455">
        <f t="shared" ca="1" si="272"/>
        <v>1251.6500000000015</v>
      </c>
      <c r="W931" s="456">
        <f t="shared" ca="1" si="303"/>
        <v>2</v>
      </c>
      <c r="X931" s="456">
        <f t="shared" ca="1" si="304"/>
        <v>1</v>
      </c>
      <c r="Y931" s="250"/>
      <c r="Z931" s="250"/>
    </row>
    <row r="932" spans="1:26" s="111" customFormat="1" ht="25.5" x14ac:dyDescent="0.2">
      <c r="A932" s="399"/>
      <c r="B932" s="494"/>
      <c r="C932" s="312" t="s">
        <v>542</v>
      </c>
      <c r="D932" s="417">
        <v>0</v>
      </c>
      <c r="E932" s="314" t="s">
        <v>518</v>
      </c>
      <c r="F932" s="418">
        <v>6</v>
      </c>
      <c r="G932" s="417">
        <v>1</v>
      </c>
      <c r="H932" s="314" t="s">
        <v>518</v>
      </c>
      <c r="I932" s="418">
        <v>8</v>
      </c>
      <c r="J932" s="431"/>
      <c r="K932" s="421">
        <f t="shared" si="307"/>
        <v>22</v>
      </c>
      <c r="L932" s="328">
        <v>2.2999999999999998</v>
      </c>
      <c r="M932" s="328"/>
      <c r="N932" s="328"/>
      <c r="O932" s="493">
        <f>K932*L932</f>
        <v>50.599999999999994</v>
      </c>
      <c r="P932" s="328"/>
      <c r="Q932" s="334"/>
      <c r="R932" s="333">
        <f t="shared" si="305"/>
        <v>50.599999999999994</v>
      </c>
      <c r="S932" s="331" t="str">
        <f t="shared" si="306"/>
        <v>m²</v>
      </c>
      <c r="T932" s="320">
        <v>44</v>
      </c>
      <c r="U932" s="424" t="s">
        <v>519</v>
      </c>
      <c r="V932" s="455">
        <f t="shared" ca="1" si="272"/>
        <v>1251.6500000000015</v>
      </c>
      <c r="W932" s="456">
        <f t="shared" ca="1" si="303"/>
        <v>2</v>
      </c>
      <c r="X932" s="456">
        <f t="shared" ca="1" si="304"/>
        <v>1</v>
      </c>
      <c r="Y932" s="250"/>
      <c r="Z932" s="250"/>
    </row>
    <row r="933" spans="1:26" s="111" customFormat="1" ht="25.5" x14ac:dyDescent="0.2">
      <c r="A933" s="399"/>
      <c r="B933" s="494"/>
      <c r="C933" s="312" t="s">
        <v>543</v>
      </c>
      <c r="D933" s="417">
        <v>0</v>
      </c>
      <c r="E933" s="314" t="s">
        <v>518</v>
      </c>
      <c r="F933" s="418">
        <v>6</v>
      </c>
      <c r="G933" s="417">
        <v>1</v>
      </c>
      <c r="H933" s="314" t="s">
        <v>518</v>
      </c>
      <c r="I933" s="418">
        <v>8</v>
      </c>
      <c r="J933" s="431"/>
      <c r="K933" s="421">
        <f t="shared" si="307"/>
        <v>22</v>
      </c>
      <c r="L933" s="328">
        <v>1.9</v>
      </c>
      <c r="M933" s="328"/>
      <c r="N933" s="328"/>
      <c r="O933" s="493">
        <f>K933*L933</f>
        <v>41.8</v>
      </c>
      <c r="P933" s="328"/>
      <c r="Q933" s="334"/>
      <c r="R933" s="333">
        <f t="shared" si="305"/>
        <v>41.8</v>
      </c>
      <c r="S933" s="331" t="str">
        <f t="shared" si="306"/>
        <v>m²</v>
      </c>
      <c r="T933" s="320">
        <v>44</v>
      </c>
      <c r="U933" s="424" t="s">
        <v>519</v>
      </c>
      <c r="V933" s="455">
        <f t="shared" ca="1" si="272"/>
        <v>1251.6500000000015</v>
      </c>
      <c r="W933" s="456">
        <f t="shared" ca="1" si="303"/>
        <v>2</v>
      </c>
      <c r="X933" s="456">
        <f t="shared" ca="1" si="304"/>
        <v>1</v>
      </c>
      <c r="Y933" s="250"/>
      <c r="Z933" s="250"/>
    </row>
    <row r="934" spans="1:26" s="111" customFormat="1" ht="25.5" x14ac:dyDescent="0.2">
      <c r="A934" s="399"/>
      <c r="B934" s="494"/>
      <c r="C934" s="312" t="s">
        <v>544</v>
      </c>
      <c r="D934" s="417">
        <v>0</v>
      </c>
      <c r="E934" s="314" t="s">
        <v>518</v>
      </c>
      <c r="F934" s="418">
        <v>6</v>
      </c>
      <c r="G934" s="417">
        <v>1</v>
      </c>
      <c r="H934" s="314" t="s">
        <v>518</v>
      </c>
      <c r="I934" s="418">
        <v>8</v>
      </c>
      <c r="J934" s="431"/>
      <c r="K934" s="421">
        <f t="shared" si="307"/>
        <v>22</v>
      </c>
      <c r="L934" s="328">
        <v>2.2999999999999998</v>
      </c>
      <c r="M934" s="328"/>
      <c r="N934" s="328"/>
      <c r="O934" s="493">
        <f>K934*L934</f>
        <v>50.599999999999994</v>
      </c>
      <c r="P934" s="328"/>
      <c r="Q934" s="334"/>
      <c r="R934" s="333">
        <f t="shared" si="305"/>
        <v>50.599999999999994</v>
      </c>
      <c r="S934" s="331" t="str">
        <f t="shared" si="306"/>
        <v>m²</v>
      </c>
      <c r="T934" s="320">
        <v>44</v>
      </c>
      <c r="U934" s="424" t="s">
        <v>519</v>
      </c>
      <c r="V934" s="455">
        <f t="shared" ca="1" si="272"/>
        <v>1251.6500000000015</v>
      </c>
      <c r="W934" s="456">
        <f t="shared" ca="1" si="303"/>
        <v>2</v>
      </c>
      <c r="X934" s="456">
        <f t="shared" ca="1" si="304"/>
        <v>1</v>
      </c>
      <c r="Y934" s="250"/>
      <c r="Z934" s="250"/>
    </row>
    <row r="935" spans="1:26" s="111" customFormat="1" ht="25.5" x14ac:dyDescent="0.2">
      <c r="A935" s="399"/>
      <c r="B935" s="494"/>
      <c r="C935" s="312" t="s">
        <v>545</v>
      </c>
      <c r="D935" s="417">
        <v>0</v>
      </c>
      <c r="E935" s="314" t="s">
        <v>518</v>
      </c>
      <c r="F935" s="418">
        <v>6</v>
      </c>
      <c r="G935" s="417">
        <v>1</v>
      </c>
      <c r="H935" s="314" t="s">
        <v>518</v>
      </c>
      <c r="I935" s="418">
        <v>8</v>
      </c>
      <c r="J935" s="431">
        <v>2</v>
      </c>
      <c r="K935" s="421">
        <f t="shared" si="307"/>
        <v>22</v>
      </c>
      <c r="L935" s="328">
        <v>0.28299999999999997</v>
      </c>
      <c r="M935" s="328"/>
      <c r="N935" s="328"/>
      <c r="O935" s="493">
        <f>J935*K935*L935</f>
        <v>12.451999999999998</v>
      </c>
      <c r="P935" s="328"/>
      <c r="Q935" s="334"/>
      <c r="R935" s="333">
        <f t="shared" si="305"/>
        <v>12.451999999999998</v>
      </c>
      <c r="S935" s="331" t="str">
        <f t="shared" si="306"/>
        <v>m²</v>
      </c>
      <c r="T935" s="320">
        <v>44</v>
      </c>
      <c r="U935" s="424" t="s">
        <v>519</v>
      </c>
      <c r="V935" s="455">
        <f t="shared" ca="1" si="272"/>
        <v>1251.6500000000015</v>
      </c>
      <c r="W935" s="456">
        <f t="shared" ca="1" si="303"/>
        <v>2</v>
      </c>
      <c r="X935" s="456">
        <f t="shared" ca="1" si="304"/>
        <v>1</v>
      </c>
      <c r="Y935" s="250"/>
      <c r="Z935" s="250"/>
    </row>
    <row r="936" spans="1:26" s="111" customFormat="1" ht="25.5" x14ac:dyDescent="0.2">
      <c r="A936" s="399"/>
      <c r="B936" s="494"/>
      <c r="C936" s="426" t="s">
        <v>546</v>
      </c>
      <c r="D936" s="417">
        <v>0</v>
      </c>
      <c r="E936" s="314" t="s">
        <v>518</v>
      </c>
      <c r="F936" s="418">
        <v>6</v>
      </c>
      <c r="G936" s="417">
        <v>1</v>
      </c>
      <c r="H936" s="314" t="s">
        <v>518</v>
      </c>
      <c r="I936" s="418">
        <v>8</v>
      </c>
      <c r="J936" s="431"/>
      <c r="K936" s="421">
        <f t="shared" si="307"/>
        <v>22</v>
      </c>
      <c r="L936" s="328">
        <v>6</v>
      </c>
      <c r="M936" s="328"/>
      <c r="N936" s="328"/>
      <c r="O936" s="493">
        <f>K936*L936</f>
        <v>132</v>
      </c>
      <c r="P936" s="328"/>
      <c r="Q936" s="334"/>
      <c r="R936" s="333">
        <f t="shared" si="305"/>
        <v>132</v>
      </c>
      <c r="S936" s="331" t="str">
        <f t="shared" si="306"/>
        <v>m²</v>
      </c>
      <c r="T936" s="320">
        <v>44</v>
      </c>
      <c r="U936" s="424" t="s">
        <v>519</v>
      </c>
      <c r="V936" s="455">
        <f t="shared" ca="1" si="272"/>
        <v>1251.6500000000015</v>
      </c>
      <c r="W936" s="456">
        <f t="shared" ca="1" si="303"/>
        <v>2</v>
      </c>
      <c r="X936" s="456">
        <f t="shared" ca="1" si="304"/>
        <v>1</v>
      </c>
      <c r="Y936" s="250"/>
      <c r="Z936" s="250"/>
    </row>
    <row r="937" spans="1:26" s="111" customFormat="1" ht="25.5" x14ac:dyDescent="0.2">
      <c r="A937" s="399"/>
      <c r="B937" s="494"/>
      <c r="C937" s="312" t="s">
        <v>547</v>
      </c>
      <c r="D937" s="417">
        <v>0</v>
      </c>
      <c r="E937" s="314" t="s">
        <v>518</v>
      </c>
      <c r="F937" s="418">
        <v>6</v>
      </c>
      <c r="G937" s="417">
        <v>1</v>
      </c>
      <c r="H937" s="314" t="s">
        <v>518</v>
      </c>
      <c r="I937" s="418">
        <v>8</v>
      </c>
      <c r="J937" s="431">
        <f>ROUNDUP(K937/20,0)+1</f>
        <v>3</v>
      </c>
      <c r="K937" s="421">
        <f>ABS((G937*20+I937)-(D937*20+F937))</f>
        <v>22</v>
      </c>
      <c r="L937" s="328">
        <v>6</v>
      </c>
      <c r="M937" s="328">
        <v>0.25</v>
      </c>
      <c r="N937" s="328"/>
      <c r="O937" s="493">
        <f>M937*L937*J937</f>
        <v>4.5</v>
      </c>
      <c r="P937" s="328"/>
      <c r="Q937" s="334"/>
      <c r="R937" s="333">
        <f t="shared" si="305"/>
        <v>4.5</v>
      </c>
      <c r="S937" s="331" t="str">
        <f t="shared" si="306"/>
        <v>m²</v>
      </c>
      <c r="T937" s="320">
        <v>44</v>
      </c>
      <c r="U937" s="424" t="s">
        <v>519</v>
      </c>
      <c r="V937" s="455">
        <f t="shared" ca="1" si="272"/>
        <v>1251.6500000000015</v>
      </c>
      <c r="W937" s="456">
        <f t="shared" ca="1" si="303"/>
        <v>2</v>
      </c>
      <c r="X937" s="456">
        <f t="shared" ca="1" si="304"/>
        <v>1</v>
      </c>
      <c r="Y937" s="250"/>
      <c r="Z937" s="250"/>
    </row>
    <row r="938" spans="1:26" s="111" customFormat="1" ht="25.5" x14ac:dyDescent="0.2">
      <c r="A938" s="399"/>
      <c r="B938" s="494"/>
      <c r="C938" s="312" t="s">
        <v>548</v>
      </c>
      <c r="D938" s="417">
        <v>0</v>
      </c>
      <c r="E938" s="314" t="s">
        <v>518</v>
      </c>
      <c r="F938" s="418">
        <v>6</v>
      </c>
      <c r="G938" s="417">
        <v>1</v>
      </c>
      <c r="H938" s="314" t="s">
        <v>518</v>
      </c>
      <c r="I938" s="418">
        <v>8</v>
      </c>
      <c r="J938" s="431">
        <v>2</v>
      </c>
      <c r="K938" s="421">
        <f>ABS((G938*20+I938)-(D938*20+F938))</f>
        <v>22</v>
      </c>
      <c r="L938" s="328"/>
      <c r="M938" s="328">
        <v>0.25</v>
      </c>
      <c r="N938" s="328"/>
      <c r="O938" s="493">
        <f>M938*K938*J938</f>
        <v>11</v>
      </c>
      <c r="P938" s="328"/>
      <c r="Q938" s="334"/>
      <c r="R938" s="333">
        <f t="shared" si="305"/>
        <v>11</v>
      </c>
      <c r="S938" s="331" t="str">
        <f t="shared" si="306"/>
        <v>m²</v>
      </c>
      <c r="T938" s="320">
        <v>44</v>
      </c>
      <c r="U938" s="424" t="s">
        <v>519</v>
      </c>
      <c r="V938" s="455">
        <f t="shared" ca="1" si="272"/>
        <v>1251.6500000000015</v>
      </c>
      <c r="W938" s="456">
        <f t="shared" ca="1" si="303"/>
        <v>2</v>
      </c>
      <c r="X938" s="456">
        <f t="shared" ca="1" si="304"/>
        <v>1</v>
      </c>
      <c r="Y938" s="250"/>
      <c r="Z938" s="250"/>
    </row>
    <row r="939" spans="1:26" s="111" customFormat="1" ht="15" x14ac:dyDescent="0.2">
      <c r="A939" s="399"/>
      <c r="B939" s="494"/>
      <c r="C939" s="495"/>
      <c r="D939" s="417"/>
      <c r="E939" s="314"/>
      <c r="F939" s="418"/>
      <c r="G939" s="417"/>
      <c r="H939" s="314"/>
      <c r="I939" s="418"/>
      <c r="J939" s="499"/>
      <c r="K939" s="500"/>
      <c r="L939" s="501"/>
      <c r="M939" s="501"/>
      <c r="N939" s="501"/>
      <c r="O939" s="502"/>
      <c r="P939" s="501"/>
      <c r="Q939" s="1098"/>
      <c r="R939" s="1111"/>
      <c r="S939" s="505"/>
      <c r="T939" s="320"/>
      <c r="U939" s="507"/>
      <c r="V939" s="455">
        <f t="shared" ca="1" si="272"/>
        <v>1251.6500000000015</v>
      </c>
      <c r="W939" s="456">
        <f t="shared" ca="1" si="303"/>
        <v>0</v>
      </c>
      <c r="X939" s="456">
        <f t="shared" ca="1" si="304"/>
        <v>1</v>
      </c>
      <c r="Y939" s="250"/>
      <c r="Z939" s="250"/>
    </row>
    <row r="940" spans="1:26" s="111" customFormat="1" ht="15" x14ac:dyDescent="0.2">
      <c r="A940" s="399"/>
      <c r="B940" s="494"/>
      <c r="C940" s="495"/>
      <c r="D940" s="417"/>
      <c r="E940" s="314"/>
      <c r="F940" s="418"/>
      <c r="G940" s="417"/>
      <c r="H940" s="314"/>
      <c r="I940" s="418"/>
      <c r="J940" s="499"/>
      <c r="K940" s="500"/>
      <c r="L940" s="501"/>
      <c r="M940" s="501"/>
      <c r="N940" s="501"/>
      <c r="O940" s="502"/>
      <c r="P940" s="501"/>
      <c r="Q940" s="1098"/>
      <c r="R940" s="1111"/>
      <c r="S940" s="505"/>
      <c r="T940" s="320"/>
      <c r="U940" s="507"/>
      <c r="V940" s="455">
        <f t="shared" ca="1" si="272"/>
        <v>1251.6500000000015</v>
      </c>
      <c r="W940" s="456">
        <f t="shared" ca="1" si="303"/>
        <v>0</v>
      </c>
      <c r="X940" s="456">
        <f t="shared" ca="1" si="304"/>
        <v>1</v>
      </c>
      <c r="Y940" s="250"/>
      <c r="Z940" s="250"/>
    </row>
    <row r="941" spans="1:26" s="111" customFormat="1" ht="15" x14ac:dyDescent="0.2">
      <c r="A941" s="399"/>
      <c r="B941" s="494"/>
      <c r="C941" s="495"/>
      <c r="D941" s="417"/>
      <c r="E941" s="314"/>
      <c r="F941" s="418"/>
      <c r="G941" s="417"/>
      <c r="H941" s="314"/>
      <c r="I941" s="418"/>
      <c r="J941" s="499"/>
      <c r="K941" s="500"/>
      <c r="L941" s="501"/>
      <c r="M941" s="501"/>
      <c r="N941" s="501"/>
      <c r="O941" s="502"/>
      <c r="P941" s="501"/>
      <c r="Q941" s="1098"/>
      <c r="R941" s="1111"/>
      <c r="S941" s="505"/>
      <c r="T941" s="320"/>
      <c r="U941" s="507"/>
      <c r="V941" s="455">
        <f t="shared" ca="1" si="272"/>
        <v>1251.6500000000015</v>
      </c>
      <c r="W941" s="456">
        <f t="shared" ca="1" si="298"/>
        <v>0</v>
      </c>
      <c r="X941" s="456">
        <f ca="1">IF(COUNTA(OFFSET(#REF!,1,0))-COUNTA(#REF!)=-1,0,1)</f>
        <v>1</v>
      </c>
      <c r="Y941" s="250"/>
      <c r="Z941" s="250"/>
    </row>
    <row r="942" spans="1:26" s="111" customFormat="1" ht="15" x14ac:dyDescent="0.2">
      <c r="A942" s="399"/>
      <c r="B942" s="494"/>
      <c r="C942" s="495"/>
      <c r="D942" s="419"/>
      <c r="E942" s="316"/>
      <c r="F942" s="420"/>
      <c r="G942" s="419"/>
      <c r="H942" s="316"/>
      <c r="I942" s="420"/>
      <c r="J942" s="499"/>
      <c r="K942" s="508"/>
      <c r="L942" s="501"/>
      <c r="M942" s="501"/>
      <c r="N942" s="501"/>
      <c r="O942" s="502"/>
      <c r="P942" s="501"/>
      <c r="Q942" s="1098"/>
      <c r="R942" s="1111"/>
      <c r="S942" s="505"/>
      <c r="T942" s="320"/>
      <c r="U942" s="507"/>
      <c r="V942" s="455">
        <f t="shared" ca="1" si="272"/>
        <v>1251.6500000000015</v>
      </c>
      <c r="W942" s="456">
        <f t="shared" ca="1" si="298"/>
        <v>0</v>
      </c>
      <c r="X942" s="456">
        <f t="shared" ca="1" si="299"/>
        <v>1</v>
      </c>
      <c r="Y942" s="250"/>
      <c r="Z942" s="250"/>
    </row>
    <row r="943" spans="1:26" s="111" customFormat="1" ht="15" x14ac:dyDescent="0.2">
      <c r="A943" s="399"/>
      <c r="B943" s="494"/>
      <c r="C943" s="495"/>
      <c r="D943" s="419"/>
      <c r="E943" s="316"/>
      <c r="F943" s="420"/>
      <c r="G943" s="419"/>
      <c r="H943" s="316"/>
      <c r="I943" s="420"/>
      <c r="J943" s="499"/>
      <c r="K943" s="508"/>
      <c r="L943" s="501"/>
      <c r="M943" s="501"/>
      <c r="N943" s="501"/>
      <c r="O943" s="502"/>
      <c r="P943" s="501"/>
      <c r="Q943" s="503"/>
      <c r="R943" s="504"/>
      <c r="S943" s="505"/>
      <c r="T943" s="320"/>
      <c r="U943" s="507"/>
      <c r="V943" s="455">
        <f t="shared" ca="1" si="272"/>
        <v>1251.6500000000015</v>
      </c>
      <c r="W943" s="456">
        <f t="shared" ca="1" si="298"/>
        <v>0</v>
      </c>
      <c r="X943" s="456">
        <f t="shared" ca="1" si="299"/>
        <v>1</v>
      </c>
      <c r="Y943" s="250"/>
      <c r="Z943" s="250"/>
    </row>
    <row r="944" spans="1:26" s="111" customFormat="1" ht="15.75" x14ac:dyDescent="0.2">
      <c r="A944" s="288"/>
      <c r="B944" s="354"/>
      <c r="C944" s="355"/>
      <c r="D944" s="1354" t="s">
        <v>492</v>
      </c>
      <c r="E944" s="1355"/>
      <c r="F944" s="1355"/>
      <c r="G944" s="1355"/>
      <c r="H944" s="1355"/>
      <c r="I944" s="1356"/>
      <c r="J944" s="1357">
        <f>VLOOKUP(A946,'11 - FINANCEIRO'!_xlnm.Print_Area,6,FALSE)</f>
        <v>27063.37</v>
      </c>
      <c r="K944" s="1358"/>
      <c r="L944" s="356" t="str">
        <f>VLOOKUP(A946,'11 - FINANCEIRO'!_xlnm.Print_Area,4,FALSE)</f>
        <v>m²</v>
      </c>
      <c r="M944" s="1359" t="s">
        <v>493</v>
      </c>
      <c r="N944" s="1360"/>
      <c r="O944" s="1360"/>
      <c r="P944" s="1360"/>
      <c r="Q944" s="1361"/>
      <c r="R944" s="357">
        <f>TRUNC(SUM(R590:R943),3)</f>
        <v>24870.842000000001</v>
      </c>
      <c r="S944" s="358" t="str">
        <f>L944</f>
        <v>m²</v>
      </c>
      <c r="T944" s="359"/>
      <c r="U944" s="360"/>
      <c r="V944" s="455">
        <f t="shared" ca="1" si="272"/>
        <v>1251.6500000000015</v>
      </c>
      <c r="W944" s="456">
        <f t="shared" ca="1" si="298"/>
        <v>2</v>
      </c>
      <c r="X944" s="456">
        <f t="shared" ca="1" si="299"/>
        <v>1</v>
      </c>
      <c r="Y944" s="250"/>
      <c r="Z944" s="250"/>
    </row>
    <row r="945" spans="1:29" s="293" customFormat="1" ht="15.75" x14ac:dyDescent="0.2">
      <c r="A945" s="288"/>
      <c r="B945" s="354"/>
      <c r="C945" s="361"/>
      <c r="D945" s="1362" t="s">
        <v>494</v>
      </c>
      <c r="E945" s="1363"/>
      <c r="F945" s="1363"/>
      <c r="G945" s="1363"/>
      <c r="H945" s="1363"/>
      <c r="I945" s="1364"/>
      <c r="J945" s="1365">
        <f>R944/J944</f>
        <v>0.91898540351774383</v>
      </c>
      <c r="K945" s="1366"/>
      <c r="L945" s="1369"/>
      <c r="M945" s="1371" t="s">
        <v>495</v>
      </c>
      <c r="N945" s="1372"/>
      <c r="O945" s="1372"/>
      <c r="P945" s="1372"/>
      <c r="Q945" s="1373"/>
      <c r="R945" s="362">
        <f>VLOOKUP(A946,'11 - FINANCEIRO'!_xlnm.Print_Area,8,FALSE)</f>
        <v>23619.191999999999</v>
      </c>
      <c r="S945" s="363" t="str">
        <f>L944</f>
        <v>m²</v>
      </c>
      <c r="T945" s="359"/>
      <c r="U945" s="360"/>
      <c r="V945" s="455">
        <f t="shared" ca="1" si="272"/>
        <v>1251.6500000000015</v>
      </c>
      <c r="W945" s="456">
        <f t="shared" ca="1" si="298"/>
        <v>2</v>
      </c>
      <c r="X945" s="456">
        <f t="shared" ca="1" si="299"/>
        <v>1</v>
      </c>
      <c r="Y945" s="256"/>
      <c r="Z945" s="256"/>
      <c r="AA945" s="292"/>
      <c r="AB945" s="292"/>
      <c r="AC945" s="292"/>
    </row>
    <row r="946" spans="1:29" s="293" customFormat="1" ht="15.75" x14ac:dyDescent="0.2">
      <c r="A946" s="288" t="s">
        <v>29</v>
      </c>
      <c r="B946" s="364"/>
      <c r="C946" s="365"/>
      <c r="D946" s="1354"/>
      <c r="E946" s="1355"/>
      <c r="F946" s="1355"/>
      <c r="G946" s="1355"/>
      <c r="H946" s="1355"/>
      <c r="I946" s="1356"/>
      <c r="J946" s="1367"/>
      <c r="K946" s="1368"/>
      <c r="L946" s="1370"/>
      <c r="M946" s="1371" t="s">
        <v>496</v>
      </c>
      <c r="N946" s="1372"/>
      <c r="O946" s="1372"/>
      <c r="P946" s="1372"/>
      <c r="Q946" s="1373"/>
      <c r="R946" s="362">
        <f>R944-R945</f>
        <v>1251.6500000000015</v>
      </c>
      <c r="S946" s="363" t="str">
        <f>L944</f>
        <v>m²</v>
      </c>
      <c r="T946" s="366"/>
      <c r="U946" s="367"/>
      <c r="V946" s="455">
        <f t="shared" ca="1" si="272"/>
        <v>1251.6500000000015</v>
      </c>
      <c r="W946" s="456">
        <f t="shared" ca="1" si="298"/>
        <v>2</v>
      </c>
      <c r="X946" s="456">
        <f t="shared" ca="1" si="299"/>
        <v>1</v>
      </c>
      <c r="Y946" s="256"/>
      <c r="Z946" s="256"/>
      <c r="AA946" s="292"/>
      <c r="AB946" s="292"/>
      <c r="AC946" s="292"/>
    </row>
    <row r="947" spans="1:29" s="111" customFormat="1" ht="15.75" x14ac:dyDescent="0.2">
      <c r="A947" s="288"/>
      <c r="B947" s="368"/>
      <c r="C947" s="365"/>
      <c r="D947" s="369"/>
      <c r="E947" s="370"/>
      <c r="F947" s="369"/>
      <c r="G947" s="369"/>
      <c r="H947" s="369"/>
      <c r="I947" s="369"/>
      <c r="J947" s="371"/>
      <c r="K947" s="372"/>
      <c r="L947" s="373"/>
      <c r="M947" s="374"/>
      <c r="N947" s="374"/>
      <c r="O947" s="374"/>
      <c r="P947" s="374"/>
      <c r="Q947" s="374"/>
      <c r="R947" s="375"/>
      <c r="S947" s="376"/>
      <c r="T947" s="377"/>
      <c r="U947" s="378"/>
      <c r="V947" s="379">
        <f ca="1">SUM(V588:V946)</f>
        <v>449342.35000000265</v>
      </c>
      <c r="W947" s="256">
        <f t="shared" ref="W947:W956" ca="1" si="308">IF(LEFT(_xlfn.FORMULATEXT(V947),3)="=SO",1,IF(COUNTA(A947:U947)=0,0,2))</f>
        <v>1</v>
      </c>
      <c r="X947" s="256">
        <f t="shared" ref="X947:X1278" ca="1" si="309">IF(COUNTA(OFFSET(A946,1,0))-COUNTA(A946)=-1,0,1)</f>
        <v>0</v>
      </c>
      <c r="Y947" s="250"/>
      <c r="Z947" s="250"/>
    </row>
    <row r="948" spans="1:29" s="293" customFormat="1" ht="15.75" customHeight="1" x14ac:dyDescent="0.2">
      <c r="A948" s="288"/>
      <c r="B948" s="1374" t="str">
        <f>VLOOKUP(A1176,'11 - FINANCEIRO'!_xlnm.Print_Area,1,FALSE)</f>
        <v>2.1.4</v>
      </c>
      <c r="C948" s="1376" t="str">
        <f>VLOOKUP(A1176,'11 - FINANCEIRO'!_xlnm.Print_Area,3,FALSE)</f>
        <v>Armação Em Aço Ca-50 - Fornecimento, Preparo E Colocação</v>
      </c>
      <c r="D948" s="1378" t="s">
        <v>477</v>
      </c>
      <c r="E948" s="1379"/>
      <c r="F948" s="1379"/>
      <c r="G948" s="1379"/>
      <c r="H948" s="1379"/>
      <c r="I948" s="1380"/>
      <c r="J948" s="1338" t="s">
        <v>549</v>
      </c>
      <c r="K948" s="1338" t="s">
        <v>479</v>
      </c>
      <c r="L948" s="1338" t="s">
        <v>550</v>
      </c>
      <c r="M948" s="1338" t="s">
        <v>296</v>
      </c>
      <c r="N948" s="1338" t="s">
        <v>551</v>
      </c>
      <c r="O948" s="1338" t="s">
        <v>552</v>
      </c>
      <c r="P948" s="1338" t="s">
        <v>553</v>
      </c>
      <c r="Q948" s="1338" t="s">
        <v>554</v>
      </c>
      <c r="R948" s="1336" t="s">
        <v>296</v>
      </c>
      <c r="S948" s="1338" t="s">
        <v>486</v>
      </c>
      <c r="T948" s="1338" t="s">
        <v>487</v>
      </c>
      <c r="U948" s="1340" t="s">
        <v>488</v>
      </c>
      <c r="V948" s="435">
        <f t="shared" ref="V948:V1042" ca="1" si="310">IF(OFFSET(V948,1,1)=1,OFFSET(V948,0,-4),OFFSET(V948,1,0))</f>
        <v>23656.675000000047</v>
      </c>
      <c r="W948" s="256">
        <f t="shared" ca="1" si="308"/>
        <v>2</v>
      </c>
      <c r="X948" s="256">
        <f t="shared" ref="X948:X979" ca="1" si="311">IF(COUNTA(OFFSET(A720,1,0))-COUNTA(A720)=-1,0,1)</f>
        <v>1</v>
      </c>
      <c r="Y948" s="256"/>
      <c r="Z948" s="256"/>
      <c r="AA948" s="292"/>
      <c r="AB948" s="292"/>
      <c r="AC948" s="292"/>
    </row>
    <row r="949" spans="1:29" s="293" customFormat="1" ht="15.75" customHeight="1" x14ac:dyDescent="0.2">
      <c r="A949" s="288"/>
      <c r="B949" s="1375"/>
      <c r="C949" s="1377"/>
      <c r="D949" s="1342" t="s">
        <v>489</v>
      </c>
      <c r="E949" s="1343"/>
      <c r="F949" s="1344"/>
      <c r="G949" s="1345" t="s">
        <v>490</v>
      </c>
      <c r="H949" s="1346"/>
      <c r="I949" s="1347"/>
      <c r="J949" s="1339"/>
      <c r="K949" s="1339"/>
      <c r="L949" s="1339"/>
      <c r="M949" s="1339"/>
      <c r="N949" s="1339"/>
      <c r="O949" s="1339"/>
      <c r="P949" s="1339"/>
      <c r="Q949" s="1339"/>
      <c r="R949" s="1337"/>
      <c r="S949" s="1339"/>
      <c r="T949" s="1339"/>
      <c r="U949" s="1341"/>
      <c r="V949" s="435">
        <f t="shared" ca="1" si="310"/>
        <v>23656.675000000047</v>
      </c>
      <c r="W949" s="256">
        <f t="shared" ca="1" si="308"/>
        <v>2</v>
      </c>
      <c r="X949" s="256">
        <f t="shared" ca="1" si="311"/>
        <v>1</v>
      </c>
      <c r="Y949" s="256"/>
      <c r="Z949" s="256"/>
      <c r="AA949" s="292"/>
      <c r="AB949" s="292"/>
      <c r="AC949" s="292"/>
    </row>
    <row r="950" spans="1:29" s="293" customFormat="1" ht="15.75" x14ac:dyDescent="0.2">
      <c r="A950" s="288"/>
      <c r="B950" s="311"/>
      <c r="C950" s="434" t="s">
        <v>516</v>
      </c>
      <c r="D950" s="313"/>
      <c r="E950" s="314"/>
      <c r="F950" s="315"/>
      <c r="G950" s="380"/>
      <c r="H950" s="316"/>
      <c r="I950" s="381"/>
      <c r="J950" s="317"/>
      <c r="K950" s="421"/>
      <c r="L950" s="433"/>
      <c r="M950" s="433"/>
      <c r="N950" s="433"/>
      <c r="O950" s="433"/>
      <c r="P950" s="315"/>
      <c r="Q950" s="318"/>
      <c r="R950" s="319"/>
      <c r="S950" s="398"/>
      <c r="T950" s="320">
        <v>9</v>
      </c>
      <c r="U950" s="335"/>
      <c r="V950" s="435">
        <f t="shared" ca="1" si="310"/>
        <v>23656.675000000047</v>
      </c>
      <c r="W950" s="256">
        <f t="shared" ca="1" si="308"/>
        <v>2</v>
      </c>
      <c r="X950" s="256">
        <f t="shared" ca="1" si="311"/>
        <v>1</v>
      </c>
      <c r="Y950" s="256"/>
      <c r="Z950" s="256"/>
      <c r="AA950" s="292"/>
      <c r="AB950" s="292"/>
      <c r="AC950" s="292"/>
    </row>
    <row r="951" spans="1:29" s="293" customFormat="1" ht="25.5" x14ac:dyDescent="0.2">
      <c r="A951" s="288"/>
      <c r="B951" s="311"/>
      <c r="C951" s="312" t="s">
        <v>555</v>
      </c>
      <c r="D951" s="417">
        <v>5</v>
      </c>
      <c r="E951" s="314" t="s">
        <v>518</v>
      </c>
      <c r="F951" s="418">
        <v>14.9</v>
      </c>
      <c r="G951" s="417">
        <v>6</v>
      </c>
      <c r="H951" s="314" t="s">
        <v>518</v>
      </c>
      <c r="I951" s="418">
        <v>10</v>
      </c>
      <c r="J951" s="509">
        <v>12.5</v>
      </c>
      <c r="K951" s="421">
        <f t="shared" ref="K951:K956" si="312">ABS((G951*20+I951)-(D951*20+F951))</f>
        <v>15.099999999999994</v>
      </c>
      <c r="L951" s="431">
        <v>10</v>
      </c>
      <c r="M951" s="431">
        <v>1</v>
      </c>
      <c r="N951" s="431">
        <f t="shared" ref="N951:N956" si="313">ROUNDUP(K951/(L951/100),0)+1</f>
        <v>152</v>
      </c>
      <c r="O951" s="510">
        <v>626</v>
      </c>
      <c r="P951" s="315"/>
      <c r="Q951" s="317">
        <v>0.96299999999999997</v>
      </c>
      <c r="R951" s="319">
        <f t="shared" ref="R951:R956" si="314">N951*((O951+P951)/100)*M951*Q951</f>
        <v>916.31376</v>
      </c>
      <c r="S951" s="398" t="str">
        <f t="shared" ref="S951:S970" si="315">$L$1174</f>
        <v>kg</v>
      </c>
      <c r="T951" s="320">
        <v>9</v>
      </c>
      <c r="U951" s="424" t="s">
        <v>519</v>
      </c>
      <c r="V951" s="435">
        <f t="shared" ca="1" si="310"/>
        <v>23656.675000000047</v>
      </c>
      <c r="W951" s="256">
        <f t="shared" ca="1" si="308"/>
        <v>2</v>
      </c>
      <c r="X951" s="256">
        <f t="shared" ca="1" si="311"/>
        <v>1</v>
      </c>
      <c r="Y951" s="256"/>
      <c r="Z951" s="256"/>
      <c r="AA951" s="292"/>
      <c r="AB951" s="292"/>
      <c r="AC951" s="292"/>
    </row>
    <row r="952" spans="1:29" s="293" customFormat="1" ht="25.5" x14ac:dyDescent="0.2">
      <c r="A952" s="288"/>
      <c r="B952" s="311"/>
      <c r="C952" s="312" t="s">
        <v>556</v>
      </c>
      <c r="D952" s="417">
        <v>5</v>
      </c>
      <c r="E952" s="314" t="s">
        <v>518</v>
      </c>
      <c r="F952" s="418">
        <v>14.9</v>
      </c>
      <c r="G952" s="417">
        <v>6</v>
      </c>
      <c r="H952" s="314" t="s">
        <v>518</v>
      </c>
      <c r="I952" s="418">
        <v>10</v>
      </c>
      <c r="J952" s="509">
        <v>8</v>
      </c>
      <c r="K952" s="421">
        <f t="shared" si="312"/>
        <v>15.099999999999994</v>
      </c>
      <c r="L952" s="431">
        <v>10</v>
      </c>
      <c r="M952" s="431">
        <v>4</v>
      </c>
      <c r="N952" s="431">
        <f t="shared" si="313"/>
        <v>152</v>
      </c>
      <c r="O952" s="510">
        <v>109</v>
      </c>
      <c r="P952" s="315"/>
      <c r="Q952" s="317">
        <v>0.39500000000000002</v>
      </c>
      <c r="R952" s="319">
        <f t="shared" si="314"/>
        <v>261.77440000000001</v>
      </c>
      <c r="S952" s="398" t="str">
        <f t="shared" si="315"/>
        <v>kg</v>
      </c>
      <c r="T952" s="320">
        <v>9</v>
      </c>
      <c r="U952" s="424" t="s">
        <v>519</v>
      </c>
      <c r="V952" s="435">
        <f t="shared" ca="1" si="310"/>
        <v>23656.675000000047</v>
      </c>
      <c r="W952" s="256">
        <f t="shared" ca="1" si="308"/>
        <v>2</v>
      </c>
      <c r="X952" s="256">
        <f t="shared" ca="1" si="311"/>
        <v>1</v>
      </c>
      <c r="Y952" s="256"/>
      <c r="Z952" s="256"/>
      <c r="AA952" s="292"/>
      <c r="AB952" s="292"/>
      <c r="AC952" s="292"/>
    </row>
    <row r="953" spans="1:29" s="293" customFormat="1" ht="25.5" x14ac:dyDescent="0.2">
      <c r="A953" s="288"/>
      <c r="B953" s="311"/>
      <c r="C953" s="312" t="s">
        <v>557</v>
      </c>
      <c r="D953" s="417">
        <v>5</v>
      </c>
      <c r="E953" s="314" t="s">
        <v>518</v>
      </c>
      <c r="F953" s="418">
        <v>14.9</v>
      </c>
      <c r="G953" s="417">
        <v>6</v>
      </c>
      <c r="H953" s="314" t="s">
        <v>518</v>
      </c>
      <c r="I953" s="418">
        <v>10</v>
      </c>
      <c r="J953" s="509">
        <v>12.5</v>
      </c>
      <c r="K953" s="421">
        <f t="shared" si="312"/>
        <v>15.099999999999994</v>
      </c>
      <c r="L953" s="431">
        <v>10</v>
      </c>
      <c r="M953" s="431">
        <v>4</v>
      </c>
      <c r="N953" s="431">
        <f t="shared" si="313"/>
        <v>152</v>
      </c>
      <c r="O953" s="510">
        <v>266</v>
      </c>
      <c r="P953" s="315"/>
      <c r="Q953" s="317">
        <v>0.96299999999999997</v>
      </c>
      <c r="R953" s="319">
        <f t="shared" si="314"/>
        <v>1557.44064</v>
      </c>
      <c r="S953" s="398" t="str">
        <f t="shared" si="315"/>
        <v>kg</v>
      </c>
      <c r="T953" s="320">
        <v>9</v>
      </c>
      <c r="U953" s="424" t="s">
        <v>519</v>
      </c>
      <c r="V953" s="435">
        <f t="shared" ca="1" si="310"/>
        <v>23656.675000000047</v>
      </c>
      <c r="W953" s="256">
        <f t="shared" ca="1" si="308"/>
        <v>2</v>
      </c>
      <c r="X953" s="256">
        <f t="shared" ca="1" si="311"/>
        <v>1</v>
      </c>
      <c r="Y953" s="256"/>
      <c r="Z953" s="256"/>
      <c r="AA953" s="292"/>
      <c r="AB953" s="292"/>
      <c r="AC953" s="292"/>
    </row>
    <row r="954" spans="1:29" s="293" customFormat="1" ht="25.5" x14ac:dyDescent="0.2">
      <c r="A954" s="288"/>
      <c r="B954" s="311"/>
      <c r="C954" s="312" t="s">
        <v>558</v>
      </c>
      <c r="D954" s="417">
        <v>5</v>
      </c>
      <c r="E954" s="314" t="s">
        <v>518</v>
      </c>
      <c r="F954" s="418">
        <v>14.9</v>
      </c>
      <c r="G954" s="417">
        <v>6</v>
      </c>
      <c r="H954" s="314" t="s">
        <v>518</v>
      </c>
      <c r="I954" s="418">
        <v>10</v>
      </c>
      <c r="J954" s="509">
        <v>12.5</v>
      </c>
      <c r="K954" s="421">
        <f t="shared" si="312"/>
        <v>15.099999999999994</v>
      </c>
      <c r="L954" s="431">
        <v>20</v>
      </c>
      <c r="M954" s="431">
        <v>1</v>
      </c>
      <c r="N954" s="431">
        <f t="shared" si="313"/>
        <v>77</v>
      </c>
      <c r="O954" s="510">
        <v>626</v>
      </c>
      <c r="P954" s="315"/>
      <c r="Q954" s="317">
        <v>0.96299999999999997</v>
      </c>
      <c r="R954" s="319">
        <f t="shared" si="314"/>
        <v>464.18525999999997</v>
      </c>
      <c r="S954" s="398" t="str">
        <f t="shared" si="315"/>
        <v>kg</v>
      </c>
      <c r="T954" s="320">
        <v>9</v>
      </c>
      <c r="U954" s="424" t="s">
        <v>519</v>
      </c>
      <c r="V954" s="435">
        <f t="shared" ca="1" si="310"/>
        <v>23656.675000000047</v>
      </c>
      <c r="W954" s="256">
        <f t="shared" ca="1" si="308"/>
        <v>2</v>
      </c>
      <c r="X954" s="256">
        <f t="shared" ca="1" si="311"/>
        <v>1</v>
      </c>
      <c r="Y954" s="256"/>
      <c r="Z954" s="256"/>
      <c r="AA954" s="292"/>
      <c r="AB954" s="292"/>
      <c r="AC954" s="292"/>
    </row>
    <row r="955" spans="1:29" s="293" customFormat="1" ht="25.5" x14ac:dyDescent="0.2">
      <c r="A955" s="288"/>
      <c r="B955" s="311"/>
      <c r="C955" s="312" t="s">
        <v>559</v>
      </c>
      <c r="D955" s="417">
        <v>5</v>
      </c>
      <c r="E955" s="314" t="s">
        <v>518</v>
      </c>
      <c r="F955" s="418">
        <v>14.9</v>
      </c>
      <c r="G955" s="417">
        <v>6</v>
      </c>
      <c r="H955" s="314" t="s">
        <v>518</v>
      </c>
      <c r="I955" s="418">
        <v>10</v>
      </c>
      <c r="J955" s="509">
        <v>8</v>
      </c>
      <c r="K955" s="421">
        <f t="shared" si="312"/>
        <v>15.099999999999994</v>
      </c>
      <c r="L955" s="431">
        <v>60</v>
      </c>
      <c r="M955" s="431">
        <f>ROUNDUP(6/(L955/100),0)+1</f>
        <v>11</v>
      </c>
      <c r="N955" s="431">
        <f t="shared" si="313"/>
        <v>27</v>
      </c>
      <c r="O955" s="510">
        <v>90</v>
      </c>
      <c r="P955" s="315"/>
      <c r="Q955" s="317">
        <v>0.39500000000000002</v>
      </c>
      <c r="R955" s="319">
        <f t="shared" si="314"/>
        <v>105.58350000000002</v>
      </c>
      <c r="S955" s="398" t="str">
        <f t="shared" si="315"/>
        <v>kg</v>
      </c>
      <c r="T955" s="320">
        <v>9</v>
      </c>
      <c r="U955" s="424" t="s">
        <v>519</v>
      </c>
      <c r="V955" s="435">
        <f t="shared" ca="1" si="310"/>
        <v>23656.675000000047</v>
      </c>
      <c r="W955" s="256">
        <f t="shared" ca="1" si="308"/>
        <v>2</v>
      </c>
      <c r="X955" s="256">
        <f t="shared" ca="1" si="311"/>
        <v>1</v>
      </c>
      <c r="Y955" s="256"/>
      <c r="Z955" s="256"/>
      <c r="AA955" s="292"/>
      <c r="AB955" s="292"/>
      <c r="AC955" s="292"/>
    </row>
    <row r="956" spans="1:29" s="293" customFormat="1" ht="25.5" x14ac:dyDescent="0.2">
      <c r="A956" s="288"/>
      <c r="B956" s="311"/>
      <c r="C956" s="312" t="s">
        <v>560</v>
      </c>
      <c r="D956" s="417">
        <v>5</v>
      </c>
      <c r="E956" s="314" t="s">
        <v>518</v>
      </c>
      <c r="F956" s="418">
        <v>14.9</v>
      </c>
      <c r="G956" s="417">
        <v>6</v>
      </c>
      <c r="H956" s="314" t="s">
        <v>518</v>
      </c>
      <c r="I956" s="418">
        <v>10</v>
      </c>
      <c r="J956" s="509">
        <v>8</v>
      </c>
      <c r="K956" s="421">
        <f t="shared" si="312"/>
        <v>15.099999999999994</v>
      </c>
      <c r="L956" s="431">
        <v>60</v>
      </c>
      <c r="M956" s="431">
        <f>ROUNDUP(6/(L956/100),0)+1</f>
        <v>11</v>
      </c>
      <c r="N956" s="431">
        <f t="shared" si="313"/>
        <v>27</v>
      </c>
      <c r="O956" s="510">
        <v>90</v>
      </c>
      <c r="P956" s="315"/>
      <c r="Q956" s="317">
        <v>0.39500000000000002</v>
      </c>
      <c r="R956" s="319">
        <f t="shared" si="314"/>
        <v>105.58350000000002</v>
      </c>
      <c r="S956" s="398" t="str">
        <f t="shared" si="315"/>
        <v>kg</v>
      </c>
      <c r="T956" s="320">
        <v>9</v>
      </c>
      <c r="U956" s="424" t="s">
        <v>519</v>
      </c>
      <c r="V956" s="435">
        <f t="shared" ca="1" si="310"/>
        <v>23656.675000000047</v>
      </c>
      <c r="W956" s="256">
        <f t="shared" ca="1" si="308"/>
        <v>2</v>
      </c>
      <c r="X956" s="256">
        <f t="shared" ca="1" si="311"/>
        <v>1</v>
      </c>
      <c r="Y956" s="256"/>
      <c r="Z956" s="256"/>
      <c r="AA956" s="292"/>
      <c r="AB956" s="292"/>
      <c r="AC956" s="292"/>
    </row>
    <row r="957" spans="1:29" s="293" customFormat="1" ht="15.75" x14ac:dyDescent="0.2">
      <c r="A957" s="288"/>
      <c r="B957" s="311"/>
      <c r="C957" s="312"/>
      <c r="D957" s="417"/>
      <c r="E957" s="314"/>
      <c r="F957" s="418"/>
      <c r="G957" s="417"/>
      <c r="H957" s="314"/>
      <c r="I957" s="418"/>
      <c r="J957" s="509"/>
      <c r="K957" s="421"/>
      <c r="L957" s="417"/>
      <c r="M957" s="431"/>
      <c r="N957" s="431"/>
      <c r="O957" s="510"/>
      <c r="P957" s="315"/>
      <c r="Q957" s="315"/>
      <c r="R957" s="319"/>
      <c r="S957" s="398"/>
      <c r="T957" s="320"/>
      <c r="U957" s="424"/>
      <c r="V957" s="435">
        <f t="shared" ca="1" si="310"/>
        <v>23656.675000000047</v>
      </c>
      <c r="W957" s="256">
        <f t="shared" ref="W957:W964" ca="1" si="316">IF(LEFT(_xlfn.FORMULATEXT(V957),3)="=SO",1,IF(COUNTA(A957:U957)=0,0,2))</f>
        <v>0</v>
      </c>
      <c r="X957" s="256">
        <f t="shared" ca="1" si="311"/>
        <v>1</v>
      </c>
      <c r="Y957" s="256"/>
      <c r="Z957" s="256"/>
      <c r="AA957" s="292"/>
      <c r="AB957" s="292"/>
      <c r="AC957" s="292"/>
    </row>
    <row r="958" spans="1:29" s="293" customFormat="1" ht="25.5" x14ac:dyDescent="0.2">
      <c r="A958" s="288"/>
      <c r="B958" s="311"/>
      <c r="C958" s="312" t="s">
        <v>555</v>
      </c>
      <c r="D958" s="417">
        <v>4</v>
      </c>
      <c r="E958" s="314" t="s">
        <v>518</v>
      </c>
      <c r="F958" s="418">
        <v>16</v>
      </c>
      <c r="G958" s="417">
        <v>5</v>
      </c>
      <c r="H958" s="314" t="s">
        <v>518</v>
      </c>
      <c r="I958" s="418">
        <v>14.5</v>
      </c>
      <c r="J958" s="509">
        <v>12.5</v>
      </c>
      <c r="K958" s="421">
        <f t="shared" ref="K958:K963" si="317">ABS((G958*20+I958)-(D958*20+F958))</f>
        <v>18.5</v>
      </c>
      <c r="L958" s="431">
        <v>10</v>
      </c>
      <c r="M958" s="431">
        <v>1</v>
      </c>
      <c r="N958" s="431">
        <f t="shared" ref="N958:N963" si="318">ROUNDUP(K958/(L958/100),0)+1</f>
        <v>186</v>
      </c>
      <c r="O958" s="510">
        <v>626</v>
      </c>
      <c r="P958" s="315"/>
      <c r="Q958" s="317">
        <v>0.96299999999999997</v>
      </c>
      <c r="R958" s="319">
        <f t="shared" ref="R958:R963" si="319">N958*((O958+P958)/100)*M958*Q958</f>
        <v>1121.2786799999999</v>
      </c>
      <c r="S958" s="398" t="str">
        <f t="shared" si="315"/>
        <v>kg</v>
      </c>
      <c r="T958" s="320">
        <v>38</v>
      </c>
      <c r="U958" s="424" t="s">
        <v>519</v>
      </c>
      <c r="V958" s="435">
        <f t="shared" ca="1" si="310"/>
        <v>23656.675000000047</v>
      </c>
      <c r="W958" s="256">
        <f t="shared" ca="1" si="316"/>
        <v>2</v>
      </c>
      <c r="X958" s="256">
        <f t="shared" ca="1" si="311"/>
        <v>1</v>
      </c>
      <c r="Y958" s="256"/>
      <c r="Z958" s="256"/>
      <c r="AA958" s="292"/>
      <c r="AB958" s="292"/>
      <c r="AC958" s="292"/>
    </row>
    <row r="959" spans="1:29" s="293" customFormat="1" ht="25.5" x14ac:dyDescent="0.2">
      <c r="A959" s="288"/>
      <c r="B959" s="311"/>
      <c r="C959" s="312" t="s">
        <v>556</v>
      </c>
      <c r="D959" s="417">
        <v>4</v>
      </c>
      <c r="E959" s="314" t="s">
        <v>518</v>
      </c>
      <c r="F959" s="418">
        <v>16</v>
      </c>
      <c r="G959" s="417">
        <v>5</v>
      </c>
      <c r="H959" s="314" t="s">
        <v>518</v>
      </c>
      <c r="I959" s="418">
        <v>14.5</v>
      </c>
      <c r="J959" s="509">
        <v>8</v>
      </c>
      <c r="K959" s="421">
        <f t="shared" si="317"/>
        <v>18.5</v>
      </c>
      <c r="L959" s="431">
        <v>10</v>
      </c>
      <c r="M959" s="431">
        <v>4</v>
      </c>
      <c r="N959" s="431">
        <f t="shared" si="318"/>
        <v>186</v>
      </c>
      <c r="O959" s="510">
        <v>109</v>
      </c>
      <c r="P959" s="315"/>
      <c r="Q959" s="317">
        <v>0.39500000000000002</v>
      </c>
      <c r="R959" s="319">
        <f t="shared" si="319"/>
        <v>320.32920000000001</v>
      </c>
      <c r="S959" s="398" t="str">
        <f t="shared" si="315"/>
        <v>kg</v>
      </c>
      <c r="T959" s="320">
        <v>38</v>
      </c>
      <c r="U959" s="424" t="s">
        <v>519</v>
      </c>
      <c r="V959" s="435">
        <f t="shared" ca="1" si="310"/>
        <v>23656.675000000047</v>
      </c>
      <c r="W959" s="256">
        <f t="shared" ca="1" si="316"/>
        <v>2</v>
      </c>
      <c r="X959" s="256">
        <f t="shared" ca="1" si="311"/>
        <v>1</v>
      </c>
      <c r="Y959" s="256"/>
      <c r="Z959" s="256"/>
      <c r="AA959" s="292"/>
      <c r="AB959" s="292"/>
      <c r="AC959" s="292"/>
    </row>
    <row r="960" spans="1:29" s="293" customFormat="1" ht="25.5" x14ac:dyDescent="0.2">
      <c r="A960" s="288"/>
      <c r="B960" s="311"/>
      <c r="C960" s="312" t="s">
        <v>557</v>
      </c>
      <c r="D960" s="417">
        <v>4</v>
      </c>
      <c r="E960" s="314" t="s">
        <v>518</v>
      </c>
      <c r="F960" s="418">
        <v>16</v>
      </c>
      <c r="G960" s="417">
        <v>5</v>
      </c>
      <c r="H960" s="314" t="s">
        <v>518</v>
      </c>
      <c r="I960" s="418">
        <v>14.5</v>
      </c>
      <c r="J960" s="509">
        <v>12.5</v>
      </c>
      <c r="K960" s="421">
        <f t="shared" si="317"/>
        <v>18.5</v>
      </c>
      <c r="L960" s="431">
        <v>10</v>
      </c>
      <c r="M960" s="431">
        <v>4</v>
      </c>
      <c r="N960" s="431">
        <f t="shared" si="318"/>
        <v>186</v>
      </c>
      <c r="O960" s="510">
        <v>266</v>
      </c>
      <c r="P960" s="315"/>
      <c r="Q960" s="317">
        <v>0.96299999999999997</v>
      </c>
      <c r="R960" s="319">
        <f t="shared" si="319"/>
        <v>1905.8155200000001</v>
      </c>
      <c r="S960" s="398" t="str">
        <f t="shared" si="315"/>
        <v>kg</v>
      </c>
      <c r="T960" s="320">
        <v>38</v>
      </c>
      <c r="U960" s="424" t="s">
        <v>519</v>
      </c>
      <c r="V960" s="435">
        <f t="shared" ca="1" si="310"/>
        <v>23656.675000000047</v>
      </c>
      <c r="W960" s="256">
        <f t="shared" ca="1" si="316"/>
        <v>2</v>
      </c>
      <c r="X960" s="256">
        <f t="shared" ca="1" si="311"/>
        <v>1</v>
      </c>
      <c r="Y960" s="256"/>
      <c r="Z960" s="256"/>
      <c r="AA960" s="292"/>
      <c r="AB960" s="292"/>
      <c r="AC960" s="292"/>
    </row>
    <row r="961" spans="1:29" s="293" customFormat="1" ht="25.5" x14ac:dyDescent="0.2">
      <c r="A961" s="288"/>
      <c r="B961" s="311"/>
      <c r="C961" s="312" t="s">
        <v>558</v>
      </c>
      <c r="D961" s="417">
        <v>4</v>
      </c>
      <c r="E961" s="314" t="s">
        <v>518</v>
      </c>
      <c r="F961" s="418">
        <v>16</v>
      </c>
      <c r="G961" s="417">
        <v>5</v>
      </c>
      <c r="H961" s="314" t="s">
        <v>518</v>
      </c>
      <c r="I961" s="418">
        <v>14.5</v>
      </c>
      <c r="J961" s="509">
        <v>12.5</v>
      </c>
      <c r="K961" s="421">
        <f t="shared" si="317"/>
        <v>18.5</v>
      </c>
      <c r="L961" s="431">
        <v>20</v>
      </c>
      <c r="M961" s="431">
        <v>1</v>
      </c>
      <c r="N961" s="431">
        <f t="shared" si="318"/>
        <v>94</v>
      </c>
      <c r="O961" s="510">
        <v>626</v>
      </c>
      <c r="P961" s="315"/>
      <c r="Q961" s="317">
        <v>0.96299999999999997</v>
      </c>
      <c r="R961" s="319">
        <f t="shared" si="319"/>
        <v>566.66771999999992</v>
      </c>
      <c r="S961" s="398" t="str">
        <f t="shared" si="315"/>
        <v>kg</v>
      </c>
      <c r="T961" s="320">
        <v>38</v>
      </c>
      <c r="U961" s="424" t="s">
        <v>519</v>
      </c>
      <c r="V961" s="435">
        <f t="shared" ca="1" si="310"/>
        <v>23656.675000000047</v>
      </c>
      <c r="W961" s="256">
        <f t="shared" ca="1" si="316"/>
        <v>2</v>
      </c>
      <c r="X961" s="256">
        <f t="shared" ca="1" si="311"/>
        <v>1</v>
      </c>
      <c r="Y961" s="256"/>
      <c r="Z961" s="256"/>
      <c r="AA961" s="292"/>
      <c r="AB961" s="292"/>
      <c r="AC961" s="292"/>
    </row>
    <row r="962" spans="1:29" s="293" customFormat="1" ht="25.5" x14ac:dyDescent="0.2">
      <c r="A962" s="288"/>
      <c r="B962" s="311"/>
      <c r="C962" s="312" t="s">
        <v>559</v>
      </c>
      <c r="D962" s="417">
        <v>4</v>
      </c>
      <c r="E962" s="314" t="s">
        <v>518</v>
      </c>
      <c r="F962" s="418">
        <v>16</v>
      </c>
      <c r="G962" s="417">
        <v>5</v>
      </c>
      <c r="H962" s="314" t="s">
        <v>518</v>
      </c>
      <c r="I962" s="418">
        <v>14.5</v>
      </c>
      <c r="J962" s="509">
        <v>8</v>
      </c>
      <c r="K962" s="421">
        <f t="shared" si="317"/>
        <v>18.5</v>
      </c>
      <c r="L962" s="431">
        <v>60</v>
      </c>
      <c r="M962" s="431">
        <f>ROUNDUP(6/(L962/100),0)+1</f>
        <v>11</v>
      </c>
      <c r="N962" s="431">
        <f t="shared" si="318"/>
        <v>32</v>
      </c>
      <c r="O962" s="510">
        <v>90</v>
      </c>
      <c r="P962" s="315"/>
      <c r="Q962" s="317">
        <v>0.39500000000000002</v>
      </c>
      <c r="R962" s="319">
        <f t="shared" si="319"/>
        <v>125.13600000000001</v>
      </c>
      <c r="S962" s="398" t="str">
        <f t="shared" si="315"/>
        <v>kg</v>
      </c>
      <c r="T962" s="320">
        <v>38</v>
      </c>
      <c r="U962" s="424" t="s">
        <v>519</v>
      </c>
      <c r="V962" s="435">
        <f t="shared" ca="1" si="310"/>
        <v>23656.675000000047</v>
      </c>
      <c r="W962" s="256">
        <f t="shared" ca="1" si="316"/>
        <v>2</v>
      </c>
      <c r="X962" s="256">
        <f t="shared" ca="1" si="311"/>
        <v>1</v>
      </c>
      <c r="Y962" s="256"/>
      <c r="Z962" s="256"/>
      <c r="AA962" s="292"/>
      <c r="AB962" s="292"/>
      <c r="AC962" s="292"/>
    </row>
    <row r="963" spans="1:29" s="293" customFormat="1" ht="25.5" x14ac:dyDescent="0.2">
      <c r="A963" s="288"/>
      <c r="B963" s="311"/>
      <c r="C963" s="312" t="s">
        <v>560</v>
      </c>
      <c r="D963" s="417">
        <v>4</v>
      </c>
      <c r="E963" s="314" t="s">
        <v>518</v>
      </c>
      <c r="F963" s="418">
        <v>16</v>
      </c>
      <c r="G963" s="417">
        <v>5</v>
      </c>
      <c r="H963" s="314" t="s">
        <v>518</v>
      </c>
      <c r="I963" s="418">
        <v>14.5</v>
      </c>
      <c r="J963" s="509">
        <v>8</v>
      </c>
      <c r="K963" s="421">
        <f t="shared" si="317"/>
        <v>18.5</v>
      </c>
      <c r="L963" s="431">
        <v>60</v>
      </c>
      <c r="M963" s="431">
        <f>ROUNDUP(6/(L963/100),0)+1</f>
        <v>11</v>
      </c>
      <c r="N963" s="431">
        <f t="shared" si="318"/>
        <v>32</v>
      </c>
      <c r="O963" s="510">
        <v>90</v>
      </c>
      <c r="P963" s="315"/>
      <c r="Q963" s="317">
        <v>0.39500000000000002</v>
      </c>
      <c r="R963" s="319">
        <f t="shared" si="319"/>
        <v>125.13600000000001</v>
      </c>
      <c r="S963" s="398" t="str">
        <f t="shared" si="315"/>
        <v>kg</v>
      </c>
      <c r="T963" s="320">
        <v>38</v>
      </c>
      <c r="U963" s="424" t="s">
        <v>519</v>
      </c>
      <c r="V963" s="435">
        <f t="shared" ca="1" si="310"/>
        <v>23656.675000000047</v>
      </c>
      <c r="W963" s="256">
        <f t="shared" ca="1" si="316"/>
        <v>2</v>
      </c>
      <c r="X963" s="256">
        <f t="shared" ca="1" si="311"/>
        <v>1</v>
      </c>
      <c r="Y963" s="256"/>
      <c r="Z963" s="256"/>
      <c r="AA963" s="292"/>
      <c r="AB963" s="292"/>
      <c r="AC963" s="292"/>
    </row>
    <row r="964" spans="1:29" s="293" customFormat="1" ht="15.75" x14ac:dyDescent="0.2">
      <c r="A964" s="288"/>
      <c r="B964" s="311"/>
      <c r="C964" s="312"/>
      <c r="D964" s="417"/>
      <c r="E964" s="314"/>
      <c r="F964" s="418"/>
      <c r="G964" s="417"/>
      <c r="H964" s="314"/>
      <c r="I964" s="418"/>
      <c r="J964" s="509"/>
      <c r="K964" s="421"/>
      <c r="L964" s="417"/>
      <c r="M964" s="431"/>
      <c r="N964" s="431"/>
      <c r="O964" s="510"/>
      <c r="P964" s="315"/>
      <c r="Q964" s="315"/>
      <c r="R964" s="319"/>
      <c r="S964" s="398"/>
      <c r="T964" s="320"/>
      <c r="U964" s="424"/>
      <c r="V964" s="435">
        <f t="shared" ca="1" si="310"/>
        <v>23656.675000000047</v>
      </c>
      <c r="W964" s="256">
        <f t="shared" ca="1" si="316"/>
        <v>0</v>
      </c>
      <c r="X964" s="256">
        <f t="shared" ca="1" si="311"/>
        <v>1</v>
      </c>
      <c r="Y964" s="256"/>
      <c r="Z964" s="256"/>
      <c r="AA964" s="292"/>
      <c r="AB964" s="292"/>
      <c r="AC964" s="292"/>
    </row>
    <row r="965" spans="1:29" s="293" customFormat="1" ht="25.5" x14ac:dyDescent="0.2">
      <c r="A965" s="288"/>
      <c r="B965" s="311"/>
      <c r="C965" s="312" t="s">
        <v>555</v>
      </c>
      <c r="D965" s="417">
        <v>4</v>
      </c>
      <c r="E965" s="314" t="s">
        <v>518</v>
      </c>
      <c r="F965" s="418">
        <v>0</v>
      </c>
      <c r="G965" s="417">
        <v>4</v>
      </c>
      <c r="H965" s="314" t="s">
        <v>518</v>
      </c>
      <c r="I965" s="418">
        <v>16</v>
      </c>
      <c r="J965" s="509">
        <v>12.5</v>
      </c>
      <c r="K965" s="421">
        <f t="shared" ref="K965:K970" si="320">ABS((G965*20+I965)-(D965*20+F965))</f>
        <v>16</v>
      </c>
      <c r="L965" s="431">
        <v>10</v>
      </c>
      <c r="M965" s="431">
        <v>1</v>
      </c>
      <c r="N965" s="431">
        <f t="shared" ref="N965:N970" si="321">ROUNDUP(K965/(L965/100),0)+1</f>
        <v>161</v>
      </c>
      <c r="O965" s="510">
        <v>626</v>
      </c>
      <c r="P965" s="315"/>
      <c r="Q965" s="317">
        <v>0.96299999999999997</v>
      </c>
      <c r="R965" s="319">
        <f t="shared" ref="R965:R970" si="322">N965*((O965+P965)/100)*M965*Q965</f>
        <v>970.56917999999996</v>
      </c>
      <c r="S965" s="398" t="str">
        <f t="shared" si="315"/>
        <v>kg</v>
      </c>
      <c r="T965" s="320">
        <v>39</v>
      </c>
      <c r="U965" s="424" t="s">
        <v>519</v>
      </c>
      <c r="V965" s="435">
        <f t="shared" ca="1" si="310"/>
        <v>23656.675000000047</v>
      </c>
      <c r="W965" s="256">
        <f t="shared" ref="W965:W970" ca="1" si="323">IF(LEFT(_xlfn.FORMULATEXT(V965),3)="=SO",1,IF(COUNTA(A965:U965)=0,0,2))</f>
        <v>2</v>
      </c>
      <c r="X965" s="256">
        <f t="shared" ca="1" si="311"/>
        <v>1</v>
      </c>
      <c r="Y965" s="256"/>
      <c r="Z965" s="256"/>
      <c r="AA965" s="292"/>
      <c r="AB965" s="292"/>
      <c r="AC965" s="292"/>
    </row>
    <row r="966" spans="1:29" s="293" customFormat="1" ht="25.5" x14ac:dyDescent="0.2">
      <c r="A966" s="288"/>
      <c r="B966" s="311"/>
      <c r="C966" s="312" t="s">
        <v>556</v>
      </c>
      <c r="D966" s="417">
        <v>4</v>
      </c>
      <c r="E966" s="314" t="s">
        <v>518</v>
      </c>
      <c r="F966" s="418">
        <v>0</v>
      </c>
      <c r="G966" s="417">
        <v>4</v>
      </c>
      <c r="H966" s="314" t="s">
        <v>518</v>
      </c>
      <c r="I966" s="418">
        <v>16</v>
      </c>
      <c r="J966" s="509">
        <v>8</v>
      </c>
      <c r="K966" s="421">
        <f t="shared" si="320"/>
        <v>16</v>
      </c>
      <c r="L966" s="431">
        <v>10</v>
      </c>
      <c r="M966" s="431">
        <v>4</v>
      </c>
      <c r="N966" s="431">
        <f t="shared" si="321"/>
        <v>161</v>
      </c>
      <c r="O966" s="510">
        <v>109</v>
      </c>
      <c r="P966" s="315"/>
      <c r="Q966" s="317">
        <v>0.39500000000000002</v>
      </c>
      <c r="R966" s="319">
        <f t="shared" si="322"/>
        <v>277.27420000000001</v>
      </c>
      <c r="S966" s="398" t="str">
        <f t="shared" si="315"/>
        <v>kg</v>
      </c>
      <c r="T966" s="320">
        <v>39</v>
      </c>
      <c r="U966" s="424" t="s">
        <v>519</v>
      </c>
      <c r="V966" s="435">
        <f t="shared" ca="1" si="310"/>
        <v>23656.675000000047</v>
      </c>
      <c r="W966" s="256">
        <f t="shared" ca="1" si="323"/>
        <v>2</v>
      </c>
      <c r="X966" s="256">
        <f t="shared" ca="1" si="311"/>
        <v>1</v>
      </c>
      <c r="Y966" s="256"/>
      <c r="Z966" s="256"/>
      <c r="AA966" s="292"/>
      <c r="AB966" s="292"/>
      <c r="AC966" s="292"/>
    </row>
    <row r="967" spans="1:29" s="293" customFormat="1" ht="25.5" x14ac:dyDescent="0.2">
      <c r="A967" s="288"/>
      <c r="B967" s="311"/>
      <c r="C967" s="312" t="s">
        <v>557</v>
      </c>
      <c r="D967" s="417">
        <v>4</v>
      </c>
      <c r="E967" s="314" t="s">
        <v>518</v>
      </c>
      <c r="F967" s="418">
        <v>0</v>
      </c>
      <c r="G967" s="417">
        <v>4</v>
      </c>
      <c r="H967" s="314" t="s">
        <v>518</v>
      </c>
      <c r="I967" s="418">
        <v>16</v>
      </c>
      <c r="J967" s="509">
        <v>12.5</v>
      </c>
      <c r="K967" s="421">
        <f t="shared" si="320"/>
        <v>16</v>
      </c>
      <c r="L967" s="431">
        <v>10</v>
      </c>
      <c r="M967" s="431">
        <v>4</v>
      </c>
      <c r="N967" s="431">
        <f t="shared" si="321"/>
        <v>161</v>
      </c>
      <c r="O967" s="510">
        <v>266</v>
      </c>
      <c r="P967" s="315"/>
      <c r="Q967" s="317">
        <v>0.96299999999999997</v>
      </c>
      <c r="R967" s="319">
        <f t="shared" si="322"/>
        <v>1649.6575200000002</v>
      </c>
      <c r="S967" s="398" t="str">
        <f t="shared" si="315"/>
        <v>kg</v>
      </c>
      <c r="T967" s="320">
        <v>39</v>
      </c>
      <c r="U967" s="424" t="s">
        <v>519</v>
      </c>
      <c r="V967" s="435">
        <f t="shared" ca="1" si="310"/>
        <v>23656.675000000047</v>
      </c>
      <c r="W967" s="256">
        <f t="shared" ca="1" si="323"/>
        <v>2</v>
      </c>
      <c r="X967" s="256">
        <f t="shared" ca="1" si="311"/>
        <v>1</v>
      </c>
      <c r="Y967" s="256"/>
      <c r="Z967" s="256"/>
      <c r="AA967" s="292"/>
      <c r="AB967" s="292"/>
      <c r="AC967" s="292"/>
    </row>
    <row r="968" spans="1:29" s="293" customFormat="1" ht="25.5" x14ac:dyDescent="0.2">
      <c r="A968" s="288"/>
      <c r="B968" s="311"/>
      <c r="C968" s="312" t="s">
        <v>558</v>
      </c>
      <c r="D968" s="417">
        <v>4</v>
      </c>
      <c r="E968" s="314" t="s">
        <v>518</v>
      </c>
      <c r="F968" s="418">
        <v>0</v>
      </c>
      <c r="G968" s="417">
        <v>4</v>
      </c>
      <c r="H968" s="314" t="s">
        <v>518</v>
      </c>
      <c r="I968" s="418">
        <v>16</v>
      </c>
      <c r="J968" s="509">
        <v>12.5</v>
      </c>
      <c r="K968" s="421">
        <f t="shared" si="320"/>
        <v>16</v>
      </c>
      <c r="L968" s="431">
        <v>20</v>
      </c>
      <c r="M968" s="431">
        <v>1</v>
      </c>
      <c r="N968" s="431">
        <f t="shared" si="321"/>
        <v>81</v>
      </c>
      <c r="O968" s="510">
        <v>626</v>
      </c>
      <c r="P968" s="315"/>
      <c r="Q968" s="317">
        <v>0.96299999999999997</v>
      </c>
      <c r="R968" s="319">
        <f t="shared" si="322"/>
        <v>488.29877999999997</v>
      </c>
      <c r="S968" s="398" t="str">
        <f t="shared" si="315"/>
        <v>kg</v>
      </c>
      <c r="T968" s="320">
        <v>39</v>
      </c>
      <c r="U968" s="424" t="s">
        <v>519</v>
      </c>
      <c r="V968" s="435">
        <f t="shared" ca="1" si="310"/>
        <v>23656.675000000047</v>
      </c>
      <c r="W968" s="256">
        <f t="shared" ca="1" si="323"/>
        <v>2</v>
      </c>
      <c r="X968" s="256">
        <f t="shared" ca="1" si="311"/>
        <v>1</v>
      </c>
      <c r="Y968" s="256"/>
      <c r="Z968" s="256"/>
      <c r="AA968" s="292"/>
      <c r="AB968" s="292"/>
      <c r="AC968" s="292"/>
    </row>
    <row r="969" spans="1:29" s="293" customFormat="1" ht="25.5" x14ac:dyDescent="0.2">
      <c r="A969" s="288"/>
      <c r="B969" s="311"/>
      <c r="C969" s="312" t="s">
        <v>559</v>
      </c>
      <c r="D969" s="417">
        <v>4</v>
      </c>
      <c r="E969" s="314" t="s">
        <v>518</v>
      </c>
      <c r="F969" s="418">
        <v>0</v>
      </c>
      <c r="G969" s="417">
        <v>4</v>
      </c>
      <c r="H969" s="314" t="s">
        <v>518</v>
      </c>
      <c r="I969" s="418">
        <v>16</v>
      </c>
      <c r="J969" s="509">
        <v>8</v>
      </c>
      <c r="K969" s="421">
        <f t="shared" si="320"/>
        <v>16</v>
      </c>
      <c r="L969" s="431">
        <v>60</v>
      </c>
      <c r="M969" s="431">
        <f>ROUNDUP(6/(L969/100),0)+1</f>
        <v>11</v>
      </c>
      <c r="N969" s="431">
        <f t="shared" si="321"/>
        <v>28</v>
      </c>
      <c r="O969" s="510">
        <v>90</v>
      </c>
      <c r="P969" s="315"/>
      <c r="Q969" s="317">
        <v>0.39500000000000002</v>
      </c>
      <c r="R969" s="319">
        <f t="shared" si="322"/>
        <v>109.494</v>
      </c>
      <c r="S969" s="398" t="str">
        <f t="shared" si="315"/>
        <v>kg</v>
      </c>
      <c r="T969" s="320">
        <v>39</v>
      </c>
      <c r="U969" s="424" t="s">
        <v>519</v>
      </c>
      <c r="V969" s="435">
        <f t="shared" ca="1" si="310"/>
        <v>23656.675000000047</v>
      </c>
      <c r="W969" s="256">
        <f t="shared" ca="1" si="323"/>
        <v>2</v>
      </c>
      <c r="X969" s="256">
        <f t="shared" ca="1" si="311"/>
        <v>1</v>
      </c>
      <c r="Y969" s="256"/>
      <c r="Z969" s="256"/>
      <c r="AA969" s="292"/>
      <c r="AB969" s="292"/>
      <c r="AC969" s="292"/>
    </row>
    <row r="970" spans="1:29" s="293" customFormat="1" ht="25.5" x14ac:dyDescent="0.2">
      <c r="A970" s="288"/>
      <c r="B970" s="311"/>
      <c r="C970" s="312" t="s">
        <v>560</v>
      </c>
      <c r="D970" s="417">
        <v>4</v>
      </c>
      <c r="E970" s="314" t="s">
        <v>518</v>
      </c>
      <c r="F970" s="418">
        <v>0</v>
      </c>
      <c r="G970" s="417">
        <v>4</v>
      </c>
      <c r="H970" s="314" t="s">
        <v>518</v>
      </c>
      <c r="I970" s="418">
        <v>16</v>
      </c>
      <c r="J970" s="509">
        <v>8</v>
      </c>
      <c r="K970" s="421">
        <f t="shared" si="320"/>
        <v>16</v>
      </c>
      <c r="L970" s="431">
        <v>60</v>
      </c>
      <c r="M970" s="431">
        <f>ROUNDUP(6/(L970/100),0)+1</f>
        <v>11</v>
      </c>
      <c r="N970" s="431">
        <f t="shared" si="321"/>
        <v>28</v>
      </c>
      <c r="O970" s="510">
        <v>90</v>
      </c>
      <c r="P970" s="315"/>
      <c r="Q970" s="317">
        <v>0.39500000000000002</v>
      </c>
      <c r="R970" s="319">
        <f t="shared" si="322"/>
        <v>109.494</v>
      </c>
      <c r="S970" s="398" t="str">
        <f t="shared" si="315"/>
        <v>kg</v>
      </c>
      <c r="T970" s="320">
        <v>39</v>
      </c>
      <c r="U970" s="424" t="s">
        <v>519</v>
      </c>
      <c r="V970" s="435">
        <f t="shared" ca="1" si="310"/>
        <v>23656.675000000047</v>
      </c>
      <c r="W970" s="256">
        <f t="shared" ca="1" si="323"/>
        <v>2</v>
      </c>
      <c r="X970" s="256">
        <f t="shared" ca="1" si="311"/>
        <v>1</v>
      </c>
      <c r="Y970" s="256"/>
      <c r="Z970" s="256"/>
      <c r="AA970" s="292"/>
      <c r="AB970" s="292"/>
      <c r="AC970" s="292"/>
    </row>
    <row r="971" spans="1:29" s="293" customFormat="1" ht="15.75" x14ac:dyDescent="0.2">
      <c r="A971" s="288"/>
      <c r="B971" s="311"/>
      <c r="C971" s="312"/>
      <c r="D971" s="417"/>
      <c r="E971" s="314"/>
      <c r="F971" s="418"/>
      <c r="G971" s="417"/>
      <c r="H971" s="314"/>
      <c r="I971" s="418"/>
      <c r="J971" s="509"/>
      <c r="K971" s="421"/>
      <c r="L971" s="417"/>
      <c r="M971" s="431"/>
      <c r="N971" s="431"/>
      <c r="O971" s="510"/>
      <c r="P971" s="315"/>
      <c r="Q971" s="315"/>
      <c r="R971" s="319"/>
      <c r="S971" s="398"/>
      <c r="T971" s="320"/>
      <c r="U971" s="424"/>
      <c r="V971" s="435">
        <f t="shared" ca="1" si="310"/>
        <v>23656.675000000047</v>
      </c>
      <c r="W971" s="256">
        <f t="shared" ref="W971:W977" ca="1" si="324">IF(LEFT(_xlfn.FORMULATEXT(V971),3)="=SO",1,IF(COUNTA(A971:U971)=0,0,2))</f>
        <v>0</v>
      </c>
      <c r="X971" s="256">
        <f t="shared" ca="1" si="311"/>
        <v>1</v>
      </c>
      <c r="Y971" s="256"/>
      <c r="Z971" s="256"/>
      <c r="AA971" s="292"/>
      <c r="AB971" s="292"/>
      <c r="AC971" s="292"/>
    </row>
    <row r="972" spans="1:29" s="293" customFormat="1" ht="25.5" x14ac:dyDescent="0.2">
      <c r="A972" s="288"/>
      <c r="B972" s="311"/>
      <c r="C972" s="312" t="s">
        <v>555</v>
      </c>
      <c r="D972" s="417">
        <v>3</v>
      </c>
      <c r="E972" s="314" t="s">
        <v>518</v>
      </c>
      <c r="F972" s="418">
        <v>4</v>
      </c>
      <c r="G972" s="417">
        <v>4</v>
      </c>
      <c r="H972" s="314" t="s">
        <v>518</v>
      </c>
      <c r="I972" s="418">
        <v>0</v>
      </c>
      <c r="J972" s="509">
        <v>12.5</v>
      </c>
      <c r="K972" s="421">
        <f t="shared" ref="K972:K977" si="325">ABS((G972*20+I972)-(D972*20+F972))</f>
        <v>16</v>
      </c>
      <c r="L972" s="431">
        <v>10</v>
      </c>
      <c r="M972" s="431">
        <v>1</v>
      </c>
      <c r="N972" s="431">
        <f t="shared" ref="N972:N977" si="326">ROUNDUP(K972/(L972/100),0)+1</f>
        <v>161</v>
      </c>
      <c r="O972" s="510">
        <v>626</v>
      </c>
      <c r="P972" s="315"/>
      <c r="Q972" s="317">
        <v>0.96299999999999997</v>
      </c>
      <c r="R972" s="319">
        <f t="shared" ref="R972:R977" si="327">N972*((O972+P972)/100)*M972*Q972</f>
        <v>970.56917999999996</v>
      </c>
      <c r="S972" s="398" t="str">
        <f t="shared" ref="S972:S977" si="328">$L$1174</f>
        <v>kg</v>
      </c>
      <c r="T972" s="320">
        <v>40</v>
      </c>
      <c r="U972" s="424" t="s">
        <v>519</v>
      </c>
      <c r="V972" s="435">
        <f t="shared" ca="1" si="310"/>
        <v>23656.675000000047</v>
      </c>
      <c r="W972" s="256">
        <f t="shared" ca="1" si="324"/>
        <v>2</v>
      </c>
      <c r="X972" s="256">
        <f t="shared" ca="1" si="311"/>
        <v>1</v>
      </c>
      <c r="Y972" s="256"/>
      <c r="Z972" s="256"/>
      <c r="AA972" s="292"/>
      <c r="AB972" s="292"/>
      <c r="AC972" s="292"/>
    </row>
    <row r="973" spans="1:29" s="293" customFormat="1" ht="25.5" x14ac:dyDescent="0.2">
      <c r="A973" s="288"/>
      <c r="B973" s="311"/>
      <c r="C973" s="312" t="s">
        <v>556</v>
      </c>
      <c r="D973" s="417">
        <v>3</v>
      </c>
      <c r="E973" s="314" t="s">
        <v>518</v>
      </c>
      <c r="F973" s="418">
        <v>4</v>
      </c>
      <c r="G973" s="417">
        <v>4</v>
      </c>
      <c r="H973" s="314" t="s">
        <v>518</v>
      </c>
      <c r="I973" s="418">
        <v>0</v>
      </c>
      <c r="J973" s="509">
        <v>8</v>
      </c>
      <c r="K973" s="421">
        <f t="shared" si="325"/>
        <v>16</v>
      </c>
      <c r="L973" s="431">
        <v>10</v>
      </c>
      <c r="M973" s="431">
        <v>4</v>
      </c>
      <c r="N973" s="431">
        <f t="shared" si="326"/>
        <v>161</v>
      </c>
      <c r="O973" s="510">
        <v>109</v>
      </c>
      <c r="P973" s="315"/>
      <c r="Q973" s="317">
        <v>0.39500000000000002</v>
      </c>
      <c r="R973" s="319">
        <f t="shared" si="327"/>
        <v>277.27420000000001</v>
      </c>
      <c r="S973" s="398" t="str">
        <f t="shared" si="328"/>
        <v>kg</v>
      </c>
      <c r="T973" s="320">
        <v>40</v>
      </c>
      <c r="U973" s="424" t="s">
        <v>519</v>
      </c>
      <c r="V973" s="435">
        <f t="shared" ca="1" si="310"/>
        <v>23656.675000000047</v>
      </c>
      <c r="W973" s="256">
        <f t="shared" ca="1" si="324"/>
        <v>2</v>
      </c>
      <c r="X973" s="256">
        <f t="shared" ca="1" si="311"/>
        <v>1</v>
      </c>
      <c r="Y973" s="256"/>
      <c r="Z973" s="256"/>
      <c r="AA973" s="292"/>
      <c r="AB973" s="292"/>
      <c r="AC973" s="292"/>
    </row>
    <row r="974" spans="1:29" s="293" customFormat="1" ht="25.5" x14ac:dyDescent="0.2">
      <c r="A974" s="288"/>
      <c r="B974" s="311"/>
      <c r="C974" s="312" t="s">
        <v>557</v>
      </c>
      <c r="D974" s="417">
        <v>3</v>
      </c>
      <c r="E974" s="314" t="s">
        <v>518</v>
      </c>
      <c r="F974" s="418">
        <v>4</v>
      </c>
      <c r="G974" s="417">
        <v>4</v>
      </c>
      <c r="H974" s="314" t="s">
        <v>518</v>
      </c>
      <c r="I974" s="418">
        <v>0</v>
      </c>
      <c r="J974" s="509">
        <v>12.5</v>
      </c>
      <c r="K974" s="421">
        <f t="shared" si="325"/>
        <v>16</v>
      </c>
      <c r="L974" s="431">
        <v>10</v>
      </c>
      <c r="M974" s="431">
        <v>4</v>
      </c>
      <c r="N974" s="431">
        <f t="shared" si="326"/>
        <v>161</v>
      </c>
      <c r="O974" s="510">
        <v>266</v>
      </c>
      <c r="P974" s="315"/>
      <c r="Q974" s="317">
        <v>0.96299999999999997</v>
      </c>
      <c r="R974" s="319">
        <f t="shared" si="327"/>
        <v>1649.6575200000002</v>
      </c>
      <c r="S974" s="398" t="str">
        <f t="shared" si="328"/>
        <v>kg</v>
      </c>
      <c r="T974" s="320">
        <v>40</v>
      </c>
      <c r="U974" s="424" t="s">
        <v>519</v>
      </c>
      <c r="V974" s="435">
        <f t="shared" ca="1" si="310"/>
        <v>23656.675000000047</v>
      </c>
      <c r="W974" s="256">
        <f t="shared" ca="1" si="324"/>
        <v>2</v>
      </c>
      <c r="X974" s="256">
        <f t="shared" ca="1" si="311"/>
        <v>1</v>
      </c>
      <c r="Y974" s="256"/>
      <c r="Z974" s="256"/>
      <c r="AA974" s="292"/>
      <c r="AB974" s="292"/>
      <c r="AC974" s="292"/>
    </row>
    <row r="975" spans="1:29" s="293" customFormat="1" ht="25.5" x14ac:dyDescent="0.2">
      <c r="A975" s="288"/>
      <c r="B975" s="311"/>
      <c r="C975" s="312" t="s">
        <v>558</v>
      </c>
      <c r="D975" s="417">
        <v>3</v>
      </c>
      <c r="E975" s="314" t="s">
        <v>518</v>
      </c>
      <c r="F975" s="418">
        <v>4</v>
      </c>
      <c r="G975" s="417">
        <v>4</v>
      </c>
      <c r="H975" s="314" t="s">
        <v>518</v>
      </c>
      <c r="I975" s="418">
        <v>0</v>
      </c>
      <c r="J975" s="509">
        <v>12.5</v>
      </c>
      <c r="K975" s="421">
        <f t="shared" si="325"/>
        <v>16</v>
      </c>
      <c r="L975" s="431">
        <v>20</v>
      </c>
      <c r="M975" s="431">
        <v>1</v>
      </c>
      <c r="N975" s="431">
        <f t="shared" si="326"/>
        <v>81</v>
      </c>
      <c r="O975" s="510">
        <v>626</v>
      </c>
      <c r="P975" s="315"/>
      <c r="Q975" s="317">
        <v>0.96299999999999997</v>
      </c>
      <c r="R975" s="319">
        <f t="shared" si="327"/>
        <v>488.29877999999997</v>
      </c>
      <c r="S975" s="398" t="str">
        <f t="shared" si="328"/>
        <v>kg</v>
      </c>
      <c r="T975" s="320">
        <v>40</v>
      </c>
      <c r="U975" s="424" t="s">
        <v>519</v>
      </c>
      <c r="V975" s="435">
        <f t="shared" ca="1" si="310"/>
        <v>23656.675000000047</v>
      </c>
      <c r="W975" s="256">
        <f t="shared" ca="1" si="324"/>
        <v>2</v>
      </c>
      <c r="X975" s="256">
        <f t="shared" ca="1" si="311"/>
        <v>1</v>
      </c>
      <c r="Y975" s="256"/>
      <c r="Z975" s="256"/>
      <c r="AA975" s="292"/>
      <c r="AB975" s="292"/>
      <c r="AC975" s="292"/>
    </row>
    <row r="976" spans="1:29" s="293" customFormat="1" ht="25.5" x14ac:dyDescent="0.2">
      <c r="A976" s="288"/>
      <c r="B976" s="311"/>
      <c r="C976" s="312" t="s">
        <v>559</v>
      </c>
      <c r="D976" s="417">
        <v>3</v>
      </c>
      <c r="E976" s="314" t="s">
        <v>518</v>
      </c>
      <c r="F976" s="418">
        <v>4</v>
      </c>
      <c r="G976" s="417">
        <v>4</v>
      </c>
      <c r="H976" s="314" t="s">
        <v>518</v>
      </c>
      <c r="I976" s="418">
        <v>0</v>
      </c>
      <c r="J976" s="509">
        <v>8</v>
      </c>
      <c r="K976" s="421">
        <f t="shared" si="325"/>
        <v>16</v>
      </c>
      <c r="L976" s="431">
        <v>60</v>
      </c>
      <c r="M976" s="431">
        <f>ROUNDUP(6/(L976/100),0)+1</f>
        <v>11</v>
      </c>
      <c r="N976" s="431">
        <f t="shared" si="326"/>
        <v>28</v>
      </c>
      <c r="O976" s="510">
        <v>90</v>
      </c>
      <c r="P976" s="315"/>
      <c r="Q976" s="317">
        <v>0.39500000000000002</v>
      </c>
      <c r="R976" s="319">
        <f t="shared" si="327"/>
        <v>109.494</v>
      </c>
      <c r="S976" s="398" t="str">
        <f t="shared" si="328"/>
        <v>kg</v>
      </c>
      <c r="T976" s="320">
        <v>40</v>
      </c>
      <c r="U976" s="424" t="s">
        <v>519</v>
      </c>
      <c r="V976" s="435">
        <f t="shared" ca="1" si="310"/>
        <v>23656.675000000047</v>
      </c>
      <c r="W976" s="256">
        <f t="shared" ca="1" si="324"/>
        <v>2</v>
      </c>
      <c r="X976" s="256">
        <f t="shared" ca="1" si="311"/>
        <v>1</v>
      </c>
      <c r="Y976" s="256"/>
      <c r="Z976" s="256"/>
      <c r="AA976" s="292"/>
      <c r="AB976" s="292"/>
      <c r="AC976" s="292"/>
    </row>
    <row r="977" spans="1:29" s="293" customFormat="1" ht="25.5" x14ac:dyDescent="0.2">
      <c r="A977" s="288"/>
      <c r="B977" s="311"/>
      <c r="C977" s="312" t="s">
        <v>560</v>
      </c>
      <c r="D977" s="417">
        <v>3</v>
      </c>
      <c r="E977" s="314" t="s">
        <v>518</v>
      </c>
      <c r="F977" s="418">
        <v>4</v>
      </c>
      <c r="G977" s="417">
        <v>4</v>
      </c>
      <c r="H977" s="314" t="s">
        <v>518</v>
      </c>
      <c r="I977" s="418">
        <v>0</v>
      </c>
      <c r="J977" s="509">
        <v>8</v>
      </c>
      <c r="K977" s="421">
        <f t="shared" si="325"/>
        <v>16</v>
      </c>
      <c r="L977" s="431">
        <v>60</v>
      </c>
      <c r="M977" s="431">
        <f>ROUNDUP(6/(L977/100),0)+1</f>
        <v>11</v>
      </c>
      <c r="N977" s="431">
        <f t="shared" si="326"/>
        <v>28</v>
      </c>
      <c r="O977" s="510">
        <v>90</v>
      </c>
      <c r="P977" s="315"/>
      <c r="Q977" s="317">
        <v>0.39500000000000002</v>
      </c>
      <c r="R977" s="319">
        <f t="shared" si="327"/>
        <v>109.494</v>
      </c>
      <c r="S977" s="398" t="str">
        <f t="shared" si="328"/>
        <v>kg</v>
      </c>
      <c r="T977" s="320">
        <v>40</v>
      </c>
      <c r="U977" s="424" t="s">
        <v>519</v>
      </c>
      <c r="V977" s="435">
        <f t="shared" ca="1" si="310"/>
        <v>23656.675000000047</v>
      </c>
      <c r="W977" s="256">
        <f t="shared" ca="1" si="324"/>
        <v>2</v>
      </c>
      <c r="X977" s="256">
        <f t="shared" ca="1" si="311"/>
        <v>1</v>
      </c>
      <c r="Y977" s="256"/>
      <c r="Z977" s="256"/>
      <c r="AA977" s="292"/>
      <c r="AB977" s="292"/>
      <c r="AC977" s="292"/>
    </row>
    <row r="978" spans="1:29" s="293" customFormat="1" ht="15.75" x14ac:dyDescent="0.2">
      <c r="A978" s="288"/>
      <c r="B978" s="311"/>
      <c r="C978" s="312"/>
      <c r="D978" s="313"/>
      <c r="E978" s="314"/>
      <c r="F978" s="315"/>
      <c r="G978" s="313"/>
      <c r="H978" s="314"/>
      <c r="I978" s="315"/>
      <c r="J978" s="317"/>
      <c r="K978" s="317"/>
      <c r="L978" s="421"/>
      <c r="M978" s="431"/>
      <c r="N978" s="433"/>
      <c r="O978" s="433"/>
      <c r="P978" s="510"/>
      <c r="Q978" s="315"/>
      <c r="R978" s="319"/>
      <c r="S978" s="398"/>
      <c r="T978" s="320"/>
      <c r="U978" s="317"/>
      <c r="V978" s="435">
        <f t="shared" ca="1" si="310"/>
        <v>23656.675000000047</v>
      </c>
      <c r="W978" s="256">
        <f t="shared" ref="W978:W1041" ca="1" si="329">IF(LEFT(_xlfn.FORMULATEXT(V978),3)="=SO",1,IF(COUNTA(A978:U978)=0,0,2))</f>
        <v>0</v>
      </c>
      <c r="X978" s="256">
        <f t="shared" ca="1" si="311"/>
        <v>1</v>
      </c>
      <c r="Y978" s="256"/>
      <c r="Z978" s="256"/>
      <c r="AA978" s="292"/>
      <c r="AB978" s="292"/>
      <c r="AC978" s="292"/>
    </row>
    <row r="979" spans="1:29" s="293" customFormat="1" ht="25.5" x14ac:dyDescent="0.2">
      <c r="A979" s="288"/>
      <c r="B979" s="311"/>
      <c r="C979" s="312" t="s">
        <v>555</v>
      </c>
      <c r="D979" s="417">
        <v>2</v>
      </c>
      <c r="E979" s="314" t="s">
        <v>518</v>
      </c>
      <c r="F979" s="418">
        <v>6</v>
      </c>
      <c r="G979" s="417">
        <v>3</v>
      </c>
      <c r="H979" s="314" t="s">
        <v>518</v>
      </c>
      <c r="I979" s="418">
        <v>4</v>
      </c>
      <c r="J979" s="509">
        <v>12.5</v>
      </c>
      <c r="K979" s="421">
        <f t="shared" ref="K979:K984" si="330">ABS((G979*20+I979)-(D979*20+F979))</f>
        <v>18</v>
      </c>
      <c r="L979" s="431">
        <v>10</v>
      </c>
      <c r="M979" s="431">
        <v>1</v>
      </c>
      <c r="N979" s="431">
        <f t="shared" ref="N979:N984" si="331">ROUNDUP(K979/(L979/100),0)+1</f>
        <v>181</v>
      </c>
      <c r="O979" s="510">
        <v>626</v>
      </c>
      <c r="P979" s="315"/>
      <c r="Q979" s="317">
        <v>0.96299999999999997</v>
      </c>
      <c r="R979" s="319">
        <f t="shared" ref="R979:R984" si="332">N979*((O979+P979)/100)*M979*Q979</f>
        <v>1091.1367799999998</v>
      </c>
      <c r="S979" s="398" t="str">
        <f>$L$1174</f>
        <v>kg</v>
      </c>
      <c r="T979" s="320">
        <v>41</v>
      </c>
      <c r="U979" s="424" t="s">
        <v>519</v>
      </c>
      <c r="V979" s="435">
        <f t="shared" ca="1" si="310"/>
        <v>23656.675000000047</v>
      </c>
      <c r="W979" s="256">
        <f t="shared" ca="1" si="329"/>
        <v>2</v>
      </c>
      <c r="X979" s="256">
        <f t="shared" ca="1" si="311"/>
        <v>1</v>
      </c>
      <c r="Y979" s="256"/>
      <c r="Z979" s="256"/>
      <c r="AA979" s="292"/>
      <c r="AB979" s="292"/>
      <c r="AC979" s="292"/>
    </row>
    <row r="980" spans="1:29" s="293" customFormat="1" ht="25.5" x14ac:dyDescent="0.2">
      <c r="A980" s="288"/>
      <c r="B980" s="311"/>
      <c r="C980" s="312" t="s">
        <v>556</v>
      </c>
      <c r="D980" s="417">
        <v>2</v>
      </c>
      <c r="E980" s="314" t="s">
        <v>518</v>
      </c>
      <c r="F980" s="418">
        <v>6</v>
      </c>
      <c r="G980" s="417">
        <v>3</v>
      </c>
      <c r="H980" s="314" t="s">
        <v>518</v>
      </c>
      <c r="I980" s="418">
        <v>4</v>
      </c>
      <c r="J980" s="509">
        <v>8</v>
      </c>
      <c r="K980" s="421">
        <f t="shared" si="330"/>
        <v>18</v>
      </c>
      <c r="L980" s="431">
        <v>10</v>
      </c>
      <c r="M980" s="431">
        <v>4</v>
      </c>
      <c r="N980" s="431">
        <f t="shared" si="331"/>
        <v>181</v>
      </c>
      <c r="O980" s="510">
        <v>109</v>
      </c>
      <c r="P980" s="315"/>
      <c r="Q980" s="317">
        <v>0.39500000000000002</v>
      </c>
      <c r="R980" s="319">
        <f t="shared" si="332"/>
        <v>311.71820000000002</v>
      </c>
      <c r="S980" s="398" t="str">
        <f t="shared" ref="S980:S984" si="333">$L$1174</f>
        <v>kg</v>
      </c>
      <c r="T980" s="320">
        <v>41</v>
      </c>
      <c r="U980" s="424" t="s">
        <v>519</v>
      </c>
      <c r="V980" s="435">
        <f t="shared" ca="1" si="310"/>
        <v>23656.675000000047</v>
      </c>
      <c r="W980" s="256">
        <f t="shared" ca="1" si="329"/>
        <v>2</v>
      </c>
      <c r="X980" s="256">
        <f t="shared" ref="X980:X1011" ca="1" si="334">IF(COUNTA(OFFSET(A752,1,0))-COUNTA(A752)=-1,0,1)</f>
        <v>1</v>
      </c>
      <c r="Y980" s="256"/>
      <c r="Z980" s="256"/>
      <c r="AA980" s="292"/>
      <c r="AB980" s="292"/>
      <c r="AC980" s="292"/>
    </row>
    <row r="981" spans="1:29" s="293" customFormat="1" ht="25.5" x14ac:dyDescent="0.2">
      <c r="A981" s="288"/>
      <c r="B981" s="311"/>
      <c r="C981" s="312" t="s">
        <v>557</v>
      </c>
      <c r="D981" s="417">
        <v>2</v>
      </c>
      <c r="E981" s="314" t="s">
        <v>518</v>
      </c>
      <c r="F981" s="418">
        <v>6</v>
      </c>
      <c r="G981" s="417">
        <v>3</v>
      </c>
      <c r="H981" s="314" t="s">
        <v>518</v>
      </c>
      <c r="I981" s="418">
        <v>4</v>
      </c>
      <c r="J981" s="509">
        <v>12.5</v>
      </c>
      <c r="K981" s="421">
        <f t="shared" si="330"/>
        <v>18</v>
      </c>
      <c r="L981" s="431">
        <v>10</v>
      </c>
      <c r="M981" s="431">
        <v>4</v>
      </c>
      <c r="N981" s="431">
        <f t="shared" si="331"/>
        <v>181</v>
      </c>
      <c r="O981" s="510">
        <v>266</v>
      </c>
      <c r="P981" s="315"/>
      <c r="Q981" s="317">
        <v>0.96299999999999997</v>
      </c>
      <c r="R981" s="319">
        <f t="shared" si="332"/>
        <v>1854.58392</v>
      </c>
      <c r="S981" s="398" t="str">
        <f t="shared" si="333"/>
        <v>kg</v>
      </c>
      <c r="T981" s="320">
        <v>41</v>
      </c>
      <c r="U981" s="424" t="s">
        <v>519</v>
      </c>
      <c r="V981" s="435">
        <f t="shared" ca="1" si="310"/>
        <v>23656.675000000047</v>
      </c>
      <c r="W981" s="256">
        <f t="shared" ca="1" si="329"/>
        <v>2</v>
      </c>
      <c r="X981" s="256">
        <f t="shared" ca="1" si="334"/>
        <v>1</v>
      </c>
      <c r="Y981" s="256"/>
      <c r="Z981" s="256"/>
      <c r="AA981" s="292"/>
      <c r="AB981" s="292"/>
      <c r="AC981" s="292"/>
    </row>
    <row r="982" spans="1:29" s="293" customFormat="1" ht="25.5" x14ac:dyDescent="0.2">
      <c r="A982" s="288"/>
      <c r="B982" s="311"/>
      <c r="C982" s="312" t="s">
        <v>558</v>
      </c>
      <c r="D982" s="417">
        <v>2</v>
      </c>
      <c r="E982" s="314" t="s">
        <v>518</v>
      </c>
      <c r="F982" s="418">
        <v>6</v>
      </c>
      <c r="G982" s="417">
        <v>3</v>
      </c>
      <c r="H982" s="314" t="s">
        <v>518</v>
      </c>
      <c r="I982" s="418">
        <v>4</v>
      </c>
      <c r="J982" s="509">
        <v>12.5</v>
      </c>
      <c r="K982" s="421">
        <f t="shared" si="330"/>
        <v>18</v>
      </c>
      <c r="L982" s="431">
        <v>20</v>
      </c>
      <c r="M982" s="431">
        <v>1</v>
      </c>
      <c r="N982" s="431">
        <f t="shared" si="331"/>
        <v>91</v>
      </c>
      <c r="O982" s="510">
        <v>626</v>
      </c>
      <c r="P982" s="315"/>
      <c r="Q982" s="317">
        <v>0.96299999999999997</v>
      </c>
      <c r="R982" s="319">
        <f t="shared" si="332"/>
        <v>548.58258000000001</v>
      </c>
      <c r="S982" s="398" t="str">
        <f t="shared" si="333"/>
        <v>kg</v>
      </c>
      <c r="T982" s="320">
        <v>41</v>
      </c>
      <c r="U982" s="424" t="s">
        <v>519</v>
      </c>
      <c r="V982" s="435">
        <f t="shared" ca="1" si="310"/>
        <v>23656.675000000047</v>
      </c>
      <c r="W982" s="256">
        <f t="shared" ca="1" si="329"/>
        <v>2</v>
      </c>
      <c r="X982" s="256">
        <f t="shared" ca="1" si="334"/>
        <v>1</v>
      </c>
      <c r="Y982" s="256"/>
      <c r="Z982" s="256"/>
      <c r="AA982" s="292"/>
      <c r="AB982" s="292"/>
      <c r="AC982" s="292"/>
    </row>
    <row r="983" spans="1:29" s="293" customFormat="1" ht="25.5" x14ac:dyDescent="0.2">
      <c r="A983" s="288"/>
      <c r="B983" s="311"/>
      <c r="C983" s="312" t="s">
        <v>559</v>
      </c>
      <c r="D983" s="417">
        <v>2</v>
      </c>
      <c r="E983" s="314" t="s">
        <v>518</v>
      </c>
      <c r="F983" s="418">
        <v>6</v>
      </c>
      <c r="G983" s="417">
        <v>3</v>
      </c>
      <c r="H983" s="314" t="s">
        <v>518</v>
      </c>
      <c r="I983" s="418">
        <v>4</v>
      </c>
      <c r="J983" s="509">
        <v>8</v>
      </c>
      <c r="K983" s="421">
        <f t="shared" si="330"/>
        <v>18</v>
      </c>
      <c r="L983" s="431">
        <v>60</v>
      </c>
      <c r="M983" s="431">
        <f>ROUNDUP(6/(L983/100),0)+1</f>
        <v>11</v>
      </c>
      <c r="N983" s="431">
        <f t="shared" si="331"/>
        <v>31</v>
      </c>
      <c r="O983" s="510">
        <v>90</v>
      </c>
      <c r="P983" s="315"/>
      <c r="Q983" s="317">
        <v>0.39500000000000002</v>
      </c>
      <c r="R983" s="319">
        <f t="shared" si="332"/>
        <v>121.22550000000003</v>
      </c>
      <c r="S983" s="398" t="str">
        <f t="shared" si="333"/>
        <v>kg</v>
      </c>
      <c r="T983" s="320">
        <v>41</v>
      </c>
      <c r="U983" s="424" t="s">
        <v>519</v>
      </c>
      <c r="V983" s="435">
        <f t="shared" ca="1" si="310"/>
        <v>23656.675000000047</v>
      </c>
      <c r="W983" s="256">
        <f t="shared" ca="1" si="329"/>
        <v>2</v>
      </c>
      <c r="X983" s="256">
        <f t="shared" ca="1" si="334"/>
        <v>1</v>
      </c>
      <c r="Y983" s="256"/>
      <c r="Z983" s="256"/>
      <c r="AA983" s="292"/>
      <c r="AB983" s="292"/>
      <c r="AC983" s="292"/>
    </row>
    <row r="984" spans="1:29" s="293" customFormat="1" ht="25.5" x14ac:dyDescent="0.2">
      <c r="A984" s="288"/>
      <c r="B984" s="311"/>
      <c r="C984" s="312" t="s">
        <v>560</v>
      </c>
      <c r="D984" s="417">
        <v>2</v>
      </c>
      <c r="E984" s="314" t="s">
        <v>518</v>
      </c>
      <c r="F984" s="418">
        <v>6</v>
      </c>
      <c r="G984" s="417">
        <v>3</v>
      </c>
      <c r="H984" s="314" t="s">
        <v>518</v>
      </c>
      <c r="I984" s="418">
        <v>4</v>
      </c>
      <c r="J984" s="509">
        <v>8</v>
      </c>
      <c r="K984" s="421">
        <f t="shared" si="330"/>
        <v>18</v>
      </c>
      <c r="L984" s="431">
        <v>60</v>
      </c>
      <c r="M984" s="431">
        <f>ROUNDUP(6/(L984/100),0)+1</f>
        <v>11</v>
      </c>
      <c r="N984" s="431">
        <f t="shared" si="331"/>
        <v>31</v>
      </c>
      <c r="O984" s="510">
        <v>90</v>
      </c>
      <c r="P984" s="315"/>
      <c r="Q984" s="317">
        <v>0.39500000000000002</v>
      </c>
      <c r="R984" s="319">
        <f t="shared" si="332"/>
        <v>121.22550000000003</v>
      </c>
      <c r="S984" s="398" t="str">
        <f t="shared" si="333"/>
        <v>kg</v>
      </c>
      <c r="T984" s="320">
        <v>41</v>
      </c>
      <c r="U984" s="424" t="s">
        <v>519</v>
      </c>
      <c r="V984" s="435">
        <f t="shared" ca="1" si="310"/>
        <v>23656.675000000047</v>
      </c>
      <c r="W984" s="256">
        <f t="shared" ca="1" si="329"/>
        <v>2</v>
      </c>
      <c r="X984" s="256">
        <f t="shared" ca="1" si="334"/>
        <v>1</v>
      </c>
      <c r="Y984" s="256"/>
      <c r="Z984" s="256"/>
      <c r="AA984" s="292"/>
      <c r="AB984" s="292"/>
      <c r="AC984" s="292"/>
    </row>
    <row r="985" spans="1:29" s="293" customFormat="1" ht="15.75" x14ac:dyDescent="0.2">
      <c r="A985" s="288"/>
      <c r="B985" s="311"/>
      <c r="C985" s="312"/>
      <c r="D985" s="313"/>
      <c r="E985" s="314"/>
      <c r="F985" s="315"/>
      <c r="G985" s="313"/>
      <c r="H985" s="314"/>
      <c r="I985" s="315"/>
      <c r="J985" s="317"/>
      <c r="K985" s="313"/>
      <c r="L985" s="421"/>
      <c r="M985" s="431"/>
      <c r="N985" s="433"/>
      <c r="O985" s="433"/>
      <c r="P985" s="1171"/>
      <c r="Q985" s="315"/>
      <c r="R985" s="319"/>
      <c r="S985" s="398"/>
      <c r="T985" s="320"/>
      <c r="U985" s="317"/>
      <c r="V985" s="435">
        <f t="shared" ca="1" si="310"/>
        <v>23656.675000000047</v>
      </c>
      <c r="W985" s="256">
        <f t="shared" ca="1" si="329"/>
        <v>0</v>
      </c>
      <c r="X985" s="256">
        <f t="shared" ca="1" si="334"/>
        <v>1</v>
      </c>
      <c r="Y985" s="256"/>
      <c r="Z985" s="256"/>
      <c r="AA985" s="292"/>
      <c r="AB985" s="292"/>
      <c r="AC985" s="292"/>
    </row>
    <row r="986" spans="1:29" s="293" customFormat="1" ht="25.5" x14ac:dyDescent="0.2">
      <c r="A986" s="288"/>
      <c r="B986" s="311"/>
      <c r="C986" s="312" t="s">
        <v>555</v>
      </c>
      <c r="D986" s="417">
        <v>2</v>
      </c>
      <c r="E986" s="314" t="s">
        <v>518</v>
      </c>
      <c r="F986" s="418">
        <v>0</v>
      </c>
      <c r="G986" s="417">
        <v>2</v>
      </c>
      <c r="H986" s="314" t="s">
        <v>518</v>
      </c>
      <c r="I986" s="418">
        <v>6</v>
      </c>
      <c r="J986" s="509">
        <v>12.5</v>
      </c>
      <c r="K986" s="421">
        <f t="shared" ref="K986:K991" si="335">ABS((G986*20+I986)-(D986*20+F986))</f>
        <v>6</v>
      </c>
      <c r="L986" s="431">
        <v>10</v>
      </c>
      <c r="M986" s="431">
        <v>1</v>
      </c>
      <c r="N986" s="431">
        <f t="shared" ref="N986:N991" si="336">ROUNDUP(K986/(L986/100),0)+1</f>
        <v>61</v>
      </c>
      <c r="O986" s="510">
        <v>626</v>
      </c>
      <c r="P986" s="315"/>
      <c r="Q986" s="317">
        <v>0.96299999999999997</v>
      </c>
      <c r="R986" s="319">
        <f t="shared" ref="R986:R991" si="337">N986*((O986+P986)/100)*M986*Q986</f>
        <v>367.73117999999999</v>
      </c>
      <c r="S986" s="398" t="str">
        <f t="shared" ref="S986:S991" si="338">$L$1174</f>
        <v>kg</v>
      </c>
      <c r="T986" s="320">
        <v>42</v>
      </c>
      <c r="U986" s="424" t="s">
        <v>519</v>
      </c>
      <c r="V986" s="435">
        <f t="shared" ca="1" si="310"/>
        <v>23656.675000000047</v>
      </c>
      <c r="W986" s="256">
        <f t="shared" ca="1" si="329"/>
        <v>2</v>
      </c>
      <c r="X986" s="256">
        <f t="shared" ca="1" si="334"/>
        <v>1</v>
      </c>
      <c r="Y986" s="256"/>
      <c r="Z986" s="256"/>
      <c r="AA986" s="292"/>
      <c r="AB986" s="292"/>
      <c r="AC986" s="292"/>
    </row>
    <row r="987" spans="1:29" s="293" customFormat="1" ht="25.5" x14ac:dyDescent="0.2">
      <c r="A987" s="288"/>
      <c r="B987" s="311"/>
      <c r="C987" s="312" t="s">
        <v>556</v>
      </c>
      <c r="D987" s="417">
        <v>2</v>
      </c>
      <c r="E987" s="314" t="s">
        <v>518</v>
      </c>
      <c r="F987" s="418">
        <v>0</v>
      </c>
      <c r="G987" s="417">
        <v>2</v>
      </c>
      <c r="H987" s="314" t="s">
        <v>518</v>
      </c>
      <c r="I987" s="418">
        <v>6</v>
      </c>
      <c r="J987" s="509">
        <v>8</v>
      </c>
      <c r="K987" s="421">
        <f t="shared" si="335"/>
        <v>6</v>
      </c>
      <c r="L987" s="431">
        <v>10</v>
      </c>
      <c r="M987" s="431">
        <v>4</v>
      </c>
      <c r="N987" s="431">
        <f t="shared" si="336"/>
        <v>61</v>
      </c>
      <c r="O987" s="510">
        <v>109</v>
      </c>
      <c r="P987" s="315"/>
      <c r="Q987" s="317">
        <v>0.39500000000000002</v>
      </c>
      <c r="R987" s="319">
        <f t="shared" si="337"/>
        <v>105.05420000000002</v>
      </c>
      <c r="S987" s="398" t="str">
        <f t="shared" si="338"/>
        <v>kg</v>
      </c>
      <c r="T987" s="320">
        <v>42</v>
      </c>
      <c r="U987" s="424" t="s">
        <v>519</v>
      </c>
      <c r="V987" s="435">
        <f t="shared" ca="1" si="310"/>
        <v>23656.675000000047</v>
      </c>
      <c r="W987" s="256">
        <f t="shared" ca="1" si="329"/>
        <v>2</v>
      </c>
      <c r="X987" s="256">
        <f t="shared" ca="1" si="334"/>
        <v>1</v>
      </c>
      <c r="Y987" s="256"/>
      <c r="Z987" s="256"/>
      <c r="AA987" s="292"/>
      <c r="AB987" s="292"/>
      <c r="AC987" s="292"/>
    </row>
    <row r="988" spans="1:29" s="293" customFormat="1" ht="25.5" x14ac:dyDescent="0.2">
      <c r="A988" s="288"/>
      <c r="B988" s="311"/>
      <c r="C988" s="312" t="s">
        <v>557</v>
      </c>
      <c r="D988" s="417">
        <v>2</v>
      </c>
      <c r="E988" s="314" t="s">
        <v>518</v>
      </c>
      <c r="F988" s="418">
        <v>0</v>
      </c>
      <c r="G988" s="417">
        <v>2</v>
      </c>
      <c r="H988" s="314" t="s">
        <v>518</v>
      </c>
      <c r="I988" s="418">
        <v>6</v>
      </c>
      <c r="J988" s="509">
        <v>12.5</v>
      </c>
      <c r="K988" s="421">
        <f t="shared" si="335"/>
        <v>6</v>
      </c>
      <c r="L988" s="431">
        <v>10</v>
      </c>
      <c r="M988" s="431">
        <v>4</v>
      </c>
      <c r="N988" s="431">
        <f t="shared" si="336"/>
        <v>61</v>
      </c>
      <c r="O988" s="510">
        <v>266</v>
      </c>
      <c r="P988" s="315"/>
      <c r="Q988" s="317">
        <v>0.96299999999999997</v>
      </c>
      <c r="R988" s="319">
        <f t="shared" si="337"/>
        <v>625.02552000000003</v>
      </c>
      <c r="S988" s="398" t="str">
        <f t="shared" si="338"/>
        <v>kg</v>
      </c>
      <c r="T988" s="320">
        <v>42</v>
      </c>
      <c r="U988" s="424" t="s">
        <v>519</v>
      </c>
      <c r="V988" s="435">
        <f t="shared" ca="1" si="310"/>
        <v>23656.675000000047</v>
      </c>
      <c r="W988" s="256">
        <f t="shared" ca="1" si="329"/>
        <v>2</v>
      </c>
      <c r="X988" s="256">
        <f t="shared" ca="1" si="334"/>
        <v>1</v>
      </c>
      <c r="Y988" s="256"/>
      <c r="Z988" s="256"/>
      <c r="AA988" s="292"/>
      <c r="AB988" s="292"/>
      <c r="AC988" s="292"/>
    </row>
    <row r="989" spans="1:29" s="293" customFormat="1" ht="25.5" x14ac:dyDescent="0.2">
      <c r="A989" s="288"/>
      <c r="B989" s="311"/>
      <c r="C989" s="312" t="s">
        <v>558</v>
      </c>
      <c r="D989" s="417">
        <v>2</v>
      </c>
      <c r="E989" s="314" t="s">
        <v>518</v>
      </c>
      <c r="F989" s="418">
        <v>0</v>
      </c>
      <c r="G989" s="417">
        <v>2</v>
      </c>
      <c r="H989" s="314" t="s">
        <v>518</v>
      </c>
      <c r="I989" s="418">
        <v>6</v>
      </c>
      <c r="J989" s="509">
        <v>12.5</v>
      </c>
      <c r="K989" s="421">
        <f t="shared" si="335"/>
        <v>6</v>
      </c>
      <c r="L989" s="431">
        <v>20</v>
      </c>
      <c r="M989" s="431">
        <v>1</v>
      </c>
      <c r="N989" s="431">
        <f t="shared" si="336"/>
        <v>31</v>
      </c>
      <c r="O989" s="510">
        <v>626</v>
      </c>
      <c r="P989" s="315"/>
      <c r="Q989" s="317">
        <v>0.96299999999999997</v>
      </c>
      <c r="R989" s="319">
        <f t="shared" si="337"/>
        <v>186.87977999999998</v>
      </c>
      <c r="S989" s="398" t="str">
        <f t="shared" si="338"/>
        <v>kg</v>
      </c>
      <c r="T989" s="320">
        <v>42</v>
      </c>
      <c r="U989" s="424" t="s">
        <v>519</v>
      </c>
      <c r="V989" s="435">
        <f t="shared" ca="1" si="310"/>
        <v>23656.675000000047</v>
      </c>
      <c r="W989" s="256">
        <f t="shared" ca="1" si="329"/>
        <v>2</v>
      </c>
      <c r="X989" s="256">
        <f t="shared" ca="1" si="334"/>
        <v>1</v>
      </c>
      <c r="Y989" s="256"/>
      <c r="Z989" s="256"/>
      <c r="AA989" s="292"/>
      <c r="AB989" s="292"/>
      <c r="AC989" s="292"/>
    </row>
    <row r="990" spans="1:29" s="293" customFormat="1" ht="25.5" x14ac:dyDescent="0.2">
      <c r="A990" s="288"/>
      <c r="B990" s="311"/>
      <c r="C990" s="312" t="s">
        <v>559</v>
      </c>
      <c r="D990" s="417">
        <v>2</v>
      </c>
      <c r="E990" s="314" t="s">
        <v>518</v>
      </c>
      <c r="F990" s="418">
        <v>0</v>
      </c>
      <c r="G990" s="417">
        <v>2</v>
      </c>
      <c r="H990" s="314" t="s">
        <v>518</v>
      </c>
      <c r="I990" s="418">
        <v>6</v>
      </c>
      <c r="J990" s="509">
        <v>8</v>
      </c>
      <c r="K990" s="421">
        <f t="shared" si="335"/>
        <v>6</v>
      </c>
      <c r="L990" s="431">
        <v>60</v>
      </c>
      <c r="M990" s="431">
        <f>ROUNDUP(6/(L990/100),0)+1</f>
        <v>11</v>
      </c>
      <c r="N990" s="431">
        <f t="shared" si="336"/>
        <v>11</v>
      </c>
      <c r="O990" s="510">
        <v>90</v>
      </c>
      <c r="P990" s="315"/>
      <c r="Q990" s="317">
        <v>0.39500000000000002</v>
      </c>
      <c r="R990" s="319">
        <f t="shared" si="337"/>
        <v>43.015500000000003</v>
      </c>
      <c r="S990" s="398" t="str">
        <f t="shared" si="338"/>
        <v>kg</v>
      </c>
      <c r="T990" s="320">
        <v>42</v>
      </c>
      <c r="U990" s="424" t="s">
        <v>519</v>
      </c>
      <c r="V990" s="435">
        <f t="shared" ca="1" si="310"/>
        <v>23656.675000000047</v>
      </c>
      <c r="W990" s="256">
        <f t="shared" ca="1" si="329"/>
        <v>2</v>
      </c>
      <c r="X990" s="256">
        <f t="shared" ca="1" si="334"/>
        <v>1</v>
      </c>
      <c r="Y990" s="256"/>
      <c r="Z990" s="256"/>
      <c r="AA990" s="292"/>
      <c r="AB990" s="292"/>
      <c r="AC990" s="292"/>
    </row>
    <row r="991" spans="1:29" s="293" customFormat="1" ht="25.5" x14ac:dyDescent="0.2">
      <c r="A991" s="288"/>
      <c r="B991" s="311"/>
      <c r="C991" s="312" t="s">
        <v>560</v>
      </c>
      <c r="D991" s="417">
        <v>2</v>
      </c>
      <c r="E991" s="314" t="s">
        <v>518</v>
      </c>
      <c r="F991" s="418">
        <v>0</v>
      </c>
      <c r="G991" s="417">
        <v>2</v>
      </c>
      <c r="H991" s="314" t="s">
        <v>518</v>
      </c>
      <c r="I991" s="418">
        <v>6</v>
      </c>
      <c r="J991" s="509">
        <v>8</v>
      </c>
      <c r="K991" s="421">
        <f t="shared" si="335"/>
        <v>6</v>
      </c>
      <c r="L991" s="431">
        <v>60</v>
      </c>
      <c r="M991" s="431">
        <f>ROUNDUP(6/(L991/100),0)+1</f>
        <v>11</v>
      </c>
      <c r="N991" s="431">
        <f t="shared" si="336"/>
        <v>11</v>
      </c>
      <c r="O991" s="510">
        <v>90</v>
      </c>
      <c r="P991" s="315"/>
      <c r="Q991" s="317">
        <v>0.39500000000000002</v>
      </c>
      <c r="R991" s="319">
        <f t="shared" si="337"/>
        <v>43.015500000000003</v>
      </c>
      <c r="S991" s="398" t="str">
        <f t="shared" si="338"/>
        <v>kg</v>
      </c>
      <c r="T991" s="320">
        <v>42</v>
      </c>
      <c r="U991" s="424" t="s">
        <v>519</v>
      </c>
      <c r="V991" s="435">
        <f t="shared" ca="1" si="310"/>
        <v>23656.675000000047</v>
      </c>
      <c r="W991" s="256">
        <f t="shared" ca="1" si="329"/>
        <v>2</v>
      </c>
      <c r="X991" s="256">
        <f t="shared" ca="1" si="334"/>
        <v>1</v>
      </c>
      <c r="Y991" s="256"/>
      <c r="Z991" s="256"/>
      <c r="AA991" s="292"/>
      <c r="AB991" s="292"/>
      <c r="AC991" s="292"/>
    </row>
    <row r="992" spans="1:29" s="293" customFormat="1" ht="15.75" x14ac:dyDescent="0.2">
      <c r="A992" s="288"/>
      <c r="B992" s="311"/>
      <c r="C992" s="312"/>
      <c r="D992" s="313"/>
      <c r="E992" s="314"/>
      <c r="F992" s="315"/>
      <c r="G992" s="313"/>
      <c r="H992" s="314"/>
      <c r="I992" s="315"/>
      <c r="J992" s="317"/>
      <c r="K992" s="317"/>
      <c r="L992" s="421"/>
      <c r="M992" s="431"/>
      <c r="N992" s="433"/>
      <c r="O992" s="433"/>
      <c r="P992" s="510"/>
      <c r="Q992" s="315"/>
      <c r="R992" s="319"/>
      <c r="S992" s="398"/>
      <c r="T992" s="320"/>
      <c r="U992" s="317"/>
      <c r="V992" s="435">
        <f t="shared" ca="1" si="310"/>
        <v>23656.675000000047</v>
      </c>
      <c r="W992" s="256">
        <f t="shared" ca="1" si="329"/>
        <v>0</v>
      </c>
      <c r="X992" s="256">
        <f t="shared" ca="1" si="334"/>
        <v>1</v>
      </c>
      <c r="Y992" s="256"/>
      <c r="Z992" s="256"/>
      <c r="AA992" s="292"/>
      <c r="AB992" s="292"/>
      <c r="AC992" s="292"/>
    </row>
    <row r="993" spans="1:29" s="293" customFormat="1" ht="15.75" x14ac:dyDescent="0.2">
      <c r="A993" s="288"/>
      <c r="B993" s="311"/>
      <c r="C993" s="434" t="s">
        <v>525</v>
      </c>
      <c r="D993" s="313"/>
      <c r="E993" s="314"/>
      <c r="F993" s="315"/>
      <c r="G993" s="313"/>
      <c r="H993" s="314"/>
      <c r="I993" s="315"/>
      <c r="J993" s="317"/>
      <c r="K993" s="317"/>
      <c r="L993" s="421"/>
      <c r="M993" s="431"/>
      <c r="N993" s="433"/>
      <c r="O993" s="433"/>
      <c r="P993" s="510"/>
      <c r="Q993" s="315"/>
      <c r="R993" s="319"/>
      <c r="S993" s="398"/>
      <c r="T993" s="320">
        <v>9</v>
      </c>
      <c r="U993" s="317"/>
      <c r="V993" s="435">
        <f t="shared" ca="1" si="310"/>
        <v>23656.675000000047</v>
      </c>
      <c r="W993" s="256">
        <f t="shared" ca="1" si="329"/>
        <v>2</v>
      </c>
      <c r="X993" s="256">
        <f t="shared" ca="1" si="334"/>
        <v>1</v>
      </c>
      <c r="Y993" s="256"/>
      <c r="Z993" s="256"/>
      <c r="AA993" s="292"/>
      <c r="AB993" s="292"/>
      <c r="AC993" s="292"/>
    </row>
    <row r="994" spans="1:29" s="293" customFormat="1" ht="25.5" x14ac:dyDescent="0.2">
      <c r="A994" s="288"/>
      <c r="B994" s="311"/>
      <c r="C994" s="312" t="s">
        <v>561</v>
      </c>
      <c r="D994" s="417">
        <v>6</v>
      </c>
      <c r="E994" s="314" t="s">
        <v>518</v>
      </c>
      <c r="F994" s="418">
        <v>10</v>
      </c>
      <c r="G994" s="417">
        <v>12</v>
      </c>
      <c r="H994" s="314" t="s">
        <v>518</v>
      </c>
      <c r="I994" s="418">
        <v>6.42</v>
      </c>
      <c r="J994" s="509">
        <v>6.3</v>
      </c>
      <c r="K994" s="421">
        <f t="shared" ref="K994:K999" si="339">ABS((G994*20+I994)-(D994*20+F994))</f>
        <v>116.41999999999999</v>
      </c>
      <c r="L994" s="431">
        <v>20</v>
      </c>
      <c r="M994" s="431">
        <v>2</v>
      </c>
      <c r="N994" s="431">
        <v>22</v>
      </c>
      <c r="O994" s="510">
        <f>K994*100</f>
        <v>11641.999999999998</v>
      </c>
      <c r="P994" s="511">
        <f>ROUND(O994/100/15,0)*100</f>
        <v>800</v>
      </c>
      <c r="Q994" s="317">
        <v>0.245</v>
      </c>
      <c r="R994" s="319">
        <f t="shared" ref="R994:R999" si="340">N994*((O994+P994)/100)*M994*Q994</f>
        <v>1341.2475999999999</v>
      </c>
      <c r="S994" s="398" t="str">
        <f t="shared" ref="S994:S999" si="341">$L$1174</f>
        <v>kg</v>
      </c>
      <c r="T994" s="320">
        <v>9</v>
      </c>
      <c r="U994" s="424" t="s">
        <v>519</v>
      </c>
      <c r="V994" s="435">
        <f t="shared" ca="1" si="310"/>
        <v>23656.675000000047</v>
      </c>
      <c r="W994" s="256">
        <f t="shared" ca="1" si="329"/>
        <v>2</v>
      </c>
      <c r="X994" s="256">
        <f t="shared" ca="1" si="334"/>
        <v>1</v>
      </c>
      <c r="Y994" s="256"/>
      <c r="Z994" s="256"/>
      <c r="AA994" s="292"/>
      <c r="AB994" s="292"/>
      <c r="AC994" s="292"/>
    </row>
    <row r="995" spans="1:29" s="293" customFormat="1" ht="25.5" x14ac:dyDescent="0.2">
      <c r="A995" s="288"/>
      <c r="B995" s="311"/>
      <c r="C995" s="312" t="s">
        <v>556</v>
      </c>
      <c r="D995" s="417">
        <v>6</v>
      </c>
      <c r="E995" s="314" t="s">
        <v>518</v>
      </c>
      <c r="F995" s="418">
        <v>10</v>
      </c>
      <c r="G995" s="417">
        <v>12</v>
      </c>
      <c r="H995" s="314" t="s">
        <v>518</v>
      </c>
      <c r="I995" s="418">
        <v>6.42</v>
      </c>
      <c r="J995" s="509">
        <v>8</v>
      </c>
      <c r="K995" s="421">
        <f t="shared" si="339"/>
        <v>116.41999999999999</v>
      </c>
      <c r="L995" s="431">
        <v>20</v>
      </c>
      <c r="M995" s="431">
        <v>2</v>
      </c>
      <c r="N995" s="431">
        <f>ROUNDUP(K995/(L995/100),0)+1</f>
        <v>584</v>
      </c>
      <c r="O995" s="510">
        <v>109</v>
      </c>
      <c r="P995" s="315"/>
      <c r="Q995" s="317">
        <v>0.39500000000000002</v>
      </c>
      <c r="R995" s="319">
        <f t="shared" si="340"/>
        <v>502.88240000000008</v>
      </c>
      <c r="S995" s="398" t="str">
        <f t="shared" si="341"/>
        <v>kg</v>
      </c>
      <c r="T995" s="320">
        <v>9</v>
      </c>
      <c r="U995" s="424" t="s">
        <v>519</v>
      </c>
      <c r="V995" s="435">
        <f t="shared" ca="1" si="310"/>
        <v>23656.675000000047</v>
      </c>
      <c r="W995" s="256">
        <f t="shared" ca="1" si="329"/>
        <v>2</v>
      </c>
      <c r="X995" s="256">
        <f t="shared" ca="1" si="334"/>
        <v>1</v>
      </c>
      <c r="Y995" s="256"/>
      <c r="Z995" s="256"/>
      <c r="AA995" s="292"/>
      <c r="AB995" s="292"/>
      <c r="AC995" s="292"/>
    </row>
    <row r="996" spans="1:29" s="293" customFormat="1" ht="25.5" x14ac:dyDescent="0.2">
      <c r="A996" s="288"/>
      <c r="B996" s="311"/>
      <c r="C996" s="312" t="s">
        <v>557</v>
      </c>
      <c r="D996" s="417">
        <v>6</v>
      </c>
      <c r="E996" s="314" t="s">
        <v>518</v>
      </c>
      <c r="F996" s="418">
        <v>10</v>
      </c>
      <c r="G996" s="417">
        <v>12</v>
      </c>
      <c r="H996" s="314" t="s">
        <v>518</v>
      </c>
      <c r="I996" s="418">
        <v>6.42</v>
      </c>
      <c r="J996" s="509">
        <v>16</v>
      </c>
      <c r="K996" s="421">
        <f t="shared" si="339"/>
        <v>116.41999999999999</v>
      </c>
      <c r="L996" s="431">
        <v>20</v>
      </c>
      <c r="M996" s="431">
        <v>2</v>
      </c>
      <c r="N996" s="431">
        <f>ROUNDUP(K996/(L996/100),0)+1</f>
        <v>584</v>
      </c>
      <c r="O996" s="510">
        <v>250</v>
      </c>
      <c r="P996" s="315"/>
      <c r="Q996" s="317">
        <v>1.5780000000000001</v>
      </c>
      <c r="R996" s="319">
        <f t="shared" si="340"/>
        <v>4607.76</v>
      </c>
      <c r="S996" s="398" t="str">
        <f t="shared" si="341"/>
        <v>kg</v>
      </c>
      <c r="T996" s="320">
        <v>9</v>
      </c>
      <c r="U996" s="424" t="s">
        <v>519</v>
      </c>
      <c r="V996" s="435">
        <f t="shared" ca="1" si="310"/>
        <v>23656.675000000047</v>
      </c>
      <c r="W996" s="256">
        <f t="shared" ca="1" si="329"/>
        <v>2</v>
      </c>
      <c r="X996" s="256">
        <f t="shared" ca="1" si="334"/>
        <v>1</v>
      </c>
      <c r="Y996" s="256"/>
      <c r="Z996" s="256"/>
      <c r="AA996" s="292"/>
      <c r="AB996" s="292"/>
      <c r="AC996" s="292"/>
    </row>
    <row r="997" spans="1:29" s="293" customFormat="1" ht="25.5" x14ac:dyDescent="0.2">
      <c r="A997" s="288"/>
      <c r="B997" s="311"/>
      <c r="C997" s="312" t="s">
        <v>562</v>
      </c>
      <c r="D997" s="417">
        <v>6</v>
      </c>
      <c r="E997" s="314" t="s">
        <v>518</v>
      </c>
      <c r="F997" s="418">
        <v>10</v>
      </c>
      <c r="G997" s="417">
        <v>12</v>
      </c>
      <c r="H997" s="314" t="s">
        <v>518</v>
      </c>
      <c r="I997" s="418">
        <v>6.42</v>
      </c>
      <c r="J997" s="509">
        <v>16</v>
      </c>
      <c r="K997" s="421">
        <f t="shared" si="339"/>
        <v>116.41999999999999</v>
      </c>
      <c r="L997" s="431">
        <v>20</v>
      </c>
      <c r="M997" s="431">
        <v>2</v>
      </c>
      <c r="N997" s="431">
        <f>ROUNDUP(K997/(L997/100),0)+1</f>
        <v>584</v>
      </c>
      <c r="O997" s="510">
        <v>544</v>
      </c>
      <c r="P997" s="315"/>
      <c r="Q997" s="317">
        <v>1.5780000000000001</v>
      </c>
      <c r="R997" s="319">
        <f t="shared" si="340"/>
        <v>10026.485760000001</v>
      </c>
      <c r="S997" s="398" t="str">
        <f t="shared" si="341"/>
        <v>kg</v>
      </c>
      <c r="T997" s="320">
        <v>9</v>
      </c>
      <c r="U997" s="424" t="s">
        <v>519</v>
      </c>
      <c r="V997" s="435">
        <f t="shared" ca="1" si="310"/>
        <v>23656.675000000047</v>
      </c>
      <c r="W997" s="256">
        <f t="shared" ca="1" si="329"/>
        <v>2</v>
      </c>
      <c r="X997" s="256">
        <f t="shared" ca="1" si="334"/>
        <v>1</v>
      </c>
      <c r="Y997" s="256"/>
      <c r="Z997" s="256"/>
      <c r="AA997" s="292"/>
      <c r="AB997" s="292"/>
      <c r="AC997" s="292"/>
    </row>
    <row r="998" spans="1:29" s="293" customFormat="1" ht="25.5" x14ac:dyDescent="0.2">
      <c r="A998" s="288"/>
      <c r="B998" s="311"/>
      <c r="C998" s="312" t="s">
        <v>563</v>
      </c>
      <c r="D998" s="417">
        <v>6</v>
      </c>
      <c r="E998" s="314" t="s">
        <v>518</v>
      </c>
      <c r="F998" s="418">
        <v>10</v>
      </c>
      <c r="G998" s="417">
        <v>12</v>
      </c>
      <c r="H998" s="314" t="s">
        <v>518</v>
      </c>
      <c r="I998" s="418">
        <v>6.42</v>
      </c>
      <c r="J998" s="509">
        <v>16</v>
      </c>
      <c r="K998" s="421">
        <f t="shared" si="339"/>
        <v>116.41999999999999</v>
      </c>
      <c r="L998" s="431"/>
      <c r="M998" s="431">
        <v>2</v>
      </c>
      <c r="N998" s="431">
        <f>2+4</f>
        <v>6</v>
      </c>
      <c r="O998" s="510">
        <f>K998*100</f>
        <v>11641.999999999998</v>
      </c>
      <c r="P998" s="511">
        <f>ROUND(O998/100/15,0)*100</f>
        <v>800</v>
      </c>
      <c r="Q998" s="317">
        <v>1.5780000000000001</v>
      </c>
      <c r="R998" s="319">
        <f t="shared" si="340"/>
        <v>2356.01712</v>
      </c>
      <c r="S998" s="398" t="str">
        <f t="shared" si="341"/>
        <v>kg</v>
      </c>
      <c r="T998" s="320">
        <v>9</v>
      </c>
      <c r="U998" s="424" t="s">
        <v>519</v>
      </c>
      <c r="V998" s="435">
        <f t="shared" ca="1" si="310"/>
        <v>23656.675000000047</v>
      </c>
      <c r="W998" s="256">
        <f t="shared" ca="1" si="329"/>
        <v>2</v>
      </c>
      <c r="X998" s="256">
        <f t="shared" ca="1" si="334"/>
        <v>1</v>
      </c>
      <c r="Y998" s="256"/>
      <c r="Z998" s="256"/>
      <c r="AA998" s="292"/>
      <c r="AB998" s="292"/>
      <c r="AC998" s="292"/>
    </row>
    <row r="999" spans="1:29" s="293" customFormat="1" ht="25.5" x14ac:dyDescent="0.2">
      <c r="A999" s="288"/>
      <c r="B999" s="311"/>
      <c r="C999" s="312" t="s">
        <v>559</v>
      </c>
      <c r="D999" s="417">
        <v>6</v>
      </c>
      <c r="E999" s="314" t="s">
        <v>518</v>
      </c>
      <c r="F999" s="418">
        <v>10</v>
      </c>
      <c r="G999" s="417">
        <v>12</v>
      </c>
      <c r="H999" s="314" t="s">
        <v>518</v>
      </c>
      <c r="I999" s="418">
        <v>6.42</v>
      </c>
      <c r="J999" s="509">
        <v>8</v>
      </c>
      <c r="K999" s="421">
        <f t="shared" si="339"/>
        <v>116.41999999999999</v>
      </c>
      <c r="L999" s="431">
        <v>60</v>
      </c>
      <c r="M999" s="431">
        <f>ROUNDUP(8/(L999/100),0)+1</f>
        <v>15</v>
      </c>
      <c r="N999" s="431">
        <f>ROUNDUP(K999/(L999/100),0)+1</f>
        <v>196</v>
      </c>
      <c r="O999" s="510">
        <v>90</v>
      </c>
      <c r="P999" s="315"/>
      <c r="Q999" s="317">
        <v>0.39500000000000002</v>
      </c>
      <c r="R999" s="319">
        <f t="shared" si="340"/>
        <v>1045.17</v>
      </c>
      <c r="S999" s="398" t="str">
        <f t="shared" si="341"/>
        <v>kg</v>
      </c>
      <c r="T999" s="320">
        <v>9</v>
      </c>
      <c r="U999" s="424" t="s">
        <v>519</v>
      </c>
      <c r="V999" s="435">
        <f t="shared" ca="1" si="310"/>
        <v>23656.675000000047</v>
      </c>
      <c r="W999" s="256">
        <f t="shared" ca="1" si="329"/>
        <v>2</v>
      </c>
      <c r="X999" s="256">
        <f t="shared" ca="1" si="334"/>
        <v>1</v>
      </c>
      <c r="Y999" s="256"/>
      <c r="Z999" s="256"/>
      <c r="AA999" s="292"/>
      <c r="AB999" s="292"/>
      <c r="AC999" s="292"/>
    </row>
    <row r="1000" spans="1:29" s="293" customFormat="1" ht="15.75" x14ac:dyDescent="0.2">
      <c r="A1000" s="288"/>
      <c r="B1000" s="311"/>
      <c r="C1000" s="312"/>
      <c r="D1000" s="313"/>
      <c r="E1000" s="314"/>
      <c r="F1000" s="315"/>
      <c r="G1000" s="313"/>
      <c r="H1000" s="314"/>
      <c r="I1000" s="315"/>
      <c r="J1000" s="317"/>
      <c r="K1000" s="421"/>
      <c r="L1000" s="431"/>
      <c r="M1000" s="433"/>
      <c r="N1000" s="433"/>
      <c r="O1000" s="510"/>
      <c r="P1000" s="315"/>
      <c r="Q1000" s="317"/>
      <c r="R1000" s="319"/>
      <c r="S1000" s="398"/>
      <c r="T1000" s="320"/>
      <c r="U1000" s="317"/>
      <c r="V1000" s="435">
        <f t="shared" ca="1" si="310"/>
        <v>23656.675000000047</v>
      </c>
      <c r="W1000" s="256">
        <f t="shared" ca="1" si="329"/>
        <v>0</v>
      </c>
      <c r="X1000" s="256">
        <f t="shared" ca="1" si="334"/>
        <v>1</v>
      </c>
      <c r="Y1000" s="256"/>
      <c r="Z1000" s="256"/>
      <c r="AA1000" s="292"/>
      <c r="AB1000" s="292"/>
      <c r="AC1000" s="292"/>
    </row>
    <row r="1001" spans="1:29" s="293" customFormat="1" ht="15.75" x14ac:dyDescent="0.2">
      <c r="A1001" s="288"/>
      <c r="B1001" s="311"/>
      <c r="C1001" s="434" t="s">
        <v>527</v>
      </c>
      <c r="D1001" s="313"/>
      <c r="E1001" s="314"/>
      <c r="F1001" s="315"/>
      <c r="G1001" s="313"/>
      <c r="H1001" s="314"/>
      <c r="I1001" s="315"/>
      <c r="J1001" s="317"/>
      <c r="K1001" s="421"/>
      <c r="L1001" s="431"/>
      <c r="M1001" s="433"/>
      <c r="N1001" s="433"/>
      <c r="O1001" s="510"/>
      <c r="P1001" s="315"/>
      <c r="Q1001" s="317"/>
      <c r="R1001" s="319"/>
      <c r="S1001" s="398"/>
      <c r="T1001" s="320">
        <v>9</v>
      </c>
      <c r="U1001" s="317"/>
      <c r="V1001" s="435">
        <f t="shared" ca="1" si="310"/>
        <v>23656.675000000047</v>
      </c>
      <c r="W1001" s="256">
        <f t="shared" ca="1" si="329"/>
        <v>2</v>
      </c>
      <c r="X1001" s="256">
        <f t="shared" ca="1" si="334"/>
        <v>1</v>
      </c>
      <c r="Y1001" s="256"/>
      <c r="Z1001" s="256"/>
      <c r="AA1001" s="292"/>
      <c r="AB1001" s="292"/>
      <c r="AC1001" s="292"/>
    </row>
    <row r="1002" spans="1:29" s="293" customFormat="1" ht="25.5" x14ac:dyDescent="0.2">
      <c r="A1002" s="288"/>
      <c r="B1002" s="311"/>
      <c r="C1002" s="312" t="s">
        <v>561</v>
      </c>
      <c r="D1002" s="417">
        <v>12</v>
      </c>
      <c r="E1002" s="314" t="s">
        <v>518</v>
      </c>
      <c r="F1002" s="418">
        <v>6.42</v>
      </c>
      <c r="G1002" s="419">
        <v>17</v>
      </c>
      <c r="H1002" s="316" t="s">
        <v>518</v>
      </c>
      <c r="I1002" s="420">
        <v>4.42</v>
      </c>
      <c r="J1002" s="509">
        <v>6.3</v>
      </c>
      <c r="K1002" s="421">
        <f t="shared" ref="K1002:K1007" si="342">ABS((G1002*20+I1002)-(D1002*20+F1002))</f>
        <v>98.000000000000028</v>
      </c>
      <c r="L1002" s="431">
        <v>20</v>
      </c>
      <c r="M1002" s="431">
        <v>2</v>
      </c>
      <c r="N1002" s="431">
        <v>22</v>
      </c>
      <c r="O1002" s="510">
        <f>K1002*100</f>
        <v>9800.0000000000036</v>
      </c>
      <c r="P1002" s="511">
        <f>ROUND(O1002/100/15,0)*100</f>
        <v>700</v>
      </c>
      <c r="Q1002" s="317">
        <v>0.245</v>
      </c>
      <c r="R1002" s="319">
        <f t="shared" ref="R1002:R1007" si="343">N1002*((O1002+P1002)/100)*M1002*Q1002</f>
        <v>1131.9000000000003</v>
      </c>
      <c r="S1002" s="398" t="str">
        <f t="shared" ref="S1002:S1007" si="344">$L$1174</f>
        <v>kg</v>
      </c>
      <c r="T1002" s="320">
        <v>9</v>
      </c>
      <c r="U1002" s="424" t="s">
        <v>519</v>
      </c>
      <c r="V1002" s="435">
        <f t="shared" ca="1" si="310"/>
        <v>23656.675000000047</v>
      </c>
      <c r="W1002" s="256">
        <f t="shared" ca="1" si="329"/>
        <v>2</v>
      </c>
      <c r="X1002" s="256">
        <f t="shared" ca="1" si="334"/>
        <v>1</v>
      </c>
      <c r="Y1002" s="256"/>
      <c r="Z1002" s="256"/>
      <c r="AA1002" s="292"/>
      <c r="AB1002" s="292"/>
      <c r="AC1002" s="292"/>
    </row>
    <row r="1003" spans="1:29" s="293" customFormat="1" ht="25.5" x14ac:dyDescent="0.2">
      <c r="A1003" s="288"/>
      <c r="B1003" s="311"/>
      <c r="C1003" s="312" t="s">
        <v>556</v>
      </c>
      <c r="D1003" s="417">
        <v>12</v>
      </c>
      <c r="E1003" s="314" t="s">
        <v>518</v>
      </c>
      <c r="F1003" s="418">
        <v>6.42</v>
      </c>
      <c r="G1003" s="419">
        <v>17</v>
      </c>
      <c r="H1003" s="316" t="s">
        <v>518</v>
      </c>
      <c r="I1003" s="420">
        <v>4.42</v>
      </c>
      <c r="J1003" s="509">
        <v>8</v>
      </c>
      <c r="K1003" s="421">
        <f t="shared" si="342"/>
        <v>98.000000000000028</v>
      </c>
      <c r="L1003" s="431">
        <v>20</v>
      </c>
      <c r="M1003" s="431">
        <v>2</v>
      </c>
      <c r="N1003" s="431">
        <f>ROUNDUP(K1003/(L1003/100),0)+1</f>
        <v>491</v>
      </c>
      <c r="O1003" s="510">
        <v>109</v>
      </c>
      <c r="P1003" s="315"/>
      <c r="Q1003" s="317">
        <v>0.39500000000000002</v>
      </c>
      <c r="R1003" s="319">
        <f t="shared" si="343"/>
        <v>422.80010000000004</v>
      </c>
      <c r="S1003" s="398" t="str">
        <f t="shared" si="344"/>
        <v>kg</v>
      </c>
      <c r="T1003" s="320">
        <v>9</v>
      </c>
      <c r="U1003" s="424" t="s">
        <v>519</v>
      </c>
      <c r="V1003" s="435">
        <f t="shared" ca="1" si="310"/>
        <v>23656.675000000047</v>
      </c>
      <c r="W1003" s="256">
        <f t="shared" ca="1" si="329"/>
        <v>2</v>
      </c>
      <c r="X1003" s="256">
        <f t="shared" ca="1" si="334"/>
        <v>1</v>
      </c>
      <c r="Y1003" s="256"/>
      <c r="Z1003" s="256"/>
      <c r="AA1003" s="292"/>
      <c r="AB1003" s="292"/>
      <c r="AC1003" s="292"/>
    </row>
    <row r="1004" spans="1:29" s="293" customFormat="1" ht="25.5" x14ac:dyDescent="0.2">
      <c r="A1004" s="288"/>
      <c r="B1004" s="311"/>
      <c r="C1004" s="312" t="s">
        <v>557</v>
      </c>
      <c r="D1004" s="417">
        <v>12</v>
      </c>
      <c r="E1004" s="314" t="s">
        <v>518</v>
      </c>
      <c r="F1004" s="418">
        <v>6.42</v>
      </c>
      <c r="G1004" s="419">
        <v>17</v>
      </c>
      <c r="H1004" s="316" t="s">
        <v>518</v>
      </c>
      <c r="I1004" s="420">
        <v>4.42</v>
      </c>
      <c r="J1004" s="509">
        <v>16</v>
      </c>
      <c r="K1004" s="421">
        <f t="shared" si="342"/>
        <v>98.000000000000028</v>
      </c>
      <c r="L1004" s="431">
        <v>20</v>
      </c>
      <c r="M1004" s="431">
        <v>2</v>
      </c>
      <c r="N1004" s="431">
        <f>ROUNDUP(K1004/(L1004/100),0)+1</f>
        <v>491</v>
      </c>
      <c r="O1004" s="510">
        <v>250</v>
      </c>
      <c r="P1004" s="315"/>
      <c r="Q1004" s="317">
        <v>1.5780000000000001</v>
      </c>
      <c r="R1004" s="319">
        <f t="shared" si="343"/>
        <v>3873.9900000000002</v>
      </c>
      <c r="S1004" s="398" t="str">
        <f t="shared" si="344"/>
        <v>kg</v>
      </c>
      <c r="T1004" s="320">
        <v>9</v>
      </c>
      <c r="U1004" s="424" t="s">
        <v>519</v>
      </c>
      <c r="V1004" s="435">
        <f t="shared" ca="1" si="310"/>
        <v>23656.675000000047</v>
      </c>
      <c r="W1004" s="256">
        <f t="shared" ca="1" si="329"/>
        <v>2</v>
      </c>
      <c r="X1004" s="256">
        <f t="shared" ca="1" si="334"/>
        <v>1</v>
      </c>
      <c r="Y1004" s="256"/>
      <c r="Z1004" s="256"/>
      <c r="AA1004" s="292"/>
      <c r="AB1004" s="292"/>
      <c r="AC1004" s="292"/>
    </row>
    <row r="1005" spans="1:29" s="293" customFormat="1" ht="25.5" x14ac:dyDescent="0.2">
      <c r="A1005" s="288"/>
      <c r="B1005" s="311"/>
      <c r="C1005" s="312" t="s">
        <v>562</v>
      </c>
      <c r="D1005" s="417">
        <v>12</v>
      </c>
      <c r="E1005" s="314" t="s">
        <v>518</v>
      </c>
      <c r="F1005" s="418">
        <v>6.42</v>
      </c>
      <c r="G1005" s="419">
        <v>17</v>
      </c>
      <c r="H1005" s="316" t="s">
        <v>518</v>
      </c>
      <c r="I1005" s="420">
        <v>4.42</v>
      </c>
      <c r="J1005" s="509">
        <v>16</v>
      </c>
      <c r="K1005" s="421">
        <f t="shared" si="342"/>
        <v>98.000000000000028</v>
      </c>
      <c r="L1005" s="431">
        <v>20</v>
      </c>
      <c r="M1005" s="431">
        <v>2</v>
      </c>
      <c r="N1005" s="431">
        <f>ROUNDUP(K1005/(L1005/100),0)+1</f>
        <v>491</v>
      </c>
      <c r="O1005" s="510">
        <v>544</v>
      </c>
      <c r="P1005" s="315"/>
      <c r="Q1005" s="317">
        <v>1.5780000000000001</v>
      </c>
      <c r="R1005" s="319">
        <f t="shared" si="343"/>
        <v>8429.8022400000009</v>
      </c>
      <c r="S1005" s="398" t="str">
        <f t="shared" si="344"/>
        <v>kg</v>
      </c>
      <c r="T1005" s="320">
        <v>9</v>
      </c>
      <c r="U1005" s="424" t="s">
        <v>519</v>
      </c>
      <c r="V1005" s="435">
        <f t="shared" ca="1" si="310"/>
        <v>23656.675000000047</v>
      </c>
      <c r="W1005" s="256">
        <f t="shared" ca="1" si="329"/>
        <v>2</v>
      </c>
      <c r="X1005" s="256">
        <f t="shared" ca="1" si="334"/>
        <v>1</v>
      </c>
      <c r="Y1005" s="256"/>
      <c r="Z1005" s="256"/>
      <c r="AA1005" s="292"/>
      <c r="AB1005" s="292"/>
      <c r="AC1005" s="292"/>
    </row>
    <row r="1006" spans="1:29" s="293" customFormat="1" ht="25.5" x14ac:dyDescent="0.2">
      <c r="A1006" s="288"/>
      <c r="B1006" s="311"/>
      <c r="C1006" s="312" t="s">
        <v>563</v>
      </c>
      <c r="D1006" s="417">
        <v>12</v>
      </c>
      <c r="E1006" s="314" t="s">
        <v>518</v>
      </c>
      <c r="F1006" s="418">
        <v>6.42</v>
      </c>
      <c r="G1006" s="419">
        <v>17</v>
      </c>
      <c r="H1006" s="316" t="s">
        <v>518</v>
      </c>
      <c r="I1006" s="420">
        <v>4.42</v>
      </c>
      <c r="J1006" s="509">
        <v>16</v>
      </c>
      <c r="K1006" s="421">
        <f t="shared" si="342"/>
        <v>98.000000000000028</v>
      </c>
      <c r="L1006" s="431"/>
      <c r="M1006" s="431">
        <v>2</v>
      </c>
      <c r="N1006" s="431">
        <f>2+4</f>
        <v>6</v>
      </c>
      <c r="O1006" s="510">
        <f>K1006*100</f>
        <v>9800.0000000000036</v>
      </c>
      <c r="P1006" s="511">
        <f>ROUND(O1006/100/15,0)*100</f>
        <v>700</v>
      </c>
      <c r="Q1006" s="317">
        <v>1.5780000000000001</v>
      </c>
      <c r="R1006" s="319">
        <f t="shared" si="343"/>
        <v>1988.2800000000009</v>
      </c>
      <c r="S1006" s="398" t="str">
        <f t="shared" si="344"/>
        <v>kg</v>
      </c>
      <c r="T1006" s="320">
        <v>9</v>
      </c>
      <c r="U1006" s="424" t="s">
        <v>519</v>
      </c>
      <c r="V1006" s="435">
        <f t="shared" ca="1" si="310"/>
        <v>23656.675000000047</v>
      </c>
      <c r="W1006" s="256">
        <f t="shared" ca="1" si="329"/>
        <v>2</v>
      </c>
      <c r="X1006" s="256">
        <f t="shared" ca="1" si="334"/>
        <v>1</v>
      </c>
      <c r="Y1006" s="256"/>
      <c r="Z1006" s="256"/>
      <c r="AA1006" s="292"/>
      <c r="AB1006" s="292"/>
      <c r="AC1006" s="292"/>
    </row>
    <row r="1007" spans="1:29" s="293" customFormat="1" ht="25.5" x14ac:dyDescent="0.2">
      <c r="A1007" s="288"/>
      <c r="B1007" s="512"/>
      <c r="C1007" s="312" t="s">
        <v>559</v>
      </c>
      <c r="D1007" s="417">
        <v>12</v>
      </c>
      <c r="E1007" s="314" t="s">
        <v>518</v>
      </c>
      <c r="F1007" s="418">
        <v>6.42</v>
      </c>
      <c r="G1007" s="419">
        <v>17</v>
      </c>
      <c r="H1007" s="316" t="s">
        <v>518</v>
      </c>
      <c r="I1007" s="420">
        <v>4.42</v>
      </c>
      <c r="J1007" s="509">
        <v>8</v>
      </c>
      <c r="K1007" s="421">
        <f t="shared" si="342"/>
        <v>98.000000000000028</v>
      </c>
      <c r="L1007" s="425">
        <v>60</v>
      </c>
      <c r="M1007" s="431">
        <f>ROUNDUP(10/(L1007/100),0)+1</f>
        <v>18</v>
      </c>
      <c r="N1007" s="431">
        <f>ROUNDUP(K1007/(L1007/100),0)+1</f>
        <v>165</v>
      </c>
      <c r="O1007" s="510">
        <v>90</v>
      </c>
      <c r="P1007" s="513"/>
      <c r="Q1007" s="317">
        <v>0.39500000000000002</v>
      </c>
      <c r="R1007" s="319">
        <f t="shared" si="343"/>
        <v>1055.835</v>
      </c>
      <c r="S1007" s="398" t="str">
        <f t="shared" si="344"/>
        <v>kg</v>
      </c>
      <c r="T1007" s="514">
        <v>9</v>
      </c>
      <c r="U1007" s="424" t="s">
        <v>519</v>
      </c>
      <c r="V1007" s="435">
        <f t="shared" ca="1" si="310"/>
        <v>23656.675000000047</v>
      </c>
      <c r="W1007" s="256">
        <f t="shared" ca="1" si="329"/>
        <v>2</v>
      </c>
      <c r="X1007" s="256">
        <f t="shared" ca="1" si="334"/>
        <v>1</v>
      </c>
      <c r="Y1007" s="256"/>
      <c r="Z1007" s="256"/>
      <c r="AA1007" s="292"/>
      <c r="AB1007" s="292"/>
      <c r="AC1007" s="292"/>
    </row>
    <row r="1008" spans="1:29" s="293" customFormat="1" ht="15.75" x14ac:dyDescent="0.2">
      <c r="A1008" s="288"/>
      <c r="B1008" s="311"/>
      <c r="C1008" s="434"/>
      <c r="D1008" s="313"/>
      <c r="E1008" s="314"/>
      <c r="F1008" s="315"/>
      <c r="G1008" s="313"/>
      <c r="H1008" s="314"/>
      <c r="I1008" s="315"/>
      <c r="J1008" s="317"/>
      <c r="K1008" s="317"/>
      <c r="L1008" s="421"/>
      <c r="M1008" s="431"/>
      <c r="N1008" s="433"/>
      <c r="O1008" s="433"/>
      <c r="P1008" s="510"/>
      <c r="Q1008" s="315"/>
      <c r="R1008" s="319"/>
      <c r="S1008" s="398"/>
      <c r="T1008" s="320"/>
      <c r="U1008" s="317"/>
      <c r="V1008" s="435">
        <f t="shared" ca="1" si="310"/>
        <v>23656.675000000047</v>
      </c>
      <c r="W1008" s="256">
        <f t="shared" ca="1" si="329"/>
        <v>0</v>
      </c>
      <c r="X1008" s="256">
        <f t="shared" ca="1" si="334"/>
        <v>1</v>
      </c>
      <c r="Y1008" s="256"/>
      <c r="Z1008" s="256"/>
      <c r="AA1008" s="292"/>
      <c r="AB1008" s="292"/>
      <c r="AC1008" s="292"/>
    </row>
    <row r="1009" spans="1:29" s="293" customFormat="1" ht="15.75" x14ac:dyDescent="0.2">
      <c r="A1009" s="288"/>
      <c r="B1009" s="311"/>
      <c r="C1009" s="434" t="s">
        <v>528</v>
      </c>
      <c r="D1009" s="313"/>
      <c r="E1009" s="314"/>
      <c r="F1009" s="315"/>
      <c r="G1009" s="313"/>
      <c r="H1009" s="314"/>
      <c r="I1009" s="315"/>
      <c r="J1009" s="317"/>
      <c r="K1009" s="317"/>
      <c r="L1009" s="421"/>
      <c r="M1009" s="431"/>
      <c r="N1009" s="433"/>
      <c r="O1009" s="433"/>
      <c r="P1009" s="510"/>
      <c r="Q1009" s="315"/>
      <c r="R1009" s="319"/>
      <c r="S1009" s="398"/>
      <c r="T1009" s="320">
        <v>11</v>
      </c>
      <c r="U1009" s="317"/>
      <c r="V1009" s="435">
        <f t="shared" ca="1" si="310"/>
        <v>23656.675000000047</v>
      </c>
      <c r="W1009" s="256">
        <f t="shared" ca="1" si="329"/>
        <v>2</v>
      </c>
      <c r="X1009" s="256">
        <f t="shared" ca="1" si="334"/>
        <v>1</v>
      </c>
      <c r="Y1009" s="256"/>
      <c r="Z1009" s="256"/>
      <c r="AA1009" s="292"/>
      <c r="AB1009" s="292"/>
      <c r="AC1009" s="292"/>
    </row>
    <row r="1010" spans="1:29" s="293" customFormat="1" ht="25.5" x14ac:dyDescent="0.2">
      <c r="A1010" s="288"/>
      <c r="B1010" s="311"/>
      <c r="C1010" s="312" t="s">
        <v>561</v>
      </c>
      <c r="D1010" s="419">
        <v>17</v>
      </c>
      <c r="E1010" s="316" t="s">
        <v>518</v>
      </c>
      <c r="F1010" s="420">
        <v>4.42</v>
      </c>
      <c r="G1010" s="419">
        <v>25</v>
      </c>
      <c r="H1010" s="316" t="s">
        <v>518</v>
      </c>
      <c r="I1010" s="420">
        <v>4.42</v>
      </c>
      <c r="J1010" s="509">
        <v>6.3</v>
      </c>
      <c r="K1010" s="421">
        <f t="shared" ref="K1010:K1015" si="345">ABS((G1010*20+I1010)-(D1010*20+F1010))</f>
        <v>160</v>
      </c>
      <c r="L1010" s="431">
        <v>20</v>
      </c>
      <c r="M1010" s="431">
        <v>2</v>
      </c>
      <c r="N1010" s="431">
        <v>22</v>
      </c>
      <c r="O1010" s="510">
        <f>K1010*100</f>
        <v>16000</v>
      </c>
      <c r="P1010" s="511">
        <f>ROUND(O1010/100/15,0)*100</f>
        <v>1100</v>
      </c>
      <c r="Q1010" s="317">
        <v>0.245</v>
      </c>
      <c r="R1010" s="319">
        <f t="shared" ref="R1010:R1015" si="346">N1010*((O1010+P1010)/100)*M1010*Q1010</f>
        <v>1843.3799999999999</v>
      </c>
      <c r="S1010" s="398" t="str">
        <f t="shared" ref="S1010:S1015" si="347">$L$1174</f>
        <v>kg</v>
      </c>
      <c r="T1010" s="320">
        <v>11</v>
      </c>
      <c r="U1010" s="424" t="s">
        <v>519</v>
      </c>
      <c r="V1010" s="435">
        <f t="shared" ca="1" si="310"/>
        <v>23656.675000000047</v>
      </c>
      <c r="W1010" s="256">
        <f t="shared" ca="1" si="329"/>
        <v>2</v>
      </c>
      <c r="X1010" s="256">
        <f t="shared" ca="1" si="334"/>
        <v>1</v>
      </c>
      <c r="Y1010" s="256"/>
      <c r="Z1010" s="256"/>
      <c r="AA1010" s="292"/>
      <c r="AB1010" s="292"/>
      <c r="AC1010" s="292"/>
    </row>
    <row r="1011" spans="1:29" s="293" customFormat="1" ht="25.5" x14ac:dyDescent="0.2">
      <c r="A1011" s="288"/>
      <c r="B1011" s="311"/>
      <c r="C1011" s="312" t="s">
        <v>556</v>
      </c>
      <c r="D1011" s="419">
        <v>17</v>
      </c>
      <c r="E1011" s="316" t="s">
        <v>518</v>
      </c>
      <c r="F1011" s="420">
        <v>4.42</v>
      </c>
      <c r="G1011" s="417">
        <v>25</v>
      </c>
      <c r="H1011" s="314" t="s">
        <v>518</v>
      </c>
      <c r="I1011" s="418">
        <v>4.42</v>
      </c>
      <c r="J1011" s="509">
        <v>8</v>
      </c>
      <c r="K1011" s="421">
        <f t="shared" si="345"/>
        <v>160</v>
      </c>
      <c r="L1011" s="431">
        <v>20</v>
      </c>
      <c r="M1011" s="431">
        <v>2</v>
      </c>
      <c r="N1011" s="431">
        <f>ROUNDUP(K1011/(L1011/100),0)+1</f>
        <v>801</v>
      </c>
      <c r="O1011" s="510">
        <v>109</v>
      </c>
      <c r="P1011" s="315"/>
      <c r="Q1011" s="317">
        <v>0.39500000000000002</v>
      </c>
      <c r="R1011" s="319">
        <f t="shared" si="346"/>
        <v>689.74110000000007</v>
      </c>
      <c r="S1011" s="398" t="str">
        <f t="shared" si="347"/>
        <v>kg</v>
      </c>
      <c r="T1011" s="320">
        <v>11</v>
      </c>
      <c r="U1011" s="424" t="s">
        <v>519</v>
      </c>
      <c r="V1011" s="435">
        <f t="shared" ca="1" si="310"/>
        <v>23656.675000000047</v>
      </c>
      <c r="W1011" s="256">
        <f t="shared" ca="1" si="329"/>
        <v>2</v>
      </c>
      <c r="X1011" s="256">
        <f t="shared" ca="1" si="334"/>
        <v>1</v>
      </c>
      <c r="Y1011" s="256"/>
      <c r="Z1011" s="256"/>
      <c r="AA1011" s="292"/>
      <c r="AB1011" s="292"/>
      <c r="AC1011" s="292"/>
    </row>
    <row r="1012" spans="1:29" s="293" customFormat="1" ht="25.5" x14ac:dyDescent="0.2">
      <c r="A1012" s="288"/>
      <c r="B1012" s="311"/>
      <c r="C1012" s="312" t="s">
        <v>557</v>
      </c>
      <c r="D1012" s="419">
        <v>17</v>
      </c>
      <c r="E1012" s="316" t="s">
        <v>518</v>
      </c>
      <c r="F1012" s="420">
        <v>4.42</v>
      </c>
      <c r="G1012" s="417">
        <v>25</v>
      </c>
      <c r="H1012" s="314" t="s">
        <v>518</v>
      </c>
      <c r="I1012" s="418">
        <v>4.42</v>
      </c>
      <c r="J1012" s="509">
        <v>16</v>
      </c>
      <c r="K1012" s="421">
        <f t="shared" si="345"/>
        <v>160</v>
      </c>
      <c r="L1012" s="431">
        <v>20</v>
      </c>
      <c r="M1012" s="431">
        <v>2</v>
      </c>
      <c r="N1012" s="431">
        <f>ROUNDUP(K1012/(L1012/100),0)+1</f>
        <v>801</v>
      </c>
      <c r="O1012" s="510">
        <v>250</v>
      </c>
      <c r="P1012" s="315"/>
      <c r="Q1012" s="317">
        <v>1.5780000000000001</v>
      </c>
      <c r="R1012" s="319">
        <f t="shared" si="346"/>
        <v>6319.89</v>
      </c>
      <c r="S1012" s="398" t="str">
        <f t="shared" si="347"/>
        <v>kg</v>
      </c>
      <c r="T1012" s="320">
        <v>11</v>
      </c>
      <c r="U1012" s="424" t="s">
        <v>519</v>
      </c>
      <c r="V1012" s="435">
        <f t="shared" ca="1" si="310"/>
        <v>23656.675000000047</v>
      </c>
      <c r="W1012" s="256">
        <f t="shared" ca="1" si="329"/>
        <v>2</v>
      </c>
      <c r="X1012" s="256">
        <f t="shared" ref="X1012:X1043" ca="1" si="348">IF(COUNTA(OFFSET(A784,1,0))-COUNTA(A784)=-1,0,1)</f>
        <v>1</v>
      </c>
      <c r="Y1012" s="256"/>
      <c r="Z1012" s="256"/>
      <c r="AA1012" s="292"/>
      <c r="AB1012" s="292"/>
      <c r="AC1012" s="292"/>
    </row>
    <row r="1013" spans="1:29" s="293" customFormat="1" ht="25.5" x14ac:dyDescent="0.2">
      <c r="A1013" s="288"/>
      <c r="B1013" s="311"/>
      <c r="C1013" s="312" t="s">
        <v>562</v>
      </c>
      <c r="D1013" s="419">
        <v>17</v>
      </c>
      <c r="E1013" s="316" t="s">
        <v>518</v>
      </c>
      <c r="F1013" s="420">
        <v>4.42</v>
      </c>
      <c r="G1013" s="417">
        <v>25</v>
      </c>
      <c r="H1013" s="314" t="s">
        <v>518</v>
      </c>
      <c r="I1013" s="418">
        <v>4.42</v>
      </c>
      <c r="J1013" s="509">
        <v>16</v>
      </c>
      <c r="K1013" s="421">
        <f t="shared" si="345"/>
        <v>160</v>
      </c>
      <c r="L1013" s="431">
        <v>20</v>
      </c>
      <c r="M1013" s="431">
        <v>2</v>
      </c>
      <c r="N1013" s="431">
        <f>ROUNDUP(K1013/(L1013/100),0)+1</f>
        <v>801</v>
      </c>
      <c r="O1013" s="510">
        <v>544</v>
      </c>
      <c r="P1013" s="315"/>
      <c r="Q1013" s="317">
        <v>1.5780000000000001</v>
      </c>
      <c r="R1013" s="319">
        <f t="shared" si="346"/>
        <v>13752.080640000002</v>
      </c>
      <c r="S1013" s="398" t="str">
        <f t="shared" si="347"/>
        <v>kg</v>
      </c>
      <c r="T1013" s="320">
        <v>11</v>
      </c>
      <c r="U1013" s="424" t="s">
        <v>519</v>
      </c>
      <c r="V1013" s="435">
        <f t="shared" ca="1" si="310"/>
        <v>23656.675000000047</v>
      </c>
      <c r="W1013" s="256">
        <f t="shared" ca="1" si="329"/>
        <v>2</v>
      </c>
      <c r="X1013" s="256">
        <f t="shared" ca="1" si="348"/>
        <v>1</v>
      </c>
      <c r="Y1013" s="256"/>
      <c r="Z1013" s="256"/>
      <c r="AA1013" s="292"/>
      <c r="AB1013" s="292"/>
      <c r="AC1013" s="292"/>
    </row>
    <row r="1014" spans="1:29" s="293" customFormat="1" ht="25.5" x14ac:dyDescent="0.2">
      <c r="A1014" s="288"/>
      <c r="B1014" s="311"/>
      <c r="C1014" s="312" t="s">
        <v>563</v>
      </c>
      <c r="D1014" s="419">
        <v>17</v>
      </c>
      <c r="E1014" s="316" t="s">
        <v>518</v>
      </c>
      <c r="F1014" s="420">
        <v>4.42</v>
      </c>
      <c r="G1014" s="417">
        <v>25</v>
      </c>
      <c r="H1014" s="314" t="s">
        <v>518</v>
      </c>
      <c r="I1014" s="418">
        <v>4.42</v>
      </c>
      <c r="J1014" s="509">
        <v>16</v>
      </c>
      <c r="K1014" s="421">
        <f t="shared" si="345"/>
        <v>160</v>
      </c>
      <c r="L1014" s="431"/>
      <c r="M1014" s="431">
        <v>2</v>
      </c>
      <c r="N1014" s="431">
        <f>2+4</f>
        <v>6</v>
      </c>
      <c r="O1014" s="510">
        <f>K1014*100</f>
        <v>16000</v>
      </c>
      <c r="P1014" s="511">
        <f>ROUND(O1014/100/15,0)*100</f>
        <v>1100</v>
      </c>
      <c r="Q1014" s="317">
        <v>1.5780000000000001</v>
      </c>
      <c r="R1014" s="319">
        <f t="shared" si="346"/>
        <v>3238.056</v>
      </c>
      <c r="S1014" s="398" t="str">
        <f t="shared" si="347"/>
        <v>kg</v>
      </c>
      <c r="T1014" s="320">
        <v>11</v>
      </c>
      <c r="U1014" s="424" t="s">
        <v>519</v>
      </c>
      <c r="V1014" s="435">
        <f t="shared" ca="1" si="310"/>
        <v>23656.675000000047</v>
      </c>
      <c r="W1014" s="256">
        <f t="shared" ca="1" si="329"/>
        <v>2</v>
      </c>
      <c r="X1014" s="256">
        <f t="shared" ca="1" si="348"/>
        <v>1</v>
      </c>
      <c r="Y1014" s="256"/>
      <c r="Z1014" s="256"/>
      <c r="AA1014" s="292"/>
      <c r="AB1014" s="292"/>
      <c r="AC1014" s="292"/>
    </row>
    <row r="1015" spans="1:29" s="293" customFormat="1" ht="25.5" x14ac:dyDescent="0.2">
      <c r="A1015" s="288"/>
      <c r="B1015" s="512"/>
      <c r="C1015" s="312" t="s">
        <v>559</v>
      </c>
      <c r="D1015" s="419">
        <v>17</v>
      </c>
      <c r="E1015" s="316" t="s">
        <v>518</v>
      </c>
      <c r="F1015" s="420">
        <v>4.42</v>
      </c>
      <c r="G1015" s="417">
        <v>25</v>
      </c>
      <c r="H1015" s="314" t="s">
        <v>518</v>
      </c>
      <c r="I1015" s="418">
        <v>4.42</v>
      </c>
      <c r="J1015" s="509">
        <v>8</v>
      </c>
      <c r="K1015" s="421">
        <f t="shared" si="345"/>
        <v>160</v>
      </c>
      <c r="L1015" s="425">
        <v>60</v>
      </c>
      <c r="M1015" s="431">
        <f>ROUNDUP(12/(L1015/100),0)+1</f>
        <v>21</v>
      </c>
      <c r="N1015" s="431">
        <f>ROUNDUP(K1015/(L1015/100),0)+1</f>
        <v>268</v>
      </c>
      <c r="O1015" s="510">
        <v>90</v>
      </c>
      <c r="P1015" s="513"/>
      <c r="Q1015" s="317">
        <v>0.39500000000000002</v>
      </c>
      <c r="R1015" s="319">
        <f t="shared" si="346"/>
        <v>2000.7540000000004</v>
      </c>
      <c r="S1015" s="398" t="str">
        <f t="shared" si="347"/>
        <v>kg</v>
      </c>
      <c r="T1015" s="514">
        <v>11</v>
      </c>
      <c r="U1015" s="424" t="s">
        <v>519</v>
      </c>
      <c r="V1015" s="435">
        <f t="shared" ca="1" si="310"/>
        <v>23656.675000000047</v>
      </c>
      <c r="W1015" s="256">
        <f t="shared" ca="1" si="329"/>
        <v>2</v>
      </c>
      <c r="X1015" s="256">
        <f t="shared" ca="1" si="348"/>
        <v>1</v>
      </c>
      <c r="Y1015" s="256"/>
      <c r="Z1015" s="256"/>
      <c r="AA1015" s="292"/>
      <c r="AB1015" s="292"/>
      <c r="AC1015" s="292"/>
    </row>
    <row r="1016" spans="1:29" s="293" customFormat="1" ht="15.75" x14ac:dyDescent="0.2">
      <c r="A1016" s="288"/>
      <c r="B1016" s="311"/>
      <c r="C1016" s="434"/>
      <c r="D1016" s="313"/>
      <c r="E1016" s="314"/>
      <c r="F1016" s="315"/>
      <c r="G1016" s="313"/>
      <c r="H1016" s="314"/>
      <c r="I1016" s="315"/>
      <c r="J1016" s="317"/>
      <c r="K1016" s="317"/>
      <c r="L1016" s="421"/>
      <c r="M1016" s="431"/>
      <c r="N1016" s="433"/>
      <c r="O1016" s="433"/>
      <c r="P1016" s="510"/>
      <c r="Q1016" s="315"/>
      <c r="R1016" s="319"/>
      <c r="S1016" s="398"/>
      <c r="T1016" s="320"/>
      <c r="U1016" s="317"/>
      <c r="V1016" s="435">
        <f t="shared" ca="1" si="310"/>
        <v>23656.675000000047</v>
      </c>
      <c r="W1016" s="256">
        <f t="shared" ca="1" si="329"/>
        <v>0</v>
      </c>
      <c r="X1016" s="256">
        <f t="shared" ca="1" si="348"/>
        <v>1</v>
      </c>
      <c r="Y1016" s="256"/>
      <c r="Z1016" s="256"/>
      <c r="AA1016" s="292"/>
      <c r="AB1016" s="292"/>
      <c r="AC1016" s="292"/>
    </row>
    <row r="1017" spans="1:29" s="111" customFormat="1" ht="15.75" x14ac:dyDescent="0.2">
      <c r="A1017" s="399"/>
      <c r="B1017" s="322"/>
      <c r="C1017" s="434" t="s">
        <v>529</v>
      </c>
      <c r="D1017" s="417"/>
      <c r="E1017" s="314"/>
      <c r="F1017" s="418"/>
      <c r="G1017" s="419"/>
      <c r="H1017" s="316"/>
      <c r="I1017" s="420"/>
      <c r="J1017" s="317"/>
      <c r="K1017" s="421"/>
      <c r="L1017" s="328"/>
      <c r="M1017" s="422"/>
      <c r="N1017" s="423"/>
      <c r="O1017" s="334"/>
      <c r="P1017" s="328"/>
      <c r="Q1017" s="334"/>
      <c r="R1017" s="319"/>
      <c r="S1017" s="398"/>
      <c r="T1017" s="320">
        <v>13</v>
      </c>
      <c r="U1017" s="335"/>
      <c r="V1017" s="435">
        <f t="shared" ca="1" si="310"/>
        <v>23656.675000000047</v>
      </c>
      <c r="W1017" s="256">
        <f t="shared" ca="1" si="329"/>
        <v>2</v>
      </c>
      <c r="X1017" s="256">
        <f t="shared" ca="1" si="348"/>
        <v>1</v>
      </c>
      <c r="Y1017" s="250"/>
      <c r="Z1017" s="250"/>
    </row>
    <row r="1018" spans="1:29" s="293" customFormat="1" ht="15.75" x14ac:dyDescent="0.2">
      <c r="A1018" s="399"/>
      <c r="B1018" s="311"/>
      <c r="C1018" s="382" t="s">
        <v>564</v>
      </c>
      <c r="D1018" s="313">
        <v>25</v>
      </c>
      <c r="E1018" s="314" t="s">
        <v>518</v>
      </c>
      <c r="F1018" s="315">
        <v>4.42</v>
      </c>
      <c r="G1018" s="313"/>
      <c r="H1018" s="314"/>
      <c r="I1018" s="315"/>
      <c r="J1018" s="317">
        <v>16</v>
      </c>
      <c r="K1018" s="433">
        <v>11.5</v>
      </c>
      <c r="L1018" s="425">
        <v>30</v>
      </c>
      <c r="M1018" s="510">
        <v>1</v>
      </c>
      <c r="N1018" s="431">
        <f>ROUNDUP((K1018-0.08)/(L1018/100),0)+1</f>
        <v>40</v>
      </c>
      <c r="O1018" s="510">
        <v>50</v>
      </c>
      <c r="P1018" s="510"/>
      <c r="Q1018" s="315">
        <v>1.5780000000000001</v>
      </c>
      <c r="R1018" s="319">
        <f>N1018*((O1018+P1018)/100)*M1018*Q1018</f>
        <v>31.560000000000002</v>
      </c>
      <c r="S1018" s="398" t="str">
        <f>$L$1174</f>
        <v>kg</v>
      </c>
      <c r="T1018" s="320">
        <v>13</v>
      </c>
      <c r="U1018" s="317" t="s">
        <v>565</v>
      </c>
      <c r="V1018" s="435">
        <f t="shared" ca="1" si="310"/>
        <v>23656.675000000047</v>
      </c>
      <c r="W1018" s="256">
        <f t="shared" ca="1" si="329"/>
        <v>2</v>
      </c>
      <c r="X1018" s="256">
        <f t="shared" ca="1" si="348"/>
        <v>1</v>
      </c>
      <c r="Y1018" s="256"/>
      <c r="Z1018" s="256"/>
      <c r="AA1018" s="292"/>
      <c r="AB1018" s="292"/>
      <c r="AC1018" s="292"/>
    </row>
    <row r="1019" spans="1:29" s="293" customFormat="1" ht="15.75" x14ac:dyDescent="0.2">
      <c r="A1019" s="399"/>
      <c r="B1019" s="311"/>
      <c r="C1019" s="382" t="s">
        <v>321</v>
      </c>
      <c r="D1019" s="313">
        <v>25</v>
      </c>
      <c r="E1019" s="314" t="s">
        <v>518</v>
      </c>
      <c r="F1019" s="315">
        <v>4.42</v>
      </c>
      <c r="G1019" s="313"/>
      <c r="H1019" s="314"/>
      <c r="I1019" s="315"/>
      <c r="J1019" s="317">
        <v>16</v>
      </c>
      <c r="K1019" s="433">
        <v>11.5</v>
      </c>
      <c r="L1019" s="425"/>
      <c r="M1019" s="431">
        <v>1</v>
      </c>
      <c r="N1019" s="431">
        <v>6</v>
      </c>
      <c r="O1019" s="510">
        <f>(K1019-(2*0.04))*100</f>
        <v>1142</v>
      </c>
      <c r="P1019" s="511"/>
      <c r="Q1019" s="315">
        <v>1.5780000000000001</v>
      </c>
      <c r="R1019" s="319">
        <f>N1019*((O1019+P1019)/100)*M1019*Q1019</f>
        <v>108.12456</v>
      </c>
      <c r="S1019" s="398" t="str">
        <f>$L$1174</f>
        <v>kg</v>
      </c>
      <c r="T1019" s="320">
        <v>13</v>
      </c>
      <c r="U1019" s="317" t="s">
        <v>565</v>
      </c>
      <c r="V1019" s="435">
        <f t="shared" ca="1" si="310"/>
        <v>23656.675000000047</v>
      </c>
      <c r="W1019" s="256">
        <f t="shared" ca="1" si="329"/>
        <v>2</v>
      </c>
      <c r="X1019" s="256">
        <f t="shared" ca="1" si="348"/>
        <v>1</v>
      </c>
      <c r="Y1019" s="256"/>
      <c r="Z1019" s="256"/>
      <c r="AA1019" s="292"/>
      <c r="AB1019" s="292"/>
      <c r="AC1019" s="292"/>
    </row>
    <row r="1020" spans="1:29" s="293" customFormat="1" ht="15.75" x14ac:dyDescent="0.2">
      <c r="A1020" s="399"/>
      <c r="B1020" s="311"/>
      <c r="C1020" s="382" t="s">
        <v>566</v>
      </c>
      <c r="D1020" s="313">
        <v>25</v>
      </c>
      <c r="E1020" s="314" t="s">
        <v>518</v>
      </c>
      <c r="F1020" s="315">
        <v>4.42</v>
      </c>
      <c r="G1020" s="313"/>
      <c r="H1020" s="314"/>
      <c r="I1020" s="315"/>
      <c r="J1020" s="317">
        <v>8</v>
      </c>
      <c r="K1020" s="433">
        <v>11.5</v>
      </c>
      <c r="L1020" s="425"/>
      <c r="M1020" s="431">
        <v>1</v>
      </c>
      <c r="N1020" s="431">
        <v>4</v>
      </c>
      <c r="O1020" s="510">
        <f>(K1020-(2*0.04))*100</f>
        <v>1142</v>
      </c>
      <c r="P1020" s="511"/>
      <c r="Q1020" s="315">
        <v>0.39500000000000002</v>
      </c>
      <c r="R1020" s="319">
        <f>N1020*((O1020+P1020)/100)*M1020*Q1020</f>
        <v>18.043600000000001</v>
      </c>
      <c r="S1020" s="398" t="str">
        <f>$L$1174</f>
        <v>kg</v>
      </c>
      <c r="T1020" s="320">
        <v>13</v>
      </c>
      <c r="U1020" s="317" t="s">
        <v>565</v>
      </c>
      <c r="V1020" s="435">
        <f t="shared" ca="1" si="310"/>
        <v>23656.675000000047</v>
      </c>
      <c r="W1020" s="256">
        <f t="shared" ca="1" si="329"/>
        <v>2</v>
      </c>
      <c r="X1020" s="256">
        <f t="shared" ca="1" si="348"/>
        <v>1</v>
      </c>
      <c r="Y1020" s="256"/>
      <c r="Z1020" s="256"/>
      <c r="AA1020" s="292"/>
      <c r="AB1020" s="292"/>
      <c r="AC1020" s="292"/>
    </row>
    <row r="1021" spans="1:29" s="293" customFormat="1" ht="15.75" x14ac:dyDescent="0.2">
      <c r="A1021" s="399"/>
      <c r="B1021" s="311"/>
      <c r="C1021" s="382" t="s">
        <v>567</v>
      </c>
      <c r="D1021" s="313">
        <v>25</v>
      </c>
      <c r="E1021" s="314" t="s">
        <v>518</v>
      </c>
      <c r="F1021" s="315">
        <v>4.42</v>
      </c>
      <c r="G1021" s="313"/>
      <c r="H1021" s="314"/>
      <c r="I1021" s="315"/>
      <c r="J1021" s="317">
        <v>16</v>
      </c>
      <c r="K1021" s="433">
        <v>11.5</v>
      </c>
      <c r="L1021" s="425">
        <v>30</v>
      </c>
      <c r="M1021" s="510">
        <f>ROUNDUP((K1021-0.08)/(L1021/100),0)+1</f>
        <v>40</v>
      </c>
      <c r="N1021" s="433">
        <v>1</v>
      </c>
      <c r="O1021" s="510">
        <v>223</v>
      </c>
      <c r="P1021" s="510"/>
      <c r="Q1021" s="315">
        <v>1.5780000000000001</v>
      </c>
      <c r="R1021" s="319">
        <f>N1021*((O1021+P1021)/100)*M1021*Q1021</f>
        <v>140.7576</v>
      </c>
      <c r="S1021" s="398" t="str">
        <f>$L$1174</f>
        <v>kg</v>
      </c>
      <c r="T1021" s="320">
        <v>13</v>
      </c>
      <c r="U1021" s="317" t="s">
        <v>565</v>
      </c>
      <c r="V1021" s="435">
        <f t="shared" ca="1" si="310"/>
        <v>23656.675000000047</v>
      </c>
      <c r="W1021" s="256">
        <f t="shared" ca="1" si="329"/>
        <v>2</v>
      </c>
      <c r="X1021" s="256">
        <f t="shared" ca="1" si="348"/>
        <v>1</v>
      </c>
      <c r="Y1021" s="256"/>
      <c r="Z1021" s="256"/>
      <c r="AA1021" s="292"/>
      <c r="AB1021" s="292"/>
      <c r="AC1021" s="292"/>
    </row>
    <row r="1022" spans="1:29" s="293" customFormat="1" ht="15.75" x14ac:dyDescent="0.2">
      <c r="A1022" s="399"/>
      <c r="B1022" s="311"/>
      <c r="C1022" s="382" t="s">
        <v>568</v>
      </c>
      <c r="D1022" s="313">
        <v>25</v>
      </c>
      <c r="E1022" s="314" t="s">
        <v>518</v>
      </c>
      <c r="F1022" s="315">
        <v>4.42</v>
      </c>
      <c r="G1022" s="313"/>
      <c r="H1022" s="314"/>
      <c r="I1022" s="315"/>
      <c r="J1022" s="317">
        <v>16</v>
      </c>
      <c r="K1022" s="433">
        <v>11.5</v>
      </c>
      <c r="L1022" s="425">
        <v>30</v>
      </c>
      <c r="M1022" s="510">
        <v>1</v>
      </c>
      <c r="N1022" s="431">
        <f>ROUNDUP((K1022-0.08)/(L1022/100),0)+1</f>
        <v>40</v>
      </c>
      <c r="O1022" s="510">
        <v>50</v>
      </c>
      <c r="P1022" s="510"/>
      <c r="Q1022" s="315">
        <v>1.5780000000000001</v>
      </c>
      <c r="R1022" s="319">
        <f>N1022*((O1022+P1022)/100)*M1022*Q1022</f>
        <v>31.560000000000002</v>
      </c>
      <c r="S1022" s="398" t="str">
        <f>$L$1174</f>
        <v>kg</v>
      </c>
      <c r="T1022" s="320">
        <v>13</v>
      </c>
      <c r="U1022" s="317" t="s">
        <v>565</v>
      </c>
      <c r="V1022" s="435">
        <f t="shared" ca="1" si="310"/>
        <v>23656.675000000047</v>
      </c>
      <c r="W1022" s="256">
        <f t="shared" ca="1" si="329"/>
        <v>2</v>
      </c>
      <c r="X1022" s="256">
        <f t="shared" ca="1" si="348"/>
        <v>1</v>
      </c>
      <c r="Y1022" s="256"/>
      <c r="Z1022" s="256"/>
      <c r="AA1022" s="292"/>
      <c r="AB1022" s="292"/>
      <c r="AC1022" s="292"/>
    </row>
    <row r="1023" spans="1:29" s="111" customFormat="1" ht="15" x14ac:dyDescent="0.2">
      <c r="A1023" s="288"/>
      <c r="B1023" s="322"/>
      <c r="C1023" s="312"/>
      <c r="D1023" s="324"/>
      <c r="E1023" s="325"/>
      <c r="F1023" s="326"/>
      <c r="G1023" s="324"/>
      <c r="H1023" s="325"/>
      <c r="I1023" s="326"/>
      <c r="J1023" s="431"/>
      <c r="K1023" s="421"/>
      <c r="L1023" s="328"/>
      <c r="M1023" s="328"/>
      <c r="N1023" s="328"/>
      <c r="O1023" s="493"/>
      <c r="P1023" s="328"/>
      <c r="Q1023" s="334"/>
      <c r="R1023" s="333"/>
      <c r="S1023" s="398"/>
      <c r="T1023" s="320"/>
      <c r="U1023" s="335"/>
      <c r="V1023" s="435">
        <f t="shared" ca="1" si="310"/>
        <v>23656.675000000047</v>
      </c>
      <c r="W1023" s="256">
        <f t="shared" ca="1" si="329"/>
        <v>0</v>
      </c>
      <c r="X1023" s="256">
        <f t="shared" ca="1" si="348"/>
        <v>1</v>
      </c>
      <c r="Y1023" s="250"/>
      <c r="Z1023" s="250"/>
    </row>
    <row r="1024" spans="1:29" s="293" customFormat="1" ht="15.75" x14ac:dyDescent="0.2">
      <c r="A1024" s="399"/>
      <c r="B1024" s="311"/>
      <c r="C1024" s="434" t="s">
        <v>532</v>
      </c>
      <c r="D1024" s="313"/>
      <c r="E1024" s="314"/>
      <c r="F1024" s="315"/>
      <c r="G1024" s="313"/>
      <c r="H1024" s="314"/>
      <c r="I1024" s="315"/>
      <c r="J1024" s="317"/>
      <c r="K1024" s="317"/>
      <c r="L1024" s="421"/>
      <c r="M1024" s="431"/>
      <c r="N1024" s="433"/>
      <c r="O1024" s="433"/>
      <c r="P1024" s="510"/>
      <c r="Q1024" s="315"/>
      <c r="R1024" s="319"/>
      <c r="S1024" s="398"/>
      <c r="T1024" s="320">
        <v>14</v>
      </c>
      <c r="U1024" s="317"/>
      <c r="V1024" s="435">
        <f t="shared" ca="1" si="310"/>
        <v>23656.675000000047</v>
      </c>
      <c r="W1024" s="256">
        <f t="shared" ca="1" si="329"/>
        <v>2</v>
      </c>
      <c r="X1024" s="256">
        <f t="shared" ca="1" si="348"/>
        <v>1</v>
      </c>
      <c r="Y1024" s="256"/>
      <c r="Z1024" s="256"/>
      <c r="AA1024" s="292"/>
      <c r="AB1024" s="292"/>
      <c r="AC1024" s="292"/>
    </row>
    <row r="1025" spans="1:29" s="293" customFormat="1" ht="25.5" x14ac:dyDescent="0.2">
      <c r="A1025" s="399"/>
      <c r="B1025" s="311"/>
      <c r="C1025" s="312" t="s">
        <v>561</v>
      </c>
      <c r="D1025" s="419">
        <v>25</v>
      </c>
      <c r="E1025" s="316" t="s">
        <v>518</v>
      </c>
      <c r="F1025" s="420">
        <v>4.42</v>
      </c>
      <c r="G1025" s="419">
        <v>31</v>
      </c>
      <c r="H1025" s="316" t="s">
        <v>518</v>
      </c>
      <c r="I1025" s="420">
        <v>10</v>
      </c>
      <c r="J1025" s="509">
        <v>8</v>
      </c>
      <c r="K1025" s="421">
        <f t="shared" ref="K1025:K1030" si="349">ABS((G1025*20+I1025)-(D1025*20+F1025))</f>
        <v>125.57999999999998</v>
      </c>
      <c r="L1025" s="431">
        <v>20</v>
      </c>
      <c r="M1025" s="431">
        <v>2</v>
      </c>
      <c r="N1025" s="431">
        <f>15*2</f>
        <v>30</v>
      </c>
      <c r="O1025" s="510">
        <f>K1025*100</f>
        <v>12557.999999999998</v>
      </c>
      <c r="P1025" s="511">
        <f>ROUND(O1025/100/15,0)*100</f>
        <v>800</v>
      </c>
      <c r="Q1025" s="317">
        <v>0.39500000000000002</v>
      </c>
      <c r="R1025" s="319">
        <f t="shared" ref="R1025:R1030" si="350">N1025*((O1025+P1025)/100)*M1025*Q1025</f>
        <v>3165.846</v>
      </c>
      <c r="S1025" s="398" t="str">
        <f t="shared" ref="S1025:S1030" si="351">$L$1174</f>
        <v>kg</v>
      </c>
      <c r="T1025" s="320">
        <v>14</v>
      </c>
      <c r="U1025" s="424" t="s">
        <v>519</v>
      </c>
      <c r="V1025" s="435">
        <f t="shared" ca="1" si="310"/>
        <v>23656.675000000047</v>
      </c>
      <c r="W1025" s="256">
        <f t="shared" ca="1" si="329"/>
        <v>2</v>
      </c>
      <c r="X1025" s="256">
        <f t="shared" ca="1" si="348"/>
        <v>1</v>
      </c>
      <c r="Y1025" s="256"/>
      <c r="Z1025" s="256"/>
      <c r="AA1025" s="292"/>
      <c r="AB1025" s="292"/>
      <c r="AC1025" s="292"/>
    </row>
    <row r="1026" spans="1:29" s="293" customFormat="1" ht="25.5" x14ac:dyDescent="0.2">
      <c r="A1026" s="399"/>
      <c r="B1026" s="311"/>
      <c r="C1026" s="312" t="s">
        <v>556</v>
      </c>
      <c r="D1026" s="419">
        <v>25</v>
      </c>
      <c r="E1026" s="316" t="s">
        <v>518</v>
      </c>
      <c r="F1026" s="420">
        <v>4.42</v>
      </c>
      <c r="G1026" s="419">
        <v>31</v>
      </c>
      <c r="H1026" s="316" t="s">
        <v>518</v>
      </c>
      <c r="I1026" s="420">
        <v>10</v>
      </c>
      <c r="J1026" s="509">
        <v>8</v>
      </c>
      <c r="K1026" s="421">
        <f t="shared" si="349"/>
        <v>125.57999999999998</v>
      </c>
      <c r="L1026" s="431">
        <v>20</v>
      </c>
      <c r="M1026" s="431">
        <v>2</v>
      </c>
      <c r="N1026" s="431">
        <f>ROUNDUP(K1026/(L1026/100),0)+1</f>
        <v>629</v>
      </c>
      <c r="O1026" s="510">
        <v>109</v>
      </c>
      <c r="P1026" s="315"/>
      <c r="Q1026" s="317">
        <v>0.39500000000000002</v>
      </c>
      <c r="R1026" s="319">
        <f t="shared" si="350"/>
        <v>541.63190000000009</v>
      </c>
      <c r="S1026" s="398" t="str">
        <f t="shared" si="351"/>
        <v>kg</v>
      </c>
      <c r="T1026" s="320">
        <v>14</v>
      </c>
      <c r="U1026" s="424" t="s">
        <v>519</v>
      </c>
      <c r="V1026" s="435">
        <f t="shared" ca="1" si="310"/>
        <v>23656.675000000047</v>
      </c>
      <c r="W1026" s="256">
        <f t="shared" ca="1" si="329"/>
        <v>2</v>
      </c>
      <c r="X1026" s="256">
        <f t="shared" ca="1" si="348"/>
        <v>1</v>
      </c>
      <c r="Y1026" s="256"/>
      <c r="Z1026" s="256"/>
      <c r="AA1026" s="292"/>
      <c r="AB1026" s="292"/>
      <c r="AC1026" s="292"/>
    </row>
    <row r="1027" spans="1:29" s="293" customFormat="1" ht="25.5" x14ac:dyDescent="0.2">
      <c r="A1027" s="399"/>
      <c r="B1027" s="311"/>
      <c r="C1027" s="312" t="s">
        <v>557</v>
      </c>
      <c r="D1027" s="419">
        <v>25</v>
      </c>
      <c r="E1027" s="316" t="s">
        <v>518</v>
      </c>
      <c r="F1027" s="420">
        <v>4.42</v>
      </c>
      <c r="G1027" s="419">
        <v>31</v>
      </c>
      <c r="H1027" s="316" t="s">
        <v>518</v>
      </c>
      <c r="I1027" s="420">
        <v>10</v>
      </c>
      <c r="J1027" s="509">
        <v>20</v>
      </c>
      <c r="K1027" s="421">
        <f t="shared" si="349"/>
        <v>125.57999999999998</v>
      </c>
      <c r="L1027" s="431">
        <v>20</v>
      </c>
      <c r="M1027" s="431">
        <v>2</v>
      </c>
      <c r="N1027" s="431">
        <f>ROUNDUP(K1027/(L1027/100),0)+1</f>
        <v>629</v>
      </c>
      <c r="O1027" s="510">
        <v>254</v>
      </c>
      <c r="P1027" s="315"/>
      <c r="Q1027" s="317">
        <v>2.4660000000000002</v>
      </c>
      <c r="R1027" s="319">
        <f t="shared" si="350"/>
        <v>7879.6591200000012</v>
      </c>
      <c r="S1027" s="398" t="str">
        <f t="shared" si="351"/>
        <v>kg</v>
      </c>
      <c r="T1027" s="320">
        <v>14</v>
      </c>
      <c r="U1027" s="424" t="s">
        <v>519</v>
      </c>
      <c r="V1027" s="435">
        <f t="shared" ca="1" si="310"/>
        <v>23656.675000000047</v>
      </c>
      <c r="W1027" s="256">
        <f t="shared" ca="1" si="329"/>
        <v>2</v>
      </c>
      <c r="X1027" s="256">
        <f t="shared" ca="1" si="348"/>
        <v>1</v>
      </c>
      <c r="Y1027" s="256"/>
      <c r="Z1027" s="256"/>
      <c r="AA1027" s="292"/>
      <c r="AB1027" s="292"/>
      <c r="AC1027" s="292"/>
    </row>
    <row r="1028" spans="1:29" s="293" customFormat="1" ht="25.5" x14ac:dyDescent="0.2">
      <c r="A1028" s="399"/>
      <c r="B1028" s="311"/>
      <c r="C1028" s="312" t="s">
        <v>562</v>
      </c>
      <c r="D1028" s="419">
        <v>25</v>
      </c>
      <c r="E1028" s="316" t="s">
        <v>518</v>
      </c>
      <c r="F1028" s="420">
        <v>4.42</v>
      </c>
      <c r="G1028" s="419">
        <v>31</v>
      </c>
      <c r="H1028" s="316" t="s">
        <v>518</v>
      </c>
      <c r="I1028" s="420">
        <v>10</v>
      </c>
      <c r="J1028" s="509">
        <v>20</v>
      </c>
      <c r="K1028" s="421">
        <f t="shared" si="349"/>
        <v>125.57999999999998</v>
      </c>
      <c r="L1028" s="431">
        <v>20</v>
      </c>
      <c r="M1028" s="431">
        <v>2</v>
      </c>
      <c r="N1028" s="431">
        <f>ROUNDUP(K1028/(L1028/100),0)+1</f>
        <v>629</v>
      </c>
      <c r="O1028" s="510">
        <v>688</v>
      </c>
      <c r="P1028" s="315"/>
      <c r="Q1028" s="317">
        <v>2.4660000000000002</v>
      </c>
      <c r="R1028" s="319">
        <f t="shared" si="350"/>
        <v>21343.32864</v>
      </c>
      <c r="S1028" s="398" t="str">
        <f t="shared" si="351"/>
        <v>kg</v>
      </c>
      <c r="T1028" s="320">
        <v>14</v>
      </c>
      <c r="U1028" s="424" t="s">
        <v>519</v>
      </c>
      <c r="V1028" s="435">
        <f t="shared" ca="1" si="310"/>
        <v>23656.675000000047</v>
      </c>
      <c r="W1028" s="256">
        <f t="shared" ca="1" si="329"/>
        <v>2</v>
      </c>
      <c r="X1028" s="256">
        <f t="shared" ca="1" si="348"/>
        <v>1</v>
      </c>
      <c r="Y1028" s="256"/>
      <c r="Z1028" s="256"/>
      <c r="AA1028" s="292"/>
      <c r="AB1028" s="292"/>
      <c r="AC1028" s="292"/>
    </row>
    <row r="1029" spans="1:29" s="293" customFormat="1" ht="25.5" x14ac:dyDescent="0.2">
      <c r="A1029" s="399"/>
      <c r="B1029" s="311"/>
      <c r="C1029" s="312" t="s">
        <v>563</v>
      </c>
      <c r="D1029" s="419">
        <v>25</v>
      </c>
      <c r="E1029" s="316" t="s">
        <v>518</v>
      </c>
      <c r="F1029" s="420">
        <v>4.42</v>
      </c>
      <c r="G1029" s="419">
        <v>31</v>
      </c>
      <c r="H1029" s="316" t="s">
        <v>518</v>
      </c>
      <c r="I1029" s="420">
        <v>10</v>
      </c>
      <c r="J1029" s="509">
        <v>20</v>
      </c>
      <c r="K1029" s="421">
        <f t="shared" si="349"/>
        <v>125.57999999999998</v>
      </c>
      <c r="L1029" s="431"/>
      <c r="M1029" s="431">
        <v>2</v>
      </c>
      <c r="N1029" s="431">
        <f>2+4</f>
        <v>6</v>
      </c>
      <c r="O1029" s="510">
        <f>K1029*100</f>
        <v>12557.999999999998</v>
      </c>
      <c r="P1029" s="511">
        <f>ROUND(O1029/100/15,0)*100</f>
        <v>800</v>
      </c>
      <c r="Q1029" s="317">
        <v>2.4660000000000002</v>
      </c>
      <c r="R1029" s="319">
        <f t="shared" si="350"/>
        <v>3952.8993599999999</v>
      </c>
      <c r="S1029" s="398" t="str">
        <f t="shared" si="351"/>
        <v>kg</v>
      </c>
      <c r="T1029" s="320">
        <v>14</v>
      </c>
      <c r="U1029" s="424" t="s">
        <v>519</v>
      </c>
      <c r="V1029" s="435">
        <f t="shared" ca="1" si="310"/>
        <v>23656.675000000047</v>
      </c>
      <c r="W1029" s="256">
        <f t="shared" ca="1" si="329"/>
        <v>2</v>
      </c>
      <c r="X1029" s="256">
        <f t="shared" ca="1" si="348"/>
        <v>1</v>
      </c>
      <c r="Y1029" s="256"/>
      <c r="Z1029" s="256"/>
      <c r="AA1029" s="292"/>
      <c r="AB1029" s="292"/>
      <c r="AC1029" s="292"/>
    </row>
    <row r="1030" spans="1:29" s="293" customFormat="1" ht="25.5" x14ac:dyDescent="0.2">
      <c r="A1030" s="399"/>
      <c r="B1030" s="311"/>
      <c r="C1030" s="312" t="s">
        <v>559</v>
      </c>
      <c r="D1030" s="419">
        <v>25</v>
      </c>
      <c r="E1030" s="316" t="s">
        <v>518</v>
      </c>
      <c r="F1030" s="420">
        <v>4.42</v>
      </c>
      <c r="G1030" s="419">
        <v>31</v>
      </c>
      <c r="H1030" s="316" t="s">
        <v>518</v>
      </c>
      <c r="I1030" s="420">
        <v>10</v>
      </c>
      <c r="J1030" s="509">
        <v>8</v>
      </c>
      <c r="K1030" s="433">
        <f t="shared" si="349"/>
        <v>125.57999999999998</v>
      </c>
      <c r="L1030" s="431">
        <v>60</v>
      </c>
      <c r="M1030" s="431">
        <f>ROUNDUP(12/(L1030/100),0)+1</f>
        <v>21</v>
      </c>
      <c r="N1030" s="431">
        <f>ROUNDUP(K1030/(L1030/100),0)+1</f>
        <v>211</v>
      </c>
      <c r="O1030" s="510">
        <v>90</v>
      </c>
      <c r="P1030" s="317"/>
      <c r="Q1030" s="317">
        <v>0.39500000000000002</v>
      </c>
      <c r="R1030" s="319">
        <f t="shared" si="350"/>
        <v>1575.2205000000001</v>
      </c>
      <c r="S1030" s="398" t="str">
        <f t="shared" si="351"/>
        <v>kg</v>
      </c>
      <c r="T1030" s="320">
        <v>14</v>
      </c>
      <c r="U1030" s="424" t="s">
        <v>519</v>
      </c>
      <c r="V1030" s="435">
        <f t="shared" ca="1" si="310"/>
        <v>23656.675000000047</v>
      </c>
      <c r="W1030" s="256">
        <f t="shared" ca="1" si="329"/>
        <v>2</v>
      </c>
      <c r="X1030" s="256">
        <f t="shared" ca="1" si="348"/>
        <v>1</v>
      </c>
      <c r="Y1030" s="256"/>
      <c r="Z1030" s="256"/>
      <c r="AA1030" s="292"/>
      <c r="AB1030" s="292"/>
      <c r="AC1030" s="292"/>
    </row>
    <row r="1031" spans="1:29" s="293" customFormat="1" ht="15.75" x14ac:dyDescent="0.2">
      <c r="A1031" s="288"/>
      <c r="B1031" s="512"/>
      <c r="C1031" s="426"/>
      <c r="D1031" s="519"/>
      <c r="E1031" s="520"/>
      <c r="F1031" s="513"/>
      <c r="G1031" s="521"/>
      <c r="H1031" s="522"/>
      <c r="I1031" s="523"/>
      <c r="J1031" s="427"/>
      <c r="K1031" s="428"/>
      <c r="L1031" s="429"/>
      <c r="M1031" s="425"/>
      <c r="N1031" s="430"/>
      <c r="O1031" s="430"/>
      <c r="P1031" s="430"/>
      <c r="Q1031" s="513"/>
      <c r="R1031" s="524"/>
      <c r="S1031" s="398"/>
      <c r="T1031" s="514"/>
      <c r="U1031" s="525"/>
      <c r="V1031" s="435">
        <f t="shared" ca="1" si="310"/>
        <v>23656.675000000047</v>
      </c>
      <c r="W1031" s="256">
        <f t="shared" ca="1" si="329"/>
        <v>0</v>
      </c>
      <c r="X1031" s="256">
        <f t="shared" ca="1" si="348"/>
        <v>1</v>
      </c>
      <c r="Y1031" s="256"/>
      <c r="Z1031" s="256"/>
      <c r="AA1031" s="292"/>
      <c r="AB1031" s="292"/>
      <c r="AC1031" s="292"/>
    </row>
    <row r="1032" spans="1:29" s="293" customFormat="1" ht="25.5" x14ac:dyDescent="0.2">
      <c r="A1032" s="399"/>
      <c r="B1032" s="311"/>
      <c r="C1032" s="312" t="s">
        <v>561</v>
      </c>
      <c r="D1032" s="419">
        <v>80</v>
      </c>
      <c r="E1032" s="316" t="s">
        <v>518</v>
      </c>
      <c r="F1032" s="420">
        <v>8</v>
      </c>
      <c r="G1032" s="419">
        <v>99</v>
      </c>
      <c r="H1032" s="316" t="s">
        <v>518</v>
      </c>
      <c r="I1032" s="420">
        <v>6.4</v>
      </c>
      <c r="J1032" s="509">
        <v>8</v>
      </c>
      <c r="K1032" s="421">
        <f t="shared" ref="K1032:K1037" si="352">ABS((G1032*20+I1032)-(D1032*20+F1032))</f>
        <v>378.40000000000009</v>
      </c>
      <c r="L1032" s="431">
        <v>20</v>
      </c>
      <c r="M1032" s="431">
        <v>2</v>
      </c>
      <c r="N1032" s="431">
        <f>15*2</f>
        <v>30</v>
      </c>
      <c r="O1032" s="510">
        <f>K1032*100</f>
        <v>37840.000000000007</v>
      </c>
      <c r="P1032" s="511">
        <f>ROUND(O1032/100/15,0)*100</f>
        <v>2500</v>
      </c>
      <c r="Q1032" s="317">
        <v>0.39500000000000002</v>
      </c>
      <c r="R1032" s="319">
        <f t="shared" ref="R1032:R1037" si="353">N1032*((O1032+P1032)/100)*M1032*Q1032</f>
        <v>9560.5800000000036</v>
      </c>
      <c r="S1032" s="398" t="str">
        <f t="shared" ref="S1032:S1037" si="354">$L$1174</f>
        <v>kg</v>
      </c>
      <c r="T1032" s="320">
        <v>28</v>
      </c>
      <c r="U1032" s="424" t="s">
        <v>519</v>
      </c>
      <c r="V1032" s="435">
        <f t="shared" ca="1" si="310"/>
        <v>23656.675000000047</v>
      </c>
      <c r="W1032" s="256">
        <f t="shared" ca="1" si="329"/>
        <v>2</v>
      </c>
      <c r="X1032" s="256">
        <f t="shared" ca="1" si="348"/>
        <v>1</v>
      </c>
      <c r="Y1032" s="256"/>
      <c r="Z1032" s="256"/>
      <c r="AA1032" s="292"/>
      <c r="AB1032" s="292"/>
      <c r="AC1032" s="292"/>
    </row>
    <row r="1033" spans="1:29" s="293" customFormat="1" ht="25.5" x14ac:dyDescent="0.2">
      <c r="A1033" s="399"/>
      <c r="B1033" s="311"/>
      <c r="C1033" s="312" t="s">
        <v>556</v>
      </c>
      <c r="D1033" s="419">
        <v>80</v>
      </c>
      <c r="E1033" s="316" t="s">
        <v>518</v>
      </c>
      <c r="F1033" s="420">
        <v>8</v>
      </c>
      <c r="G1033" s="419">
        <v>99</v>
      </c>
      <c r="H1033" s="316" t="s">
        <v>518</v>
      </c>
      <c r="I1033" s="420">
        <v>6.4</v>
      </c>
      <c r="J1033" s="509">
        <v>8</v>
      </c>
      <c r="K1033" s="421">
        <f t="shared" si="352"/>
        <v>378.40000000000009</v>
      </c>
      <c r="L1033" s="431">
        <v>20</v>
      </c>
      <c r="M1033" s="431">
        <v>2</v>
      </c>
      <c r="N1033" s="431">
        <f>ROUNDUP(K1033/(L1033/100),0)+1</f>
        <v>1893</v>
      </c>
      <c r="O1033" s="510">
        <v>109</v>
      </c>
      <c r="P1033" s="315"/>
      <c r="Q1033" s="317">
        <v>0.39500000000000002</v>
      </c>
      <c r="R1033" s="319">
        <f t="shared" si="353"/>
        <v>1630.0623000000003</v>
      </c>
      <c r="S1033" s="398" t="str">
        <f t="shared" si="354"/>
        <v>kg</v>
      </c>
      <c r="T1033" s="320">
        <v>28</v>
      </c>
      <c r="U1033" s="424" t="s">
        <v>519</v>
      </c>
      <c r="V1033" s="435">
        <f t="shared" ca="1" si="310"/>
        <v>23656.675000000047</v>
      </c>
      <c r="W1033" s="256">
        <f t="shared" ca="1" si="329"/>
        <v>2</v>
      </c>
      <c r="X1033" s="256">
        <f t="shared" ca="1" si="348"/>
        <v>1</v>
      </c>
      <c r="Y1033" s="256"/>
      <c r="Z1033" s="256"/>
      <c r="AA1033" s="292"/>
      <c r="AB1033" s="292"/>
      <c r="AC1033" s="292"/>
    </row>
    <row r="1034" spans="1:29" s="293" customFormat="1" ht="25.5" x14ac:dyDescent="0.2">
      <c r="A1034" s="399"/>
      <c r="B1034" s="311"/>
      <c r="C1034" s="312" t="s">
        <v>557</v>
      </c>
      <c r="D1034" s="419">
        <v>80</v>
      </c>
      <c r="E1034" s="316" t="s">
        <v>518</v>
      </c>
      <c r="F1034" s="420">
        <v>8</v>
      </c>
      <c r="G1034" s="419">
        <v>99</v>
      </c>
      <c r="H1034" s="316" t="s">
        <v>518</v>
      </c>
      <c r="I1034" s="420">
        <v>6.4</v>
      </c>
      <c r="J1034" s="509">
        <v>20</v>
      </c>
      <c r="K1034" s="421">
        <f t="shared" si="352"/>
        <v>378.40000000000009</v>
      </c>
      <c r="L1034" s="431">
        <v>20</v>
      </c>
      <c r="M1034" s="431">
        <v>2</v>
      </c>
      <c r="N1034" s="431">
        <f>ROUNDUP(K1034/(L1034/100),0)+1</f>
        <v>1893</v>
      </c>
      <c r="O1034" s="510">
        <v>254</v>
      </c>
      <c r="P1034" s="315"/>
      <c r="Q1034" s="317">
        <v>2.4660000000000002</v>
      </c>
      <c r="R1034" s="319">
        <f t="shared" si="353"/>
        <v>23714.141040000002</v>
      </c>
      <c r="S1034" s="398" t="str">
        <f t="shared" si="354"/>
        <v>kg</v>
      </c>
      <c r="T1034" s="320">
        <v>28</v>
      </c>
      <c r="U1034" s="424" t="s">
        <v>519</v>
      </c>
      <c r="V1034" s="435">
        <f t="shared" ca="1" si="310"/>
        <v>23656.675000000047</v>
      </c>
      <c r="W1034" s="256">
        <f t="shared" ca="1" si="329"/>
        <v>2</v>
      </c>
      <c r="X1034" s="256">
        <f t="shared" ca="1" si="348"/>
        <v>1</v>
      </c>
      <c r="Y1034" s="256"/>
      <c r="Z1034" s="256"/>
      <c r="AA1034" s="292"/>
      <c r="AB1034" s="292"/>
      <c r="AC1034" s="292"/>
    </row>
    <row r="1035" spans="1:29" s="293" customFormat="1" ht="25.5" x14ac:dyDescent="0.2">
      <c r="A1035" s="399"/>
      <c r="B1035" s="311"/>
      <c r="C1035" s="312" t="s">
        <v>562</v>
      </c>
      <c r="D1035" s="419">
        <v>80</v>
      </c>
      <c r="E1035" s="316" t="s">
        <v>518</v>
      </c>
      <c r="F1035" s="420">
        <v>8</v>
      </c>
      <c r="G1035" s="419">
        <v>99</v>
      </c>
      <c r="H1035" s="316" t="s">
        <v>518</v>
      </c>
      <c r="I1035" s="420">
        <v>6.4</v>
      </c>
      <c r="J1035" s="509">
        <v>20</v>
      </c>
      <c r="K1035" s="421">
        <f t="shared" si="352"/>
        <v>378.40000000000009</v>
      </c>
      <c r="L1035" s="431">
        <v>20</v>
      </c>
      <c r="M1035" s="431">
        <v>2</v>
      </c>
      <c r="N1035" s="431">
        <f>ROUNDUP(K1035/(L1035/100),0)+1</f>
        <v>1893</v>
      </c>
      <c r="O1035" s="510">
        <v>688</v>
      </c>
      <c r="P1035" s="315"/>
      <c r="Q1035" s="317">
        <v>2.4660000000000002</v>
      </c>
      <c r="R1035" s="319">
        <f t="shared" si="353"/>
        <v>64233.578880000008</v>
      </c>
      <c r="S1035" s="398" t="str">
        <f t="shared" si="354"/>
        <v>kg</v>
      </c>
      <c r="T1035" s="320">
        <v>28</v>
      </c>
      <c r="U1035" s="424" t="s">
        <v>519</v>
      </c>
      <c r="V1035" s="435">
        <f t="shared" ca="1" si="310"/>
        <v>23656.675000000047</v>
      </c>
      <c r="W1035" s="256">
        <f t="shared" ca="1" si="329"/>
        <v>2</v>
      </c>
      <c r="X1035" s="256">
        <f t="shared" ca="1" si="348"/>
        <v>1</v>
      </c>
      <c r="Y1035" s="256"/>
      <c r="Z1035" s="256"/>
      <c r="AA1035" s="292"/>
      <c r="AB1035" s="292"/>
      <c r="AC1035" s="292"/>
    </row>
    <row r="1036" spans="1:29" s="293" customFormat="1" ht="25.5" x14ac:dyDescent="0.2">
      <c r="A1036" s="399"/>
      <c r="B1036" s="311"/>
      <c r="C1036" s="312" t="s">
        <v>563</v>
      </c>
      <c r="D1036" s="419">
        <v>80</v>
      </c>
      <c r="E1036" s="316" t="s">
        <v>518</v>
      </c>
      <c r="F1036" s="420">
        <v>8</v>
      </c>
      <c r="G1036" s="419">
        <v>99</v>
      </c>
      <c r="H1036" s="316" t="s">
        <v>518</v>
      </c>
      <c r="I1036" s="420">
        <v>6.4</v>
      </c>
      <c r="J1036" s="509">
        <v>20</v>
      </c>
      <c r="K1036" s="421">
        <f t="shared" si="352"/>
        <v>378.40000000000009</v>
      </c>
      <c r="L1036" s="431"/>
      <c r="M1036" s="431">
        <v>2</v>
      </c>
      <c r="N1036" s="431">
        <f>2+4</f>
        <v>6</v>
      </c>
      <c r="O1036" s="510">
        <f>K1036*100</f>
        <v>37840.000000000007</v>
      </c>
      <c r="P1036" s="511">
        <f>ROUND(O1036/100/15,0)*100</f>
        <v>2500</v>
      </c>
      <c r="Q1036" s="317">
        <v>2.4660000000000002</v>
      </c>
      <c r="R1036" s="319">
        <f t="shared" si="353"/>
        <v>11937.412800000004</v>
      </c>
      <c r="S1036" s="398" t="str">
        <f t="shared" si="354"/>
        <v>kg</v>
      </c>
      <c r="T1036" s="320">
        <v>28</v>
      </c>
      <c r="U1036" s="424" t="s">
        <v>519</v>
      </c>
      <c r="V1036" s="435">
        <f t="shared" ca="1" si="310"/>
        <v>23656.675000000047</v>
      </c>
      <c r="W1036" s="256">
        <f t="shared" ca="1" si="329"/>
        <v>2</v>
      </c>
      <c r="X1036" s="256">
        <f t="shared" ca="1" si="348"/>
        <v>1</v>
      </c>
      <c r="Y1036" s="256"/>
      <c r="Z1036" s="256"/>
      <c r="AA1036" s="292"/>
      <c r="AB1036" s="292"/>
      <c r="AC1036" s="292"/>
    </row>
    <row r="1037" spans="1:29" s="293" customFormat="1" ht="25.5" x14ac:dyDescent="0.2">
      <c r="A1037" s="399"/>
      <c r="B1037" s="311"/>
      <c r="C1037" s="312" t="s">
        <v>559</v>
      </c>
      <c r="D1037" s="419">
        <v>80</v>
      </c>
      <c r="E1037" s="316" t="s">
        <v>518</v>
      </c>
      <c r="F1037" s="420">
        <v>8</v>
      </c>
      <c r="G1037" s="419">
        <v>99</v>
      </c>
      <c r="H1037" s="316" t="s">
        <v>518</v>
      </c>
      <c r="I1037" s="420">
        <v>6.4</v>
      </c>
      <c r="J1037" s="509">
        <v>8</v>
      </c>
      <c r="K1037" s="433">
        <f t="shared" si="352"/>
        <v>378.40000000000009</v>
      </c>
      <c r="L1037" s="431">
        <v>60</v>
      </c>
      <c r="M1037" s="431">
        <f>ROUNDUP(12/(L1037/100),0)+1</f>
        <v>21</v>
      </c>
      <c r="N1037" s="431">
        <f>ROUNDUP(K1037/(L1037/100),0)+1</f>
        <v>632</v>
      </c>
      <c r="O1037" s="510">
        <v>90</v>
      </c>
      <c r="P1037" s="317"/>
      <c r="Q1037" s="317">
        <v>0.39500000000000002</v>
      </c>
      <c r="R1037" s="319">
        <f t="shared" si="353"/>
        <v>4718.1960000000008</v>
      </c>
      <c r="S1037" s="398" t="str">
        <f t="shared" si="354"/>
        <v>kg</v>
      </c>
      <c r="T1037" s="320">
        <v>28</v>
      </c>
      <c r="U1037" s="424" t="s">
        <v>519</v>
      </c>
      <c r="V1037" s="435">
        <f t="shared" ca="1" si="310"/>
        <v>23656.675000000047</v>
      </c>
      <c r="W1037" s="256">
        <f t="shared" ca="1" si="329"/>
        <v>2</v>
      </c>
      <c r="X1037" s="256">
        <f t="shared" ca="1" si="348"/>
        <v>1</v>
      </c>
      <c r="Y1037" s="256"/>
      <c r="Z1037" s="256"/>
      <c r="AA1037" s="292"/>
      <c r="AB1037" s="292"/>
      <c r="AC1037" s="292"/>
    </row>
    <row r="1038" spans="1:29" s="293" customFormat="1" ht="15.75" x14ac:dyDescent="0.2">
      <c r="A1038" s="288"/>
      <c r="B1038" s="512"/>
      <c r="C1038" s="426"/>
      <c r="D1038" s="519"/>
      <c r="E1038" s="520"/>
      <c r="F1038" s="513"/>
      <c r="G1038" s="521"/>
      <c r="H1038" s="522"/>
      <c r="I1038" s="523"/>
      <c r="J1038" s="427"/>
      <c r="K1038" s="428"/>
      <c r="L1038" s="429"/>
      <c r="M1038" s="425"/>
      <c r="N1038" s="430"/>
      <c r="O1038" s="430"/>
      <c r="P1038" s="430"/>
      <c r="Q1038" s="513"/>
      <c r="R1038" s="524"/>
      <c r="S1038" s="398"/>
      <c r="T1038" s="514"/>
      <c r="U1038" s="525"/>
      <c r="V1038" s="435">
        <f t="shared" ca="1" si="310"/>
        <v>23656.675000000047</v>
      </c>
      <c r="W1038" s="256">
        <f t="shared" ca="1" si="329"/>
        <v>0</v>
      </c>
      <c r="X1038" s="256">
        <f t="shared" ca="1" si="348"/>
        <v>1</v>
      </c>
      <c r="Y1038" s="256"/>
      <c r="Z1038" s="256"/>
      <c r="AA1038" s="292"/>
      <c r="AB1038" s="292"/>
      <c r="AC1038" s="292"/>
    </row>
    <row r="1039" spans="1:29" s="111" customFormat="1" ht="15.75" x14ac:dyDescent="0.2">
      <c r="A1039" s="399"/>
      <c r="B1039" s="322"/>
      <c r="C1039" s="434" t="s">
        <v>1063</v>
      </c>
      <c r="D1039" s="417"/>
      <c r="E1039" s="314"/>
      <c r="F1039" s="418"/>
      <c r="G1039" s="419"/>
      <c r="H1039" s="316"/>
      <c r="I1039" s="420"/>
      <c r="J1039" s="317"/>
      <c r="K1039" s="421"/>
      <c r="L1039" s="328"/>
      <c r="M1039" s="422"/>
      <c r="N1039" s="423"/>
      <c r="O1039" s="334"/>
      <c r="P1039" s="328"/>
      <c r="Q1039" s="334"/>
      <c r="R1039" s="319"/>
      <c r="S1039" s="398"/>
      <c r="T1039" s="320">
        <v>31</v>
      </c>
      <c r="U1039" s="335"/>
      <c r="V1039" s="435">
        <f t="shared" ca="1" si="310"/>
        <v>23656.675000000047</v>
      </c>
      <c r="W1039" s="256">
        <f t="shared" ca="1" si="329"/>
        <v>2</v>
      </c>
      <c r="X1039" s="256">
        <f t="shared" ca="1" si="348"/>
        <v>1</v>
      </c>
      <c r="Y1039" s="250"/>
      <c r="Z1039" s="250"/>
    </row>
    <row r="1040" spans="1:29" s="293" customFormat="1" ht="25.5" x14ac:dyDescent="0.2">
      <c r="A1040" s="399"/>
      <c r="B1040" s="311"/>
      <c r="C1040" s="312" t="s">
        <v>561</v>
      </c>
      <c r="D1040" s="419">
        <v>79</v>
      </c>
      <c r="E1040" s="316" t="s">
        <v>518</v>
      </c>
      <c r="F1040" s="420">
        <v>16</v>
      </c>
      <c r="G1040" s="419">
        <v>80</v>
      </c>
      <c r="H1040" s="316" t="s">
        <v>518</v>
      </c>
      <c r="I1040" s="420">
        <v>8</v>
      </c>
      <c r="J1040" s="509">
        <v>8</v>
      </c>
      <c r="K1040" s="421">
        <v>5</v>
      </c>
      <c r="L1040" s="431">
        <v>20</v>
      </c>
      <c r="M1040" s="431">
        <v>2</v>
      </c>
      <c r="N1040" s="431">
        <f>15*2</f>
        <v>30</v>
      </c>
      <c r="O1040" s="510">
        <f>K1040*100</f>
        <v>500</v>
      </c>
      <c r="P1040" s="511">
        <f>ROUND(O1040/100/15,0)*100</f>
        <v>0</v>
      </c>
      <c r="Q1040" s="317">
        <v>0.39500000000000002</v>
      </c>
      <c r="R1040" s="319">
        <f t="shared" ref="R1040:R1053" si="355">N1040*((O1040+P1040)/100)*M1040*Q1040</f>
        <v>118.5</v>
      </c>
      <c r="S1040" s="398" t="str">
        <f t="shared" ref="S1040:S1045" si="356">$L$1174</f>
        <v>kg</v>
      </c>
      <c r="T1040" s="320">
        <v>31</v>
      </c>
      <c r="U1040" s="424" t="s">
        <v>519</v>
      </c>
      <c r="V1040" s="435">
        <f t="shared" ca="1" si="310"/>
        <v>23656.675000000047</v>
      </c>
      <c r="W1040" s="256">
        <f t="shared" ca="1" si="329"/>
        <v>2</v>
      </c>
      <c r="X1040" s="256">
        <f t="shared" ca="1" si="348"/>
        <v>1</v>
      </c>
      <c r="Y1040" s="256"/>
      <c r="Z1040" s="256"/>
      <c r="AA1040" s="292"/>
      <c r="AB1040" s="292"/>
      <c r="AC1040" s="292"/>
    </row>
    <row r="1041" spans="1:29" s="293" customFormat="1" ht="25.5" x14ac:dyDescent="0.2">
      <c r="A1041" s="399"/>
      <c r="B1041" s="311"/>
      <c r="C1041" s="312" t="s">
        <v>556</v>
      </c>
      <c r="D1041" s="419">
        <v>79</v>
      </c>
      <c r="E1041" s="316" t="s">
        <v>518</v>
      </c>
      <c r="F1041" s="420">
        <v>16</v>
      </c>
      <c r="G1041" s="419">
        <v>80</v>
      </c>
      <c r="H1041" s="316" t="s">
        <v>518</v>
      </c>
      <c r="I1041" s="420">
        <v>8</v>
      </c>
      <c r="J1041" s="509">
        <v>8</v>
      </c>
      <c r="K1041" s="421">
        <v>5</v>
      </c>
      <c r="L1041" s="431">
        <v>20</v>
      </c>
      <c r="M1041" s="431">
        <v>2</v>
      </c>
      <c r="N1041" s="431">
        <f>ROUNDUP(K1041/(L1041/100),0)+1</f>
        <v>26</v>
      </c>
      <c r="O1041" s="510">
        <v>109</v>
      </c>
      <c r="P1041" s="315"/>
      <c r="Q1041" s="317">
        <v>0.39500000000000002</v>
      </c>
      <c r="R1041" s="319">
        <f t="shared" si="355"/>
        <v>22.388600000000004</v>
      </c>
      <c r="S1041" s="398" t="str">
        <f t="shared" si="356"/>
        <v>kg</v>
      </c>
      <c r="T1041" s="320">
        <v>31</v>
      </c>
      <c r="U1041" s="424" t="s">
        <v>519</v>
      </c>
      <c r="V1041" s="435">
        <f t="shared" ca="1" si="310"/>
        <v>23656.675000000047</v>
      </c>
      <c r="W1041" s="256">
        <f t="shared" ca="1" si="329"/>
        <v>2</v>
      </c>
      <c r="X1041" s="256">
        <f t="shared" ca="1" si="348"/>
        <v>1</v>
      </c>
      <c r="Y1041" s="256"/>
      <c r="Z1041" s="256"/>
      <c r="AA1041" s="292"/>
      <c r="AB1041" s="292"/>
      <c r="AC1041" s="292"/>
    </row>
    <row r="1042" spans="1:29" s="293" customFormat="1" ht="25.5" x14ac:dyDescent="0.2">
      <c r="A1042" s="399"/>
      <c r="B1042" s="311"/>
      <c r="C1042" s="312" t="s">
        <v>557</v>
      </c>
      <c r="D1042" s="419">
        <v>79</v>
      </c>
      <c r="E1042" s="316" t="s">
        <v>518</v>
      </c>
      <c r="F1042" s="420">
        <v>16</v>
      </c>
      <c r="G1042" s="419">
        <v>80</v>
      </c>
      <c r="H1042" s="316" t="s">
        <v>518</v>
      </c>
      <c r="I1042" s="420">
        <v>8</v>
      </c>
      <c r="J1042" s="509">
        <v>20</v>
      </c>
      <c r="K1042" s="421">
        <v>5</v>
      </c>
      <c r="L1042" s="431">
        <v>20</v>
      </c>
      <c r="M1042" s="431">
        <v>2</v>
      </c>
      <c r="N1042" s="431">
        <f>ROUNDUP(K1042/(L1042/100),0)+1</f>
        <v>26</v>
      </c>
      <c r="O1042" s="510">
        <v>254</v>
      </c>
      <c r="P1042" s="315"/>
      <c r="Q1042" s="317">
        <v>2.4660000000000002</v>
      </c>
      <c r="R1042" s="319">
        <f t="shared" si="355"/>
        <v>325.70928000000004</v>
      </c>
      <c r="S1042" s="398" t="str">
        <f t="shared" si="356"/>
        <v>kg</v>
      </c>
      <c r="T1042" s="320">
        <v>31</v>
      </c>
      <c r="U1042" s="424" t="s">
        <v>519</v>
      </c>
      <c r="V1042" s="435">
        <f t="shared" ca="1" si="310"/>
        <v>23656.675000000047</v>
      </c>
      <c r="W1042" s="256">
        <f t="shared" ref="W1042:W1105" ca="1" si="357">IF(LEFT(_xlfn.FORMULATEXT(V1042),3)="=SO",1,IF(COUNTA(A1042:U1042)=0,0,2))</f>
        <v>2</v>
      </c>
      <c r="X1042" s="256">
        <f t="shared" ca="1" si="348"/>
        <v>1</v>
      </c>
      <c r="Y1042" s="256"/>
      <c r="Z1042" s="256"/>
      <c r="AA1042" s="292"/>
      <c r="AB1042" s="292"/>
      <c r="AC1042" s="292"/>
    </row>
    <row r="1043" spans="1:29" s="293" customFormat="1" ht="25.5" x14ac:dyDescent="0.2">
      <c r="A1043" s="399"/>
      <c r="B1043" s="311"/>
      <c r="C1043" s="312" t="s">
        <v>562</v>
      </c>
      <c r="D1043" s="419">
        <v>79</v>
      </c>
      <c r="E1043" s="316" t="s">
        <v>518</v>
      </c>
      <c r="F1043" s="420">
        <v>16</v>
      </c>
      <c r="G1043" s="419">
        <v>80</v>
      </c>
      <c r="H1043" s="316" t="s">
        <v>518</v>
      </c>
      <c r="I1043" s="420">
        <v>8</v>
      </c>
      <c r="J1043" s="509">
        <v>20</v>
      </c>
      <c r="K1043" s="421">
        <v>5</v>
      </c>
      <c r="L1043" s="431">
        <v>20</v>
      </c>
      <c r="M1043" s="431">
        <v>2</v>
      </c>
      <c r="N1043" s="431">
        <f>ROUNDUP(K1043/(L1043/100),0)+1</f>
        <v>26</v>
      </c>
      <c r="O1043" s="510">
        <v>688</v>
      </c>
      <c r="P1043" s="315"/>
      <c r="Q1043" s="317">
        <v>2.4660000000000002</v>
      </c>
      <c r="R1043" s="319">
        <f t="shared" si="355"/>
        <v>882.23616000000004</v>
      </c>
      <c r="S1043" s="398" t="str">
        <f t="shared" si="356"/>
        <v>kg</v>
      </c>
      <c r="T1043" s="320">
        <v>31</v>
      </c>
      <c r="U1043" s="424" t="s">
        <v>519</v>
      </c>
      <c r="V1043" s="435">
        <f t="shared" ref="V1043:V1106" ca="1" si="358">IF(OFFSET(V1043,1,1)=1,OFFSET(V1043,0,-4),OFFSET(V1043,1,0))</f>
        <v>23656.675000000047</v>
      </c>
      <c r="W1043" s="256">
        <f t="shared" ca="1" si="357"/>
        <v>2</v>
      </c>
      <c r="X1043" s="256">
        <f t="shared" ca="1" si="348"/>
        <v>1</v>
      </c>
      <c r="Y1043" s="256"/>
      <c r="Z1043" s="256"/>
      <c r="AA1043" s="292"/>
      <c r="AB1043" s="292"/>
      <c r="AC1043" s="292"/>
    </row>
    <row r="1044" spans="1:29" s="293" customFormat="1" ht="25.5" x14ac:dyDescent="0.2">
      <c r="A1044" s="399"/>
      <c r="B1044" s="311"/>
      <c r="C1044" s="312" t="s">
        <v>563</v>
      </c>
      <c r="D1044" s="419">
        <v>79</v>
      </c>
      <c r="E1044" s="316" t="s">
        <v>518</v>
      </c>
      <c r="F1044" s="420">
        <v>16</v>
      </c>
      <c r="G1044" s="419">
        <v>80</v>
      </c>
      <c r="H1044" s="316" t="s">
        <v>518</v>
      </c>
      <c r="I1044" s="420">
        <v>8</v>
      </c>
      <c r="J1044" s="509">
        <v>20</v>
      </c>
      <c r="K1044" s="421">
        <v>5</v>
      </c>
      <c r="L1044" s="431"/>
      <c r="M1044" s="431">
        <v>2</v>
      </c>
      <c r="N1044" s="431">
        <f>2+4</f>
        <v>6</v>
      </c>
      <c r="O1044" s="510">
        <f>K1044*100</f>
        <v>500</v>
      </c>
      <c r="P1044" s="511">
        <f>ROUND(O1044/100/15,0)*100</f>
        <v>0</v>
      </c>
      <c r="Q1044" s="317">
        <v>2.4660000000000002</v>
      </c>
      <c r="R1044" s="319">
        <f t="shared" si="355"/>
        <v>147.96</v>
      </c>
      <c r="S1044" s="398" t="str">
        <f t="shared" si="356"/>
        <v>kg</v>
      </c>
      <c r="T1044" s="320">
        <v>31</v>
      </c>
      <c r="U1044" s="424" t="s">
        <v>519</v>
      </c>
      <c r="V1044" s="435">
        <f t="shared" ca="1" si="358"/>
        <v>23656.675000000047</v>
      </c>
      <c r="W1044" s="256">
        <f t="shared" ca="1" si="357"/>
        <v>2</v>
      </c>
      <c r="X1044" s="256">
        <f t="shared" ref="X1044:X1075" ca="1" si="359">IF(COUNTA(OFFSET(A816,1,0))-COUNTA(A816)=-1,0,1)</f>
        <v>1</v>
      </c>
      <c r="Y1044" s="256"/>
      <c r="Z1044" s="256"/>
      <c r="AA1044" s="292"/>
      <c r="AB1044" s="292"/>
      <c r="AC1044" s="292"/>
    </row>
    <row r="1045" spans="1:29" s="293" customFormat="1" ht="25.5" x14ac:dyDescent="0.2">
      <c r="A1045" s="399"/>
      <c r="B1045" s="311"/>
      <c r="C1045" s="312" t="s">
        <v>559</v>
      </c>
      <c r="D1045" s="419">
        <v>79</v>
      </c>
      <c r="E1045" s="316" t="s">
        <v>518</v>
      </c>
      <c r="F1045" s="420">
        <v>16</v>
      </c>
      <c r="G1045" s="419">
        <v>80</v>
      </c>
      <c r="H1045" s="316" t="s">
        <v>518</v>
      </c>
      <c r="I1045" s="420">
        <v>8</v>
      </c>
      <c r="J1045" s="509">
        <v>8</v>
      </c>
      <c r="K1045" s="421">
        <f t="shared" ref="K1045:K1053" si="360">ABS((G1045*20+I1045)-(D1045*20+F1045))</f>
        <v>12</v>
      </c>
      <c r="L1045" s="431">
        <v>60</v>
      </c>
      <c r="M1045" s="431">
        <f>ROUNDUP(15/(L1045/100),0)+1</f>
        <v>26</v>
      </c>
      <c r="N1045" s="431">
        <f>ROUNDUP(K1045/(L1045/100),0)+1</f>
        <v>21</v>
      </c>
      <c r="O1045" s="510">
        <v>90</v>
      </c>
      <c r="P1045" s="317"/>
      <c r="Q1045" s="317">
        <v>0.39500000000000002</v>
      </c>
      <c r="R1045" s="319">
        <f t="shared" si="355"/>
        <v>194.10300000000001</v>
      </c>
      <c r="S1045" s="398" t="str">
        <f t="shared" si="356"/>
        <v>kg</v>
      </c>
      <c r="T1045" s="320">
        <v>31</v>
      </c>
      <c r="U1045" s="424" t="s">
        <v>519</v>
      </c>
      <c r="V1045" s="435">
        <f t="shared" ca="1" si="358"/>
        <v>23656.675000000047</v>
      </c>
      <c r="W1045" s="256">
        <f t="shared" ca="1" si="357"/>
        <v>2</v>
      </c>
      <c r="X1045" s="256">
        <f t="shared" ca="1" si="359"/>
        <v>1</v>
      </c>
      <c r="Y1045" s="256"/>
      <c r="Z1045" s="256"/>
      <c r="AA1045" s="292"/>
      <c r="AB1045" s="292"/>
      <c r="AC1045" s="292"/>
    </row>
    <row r="1046" spans="1:29" s="293" customFormat="1" ht="15.75" x14ac:dyDescent="0.2">
      <c r="A1046" s="399"/>
      <c r="B1046" s="311"/>
      <c r="C1046" s="312"/>
      <c r="D1046" s="419"/>
      <c r="E1046" s="316"/>
      <c r="F1046" s="420"/>
      <c r="G1046" s="419"/>
      <c r="H1046" s="316"/>
      <c r="I1046" s="420"/>
      <c r="J1046" s="509"/>
      <c r="K1046" s="421"/>
      <c r="L1046" s="431"/>
      <c r="M1046" s="431"/>
      <c r="N1046" s="431"/>
      <c r="O1046" s="510"/>
      <c r="P1046" s="315"/>
      <c r="Q1046" s="317"/>
      <c r="R1046" s="319"/>
      <c r="S1046" s="398"/>
      <c r="T1046" s="320"/>
      <c r="U1046" s="424"/>
      <c r="V1046" s="435">
        <f t="shared" ca="1" si="358"/>
        <v>23656.675000000047</v>
      </c>
      <c r="W1046" s="256">
        <f t="shared" ca="1" si="357"/>
        <v>0</v>
      </c>
      <c r="X1046" s="256">
        <f t="shared" ca="1" si="359"/>
        <v>1</v>
      </c>
      <c r="Y1046" s="256"/>
      <c r="Z1046" s="256"/>
      <c r="AA1046" s="292"/>
      <c r="AB1046" s="292"/>
      <c r="AC1046" s="292"/>
    </row>
    <row r="1047" spans="1:29" s="293" customFormat="1" ht="15.75" x14ac:dyDescent="0.2">
      <c r="A1047" s="399"/>
      <c r="B1047" s="311"/>
      <c r="C1047" s="434" t="s">
        <v>532</v>
      </c>
      <c r="D1047" s="313"/>
      <c r="E1047" s="314"/>
      <c r="F1047" s="315"/>
      <c r="G1047" s="313"/>
      <c r="H1047" s="314"/>
      <c r="I1047" s="315"/>
      <c r="J1047" s="317"/>
      <c r="K1047" s="317"/>
      <c r="L1047" s="421"/>
      <c r="M1047" s="431"/>
      <c r="N1047" s="433"/>
      <c r="O1047" s="433"/>
      <c r="P1047" s="510"/>
      <c r="Q1047" s="315"/>
      <c r="R1047" s="319"/>
      <c r="S1047" s="398"/>
      <c r="T1047" s="320">
        <v>31</v>
      </c>
      <c r="U1047" s="317"/>
      <c r="V1047" s="435">
        <f t="shared" ca="1" si="358"/>
        <v>23656.675000000047</v>
      </c>
      <c r="W1047" s="256">
        <f t="shared" ca="1" si="357"/>
        <v>2</v>
      </c>
      <c r="X1047" s="256">
        <f t="shared" ca="1" si="359"/>
        <v>1</v>
      </c>
      <c r="Y1047" s="256"/>
      <c r="Z1047" s="256"/>
      <c r="AA1047" s="292"/>
      <c r="AB1047" s="292"/>
      <c r="AC1047" s="292"/>
    </row>
    <row r="1048" spans="1:29" s="293" customFormat="1" ht="25.5" x14ac:dyDescent="0.2">
      <c r="A1048" s="399"/>
      <c r="B1048" s="311"/>
      <c r="C1048" s="312" t="s">
        <v>561</v>
      </c>
      <c r="D1048" s="419">
        <v>72</v>
      </c>
      <c r="E1048" s="316" t="s">
        <v>518</v>
      </c>
      <c r="F1048" s="420">
        <v>17</v>
      </c>
      <c r="G1048" s="419">
        <v>79</v>
      </c>
      <c r="H1048" s="316" t="s">
        <v>518</v>
      </c>
      <c r="I1048" s="420">
        <v>16</v>
      </c>
      <c r="J1048" s="509">
        <v>8</v>
      </c>
      <c r="K1048" s="421">
        <f t="shared" si="360"/>
        <v>139</v>
      </c>
      <c r="L1048" s="431">
        <v>20</v>
      </c>
      <c r="M1048" s="431">
        <v>2</v>
      </c>
      <c r="N1048" s="431">
        <f>15*2</f>
        <v>30</v>
      </c>
      <c r="O1048" s="510">
        <f>K1048*100</f>
        <v>13900</v>
      </c>
      <c r="P1048" s="511">
        <f>ROUND(O1048/100/15,0)*100</f>
        <v>900</v>
      </c>
      <c r="Q1048" s="317">
        <v>0.39500000000000002</v>
      </c>
      <c r="R1048" s="319">
        <f t="shared" si="355"/>
        <v>3507.6000000000004</v>
      </c>
      <c r="S1048" s="398" t="str">
        <f t="shared" ref="S1048:S1053" si="361">$L$1174</f>
        <v>kg</v>
      </c>
      <c r="T1048" s="320">
        <v>31</v>
      </c>
      <c r="U1048" s="424" t="s">
        <v>519</v>
      </c>
      <c r="V1048" s="435">
        <f t="shared" ca="1" si="358"/>
        <v>23656.675000000047</v>
      </c>
      <c r="W1048" s="256">
        <f t="shared" ca="1" si="357"/>
        <v>2</v>
      </c>
      <c r="X1048" s="256">
        <f t="shared" ca="1" si="359"/>
        <v>1</v>
      </c>
      <c r="Y1048" s="256"/>
      <c r="Z1048" s="256"/>
      <c r="AA1048" s="292"/>
      <c r="AB1048" s="292"/>
      <c r="AC1048" s="292"/>
    </row>
    <row r="1049" spans="1:29" s="293" customFormat="1" ht="25.5" x14ac:dyDescent="0.2">
      <c r="A1049" s="399"/>
      <c r="B1049" s="311"/>
      <c r="C1049" s="312" t="s">
        <v>556</v>
      </c>
      <c r="D1049" s="419">
        <v>72</v>
      </c>
      <c r="E1049" s="316" t="s">
        <v>518</v>
      </c>
      <c r="F1049" s="420">
        <v>17</v>
      </c>
      <c r="G1049" s="419">
        <v>79</v>
      </c>
      <c r="H1049" s="316" t="s">
        <v>518</v>
      </c>
      <c r="I1049" s="420">
        <v>16</v>
      </c>
      <c r="J1049" s="509">
        <v>8</v>
      </c>
      <c r="K1049" s="421">
        <f t="shared" si="360"/>
        <v>139</v>
      </c>
      <c r="L1049" s="431">
        <v>20</v>
      </c>
      <c r="M1049" s="431">
        <v>2</v>
      </c>
      <c r="N1049" s="431">
        <f>ROUNDUP(K1049/(L1049/100),0)+1</f>
        <v>696</v>
      </c>
      <c r="O1049" s="510">
        <v>109</v>
      </c>
      <c r="P1049" s="315"/>
      <c r="Q1049" s="317">
        <v>0.39500000000000002</v>
      </c>
      <c r="R1049" s="319">
        <f t="shared" si="355"/>
        <v>599.32560000000012</v>
      </c>
      <c r="S1049" s="398" t="str">
        <f t="shared" si="361"/>
        <v>kg</v>
      </c>
      <c r="T1049" s="320">
        <v>31</v>
      </c>
      <c r="U1049" s="424" t="s">
        <v>519</v>
      </c>
      <c r="V1049" s="435">
        <f t="shared" ca="1" si="358"/>
        <v>23656.675000000047</v>
      </c>
      <c r="W1049" s="256">
        <f t="shared" ca="1" si="357"/>
        <v>2</v>
      </c>
      <c r="X1049" s="256">
        <f t="shared" ca="1" si="359"/>
        <v>1</v>
      </c>
      <c r="Y1049" s="256"/>
      <c r="Z1049" s="256"/>
      <c r="AA1049" s="292"/>
      <c r="AB1049" s="292"/>
      <c r="AC1049" s="292"/>
    </row>
    <row r="1050" spans="1:29" s="293" customFormat="1" ht="25.5" x14ac:dyDescent="0.2">
      <c r="A1050" s="399"/>
      <c r="B1050" s="311"/>
      <c r="C1050" s="312" t="s">
        <v>557</v>
      </c>
      <c r="D1050" s="419">
        <v>72</v>
      </c>
      <c r="E1050" s="316" t="s">
        <v>518</v>
      </c>
      <c r="F1050" s="420">
        <v>17</v>
      </c>
      <c r="G1050" s="419">
        <v>79</v>
      </c>
      <c r="H1050" s="316" t="s">
        <v>518</v>
      </c>
      <c r="I1050" s="420">
        <v>16</v>
      </c>
      <c r="J1050" s="509">
        <v>20</v>
      </c>
      <c r="K1050" s="421">
        <f t="shared" si="360"/>
        <v>139</v>
      </c>
      <c r="L1050" s="431">
        <v>20</v>
      </c>
      <c r="M1050" s="431">
        <v>2</v>
      </c>
      <c r="N1050" s="431">
        <f>ROUNDUP(K1050/(L1050/100),0)+1</f>
        <v>696</v>
      </c>
      <c r="O1050" s="510">
        <v>254</v>
      </c>
      <c r="P1050" s="315"/>
      <c r="Q1050" s="317">
        <v>2.4660000000000002</v>
      </c>
      <c r="R1050" s="319">
        <f t="shared" si="355"/>
        <v>8718.9868800000004</v>
      </c>
      <c r="S1050" s="398" t="str">
        <f t="shared" si="361"/>
        <v>kg</v>
      </c>
      <c r="T1050" s="320">
        <v>31</v>
      </c>
      <c r="U1050" s="424" t="s">
        <v>519</v>
      </c>
      <c r="V1050" s="435">
        <f t="shared" ca="1" si="358"/>
        <v>23656.675000000047</v>
      </c>
      <c r="W1050" s="256">
        <f t="shared" ca="1" si="357"/>
        <v>2</v>
      </c>
      <c r="X1050" s="256">
        <f t="shared" ca="1" si="359"/>
        <v>1</v>
      </c>
      <c r="Y1050" s="256"/>
      <c r="Z1050" s="256"/>
      <c r="AA1050" s="292"/>
      <c r="AB1050" s="292"/>
      <c r="AC1050" s="292"/>
    </row>
    <row r="1051" spans="1:29" s="293" customFormat="1" ht="25.5" x14ac:dyDescent="0.2">
      <c r="A1051" s="399"/>
      <c r="B1051" s="311"/>
      <c r="C1051" s="312" t="s">
        <v>562</v>
      </c>
      <c r="D1051" s="419">
        <v>72</v>
      </c>
      <c r="E1051" s="316" t="s">
        <v>518</v>
      </c>
      <c r="F1051" s="420">
        <v>17</v>
      </c>
      <c r="G1051" s="419">
        <v>79</v>
      </c>
      <c r="H1051" s="316" t="s">
        <v>518</v>
      </c>
      <c r="I1051" s="420">
        <v>16</v>
      </c>
      <c r="J1051" s="509">
        <v>20</v>
      </c>
      <c r="K1051" s="421">
        <f t="shared" si="360"/>
        <v>139</v>
      </c>
      <c r="L1051" s="431">
        <v>20</v>
      </c>
      <c r="M1051" s="431">
        <v>2</v>
      </c>
      <c r="N1051" s="431">
        <f>ROUNDUP(K1051/(L1051/100),0)+1</f>
        <v>696</v>
      </c>
      <c r="O1051" s="510">
        <v>688</v>
      </c>
      <c r="P1051" s="315"/>
      <c r="Q1051" s="317">
        <v>2.4660000000000002</v>
      </c>
      <c r="R1051" s="319">
        <f t="shared" si="355"/>
        <v>23616.783360000001</v>
      </c>
      <c r="S1051" s="398" t="str">
        <f t="shared" si="361"/>
        <v>kg</v>
      </c>
      <c r="T1051" s="320">
        <v>31</v>
      </c>
      <c r="U1051" s="424" t="s">
        <v>519</v>
      </c>
      <c r="V1051" s="435">
        <f t="shared" ca="1" si="358"/>
        <v>23656.675000000047</v>
      </c>
      <c r="W1051" s="256">
        <f t="shared" ca="1" si="357"/>
        <v>2</v>
      </c>
      <c r="X1051" s="256">
        <f t="shared" ca="1" si="359"/>
        <v>1</v>
      </c>
      <c r="Y1051" s="256"/>
      <c r="Z1051" s="256"/>
      <c r="AA1051" s="292"/>
      <c r="AB1051" s="292"/>
      <c r="AC1051" s="292"/>
    </row>
    <row r="1052" spans="1:29" s="293" customFormat="1" ht="25.5" x14ac:dyDescent="0.2">
      <c r="A1052" s="399"/>
      <c r="B1052" s="311"/>
      <c r="C1052" s="312" t="s">
        <v>563</v>
      </c>
      <c r="D1052" s="419">
        <v>72</v>
      </c>
      <c r="E1052" s="316" t="s">
        <v>518</v>
      </c>
      <c r="F1052" s="420">
        <v>17</v>
      </c>
      <c r="G1052" s="419">
        <v>79</v>
      </c>
      <c r="H1052" s="316" t="s">
        <v>518</v>
      </c>
      <c r="I1052" s="420">
        <v>16</v>
      </c>
      <c r="J1052" s="509">
        <v>20</v>
      </c>
      <c r="K1052" s="421">
        <f t="shared" si="360"/>
        <v>139</v>
      </c>
      <c r="L1052" s="431"/>
      <c r="M1052" s="431">
        <v>2</v>
      </c>
      <c r="N1052" s="431">
        <f>2+4</f>
        <v>6</v>
      </c>
      <c r="O1052" s="510">
        <f>K1052*100</f>
        <v>13900</v>
      </c>
      <c r="P1052" s="511">
        <f>ROUND(O1052/100/15,0)*100</f>
        <v>900</v>
      </c>
      <c r="Q1052" s="317">
        <v>2.4660000000000002</v>
      </c>
      <c r="R1052" s="319">
        <f t="shared" si="355"/>
        <v>4379.616</v>
      </c>
      <c r="S1052" s="398" t="str">
        <f t="shared" si="361"/>
        <v>kg</v>
      </c>
      <c r="T1052" s="320">
        <v>31</v>
      </c>
      <c r="U1052" s="424" t="s">
        <v>519</v>
      </c>
      <c r="V1052" s="435">
        <f t="shared" ca="1" si="358"/>
        <v>23656.675000000047</v>
      </c>
      <c r="W1052" s="256">
        <f t="shared" ca="1" si="357"/>
        <v>2</v>
      </c>
      <c r="X1052" s="256">
        <f t="shared" ca="1" si="359"/>
        <v>1</v>
      </c>
      <c r="Y1052" s="256"/>
      <c r="Z1052" s="256"/>
      <c r="AA1052" s="292"/>
      <c r="AB1052" s="292"/>
      <c r="AC1052" s="292"/>
    </row>
    <row r="1053" spans="1:29" s="293" customFormat="1" ht="25.5" x14ac:dyDescent="0.2">
      <c r="A1053" s="399"/>
      <c r="B1053" s="311"/>
      <c r="C1053" s="312" t="s">
        <v>559</v>
      </c>
      <c r="D1053" s="419">
        <v>72</v>
      </c>
      <c r="E1053" s="316" t="s">
        <v>518</v>
      </c>
      <c r="F1053" s="420">
        <v>17</v>
      </c>
      <c r="G1053" s="419">
        <v>79</v>
      </c>
      <c r="H1053" s="316" t="s">
        <v>518</v>
      </c>
      <c r="I1053" s="420">
        <v>16</v>
      </c>
      <c r="J1053" s="509">
        <v>8</v>
      </c>
      <c r="K1053" s="433">
        <f t="shared" si="360"/>
        <v>139</v>
      </c>
      <c r="L1053" s="431">
        <v>60</v>
      </c>
      <c r="M1053" s="431">
        <f>ROUNDUP(12/(L1053/100),0)+1</f>
        <v>21</v>
      </c>
      <c r="N1053" s="431">
        <f>ROUNDUP(K1053/(L1053/100),0)+1</f>
        <v>233</v>
      </c>
      <c r="O1053" s="510">
        <v>90</v>
      </c>
      <c r="P1053" s="317"/>
      <c r="Q1053" s="317">
        <v>0.39500000000000002</v>
      </c>
      <c r="R1053" s="319">
        <f t="shared" si="355"/>
        <v>1739.4615000000003</v>
      </c>
      <c r="S1053" s="398" t="str">
        <f t="shared" si="361"/>
        <v>kg</v>
      </c>
      <c r="T1053" s="320">
        <v>31</v>
      </c>
      <c r="U1053" s="424" t="s">
        <v>519</v>
      </c>
      <c r="V1053" s="435">
        <f t="shared" ca="1" si="358"/>
        <v>23656.675000000047</v>
      </c>
      <c r="W1053" s="256">
        <f t="shared" ca="1" si="357"/>
        <v>2</v>
      </c>
      <c r="X1053" s="256">
        <f t="shared" ca="1" si="359"/>
        <v>1</v>
      </c>
      <c r="Y1053" s="256"/>
      <c r="Z1053" s="256"/>
      <c r="AA1053" s="292"/>
      <c r="AB1053" s="292"/>
      <c r="AC1053" s="292"/>
    </row>
    <row r="1054" spans="1:29" s="111" customFormat="1" ht="15" x14ac:dyDescent="0.2">
      <c r="A1054" s="288"/>
      <c r="B1054" s="322"/>
      <c r="C1054" s="312"/>
      <c r="D1054" s="417"/>
      <c r="E1054" s="314"/>
      <c r="F1054" s="418"/>
      <c r="G1054" s="419"/>
      <c r="H1054" s="316"/>
      <c r="I1054" s="420"/>
      <c r="J1054" s="317"/>
      <c r="K1054" s="328"/>
      <c r="L1054" s="327"/>
      <c r="M1054" s="328"/>
      <c r="N1054" s="334"/>
      <c r="O1054" s="328"/>
      <c r="P1054" s="328"/>
      <c r="Q1054" s="332"/>
      <c r="R1054" s="333"/>
      <c r="S1054" s="398"/>
      <c r="T1054" s="320"/>
      <c r="U1054" s="335"/>
      <c r="V1054" s="435">
        <f t="shared" ca="1" si="358"/>
        <v>23656.675000000047</v>
      </c>
      <c r="W1054" s="256">
        <f t="shared" ca="1" si="357"/>
        <v>0</v>
      </c>
      <c r="X1054" s="256">
        <f t="shared" ca="1" si="359"/>
        <v>1</v>
      </c>
      <c r="Y1054" s="250"/>
      <c r="Z1054" s="250"/>
    </row>
    <row r="1055" spans="1:29" s="293" customFormat="1" ht="25.5" x14ac:dyDescent="0.2">
      <c r="A1055" s="399"/>
      <c r="B1055" s="311"/>
      <c r="C1055" s="312" t="s">
        <v>561</v>
      </c>
      <c r="D1055" s="419">
        <v>71</v>
      </c>
      <c r="E1055" s="316" t="s">
        <v>518</v>
      </c>
      <c r="F1055" s="420">
        <v>7</v>
      </c>
      <c r="G1055" s="419">
        <v>72</v>
      </c>
      <c r="H1055" s="316" t="s">
        <v>518</v>
      </c>
      <c r="I1055" s="420">
        <v>17</v>
      </c>
      <c r="J1055" s="509">
        <v>8</v>
      </c>
      <c r="K1055" s="421">
        <f t="shared" ref="K1055:K1060" si="362">ABS((G1055*20+I1055)-(D1055*20+F1055))</f>
        <v>30</v>
      </c>
      <c r="L1055" s="431">
        <v>20</v>
      </c>
      <c r="M1055" s="431">
        <v>2</v>
      </c>
      <c r="N1055" s="431">
        <f>15*2</f>
        <v>30</v>
      </c>
      <c r="O1055" s="510">
        <f>K1055*100</f>
        <v>3000</v>
      </c>
      <c r="P1055" s="511">
        <f>ROUND(O1055/100/15,0)*100</f>
        <v>200</v>
      </c>
      <c r="Q1055" s="317">
        <v>0.39500000000000002</v>
      </c>
      <c r="R1055" s="319">
        <f t="shared" ref="R1055:R1060" si="363">N1055*((O1055+P1055)/100)*M1055*Q1055</f>
        <v>758.40000000000009</v>
      </c>
      <c r="S1055" s="398" t="str">
        <f t="shared" ref="S1055:S1060" si="364">$L$1174</f>
        <v>kg</v>
      </c>
      <c r="T1055" s="320">
        <v>32</v>
      </c>
      <c r="U1055" s="424" t="s">
        <v>519</v>
      </c>
      <c r="V1055" s="435">
        <f t="shared" ca="1" si="358"/>
        <v>23656.675000000047</v>
      </c>
      <c r="W1055" s="256">
        <f t="shared" ca="1" si="357"/>
        <v>2</v>
      </c>
      <c r="X1055" s="256">
        <f t="shared" ca="1" si="359"/>
        <v>1</v>
      </c>
      <c r="Y1055" s="256"/>
      <c r="Z1055" s="256"/>
      <c r="AA1055" s="292"/>
      <c r="AB1055" s="292"/>
      <c r="AC1055" s="292"/>
    </row>
    <row r="1056" spans="1:29" s="293" customFormat="1" ht="25.5" x14ac:dyDescent="0.2">
      <c r="A1056" s="399"/>
      <c r="B1056" s="311"/>
      <c r="C1056" s="312" t="s">
        <v>556</v>
      </c>
      <c r="D1056" s="419">
        <v>71</v>
      </c>
      <c r="E1056" s="316" t="s">
        <v>518</v>
      </c>
      <c r="F1056" s="420">
        <v>7</v>
      </c>
      <c r="G1056" s="419">
        <v>72</v>
      </c>
      <c r="H1056" s="316" t="s">
        <v>518</v>
      </c>
      <c r="I1056" s="420">
        <v>17</v>
      </c>
      <c r="J1056" s="509">
        <v>8</v>
      </c>
      <c r="K1056" s="421">
        <f t="shared" si="362"/>
        <v>30</v>
      </c>
      <c r="L1056" s="431">
        <v>20</v>
      </c>
      <c r="M1056" s="431">
        <v>2</v>
      </c>
      <c r="N1056" s="431">
        <f>ROUNDUP(K1056/(L1056/100),0)+1</f>
        <v>151</v>
      </c>
      <c r="O1056" s="510">
        <v>109</v>
      </c>
      <c r="P1056" s="315"/>
      <c r="Q1056" s="317">
        <v>0.39500000000000002</v>
      </c>
      <c r="R1056" s="319">
        <f t="shared" si="363"/>
        <v>130.02610000000001</v>
      </c>
      <c r="S1056" s="398" t="str">
        <f t="shared" si="364"/>
        <v>kg</v>
      </c>
      <c r="T1056" s="320">
        <v>32</v>
      </c>
      <c r="U1056" s="424" t="s">
        <v>519</v>
      </c>
      <c r="V1056" s="435">
        <f t="shared" ca="1" si="358"/>
        <v>23656.675000000047</v>
      </c>
      <c r="W1056" s="256">
        <f t="shared" ca="1" si="357"/>
        <v>2</v>
      </c>
      <c r="X1056" s="256">
        <f t="shared" ca="1" si="359"/>
        <v>1</v>
      </c>
      <c r="Y1056" s="256"/>
      <c r="Z1056" s="256"/>
      <c r="AA1056" s="292"/>
      <c r="AB1056" s="292"/>
      <c r="AC1056" s="292"/>
    </row>
    <row r="1057" spans="1:29" s="293" customFormat="1" ht="25.5" x14ac:dyDescent="0.2">
      <c r="A1057" s="399"/>
      <c r="B1057" s="311"/>
      <c r="C1057" s="312" t="s">
        <v>557</v>
      </c>
      <c r="D1057" s="419">
        <v>71</v>
      </c>
      <c r="E1057" s="316" t="s">
        <v>518</v>
      </c>
      <c r="F1057" s="420">
        <v>7</v>
      </c>
      <c r="G1057" s="419">
        <v>72</v>
      </c>
      <c r="H1057" s="316" t="s">
        <v>518</v>
      </c>
      <c r="I1057" s="420">
        <v>17</v>
      </c>
      <c r="J1057" s="509">
        <v>20</v>
      </c>
      <c r="K1057" s="421">
        <f t="shared" si="362"/>
        <v>30</v>
      </c>
      <c r="L1057" s="431">
        <v>20</v>
      </c>
      <c r="M1057" s="431">
        <v>2</v>
      </c>
      <c r="N1057" s="431">
        <f>ROUNDUP(K1057/(L1057/100),0)+1</f>
        <v>151</v>
      </c>
      <c r="O1057" s="510">
        <v>254</v>
      </c>
      <c r="P1057" s="315"/>
      <c r="Q1057" s="317">
        <v>2.4660000000000002</v>
      </c>
      <c r="R1057" s="319">
        <f t="shared" si="363"/>
        <v>1891.6192800000003</v>
      </c>
      <c r="S1057" s="398" t="str">
        <f t="shared" si="364"/>
        <v>kg</v>
      </c>
      <c r="T1057" s="320">
        <v>32</v>
      </c>
      <c r="U1057" s="424" t="s">
        <v>519</v>
      </c>
      <c r="V1057" s="435">
        <f t="shared" ca="1" si="358"/>
        <v>23656.675000000047</v>
      </c>
      <c r="W1057" s="256">
        <f t="shared" ca="1" si="357"/>
        <v>2</v>
      </c>
      <c r="X1057" s="256">
        <f t="shared" ca="1" si="359"/>
        <v>1</v>
      </c>
      <c r="Y1057" s="256"/>
      <c r="Z1057" s="256"/>
      <c r="AA1057" s="292"/>
      <c r="AB1057" s="292"/>
      <c r="AC1057" s="292"/>
    </row>
    <row r="1058" spans="1:29" s="293" customFormat="1" ht="25.5" x14ac:dyDescent="0.2">
      <c r="A1058" s="399"/>
      <c r="B1058" s="311"/>
      <c r="C1058" s="312" t="s">
        <v>562</v>
      </c>
      <c r="D1058" s="419">
        <v>71</v>
      </c>
      <c r="E1058" s="316" t="s">
        <v>518</v>
      </c>
      <c r="F1058" s="420">
        <v>7</v>
      </c>
      <c r="G1058" s="419">
        <v>72</v>
      </c>
      <c r="H1058" s="316" t="s">
        <v>518</v>
      </c>
      <c r="I1058" s="420">
        <v>17</v>
      </c>
      <c r="J1058" s="509">
        <v>20</v>
      </c>
      <c r="K1058" s="421">
        <f t="shared" si="362"/>
        <v>30</v>
      </c>
      <c r="L1058" s="431">
        <v>20</v>
      </c>
      <c r="M1058" s="431">
        <v>2</v>
      </c>
      <c r="N1058" s="431">
        <f>ROUNDUP(K1058/(L1058/100),0)+1</f>
        <v>151</v>
      </c>
      <c r="O1058" s="510">
        <v>688</v>
      </c>
      <c r="P1058" s="315"/>
      <c r="Q1058" s="317">
        <v>2.4660000000000002</v>
      </c>
      <c r="R1058" s="319">
        <f t="shared" si="363"/>
        <v>5123.7561599999999</v>
      </c>
      <c r="S1058" s="398" t="str">
        <f t="shared" si="364"/>
        <v>kg</v>
      </c>
      <c r="T1058" s="320">
        <v>32</v>
      </c>
      <c r="U1058" s="424" t="s">
        <v>519</v>
      </c>
      <c r="V1058" s="435">
        <f t="shared" ca="1" si="358"/>
        <v>23656.675000000047</v>
      </c>
      <c r="W1058" s="256">
        <f t="shared" ca="1" si="357"/>
        <v>2</v>
      </c>
      <c r="X1058" s="256">
        <f t="shared" ca="1" si="359"/>
        <v>1</v>
      </c>
      <c r="Y1058" s="256"/>
      <c r="Z1058" s="256"/>
      <c r="AA1058" s="292"/>
      <c r="AB1058" s="292"/>
      <c r="AC1058" s="292"/>
    </row>
    <row r="1059" spans="1:29" s="293" customFormat="1" ht="25.5" x14ac:dyDescent="0.2">
      <c r="A1059" s="399"/>
      <c r="B1059" s="311"/>
      <c r="C1059" s="312" t="s">
        <v>563</v>
      </c>
      <c r="D1059" s="419">
        <v>71</v>
      </c>
      <c r="E1059" s="316" t="s">
        <v>518</v>
      </c>
      <c r="F1059" s="420">
        <v>7</v>
      </c>
      <c r="G1059" s="419">
        <v>72</v>
      </c>
      <c r="H1059" s="316" t="s">
        <v>518</v>
      </c>
      <c r="I1059" s="420">
        <v>17</v>
      </c>
      <c r="J1059" s="509">
        <v>20</v>
      </c>
      <c r="K1059" s="421">
        <f t="shared" si="362"/>
        <v>30</v>
      </c>
      <c r="L1059" s="431"/>
      <c r="M1059" s="431">
        <v>2</v>
      </c>
      <c r="N1059" s="431">
        <f>2+4</f>
        <v>6</v>
      </c>
      <c r="O1059" s="510">
        <f>K1059*100</f>
        <v>3000</v>
      </c>
      <c r="P1059" s="511">
        <f>ROUND(O1059/100/15,0)*100</f>
        <v>200</v>
      </c>
      <c r="Q1059" s="317">
        <v>2.4660000000000002</v>
      </c>
      <c r="R1059" s="319">
        <f t="shared" si="363"/>
        <v>946.94400000000007</v>
      </c>
      <c r="S1059" s="398" t="str">
        <f t="shared" si="364"/>
        <v>kg</v>
      </c>
      <c r="T1059" s="320">
        <v>32</v>
      </c>
      <c r="U1059" s="424" t="s">
        <v>519</v>
      </c>
      <c r="V1059" s="435">
        <f t="shared" ca="1" si="358"/>
        <v>23656.675000000047</v>
      </c>
      <c r="W1059" s="256">
        <f t="shared" ca="1" si="357"/>
        <v>2</v>
      </c>
      <c r="X1059" s="256">
        <f t="shared" ca="1" si="359"/>
        <v>1</v>
      </c>
      <c r="Y1059" s="256"/>
      <c r="Z1059" s="256"/>
      <c r="AA1059" s="292"/>
      <c r="AB1059" s="292"/>
      <c r="AC1059" s="292"/>
    </row>
    <row r="1060" spans="1:29" s="293" customFormat="1" ht="25.5" x14ac:dyDescent="0.2">
      <c r="A1060" s="399"/>
      <c r="B1060" s="311"/>
      <c r="C1060" s="312" t="s">
        <v>559</v>
      </c>
      <c r="D1060" s="419">
        <v>71</v>
      </c>
      <c r="E1060" s="316" t="s">
        <v>518</v>
      </c>
      <c r="F1060" s="420">
        <v>7</v>
      </c>
      <c r="G1060" s="419">
        <v>72</v>
      </c>
      <c r="H1060" s="316" t="s">
        <v>518</v>
      </c>
      <c r="I1060" s="420">
        <v>17</v>
      </c>
      <c r="J1060" s="509">
        <v>8</v>
      </c>
      <c r="K1060" s="433">
        <f t="shared" si="362"/>
        <v>30</v>
      </c>
      <c r="L1060" s="431">
        <v>60</v>
      </c>
      <c r="M1060" s="431">
        <f>ROUNDUP(12/(L1060/100),0)+1</f>
        <v>21</v>
      </c>
      <c r="N1060" s="431">
        <f>ROUNDUP(K1060/(L1060/100),0)+1</f>
        <v>51</v>
      </c>
      <c r="O1060" s="510">
        <v>90</v>
      </c>
      <c r="P1060" s="317"/>
      <c r="Q1060" s="317">
        <v>0.39500000000000002</v>
      </c>
      <c r="R1060" s="319">
        <f t="shared" si="363"/>
        <v>380.7405</v>
      </c>
      <c r="S1060" s="398" t="str">
        <f t="shared" si="364"/>
        <v>kg</v>
      </c>
      <c r="T1060" s="320">
        <v>32</v>
      </c>
      <c r="U1060" s="424" t="s">
        <v>519</v>
      </c>
      <c r="V1060" s="435">
        <f t="shared" ca="1" si="358"/>
        <v>23656.675000000047</v>
      </c>
      <c r="W1060" s="256">
        <f t="shared" ca="1" si="357"/>
        <v>2</v>
      </c>
      <c r="X1060" s="256">
        <f t="shared" ca="1" si="359"/>
        <v>1</v>
      </c>
      <c r="Y1060" s="256"/>
      <c r="Z1060" s="256"/>
      <c r="AA1060" s="292"/>
      <c r="AB1060" s="292"/>
      <c r="AC1060" s="292"/>
    </row>
    <row r="1061" spans="1:29" s="111" customFormat="1" ht="15" x14ac:dyDescent="0.2">
      <c r="A1061" s="288"/>
      <c r="B1061" s="322"/>
      <c r="C1061" s="312"/>
      <c r="D1061" s="417"/>
      <c r="E1061" s="314"/>
      <c r="F1061" s="418"/>
      <c r="G1061" s="419"/>
      <c r="H1061" s="316"/>
      <c r="I1061" s="420"/>
      <c r="J1061" s="317"/>
      <c r="K1061" s="328"/>
      <c r="L1061" s="327"/>
      <c r="M1061" s="328"/>
      <c r="N1061" s="334"/>
      <c r="O1061" s="328"/>
      <c r="P1061" s="328"/>
      <c r="Q1061" s="332"/>
      <c r="R1061" s="333"/>
      <c r="S1061" s="398"/>
      <c r="T1061" s="320"/>
      <c r="U1061" s="335"/>
      <c r="V1061" s="435">
        <f t="shared" ca="1" si="358"/>
        <v>23656.675000000047</v>
      </c>
      <c r="W1061" s="256">
        <f t="shared" ca="1" si="357"/>
        <v>0</v>
      </c>
      <c r="X1061" s="256">
        <f t="shared" ca="1" si="359"/>
        <v>1</v>
      </c>
      <c r="Y1061" s="250"/>
      <c r="Z1061" s="250"/>
    </row>
    <row r="1062" spans="1:29" s="293" customFormat="1" ht="25.5" x14ac:dyDescent="0.2">
      <c r="A1062" s="399"/>
      <c r="B1062" s="311"/>
      <c r="C1062" s="312" t="s">
        <v>561</v>
      </c>
      <c r="D1062" s="419">
        <v>68</v>
      </c>
      <c r="E1062" s="316" t="s">
        <v>518</v>
      </c>
      <c r="F1062" s="420">
        <v>7</v>
      </c>
      <c r="G1062" s="419">
        <v>71</v>
      </c>
      <c r="H1062" s="316" t="s">
        <v>518</v>
      </c>
      <c r="I1062" s="420">
        <v>7</v>
      </c>
      <c r="J1062" s="509">
        <v>8</v>
      </c>
      <c r="K1062" s="421">
        <f t="shared" ref="K1062:K1067" si="365">ABS((G1062*20+I1062)-(D1062*20+F1062))</f>
        <v>60</v>
      </c>
      <c r="L1062" s="431">
        <v>20</v>
      </c>
      <c r="M1062" s="431">
        <v>2</v>
      </c>
      <c r="N1062" s="431">
        <f>15*2</f>
        <v>30</v>
      </c>
      <c r="O1062" s="510">
        <f>K1062*100</f>
        <v>6000</v>
      </c>
      <c r="P1062" s="511">
        <f>ROUND(O1062/100/15,0)*100</f>
        <v>400</v>
      </c>
      <c r="Q1062" s="317">
        <v>0.39500000000000002</v>
      </c>
      <c r="R1062" s="319">
        <f t="shared" ref="R1062:R1067" si="366">N1062*((O1062+P1062)/100)*M1062*Q1062</f>
        <v>1516.8000000000002</v>
      </c>
      <c r="S1062" s="398" t="str">
        <f t="shared" ref="S1062:S1067" si="367">$L$1174</f>
        <v>kg</v>
      </c>
      <c r="T1062" s="320">
        <v>33</v>
      </c>
      <c r="U1062" s="424" t="s">
        <v>519</v>
      </c>
      <c r="V1062" s="435">
        <f t="shared" ca="1" si="358"/>
        <v>23656.675000000047</v>
      </c>
      <c r="W1062" s="256">
        <f t="shared" ca="1" si="357"/>
        <v>2</v>
      </c>
      <c r="X1062" s="256">
        <f t="shared" ca="1" si="359"/>
        <v>1</v>
      </c>
      <c r="Y1062" s="256"/>
      <c r="Z1062" s="256"/>
      <c r="AA1062" s="292"/>
      <c r="AB1062" s="292"/>
      <c r="AC1062" s="292"/>
    </row>
    <row r="1063" spans="1:29" s="293" customFormat="1" ht="25.5" x14ac:dyDescent="0.2">
      <c r="A1063" s="399"/>
      <c r="B1063" s="311"/>
      <c r="C1063" s="312" t="s">
        <v>556</v>
      </c>
      <c r="D1063" s="419">
        <v>68</v>
      </c>
      <c r="E1063" s="316" t="s">
        <v>518</v>
      </c>
      <c r="F1063" s="420">
        <v>7</v>
      </c>
      <c r="G1063" s="419">
        <v>71</v>
      </c>
      <c r="H1063" s="316" t="s">
        <v>518</v>
      </c>
      <c r="I1063" s="420">
        <v>7</v>
      </c>
      <c r="J1063" s="509">
        <v>8</v>
      </c>
      <c r="K1063" s="421">
        <f t="shared" si="365"/>
        <v>60</v>
      </c>
      <c r="L1063" s="431">
        <v>20</v>
      </c>
      <c r="M1063" s="431">
        <v>2</v>
      </c>
      <c r="N1063" s="431">
        <f>ROUNDUP(K1063/(L1063/100),0)+1</f>
        <v>301</v>
      </c>
      <c r="O1063" s="510">
        <v>109</v>
      </c>
      <c r="P1063" s="315"/>
      <c r="Q1063" s="317">
        <v>0.39500000000000002</v>
      </c>
      <c r="R1063" s="319">
        <f t="shared" si="366"/>
        <v>259.19110000000006</v>
      </c>
      <c r="S1063" s="398" t="str">
        <f t="shared" si="367"/>
        <v>kg</v>
      </c>
      <c r="T1063" s="320">
        <v>33</v>
      </c>
      <c r="U1063" s="424" t="s">
        <v>519</v>
      </c>
      <c r="V1063" s="435">
        <f t="shared" ca="1" si="358"/>
        <v>23656.675000000047</v>
      </c>
      <c r="W1063" s="256">
        <f t="shared" ca="1" si="357"/>
        <v>2</v>
      </c>
      <c r="X1063" s="256">
        <f t="shared" ca="1" si="359"/>
        <v>1</v>
      </c>
      <c r="Y1063" s="256"/>
      <c r="Z1063" s="256"/>
      <c r="AA1063" s="292"/>
      <c r="AB1063" s="292"/>
      <c r="AC1063" s="292"/>
    </row>
    <row r="1064" spans="1:29" s="293" customFormat="1" ht="25.5" x14ac:dyDescent="0.2">
      <c r="A1064" s="399"/>
      <c r="B1064" s="311"/>
      <c r="C1064" s="312" t="s">
        <v>557</v>
      </c>
      <c r="D1064" s="419">
        <v>68</v>
      </c>
      <c r="E1064" s="316" t="s">
        <v>518</v>
      </c>
      <c r="F1064" s="420">
        <v>7</v>
      </c>
      <c r="G1064" s="419">
        <v>71</v>
      </c>
      <c r="H1064" s="316" t="s">
        <v>518</v>
      </c>
      <c r="I1064" s="420">
        <v>7</v>
      </c>
      <c r="J1064" s="509">
        <v>20</v>
      </c>
      <c r="K1064" s="421">
        <f t="shared" si="365"/>
        <v>60</v>
      </c>
      <c r="L1064" s="431">
        <v>20</v>
      </c>
      <c r="M1064" s="431">
        <v>2</v>
      </c>
      <c r="N1064" s="431">
        <f>ROUNDUP(K1064/(L1064/100),0)+1</f>
        <v>301</v>
      </c>
      <c r="O1064" s="510">
        <v>254</v>
      </c>
      <c r="P1064" s="315"/>
      <c r="Q1064" s="317">
        <v>2.4660000000000002</v>
      </c>
      <c r="R1064" s="319">
        <f t="shared" si="366"/>
        <v>3770.71128</v>
      </c>
      <c r="S1064" s="398" t="str">
        <f t="shared" si="367"/>
        <v>kg</v>
      </c>
      <c r="T1064" s="320">
        <v>33</v>
      </c>
      <c r="U1064" s="424" t="s">
        <v>519</v>
      </c>
      <c r="V1064" s="435">
        <f t="shared" ca="1" si="358"/>
        <v>23656.675000000047</v>
      </c>
      <c r="W1064" s="256">
        <f t="shared" ca="1" si="357"/>
        <v>2</v>
      </c>
      <c r="X1064" s="256">
        <f t="shared" ca="1" si="359"/>
        <v>1</v>
      </c>
      <c r="Y1064" s="256"/>
      <c r="Z1064" s="256"/>
      <c r="AA1064" s="292"/>
      <c r="AB1064" s="292"/>
      <c r="AC1064" s="292"/>
    </row>
    <row r="1065" spans="1:29" s="293" customFormat="1" ht="25.5" x14ac:dyDescent="0.2">
      <c r="A1065" s="399"/>
      <c r="B1065" s="311"/>
      <c r="C1065" s="312" t="s">
        <v>562</v>
      </c>
      <c r="D1065" s="419">
        <v>68</v>
      </c>
      <c r="E1065" s="316" t="s">
        <v>518</v>
      </c>
      <c r="F1065" s="420">
        <v>7</v>
      </c>
      <c r="G1065" s="419">
        <v>71</v>
      </c>
      <c r="H1065" s="316" t="s">
        <v>518</v>
      </c>
      <c r="I1065" s="420">
        <v>7</v>
      </c>
      <c r="J1065" s="509">
        <v>20</v>
      </c>
      <c r="K1065" s="421">
        <f t="shared" si="365"/>
        <v>60</v>
      </c>
      <c r="L1065" s="431">
        <v>20</v>
      </c>
      <c r="M1065" s="431">
        <v>2</v>
      </c>
      <c r="N1065" s="431">
        <f>ROUNDUP(K1065/(L1065/100),0)+1</f>
        <v>301</v>
      </c>
      <c r="O1065" s="510">
        <v>688</v>
      </c>
      <c r="P1065" s="315"/>
      <c r="Q1065" s="317">
        <v>2.4660000000000002</v>
      </c>
      <c r="R1065" s="319">
        <f t="shared" si="366"/>
        <v>10213.580160000001</v>
      </c>
      <c r="S1065" s="398" t="str">
        <f t="shared" si="367"/>
        <v>kg</v>
      </c>
      <c r="T1065" s="320">
        <v>33</v>
      </c>
      <c r="U1065" s="424" t="s">
        <v>519</v>
      </c>
      <c r="V1065" s="435">
        <f t="shared" ca="1" si="358"/>
        <v>23656.675000000047</v>
      </c>
      <c r="W1065" s="256">
        <f t="shared" ca="1" si="357"/>
        <v>2</v>
      </c>
      <c r="X1065" s="256">
        <f t="shared" ca="1" si="359"/>
        <v>1</v>
      </c>
      <c r="Y1065" s="256"/>
      <c r="Z1065" s="256"/>
      <c r="AA1065" s="292"/>
      <c r="AB1065" s="292"/>
      <c r="AC1065" s="292"/>
    </row>
    <row r="1066" spans="1:29" s="293" customFormat="1" ht="25.5" x14ac:dyDescent="0.2">
      <c r="A1066" s="399"/>
      <c r="B1066" s="311"/>
      <c r="C1066" s="312" t="s">
        <v>563</v>
      </c>
      <c r="D1066" s="419">
        <v>68</v>
      </c>
      <c r="E1066" s="316" t="s">
        <v>518</v>
      </c>
      <c r="F1066" s="420">
        <v>7</v>
      </c>
      <c r="G1066" s="419">
        <v>71</v>
      </c>
      <c r="H1066" s="316" t="s">
        <v>518</v>
      </c>
      <c r="I1066" s="420">
        <v>7</v>
      </c>
      <c r="J1066" s="509">
        <v>20</v>
      </c>
      <c r="K1066" s="421">
        <f t="shared" si="365"/>
        <v>60</v>
      </c>
      <c r="L1066" s="431"/>
      <c r="M1066" s="431">
        <v>2</v>
      </c>
      <c r="N1066" s="431">
        <f>2+4</f>
        <v>6</v>
      </c>
      <c r="O1066" s="510">
        <f>K1066*100</f>
        <v>6000</v>
      </c>
      <c r="P1066" s="511">
        <f>ROUND(O1066/100/15,0)*100</f>
        <v>400</v>
      </c>
      <c r="Q1066" s="317">
        <v>2.4660000000000002</v>
      </c>
      <c r="R1066" s="319">
        <f t="shared" si="366"/>
        <v>1893.8880000000001</v>
      </c>
      <c r="S1066" s="398" t="str">
        <f t="shared" si="367"/>
        <v>kg</v>
      </c>
      <c r="T1066" s="320">
        <v>33</v>
      </c>
      <c r="U1066" s="424" t="s">
        <v>519</v>
      </c>
      <c r="V1066" s="435">
        <f t="shared" ca="1" si="358"/>
        <v>23656.675000000047</v>
      </c>
      <c r="W1066" s="256">
        <f t="shared" ca="1" si="357"/>
        <v>2</v>
      </c>
      <c r="X1066" s="256">
        <f t="shared" ca="1" si="359"/>
        <v>1</v>
      </c>
      <c r="Y1066" s="256"/>
      <c r="Z1066" s="256"/>
      <c r="AA1066" s="292"/>
      <c r="AB1066" s="292"/>
      <c r="AC1066" s="292"/>
    </row>
    <row r="1067" spans="1:29" s="293" customFormat="1" ht="25.5" x14ac:dyDescent="0.2">
      <c r="A1067" s="399"/>
      <c r="B1067" s="311"/>
      <c r="C1067" s="312" t="s">
        <v>559</v>
      </c>
      <c r="D1067" s="419">
        <v>68</v>
      </c>
      <c r="E1067" s="316" t="s">
        <v>518</v>
      </c>
      <c r="F1067" s="420">
        <v>7</v>
      </c>
      <c r="G1067" s="419">
        <v>71</v>
      </c>
      <c r="H1067" s="316" t="s">
        <v>518</v>
      </c>
      <c r="I1067" s="420">
        <v>7</v>
      </c>
      <c r="J1067" s="509">
        <v>8</v>
      </c>
      <c r="K1067" s="433">
        <f t="shared" si="365"/>
        <v>60</v>
      </c>
      <c r="L1067" s="431">
        <v>60</v>
      </c>
      <c r="M1067" s="431">
        <f>ROUNDUP(12/(L1067/100),0)+1</f>
        <v>21</v>
      </c>
      <c r="N1067" s="431">
        <f>ROUNDUP(K1067/(L1067/100),0)+1</f>
        <v>101</v>
      </c>
      <c r="O1067" s="510">
        <v>90</v>
      </c>
      <c r="P1067" s="317"/>
      <c r="Q1067" s="317">
        <v>0.39500000000000002</v>
      </c>
      <c r="R1067" s="319">
        <f t="shared" si="366"/>
        <v>754.01550000000009</v>
      </c>
      <c r="S1067" s="398" t="str">
        <f t="shared" si="367"/>
        <v>kg</v>
      </c>
      <c r="T1067" s="320">
        <v>33</v>
      </c>
      <c r="U1067" s="424" t="s">
        <v>519</v>
      </c>
      <c r="V1067" s="435">
        <f t="shared" ca="1" si="358"/>
        <v>23656.675000000047</v>
      </c>
      <c r="W1067" s="256">
        <f t="shared" ca="1" si="357"/>
        <v>2</v>
      </c>
      <c r="X1067" s="256">
        <f t="shared" ca="1" si="359"/>
        <v>1</v>
      </c>
      <c r="Y1067" s="256"/>
      <c r="Z1067" s="256"/>
      <c r="AA1067" s="292"/>
      <c r="AB1067" s="292"/>
      <c r="AC1067" s="292"/>
    </row>
    <row r="1068" spans="1:29" s="293" customFormat="1" ht="15.75" x14ac:dyDescent="0.2">
      <c r="A1068" s="399"/>
      <c r="B1068" s="311"/>
      <c r="C1068" s="312"/>
      <c r="D1068" s="419"/>
      <c r="E1068" s="316"/>
      <c r="F1068" s="420"/>
      <c r="G1068" s="419"/>
      <c r="H1068" s="316"/>
      <c r="I1068" s="420"/>
      <c r="J1068" s="509"/>
      <c r="K1068" s="433"/>
      <c r="L1068" s="417"/>
      <c r="M1068" s="431"/>
      <c r="N1068" s="431"/>
      <c r="O1068" s="510"/>
      <c r="P1068" s="317"/>
      <c r="Q1068" s="315"/>
      <c r="R1068" s="319"/>
      <c r="S1068" s="398"/>
      <c r="T1068" s="320"/>
      <c r="U1068" s="424"/>
      <c r="V1068" s="435">
        <f t="shared" ca="1" si="358"/>
        <v>23656.675000000047</v>
      </c>
      <c r="W1068" s="256">
        <f t="shared" ca="1" si="357"/>
        <v>0</v>
      </c>
      <c r="X1068" s="256">
        <f t="shared" ca="1" si="359"/>
        <v>1</v>
      </c>
      <c r="Y1068" s="256"/>
      <c r="Z1068" s="256"/>
      <c r="AA1068" s="292"/>
      <c r="AB1068" s="292"/>
      <c r="AC1068" s="292"/>
    </row>
    <row r="1069" spans="1:29" s="293" customFormat="1" ht="25.5" x14ac:dyDescent="0.2">
      <c r="A1069" s="399"/>
      <c r="B1069" s="311"/>
      <c r="C1069" s="312" t="s">
        <v>561</v>
      </c>
      <c r="D1069" s="419">
        <v>66</v>
      </c>
      <c r="E1069" s="316" t="s">
        <v>518</v>
      </c>
      <c r="F1069" s="420">
        <v>17</v>
      </c>
      <c r="G1069" s="419">
        <v>68</v>
      </c>
      <c r="H1069" s="316" t="s">
        <v>518</v>
      </c>
      <c r="I1069" s="420">
        <v>7</v>
      </c>
      <c r="J1069" s="509">
        <v>8</v>
      </c>
      <c r="K1069" s="421">
        <f t="shared" ref="K1069:K1074" si="368">ABS((G1069*20+I1069)-(D1069*20+F1069))</f>
        <v>30</v>
      </c>
      <c r="L1069" s="431">
        <v>20</v>
      </c>
      <c r="M1069" s="431">
        <v>2</v>
      </c>
      <c r="N1069" s="431">
        <f>15*2</f>
        <v>30</v>
      </c>
      <c r="O1069" s="510">
        <f>K1069*100</f>
        <v>3000</v>
      </c>
      <c r="P1069" s="511">
        <f>ROUND(O1069/100/15,0)*100</f>
        <v>200</v>
      </c>
      <c r="Q1069" s="317">
        <v>0.39500000000000002</v>
      </c>
      <c r="R1069" s="319">
        <f t="shared" ref="R1069:R1074" si="369">N1069*((O1069+P1069)/100)*M1069*Q1069</f>
        <v>758.40000000000009</v>
      </c>
      <c r="S1069" s="398" t="str">
        <f t="shared" ref="S1069:S1074" si="370">$L$1174</f>
        <v>kg</v>
      </c>
      <c r="T1069" s="320">
        <v>33</v>
      </c>
      <c r="U1069" s="928" t="s">
        <v>519</v>
      </c>
      <c r="V1069" s="435">
        <f t="shared" ca="1" si="358"/>
        <v>23656.675000000047</v>
      </c>
      <c r="W1069" s="256">
        <f t="shared" ca="1" si="357"/>
        <v>2</v>
      </c>
      <c r="X1069" s="256">
        <f t="shared" ca="1" si="359"/>
        <v>1</v>
      </c>
      <c r="Y1069" s="256"/>
      <c r="Z1069" s="256"/>
      <c r="AA1069" s="292"/>
      <c r="AB1069" s="292"/>
      <c r="AC1069" s="292"/>
    </row>
    <row r="1070" spans="1:29" s="293" customFormat="1" ht="25.5" x14ac:dyDescent="0.2">
      <c r="A1070" s="399"/>
      <c r="B1070" s="311"/>
      <c r="C1070" s="312" t="s">
        <v>556</v>
      </c>
      <c r="D1070" s="419">
        <v>66</v>
      </c>
      <c r="E1070" s="316" t="s">
        <v>518</v>
      </c>
      <c r="F1070" s="420">
        <v>17</v>
      </c>
      <c r="G1070" s="419">
        <v>68</v>
      </c>
      <c r="H1070" s="316" t="s">
        <v>518</v>
      </c>
      <c r="I1070" s="420">
        <v>7</v>
      </c>
      <c r="J1070" s="509">
        <v>8</v>
      </c>
      <c r="K1070" s="421">
        <f t="shared" si="368"/>
        <v>30</v>
      </c>
      <c r="L1070" s="431">
        <v>20</v>
      </c>
      <c r="M1070" s="431">
        <v>2</v>
      </c>
      <c r="N1070" s="431">
        <f>ROUNDUP(K1070/(L1070/100),0)+1</f>
        <v>151</v>
      </c>
      <c r="O1070" s="510">
        <v>109</v>
      </c>
      <c r="P1070" s="315"/>
      <c r="Q1070" s="317">
        <v>0.39500000000000002</v>
      </c>
      <c r="R1070" s="319">
        <f t="shared" si="369"/>
        <v>130.02610000000001</v>
      </c>
      <c r="S1070" s="398" t="str">
        <f t="shared" si="370"/>
        <v>kg</v>
      </c>
      <c r="T1070" s="320">
        <v>33</v>
      </c>
      <c r="U1070" s="928" t="s">
        <v>519</v>
      </c>
      <c r="V1070" s="435">
        <f t="shared" ca="1" si="358"/>
        <v>23656.675000000047</v>
      </c>
      <c r="W1070" s="256">
        <f t="shared" ca="1" si="357"/>
        <v>2</v>
      </c>
      <c r="X1070" s="256">
        <f t="shared" ca="1" si="359"/>
        <v>1</v>
      </c>
      <c r="Y1070" s="256"/>
      <c r="Z1070" s="256"/>
      <c r="AA1070" s="292"/>
      <c r="AB1070" s="292"/>
      <c r="AC1070" s="292"/>
    </row>
    <row r="1071" spans="1:29" s="293" customFormat="1" ht="25.5" x14ac:dyDescent="0.2">
      <c r="A1071" s="399"/>
      <c r="B1071" s="311"/>
      <c r="C1071" s="312" t="s">
        <v>557</v>
      </c>
      <c r="D1071" s="419">
        <v>66</v>
      </c>
      <c r="E1071" s="316" t="s">
        <v>518</v>
      </c>
      <c r="F1071" s="420">
        <v>17</v>
      </c>
      <c r="G1071" s="419">
        <v>68</v>
      </c>
      <c r="H1071" s="316" t="s">
        <v>518</v>
      </c>
      <c r="I1071" s="420">
        <v>7</v>
      </c>
      <c r="J1071" s="509">
        <v>20</v>
      </c>
      <c r="K1071" s="421">
        <f t="shared" si="368"/>
        <v>30</v>
      </c>
      <c r="L1071" s="431">
        <v>20</v>
      </c>
      <c r="M1071" s="431">
        <v>2</v>
      </c>
      <c r="N1071" s="431">
        <f>ROUNDUP(K1071/(L1071/100),0)+1</f>
        <v>151</v>
      </c>
      <c r="O1071" s="510">
        <v>254</v>
      </c>
      <c r="P1071" s="315"/>
      <c r="Q1071" s="317">
        <v>2.4660000000000002</v>
      </c>
      <c r="R1071" s="319">
        <f t="shared" si="369"/>
        <v>1891.6192800000003</v>
      </c>
      <c r="S1071" s="398" t="str">
        <f t="shared" si="370"/>
        <v>kg</v>
      </c>
      <c r="T1071" s="320">
        <v>33</v>
      </c>
      <c r="U1071" s="928" t="s">
        <v>519</v>
      </c>
      <c r="V1071" s="435">
        <f t="shared" ca="1" si="358"/>
        <v>23656.675000000047</v>
      </c>
      <c r="W1071" s="256">
        <f t="shared" ca="1" si="357"/>
        <v>2</v>
      </c>
      <c r="X1071" s="256">
        <f t="shared" ca="1" si="359"/>
        <v>1</v>
      </c>
      <c r="Y1071" s="256"/>
      <c r="Z1071" s="256"/>
      <c r="AA1071" s="292"/>
      <c r="AB1071" s="292"/>
      <c r="AC1071" s="292"/>
    </row>
    <row r="1072" spans="1:29" s="293" customFormat="1" ht="25.5" x14ac:dyDescent="0.2">
      <c r="A1072" s="399"/>
      <c r="B1072" s="311"/>
      <c r="C1072" s="312" t="s">
        <v>562</v>
      </c>
      <c r="D1072" s="419">
        <v>66</v>
      </c>
      <c r="E1072" s="316" t="s">
        <v>518</v>
      </c>
      <c r="F1072" s="420">
        <v>17</v>
      </c>
      <c r="G1072" s="419">
        <v>68</v>
      </c>
      <c r="H1072" s="316" t="s">
        <v>518</v>
      </c>
      <c r="I1072" s="420">
        <v>7</v>
      </c>
      <c r="J1072" s="509">
        <v>20</v>
      </c>
      <c r="K1072" s="421">
        <f t="shared" si="368"/>
        <v>30</v>
      </c>
      <c r="L1072" s="431">
        <v>20</v>
      </c>
      <c r="M1072" s="431">
        <v>2</v>
      </c>
      <c r="N1072" s="431">
        <f>ROUNDUP(K1072/(L1072/100),0)+1</f>
        <v>151</v>
      </c>
      <c r="O1072" s="510">
        <v>688</v>
      </c>
      <c r="P1072" s="315"/>
      <c r="Q1072" s="317">
        <v>2.4660000000000002</v>
      </c>
      <c r="R1072" s="319">
        <f t="shared" si="369"/>
        <v>5123.7561599999999</v>
      </c>
      <c r="S1072" s="398" t="str">
        <f t="shared" si="370"/>
        <v>kg</v>
      </c>
      <c r="T1072" s="320">
        <v>33</v>
      </c>
      <c r="U1072" s="928" t="s">
        <v>519</v>
      </c>
      <c r="V1072" s="435">
        <f t="shared" ca="1" si="358"/>
        <v>23656.675000000047</v>
      </c>
      <c r="W1072" s="256">
        <f t="shared" ca="1" si="357"/>
        <v>2</v>
      </c>
      <c r="X1072" s="256">
        <f t="shared" ca="1" si="359"/>
        <v>1</v>
      </c>
      <c r="Y1072" s="256"/>
      <c r="Z1072" s="256"/>
      <c r="AA1072" s="292"/>
      <c r="AB1072" s="292"/>
      <c r="AC1072" s="292"/>
    </row>
    <row r="1073" spans="1:29" s="293" customFormat="1" ht="25.5" x14ac:dyDescent="0.2">
      <c r="A1073" s="399"/>
      <c r="B1073" s="311"/>
      <c r="C1073" s="312" t="s">
        <v>563</v>
      </c>
      <c r="D1073" s="419">
        <v>66</v>
      </c>
      <c r="E1073" s="316" t="s">
        <v>518</v>
      </c>
      <c r="F1073" s="420">
        <v>17</v>
      </c>
      <c r="G1073" s="419">
        <v>68</v>
      </c>
      <c r="H1073" s="316" t="s">
        <v>518</v>
      </c>
      <c r="I1073" s="420">
        <v>7</v>
      </c>
      <c r="J1073" s="509">
        <v>20</v>
      </c>
      <c r="K1073" s="421">
        <f t="shared" si="368"/>
        <v>30</v>
      </c>
      <c r="L1073" s="431"/>
      <c r="M1073" s="431">
        <v>2</v>
      </c>
      <c r="N1073" s="431">
        <f>2+4</f>
        <v>6</v>
      </c>
      <c r="O1073" s="510">
        <f>K1073*100</f>
        <v>3000</v>
      </c>
      <c r="P1073" s="511">
        <f>ROUND(O1073/100/15,0)*100</f>
        <v>200</v>
      </c>
      <c r="Q1073" s="317">
        <v>2.4660000000000002</v>
      </c>
      <c r="R1073" s="319">
        <f t="shared" si="369"/>
        <v>946.94400000000007</v>
      </c>
      <c r="S1073" s="398" t="str">
        <f t="shared" si="370"/>
        <v>kg</v>
      </c>
      <c r="T1073" s="320">
        <v>33</v>
      </c>
      <c r="U1073" s="928" t="s">
        <v>519</v>
      </c>
      <c r="V1073" s="435">
        <f t="shared" ca="1" si="358"/>
        <v>23656.675000000047</v>
      </c>
      <c r="W1073" s="256">
        <f t="shared" ca="1" si="357"/>
        <v>2</v>
      </c>
      <c r="X1073" s="256">
        <f t="shared" ca="1" si="359"/>
        <v>1</v>
      </c>
      <c r="Y1073" s="256"/>
      <c r="Z1073" s="256"/>
      <c r="AA1073" s="292"/>
      <c r="AB1073" s="292"/>
      <c r="AC1073" s="292"/>
    </row>
    <row r="1074" spans="1:29" s="293" customFormat="1" ht="25.5" x14ac:dyDescent="0.2">
      <c r="A1074" s="399"/>
      <c r="B1074" s="311"/>
      <c r="C1074" s="312" t="s">
        <v>559</v>
      </c>
      <c r="D1074" s="419">
        <v>66</v>
      </c>
      <c r="E1074" s="316" t="s">
        <v>518</v>
      </c>
      <c r="F1074" s="420">
        <v>17</v>
      </c>
      <c r="G1074" s="419">
        <v>68</v>
      </c>
      <c r="H1074" s="316" t="s">
        <v>518</v>
      </c>
      <c r="I1074" s="420">
        <v>7</v>
      </c>
      <c r="J1074" s="509">
        <v>8</v>
      </c>
      <c r="K1074" s="433">
        <f t="shared" si="368"/>
        <v>30</v>
      </c>
      <c r="L1074" s="431">
        <v>60</v>
      </c>
      <c r="M1074" s="431">
        <f>ROUNDUP(12/(L1074/100),0)+1</f>
        <v>21</v>
      </c>
      <c r="N1074" s="431">
        <f>ROUNDUP(K1074/(L1074/100),0)+1</f>
        <v>51</v>
      </c>
      <c r="O1074" s="510">
        <v>90</v>
      </c>
      <c r="P1074" s="317"/>
      <c r="Q1074" s="317">
        <v>0.39500000000000002</v>
      </c>
      <c r="R1074" s="319">
        <f t="shared" si="369"/>
        <v>380.7405</v>
      </c>
      <c r="S1074" s="398" t="str">
        <f t="shared" si="370"/>
        <v>kg</v>
      </c>
      <c r="T1074" s="320">
        <v>33</v>
      </c>
      <c r="U1074" s="928" t="s">
        <v>519</v>
      </c>
      <c r="V1074" s="435">
        <f t="shared" ca="1" si="358"/>
        <v>23656.675000000047</v>
      </c>
      <c r="W1074" s="256">
        <f t="shared" ca="1" si="357"/>
        <v>2</v>
      </c>
      <c r="X1074" s="256">
        <f t="shared" ca="1" si="359"/>
        <v>1</v>
      </c>
      <c r="Y1074" s="256"/>
      <c r="Z1074" s="256"/>
      <c r="AA1074" s="292"/>
      <c r="AB1074" s="292"/>
      <c r="AC1074" s="292"/>
    </row>
    <row r="1075" spans="1:29" s="293" customFormat="1" ht="15.75" x14ac:dyDescent="0.2">
      <c r="A1075" s="399"/>
      <c r="B1075" s="311"/>
      <c r="C1075" s="312"/>
      <c r="D1075" s="419"/>
      <c r="E1075" s="316"/>
      <c r="F1075" s="420"/>
      <c r="G1075" s="419"/>
      <c r="H1075" s="316"/>
      <c r="I1075" s="420"/>
      <c r="J1075" s="509"/>
      <c r="K1075" s="433"/>
      <c r="L1075" s="417"/>
      <c r="M1075" s="431"/>
      <c r="N1075" s="431"/>
      <c r="O1075" s="510"/>
      <c r="P1075" s="317"/>
      <c r="Q1075" s="315"/>
      <c r="R1075" s="319"/>
      <c r="S1075" s="398"/>
      <c r="T1075" s="320"/>
      <c r="U1075" s="928"/>
      <c r="V1075" s="435">
        <f t="shared" ca="1" si="358"/>
        <v>23656.675000000047</v>
      </c>
      <c r="W1075" s="256">
        <f t="shared" ca="1" si="357"/>
        <v>0</v>
      </c>
      <c r="X1075" s="256">
        <f t="shared" ca="1" si="359"/>
        <v>1</v>
      </c>
      <c r="Y1075" s="256"/>
      <c r="Z1075" s="256"/>
      <c r="AA1075" s="292"/>
      <c r="AB1075" s="292"/>
      <c r="AC1075" s="292"/>
    </row>
    <row r="1076" spans="1:29" s="293" customFormat="1" ht="25.5" x14ac:dyDescent="0.2">
      <c r="A1076" s="399"/>
      <c r="B1076" s="311"/>
      <c r="C1076" s="312" t="s">
        <v>561</v>
      </c>
      <c r="D1076" s="419">
        <v>65</v>
      </c>
      <c r="E1076" s="316" t="s">
        <v>518</v>
      </c>
      <c r="F1076" s="420">
        <v>5</v>
      </c>
      <c r="G1076" s="419">
        <v>66</v>
      </c>
      <c r="H1076" s="316" t="s">
        <v>518</v>
      </c>
      <c r="I1076" s="420">
        <v>17</v>
      </c>
      <c r="J1076" s="509">
        <v>8</v>
      </c>
      <c r="K1076" s="421">
        <f t="shared" ref="K1076:K1081" si="371">ABS((G1076*20+I1076)-(D1076*20+F1076))</f>
        <v>32</v>
      </c>
      <c r="L1076" s="431">
        <v>20</v>
      </c>
      <c r="M1076" s="431">
        <v>2</v>
      </c>
      <c r="N1076" s="431">
        <f>15*2</f>
        <v>30</v>
      </c>
      <c r="O1076" s="510">
        <f>K1076*100</f>
        <v>3200</v>
      </c>
      <c r="P1076" s="511">
        <f>ROUND(O1076/100/15,0)*100</f>
        <v>200</v>
      </c>
      <c r="Q1076" s="317">
        <v>0.39500000000000002</v>
      </c>
      <c r="R1076" s="319">
        <f t="shared" ref="R1076:R1081" si="372">N1076*((O1076+P1076)/100)*M1076*Q1076</f>
        <v>805.80000000000007</v>
      </c>
      <c r="S1076" s="398" t="str">
        <f t="shared" ref="S1076:S1081" si="373">$L$1174</f>
        <v>kg</v>
      </c>
      <c r="T1076" s="320">
        <v>34</v>
      </c>
      <c r="U1076" s="424" t="s">
        <v>519</v>
      </c>
      <c r="V1076" s="435">
        <f t="shared" ca="1" si="358"/>
        <v>23656.675000000047</v>
      </c>
      <c r="W1076" s="256">
        <f t="shared" ca="1" si="357"/>
        <v>2</v>
      </c>
      <c r="X1076" s="256">
        <f t="shared" ref="X1076:X1107" ca="1" si="374">IF(COUNTA(OFFSET(A848,1,0))-COUNTA(A848)=-1,0,1)</f>
        <v>1</v>
      </c>
      <c r="Y1076" s="256"/>
      <c r="Z1076" s="256"/>
      <c r="AA1076" s="292"/>
      <c r="AB1076" s="292"/>
      <c r="AC1076" s="292"/>
    </row>
    <row r="1077" spans="1:29" s="293" customFormat="1" ht="25.5" x14ac:dyDescent="0.2">
      <c r="A1077" s="399"/>
      <c r="B1077" s="311"/>
      <c r="C1077" s="312" t="s">
        <v>556</v>
      </c>
      <c r="D1077" s="419">
        <v>65</v>
      </c>
      <c r="E1077" s="316" t="s">
        <v>518</v>
      </c>
      <c r="F1077" s="420">
        <v>5</v>
      </c>
      <c r="G1077" s="419">
        <v>66</v>
      </c>
      <c r="H1077" s="316" t="s">
        <v>518</v>
      </c>
      <c r="I1077" s="420">
        <v>17</v>
      </c>
      <c r="J1077" s="509">
        <v>8</v>
      </c>
      <c r="K1077" s="421">
        <f t="shared" si="371"/>
        <v>32</v>
      </c>
      <c r="L1077" s="431">
        <v>20</v>
      </c>
      <c r="M1077" s="431">
        <v>2</v>
      </c>
      <c r="N1077" s="431">
        <f>ROUNDUP(K1077/(L1077/100),0)+1</f>
        <v>161</v>
      </c>
      <c r="O1077" s="510">
        <v>109</v>
      </c>
      <c r="P1077" s="315"/>
      <c r="Q1077" s="317">
        <v>0.39500000000000002</v>
      </c>
      <c r="R1077" s="319">
        <f t="shared" si="372"/>
        <v>138.6371</v>
      </c>
      <c r="S1077" s="398" t="str">
        <f t="shared" si="373"/>
        <v>kg</v>
      </c>
      <c r="T1077" s="320">
        <v>34</v>
      </c>
      <c r="U1077" s="424" t="s">
        <v>519</v>
      </c>
      <c r="V1077" s="435">
        <f t="shared" ca="1" si="358"/>
        <v>23656.675000000047</v>
      </c>
      <c r="W1077" s="256">
        <f t="shared" ca="1" si="357"/>
        <v>2</v>
      </c>
      <c r="X1077" s="256">
        <f t="shared" ca="1" si="374"/>
        <v>1</v>
      </c>
      <c r="Y1077" s="256"/>
      <c r="Z1077" s="256"/>
      <c r="AA1077" s="292"/>
      <c r="AB1077" s="292"/>
      <c r="AC1077" s="292"/>
    </row>
    <row r="1078" spans="1:29" s="293" customFormat="1" ht="25.5" x14ac:dyDescent="0.2">
      <c r="A1078" s="399"/>
      <c r="B1078" s="311"/>
      <c r="C1078" s="312" t="s">
        <v>557</v>
      </c>
      <c r="D1078" s="419">
        <v>65</v>
      </c>
      <c r="E1078" s="316" t="s">
        <v>518</v>
      </c>
      <c r="F1078" s="420">
        <v>5</v>
      </c>
      <c r="G1078" s="419">
        <v>66</v>
      </c>
      <c r="H1078" s="316" t="s">
        <v>518</v>
      </c>
      <c r="I1078" s="420">
        <v>17</v>
      </c>
      <c r="J1078" s="509">
        <v>20</v>
      </c>
      <c r="K1078" s="421">
        <f t="shared" si="371"/>
        <v>32</v>
      </c>
      <c r="L1078" s="431">
        <v>20</v>
      </c>
      <c r="M1078" s="431">
        <v>2</v>
      </c>
      <c r="N1078" s="431">
        <f>ROUNDUP(K1078/(L1078/100),0)+1</f>
        <v>161</v>
      </c>
      <c r="O1078" s="510">
        <v>254</v>
      </c>
      <c r="P1078" s="315"/>
      <c r="Q1078" s="317">
        <v>2.4660000000000002</v>
      </c>
      <c r="R1078" s="319">
        <f t="shared" si="372"/>
        <v>2016.8920800000001</v>
      </c>
      <c r="S1078" s="398" t="str">
        <f t="shared" si="373"/>
        <v>kg</v>
      </c>
      <c r="T1078" s="320">
        <v>34</v>
      </c>
      <c r="U1078" s="424" t="s">
        <v>519</v>
      </c>
      <c r="V1078" s="435">
        <f t="shared" ca="1" si="358"/>
        <v>23656.675000000047</v>
      </c>
      <c r="W1078" s="256">
        <f t="shared" ca="1" si="357"/>
        <v>2</v>
      </c>
      <c r="X1078" s="256">
        <f t="shared" ca="1" si="374"/>
        <v>1</v>
      </c>
      <c r="Y1078" s="256"/>
      <c r="Z1078" s="256"/>
      <c r="AA1078" s="292"/>
      <c r="AB1078" s="292"/>
      <c r="AC1078" s="292"/>
    </row>
    <row r="1079" spans="1:29" s="293" customFormat="1" ht="25.5" x14ac:dyDescent="0.2">
      <c r="A1079" s="399"/>
      <c r="B1079" s="311"/>
      <c r="C1079" s="312" t="s">
        <v>562</v>
      </c>
      <c r="D1079" s="419">
        <v>65</v>
      </c>
      <c r="E1079" s="316" t="s">
        <v>518</v>
      </c>
      <c r="F1079" s="420">
        <v>5</v>
      </c>
      <c r="G1079" s="419">
        <v>66</v>
      </c>
      <c r="H1079" s="316" t="s">
        <v>518</v>
      </c>
      <c r="I1079" s="420">
        <v>17</v>
      </c>
      <c r="J1079" s="509">
        <v>20</v>
      </c>
      <c r="K1079" s="421">
        <f t="shared" si="371"/>
        <v>32</v>
      </c>
      <c r="L1079" s="431">
        <v>20</v>
      </c>
      <c r="M1079" s="431">
        <v>2</v>
      </c>
      <c r="N1079" s="431">
        <f>ROUNDUP(K1079/(L1079/100),0)+1</f>
        <v>161</v>
      </c>
      <c r="O1079" s="510">
        <v>688</v>
      </c>
      <c r="P1079" s="315"/>
      <c r="Q1079" s="317">
        <v>2.4660000000000002</v>
      </c>
      <c r="R1079" s="319">
        <f t="shared" si="372"/>
        <v>5463.077760000001</v>
      </c>
      <c r="S1079" s="398" t="str">
        <f t="shared" si="373"/>
        <v>kg</v>
      </c>
      <c r="T1079" s="320">
        <v>34</v>
      </c>
      <c r="U1079" s="424" t="s">
        <v>519</v>
      </c>
      <c r="V1079" s="435">
        <f t="shared" ca="1" si="358"/>
        <v>23656.675000000047</v>
      </c>
      <c r="W1079" s="256">
        <f t="shared" ca="1" si="357"/>
        <v>2</v>
      </c>
      <c r="X1079" s="256">
        <f t="shared" ca="1" si="374"/>
        <v>1</v>
      </c>
      <c r="Y1079" s="256"/>
      <c r="Z1079" s="256"/>
      <c r="AA1079" s="292"/>
      <c r="AB1079" s="292"/>
      <c r="AC1079" s="292"/>
    </row>
    <row r="1080" spans="1:29" s="293" customFormat="1" ht="25.5" x14ac:dyDescent="0.2">
      <c r="A1080" s="399"/>
      <c r="B1080" s="311"/>
      <c r="C1080" s="312" t="s">
        <v>563</v>
      </c>
      <c r="D1080" s="419">
        <v>65</v>
      </c>
      <c r="E1080" s="316" t="s">
        <v>518</v>
      </c>
      <c r="F1080" s="420">
        <v>5</v>
      </c>
      <c r="G1080" s="419">
        <v>66</v>
      </c>
      <c r="H1080" s="316" t="s">
        <v>518</v>
      </c>
      <c r="I1080" s="420">
        <v>17</v>
      </c>
      <c r="J1080" s="509">
        <v>20</v>
      </c>
      <c r="K1080" s="421">
        <f t="shared" si="371"/>
        <v>32</v>
      </c>
      <c r="L1080" s="431"/>
      <c r="M1080" s="431">
        <v>2</v>
      </c>
      <c r="N1080" s="431">
        <f>2+4</f>
        <v>6</v>
      </c>
      <c r="O1080" s="510">
        <f>K1080*100</f>
        <v>3200</v>
      </c>
      <c r="P1080" s="511">
        <f>ROUND(O1080/100/15,0)*100</f>
        <v>200</v>
      </c>
      <c r="Q1080" s="317">
        <v>2.4660000000000002</v>
      </c>
      <c r="R1080" s="319">
        <f t="shared" si="372"/>
        <v>1006.128</v>
      </c>
      <c r="S1080" s="398" t="str">
        <f t="shared" si="373"/>
        <v>kg</v>
      </c>
      <c r="T1080" s="320">
        <v>34</v>
      </c>
      <c r="U1080" s="424" t="s">
        <v>519</v>
      </c>
      <c r="V1080" s="435">
        <f t="shared" ca="1" si="358"/>
        <v>23656.675000000047</v>
      </c>
      <c r="W1080" s="256">
        <f t="shared" ca="1" si="357"/>
        <v>2</v>
      </c>
      <c r="X1080" s="256">
        <f t="shared" ca="1" si="374"/>
        <v>1</v>
      </c>
      <c r="Y1080" s="256"/>
      <c r="Z1080" s="256"/>
      <c r="AA1080" s="292"/>
      <c r="AB1080" s="292"/>
      <c r="AC1080" s="292"/>
    </row>
    <row r="1081" spans="1:29" s="293" customFormat="1" ht="25.5" x14ac:dyDescent="0.2">
      <c r="A1081" s="399"/>
      <c r="B1081" s="311"/>
      <c r="C1081" s="312" t="s">
        <v>559</v>
      </c>
      <c r="D1081" s="419">
        <v>65</v>
      </c>
      <c r="E1081" s="316" t="s">
        <v>518</v>
      </c>
      <c r="F1081" s="420">
        <v>5</v>
      </c>
      <c r="G1081" s="419">
        <v>66</v>
      </c>
      <c r="H1081" s="316" t="s">
        <v>518</v>
      </c>
      <c r="I1081" s="420">
        <v>17</v>
      </c>
      <c r="J1081" s="509">
        <v>8</v>
      </c>
      <c r="K1081" s="433">
        <f t="shared" si="371"/>
        <v>32</v>
      </c>
      <c r="L1081" s="431">
        <v>60</v>
      </c>
      <c r="M1081" s="431">
        <f>ROUNDUP(12/(L1081/100),0)+1</f>
        <v>21</v>
      </c>
      <c r="N1081" s="431">
        <f>ROUNDUP(K1081/(L1081/100),0)+1</f>
        <v>55</v>
      </c>
      <c r="O1081" s="510">
        <v>90</v>
      </c>
      <c r="P1081" s="317"/>
      <c r="Q1081" s="317">
        <v>0.39500000000000002</v>
      </c>
      <c r="R1081" s="319">
        <f t="shared" si="372"/>
        <v>410.60250000000002</v>
      </c>
      <c r="S1081" s="398" t="str">
        <f t="shared" si="373"/>
        <v>kg</v>
      </c>
      <c r="T1081" s="320">
        <v>34</v>
      </c>
      <c r="U1081" s="424" t="s">
        <v>519</v>
      </c>
      <c r="V1081" s="435">
        <f t="shared" ca="1" si="358"/>
        <v>23656.675000000047</v>
      </c>
      <c r="W1081" s="256">
        <f t="shared" ca="1" si="357"/>
        <v>2</v>
      </c>
      <c r="X1081" s="256">
        <f t="shared" ca="1" si="374"/>
        <v>1</v>
      </c>
      <c r="Y1081" s="256"/>
      <c r="Z1081" s="256"/>
      <c r="AA1081" s="292"/>
      <c r="AB1081" s="292"/>
      <c r="AC1081" s="292"/>
    </row>
    <row r="1082" spans="1:29" s="293" customFormat="1" ht="15.75" x14ac:dyDescent="0.2">
      <c r="A1082" s="399"/>
      <c r="B1082" s="311"/>
      <c r="C1082" s="312"/>
      <c r="D1082" s="419"/>
      <c r="E1082" s="316"/>
      <c r="F1082" s="420"/>
      <c r="G1082" s="419"/>
      <c r="H1082" s="316"/>
      <c r="I1082" s="420"/>
      <c r="J1082" s="509"/>
      <c r="K1082" s="433"/>
      <c r="L1082" s="417"/>
      <c r="M1082" s="431"/>
      <c r="N1082" s="431"/>
      <c r="O1082" s="510"/>
      <c r="P1082" s="317"/>
      <c r="Q1082" s="315"/>
      <c r="R1082" s="319"/>
      <c r="S1082" s="398"/>
      <c r="T1082" s="320"/>
      <c r="U1082" s="424"/>
      <c r="V1082" s="435">
        <f t="shared" ca="1" si="358"/>
        <v>23656.675000000047</v>
      </c>
      <c r="W1082" s="256">
        <f t="shared" ca="1" si="357"/>
        <v>0</v>
      </c>
      <c r="X1082" s="256">
        <f t="shared" ca="1" si="374"/>
        <v>1</v>
      </c>
      <c r="Y1082" s="256"/>
      <c r="Z1082" s="256"/>
      <c r="AA1082" s="292"/>
      <c r="AB1082" s="292"/>
      <c r="AC1082" s="292"/>
    </row>
    <row r="1083" spans="1:29" s="293" customFormat="1" ht="25.5" x14ac:dyDescent="0.2">
      <c r="A1083" s="399"/>
      <c r="B1083" s="311"/>
      <c r="C1083" s="312" t="s">
        <v>561</v>
      </c>
      <c r="D1083" s="419">
        <v>62</v>
      </c>
      <c r="E1083" s="316" t="s">
        <v>518</v>
      </c>
      <c r="F1083" s="420">
        <v>5</v>
      </c>
      <c r="G1083" s="419">
        <v>65</v>
      </c>
      <c r="H1083" s="316" t="s">
        <v>518</v>
      </c>
      <c r="I1083" s="420">
        <v>5</v>
      </c>
      <c r="J1083" s="509">
        <v>8</v>
      </c>
      <c r="K1083" s="421">
        <f t="shared" ref="K1083:K1088" si="375">ABS((G1083*20+I1083)-(D1083*20+F1083))</f>
        <v>60</v>
      </c>
      <c r="L1083" s="431">
        <v>20</v>
      </c>
      <c r="M1083" s="431">
        <v>2</v>
      </c>
      <c r="N1083" s="431">
        <f>15*2</f>
        <v>30</v>
      </c>
      <c r="O1083" s="510">
        <f>K1083*100</f>
        <v>6000</v>
      </c>
      <c r="P1083" s="511">
        <f>ROUND(O1083/100/15,0)*100</f>
        <v>400</v>
      </c>
      <c r="Q1083" s="317">
        <v>0.39500000000000002</v>
      </c>
      <c r="R1083" s="319">
        <f t="shared" ref="R1083:R1088" si="376">N1083*((O1083+P1083)/100)*M1083*Q1083</f>
        <v>1516.8000000000002</v>
      </c>
      <c r="S1083" s="398" t="str">
        <f t="shared" ref="S1083:S1095" si="377">$L$1174</f>
        <v>kg</v>
      </c>
      <c r="T1083" s="320">
        <v>35</v>
      </c>
      <c r="U1083" s="424" t="s">
        <v>519</v>
      </c>
      <c r="V1083" s="435">
        <f t="shared" ca="1" si="358"/>
        <v>23656.675000000047</v>
      </c>
      <c r="W1083" s="256">
        <f t="shared" ca="1" si="357"/>
        <v>2</v>
      </c>
      <c r="X1083" s="256">
        <f t="shared" ca="1" si="374"/>
        <v>1</v>
      </c>
      <c r="Y1083" s="256"/>
      <c r="Z1083" s="256"/>
      <c r="AA1083" s="292"/>
      <c r="AB1083" s="292"/>
      <c r="AC1083" s="292"/>
    </row>
    <row r="1084" spans="1:29" s="293" customFormat="1" ht="25.5" x14ac:dyDescent="0.2">
      <c r="A1084" s="399"/>
      <c r="B1084" s="311"/>
      <c r="C1084" s="312" t="s">
        <v>556</v>
      </c>
      <c r="D1084" s="419">
        <v>62</v>
      </c>
      <c r="E1084" s="316" t="s">
        <v>518</v>
      </c>
      <c r="F1084" s="420">
        <v>5</v>
      </c>
      <c r="G1084" s="419">
        <v>65</v>
      </c>
      <c r="H1084" s="316" t="s">
        <v>518</v>
      </c>
      <c r="I1084" s="420">
        <v>5</v>
      </c>
      <c r="J1084" s="509">
        <v>8</v>
      </c>
      <c r="K1084" s="421">
        <f t="shared" si="375"/>
        <v>60</v>
      </c>
      <c r="L1084" s="431">
        <v>20</v>
      </c>
      <c r="M1084" s="431">
        <v>2</v>
      </c>
      <c r="N1084" s="431">
        <f>ROUNDUP(K1084/(L1084/100),0)+1</f>
        <v>301</v>
      </c>
      <c r="O1084" s="510">
        <v>109</v>
      </c>
      <c r="P1084" s="315"/>
      <c r="Q1084" s="317">
        <v>0.39500000000000002</v>
      </c>
      <c r="R1084" s="319">
        <f t="shared" si="376"/>
        <v>259.19110000000006</v>
      </c>
      <c r="S1084" s="398" t="str">
        <f t="shared" si="377"/>
        <v>kg</v>
      </c>
      <c r="T1084" s="320">
        <v>35</v>
      </c>
      <c r="U1084" s="424" t="s">
        <v>519</v>
      </c>
      <c r="V1084" s="435">
        <f t="shared" ca="1" si="358"/>
        <v>23656.675000000047</v>
      </c>
      <c r="W1084" s="256">
        <f t="shared" ca="1" si="357"/>
        <v>2</v>
      </c>
      <c r="X1084" s="256">
        <f t="shared" ca="1" si="374"/>
        <v>1</v>
      </c>
      <c r="Y1084" s="256"/>
      <c r="Z1084" s="256"/>
      <c r="AA1084" s="292"/>
      <c r="AB1084" s="292"/>
      <c r="AC1084" s="292"/>
    </row>
    <row r="1085" spans="1:29" s="293" customFormat="1" ht="25.5" x14ac:dyDescent="0.2">
      <c r="A1085" s="399"/>
      <c r="B1085" s="311"/>
      <c r="C1085" s="312" t="s">
        <v>557</v>
      </c>
      <c r="D1085" s="419">
        <v>62</v>
      </c>
      <c r="E1085" s="316" t="s">
        <v>518</v>
      </c>
      <c r="F1085" s="420">
        <v>5</v>
      </c>
      <c r="G1085" s="419">
        <v>65</v>
      </c>
      <c r="H1085" s="316" t="s">
        <v>518</v>
      </c>
      <c r="I1085" s="420">
        <v>5</v>
      </c>
      <c r="J1085" s="509">
        <v>20</v>
      </c>
      <c r="K1085" s="421">
        <f t="shared" si="375"/>
        <v>60</v>
      </c>
      <c r="L1085" s="431">
        <v>20</v>
      </c>
      <c r="M1085" s="431">
        <v>2</v>
      </c>
      <c r="N1085" s="431">
        <f>ROUNDUP(K1085/(L1085/100),0)+1</f>
        <v>301</v>
      </c>
      <c r="O1085" s="510">
        <v>254</v>
      </c>
      <c r="P1085" s="315"/>
      <c r="Q1085" s="317">
        <v>2.4660000000000002</v>
      </c>
      <c r="R1085" s="319">
        <f t="shared" si="376"/>
        <v>3770.71128</v>
      </c>
      <c r="S1085" s="398" t="str">
        <f t="shared" si="377"/>
        <v>kg</v>
      </c>
      <c r="T1085" s="320">
        <v>35</v>
      </c>
      <c r="U1085" s="424" t="s">
        <v>519</v>
      </c>
      <c r="V1085" s="435">
        <f t="shared" ca="1" si="358"/>
        <v>23656.675000000047</v>
      </c>
      <c r="W1085" s="256">
        <f t="shared" ca="1" si="357"/>
        <v>2</v>
      </c>
      <c r="X1085" s="256">
        <f t="shared" ca="1" si="374"/>
        <v>1</v>
      </c>
      <c r="Y1085" s="256"/>
      <c r="Z1085" s="256"/>
      <c r="AA1085" s="292"/>
      <c r="AB1085" s="292"/>
      <c r="AC1085" s="292"/>
    </row>
    <row r="1086" spans="1:29" s="293" customFormat="1" ht="25.5" x14ac:dyDescent="0.2">
      <c r="A1086" s="399"/>
      <c r="B1086" s="311"/>
      <c r="C1086" s="312" t="s">
        <v>562</v>
      </c>
      <c r="D1086" s="419">
        <v>62</v>
      </c>
      <c r="E1086" s="316" t="s">
        <v>518</v>
      </c>
      <c r="F1086" s="420">
        <v>5</v>
      </c>
      <c r="G1086" s="419">
        <v>65</v>
      </c>
      <c r="H1086" s="316" t="s">
        <v>518</v>
      </c>
      <c r="I1086" s="420">
        <v>5</v>
      </c>
      <c r="J1086" s="509">
        <v>20</v>
      </c>
      <c r="K1086" s="421">
        <f t="shared" si="375"/>
        <v>60</v>
      </c>
      <c r="L1086" s="431">
        <v>20</v>
      </c>
      <c r="M1086" s="431">
        <v>2</v>
      </c>
      <c r="N1086" s="431">
        <f>ROUNDUP(K1086/(L1086/100),0)+1</f>
        <v>301</v>
      </c>
      <c r="O1086" s="510">
        <v>688</v>
      </c>
      <c r="P1086" s="315"/>
      <c r="Q1086" s="317">
        <v>2.4660000000000002</v>
      </c>
      <c r="R1086" s="319">
        <f t="shared" si="376"/>
        <v>10213.580160000001</v>
      </c>
      <c r="S1086" s="398" t="str">
        <f t="shared" si="377"/>
        <v>kg</v>
      </c>
      <c r="T1086" s="320">
        <v>35</v>
      </c>
      <c r="U1086" s="424" t="s">
        <v>519</v>
      </c>
      <c r="V1086" s="435">
        <f t="shared" ca="1" si="358"/>
        <v>23656.675000000047</v>
      </c>
      <c r="W1086" s="256">
        <f t="shared" ca="1" si="357"/>
        <v>2</v>
      </c>
      <c r="X1086" s="256">
        <f t="shared" ca="1" si="374"/>
        <v>1</v>
      </c>
      <c r="Y1086" s="256"/>
      <c r="Z1086" s="256"/>
      <c r="AA1086" s="292"/>
      <c r="AB1086" s="292"/>
      <c r="AC1086" s="292"/>
    </row>
    <row r="1087" spans="1:29" s="293" customFormat="1" ht="25.5" x14ac:dyDescent="0.2">
      <c r="A1087" s="399"/>
      <c r="B1087" s="311"/>
      <c r="C1087" s="312" t="s">
        <v>563</v>
      </c>
      <c r="D1087" s="419">
        <v>62</v>
      </c>
      <c r="E1087" s="316" t="s">
        <v>518</v>
      </c>
      <c r="F1087" s="420">
        <v>5</v>
      </c>
      <c r="G1087" s="419">
        <v>65</v>
      </c>
      <c r="H1087" s="316" t="s">
        <v>518</v>
      </c>
      <c r="I1087" s="420">
        <v>5</v>
      </c>
      <c r="J1087" s="509">
        <v>20</v>
      </c>
      <c r="K1087" s="421">
        <f t="shared" si="375"/>
        <v>60</v>
      </c>
      <c r="L1087" s="431"/>
      <c r="M1087" s="431">
        <v>2</v>
      </c>
      <c r="N1087" s="431">
        <f>2+4</f>
        <v>6</v>
      </c>
      <c r="O1087" s="510">
        <f>K1087*100</f>
        <v>6000</v>
      </c>
      <c r="P1087" s="511">
        <f>ROUND(O1087/100/15,0)*100</f>
        <v>400</v>
      </c>
      <c r="Q1087" s="317">
        <v>2.4660000000000002</v>
      </c>
      <c r="R1087" s="319">
        <f t="shared" si="376"/>
        <v>1893.8880000000001</v>
      </c>
      <c r="S1087" s="398" t="str">
        <f t="shared" si="377"/>
        <v>kg</v>
      </c>
      <c r="T1087" s="320">
        <v>35</v>
      </c>
      <c r="U1087" s="424" t="s">
        <v>519</v>
      </c>
      <c r="V1087" s="435">
        <f t="shared" ca="1" si="358"/>
        <v>23656.675000000047</v>
      </c>
      <c r="W1087" s="256">
        <f t="shared" ca="1" si="357"/>
        <v>2</v>
      </c>
      <c r="X1087" s="256">
        <f t="shared" ca="1" si="374"/>
        <v>1</v>
      </c>
      <c r="Y1087" s="256"/>
      <c r="Z1087" s="256"/>
      <c r="AA1087" s="292"/>
      <c r="AB1087" s="292"/>
      <c r="AC1087" s="292"/>
    </row>
    <row r="1088" spans="1:29" s="293" customFormat="1" ht="25.5" x14ac:dyDescent="0.2">
      <c r="A1088" s="399"/>
      <c r="B1088" s="311"/>
      <c r="C1088" s="312" t="s">
        <v>559</v>
      </c>
      <c r="D1088" s="419">
        <v>62</v>
      </c>
      <c r="E1088" s="316" t="s">
        <v>518</v>
      </c>
      <c r="F1088" s="420">
        <v>5</v>
      </c>
      <c r="G1088" s="419">
        <v>65</v>
      </c>
      <c r="H1088" s="316" t="s">
        <v>518</v>
      </c>
      <c r="I1088" s="420">
        <v>5</v>
      </c>
      <c r="J1088" s="509">
        <v>8</v>
      </c>
      <c r="K1088" s="433">
        <f t="shared" si="375"/>
        <v>60</v>
      </c>
      <c r="L1088" s="431">
        <v>60</v>
      </c>
      <c r="M1088" s="431">
        <f>ROUNDUP(12/(L1088/100),0)+1</f>
        <v>21</v>
      </c>
      <c r="N1088" s="431">
        <f>ROUNDUP(K1088/(L1088/100),0)+1</f>
        <v>101</v>
      </c>
      <c r="O1088" s="510">
        <v>90</v>
      </c>
      <c r="P1088" s="317"/>
      <c r="Q1088" s="317">
        <v>0.39500000000000002</v>
      </c>
      <c r="R1088" s="319">
        <f t="shared" si="376"/>
        <v>754.01550000000009</v>
      </c>
      <c r="S1088" s="398" t="str">
        <f t="shared" si="377"/>
        <v>kg</v>
      </c>
      <c r="T1088" s="320">
        <v>35</v>
      </c>
      <c r="U1088" s="424" t="s">
        <v>519</v>
      </c>
      <c r="V1088" s="435">
        <f t="shared" ca="1" si="358"/>
        <v>23656.675000000047</v>
      </c>
      <c r="W1088" s="256">
        <f t="shared" ca="1" si="357"/>
        <v>2</v>
      </c>
      <c r="X1088" s="256">
        <f t="shared" ca="1" si="374"/>
        <v>1</v>
      </c>
      <c r="Y1088" s="256"/>
      <c r="Z1088" s="256"/>
      <c r="AA1088" s="292"/>
      <c r="AB1088" s="292"/>
      <c r="AC1088" s="292"/>
    </row>
    <row r="1089" spans="1:29" s="293" customFormat="1" ht="15.75" x14ac:dyDescent="0.2">
      <c r="A1089" s="399"/>
      <c r="B1089" s="311"/>
      <c r="C1089" s="312"/>
      <c r="D1089" s="419"/>
      <c r="E1089" s="316"/>
      <c r="F1089" s="420"/>
      <c r="G1089" s="419"/>
      <c r="H1089" s="316"/>
      <c r="I1089" s="420"/>
      <c r="J1089" s="509"/>
      <c r="K1089" s="433"/>
      <c r="L1089" s="417"/>
      <c r="M1089" s="431"/>
      <c r="N1089" s="431"/>
      <c r="O1089" s="510"/>
      <c r="P1089" s="317"/>
      <c r="Q1089" s="315"/>
      <c r="R1089" s="319"/>
      <c r="S1089" s="853"/>
      <c r="T1089" s="320"/>
      <c r="U1089" s="424"/>
      <c r="V1089" s="435">
        <f t="shared" ca="1" si="358"/>
        <v>23656.675000000047</v>
      </c>
      <c r="W1089" s="256">
        <f t="shared" ca="1" si="357"/>
        <v>0</v>
      </c>
      <c r="X1089" s="256">
        <f t="shared" ca="1" si="374"/>
        <v>1</v>
      </c>
      <c r="Y1089" s="256"/>
      <c r="Z1089" s="256"/>
      <c r="AA1089" s="292"/>
      <c r="AB1089" s="292"/>
      <c r="AC1089" s="292"/>
    </row>
    <row r="1090" spans="1:29" s="293" customFormat="1" ht="25.5" x14ac:dyDescent="0.2">
      <c r="A1090" s="399"/>
      <c r="B1090" s="311"/>
      <c r="C1090" s="312" t="s">
        <v>561</v>
      </c>
      <c r="D1090" s="419">
        <v>60</v>
      </c>
      <c r="E1090" s="316" t="s">
        <v>518</v>
      </c>
      <c r="F1090" s="420">
        <v>0</v>
      </c>
      <c r="G1090" s="419">
        <v>62</v>
      </c>
      <c r="H1090" s="316" t="s">
        <v>518</v>
      </c>
      <c r="I1090" s="420">
        <v>5</v>
      </c>
      <c r="J1090" s="509">
        <v>8</v>
      </c>
      <c r="K1090" s="421">
        <f t="shared" ref="K1090:K1095" si="378">ABS((G1090*20+I1090)-(D1090*20+F1090))</f>
        <v>45</v>
      </c>
      <c r="L1090" s="431">
        <v>20</v>
      </c>
      <c r="M1090" s="431">
        <v>2</v>
      </c>
      <c r="N1090" s="431">
        <f>15*2</f>
        <v>30</v>
      </c>
      <c r="O1090" s="510">
        <f>K1090*100</f>
        <v>4500</v>
      </c>
      <c r="P1090" s="511">
        <f>ROUND(O1090/100/15,0)*100</f>
        <v>300</v>
      </c>
      <c r="Q1090" s="317">
        <v>0.39500000000000002</v>
      </c>
      <c r="R1090" s="319">
        <f t="shared" ref="R1090:R1095" si="379">N1090*((O1090+P1090)/100)*M1090*Q1090</f>
        <v>1137.6000000000001</v>
      </c>
      <c r="S1090" s="398" t="str">
        <f t="shared" si="377"/>
        <v>kg</v>
      </c>
      <c r="T1090" s="320">
        <v>36</v>
      </c>
      <c r="U1090" s="424" t="s">
        <v>519</v>
      </c>
      <c r="V1090" s="435">
        <f t="shared" ca="1" si="358"/>
        <v>23656.675000000047</v>
      </c>
      <c r="W1090" s="256">
        <f t="shared" ca="1" si="357"/>
        <v>2</v>
      </c>
      <c r="X1090" s="256">
        <f t="shared" ca="1" si="374"/>
        <v>1</v>
      </c>
      <c r="Y1090" s="256"/>
      <c r="Z1090" s="256"/>
      <c r="AA1090" s="292"/>
      <c r="AB1090" s="292"/>
      <c r="AC1090" s="292"/>
    </row>
    <row r="1091" spans="1:29" s="293" customFormat="1" ht="25.5" x14ac:dyDescent="0.2">
      <c r="A1091" s="399"/>
      <c r="B1091" s="311"/>
      <c r="C1091" s="312" t="s">
        <v>556</v>
      </c>
      <c r="D1091" s="419">
        <v>60</v>
      </c>
      <c r="E1091" s="316" t="s">
        <v>518</v>
      </c>
      <c r="F1091" s="420">
        <v>0</v>
      </c>
      <c r="G1091" s="419">
        <v>62</v>
      </c>
      <c r="H1091" s="316" t="s">
        <v>518</v>
      </c>
      <c r="I1091" s="420">
        <v>5</v>
      </c>
      <c r="J1091" s="509">
        <v>8</v>
      </c>
      <c r="K1091" s="421">
        <f t="shared" si="378"/>
        <v>45</v>
      </c>
      <c r="L1091" s="431">
        <v>20</v>
      </c>
      <c r="M1091" s="431">
        <v>2</v>
      </c>
      <c r="N1091" s="431">
        <f>ROUNDUP(K1091/(L1091/100),0)+1</f>
        <v>226</v>
      </c>
      <c r="O1091" s="510">
        <v>109</v>
      </c>
      <c r="P1091" s="315"/>
      <c r="Q1091" s="317">
        <v>0.39500000000000002</v>
      </c>
      <c r="R1091" s="319">
        <f t="shared" si="379"/>
        <v>194.60860000000002</v>
      </c>
      <c r="S1091" s="398" t="str">
        <f t="shared" si="377"/>
        <v>kg</v>
      </c>
      <c r="T1091" s="320">
        <v>36</v>
      </c>
      <c r="U1091" s="424" t="s">
        <v>519</v>
      </c>
      <c r="V1091" s="435">
        <f t="shared" ca="1" si="358"/>
        <v>23656.675000000047</v>
      </c>
      <c r="W1091" s="256">
        <f t="shared" ca="1" si="357"/>
        <v>2</v>
      </c>
      <c r="X1091" s="256">
        <f t="shared" ca="1" si="374"/>
        <v>1</v>
      </c>
      <c r="Y1091" s="256"/>
      <c r="Z1091" s="256"/>
      <c r="AA1091" s="292"/>
      <c r="AB1091" s="292"/>
      <c r="AC1091" s="292"/>
    </row>
    <row r="1092" spans="1:29" s="293" customFormat="1" ht="25.5" x14ac:dyDescent="0.2">
      <c r="A1092" s="399"/>
      <c r="B1092" s="311"/>
      <c r="C1092" s="312" t="s">
        <v>557</v>
      </c>
      <c r="D1092" s="419">
        <v>60</v>
      </c>
      <c r="E1092" s="316" t="s">
        <v>518</v>
      </c>
      <c r="F1092" s="420">
        <v>0</v>
      </c>
      <c r="G1092" s="419">
        <v>62</v>
      </c>
      <c r="H1092" s="316" t="s">
        <v>518</v>
      </c>
      <c r="I1092" s="420">
        <v>5</v>
      </c>
      <c r="J1092" s="509">
        <v>20</v>
      </c>
      <c r="K1092" s="421">
        <f t="shared" si="378"/>
        <v>45</v>
      </c>
      <c r="L1092" s="431">
        <v>20</v>
      </c>
      <c r="M1092" s="431">
        <v>2</v>
      </c>
      <c r="N1092" s="431">
        <f>ROUNDUP(K1092/(L1092/100),0)+1</f>
        <v>226</v>
      </c>
      <c r="O1092" s="510">
        <v>254</v>
      </c>
      <c r="P1092" s="315"/>
      <c r="Q1092" s="317">
        <v>2.4660000000000002</v>
      </c>
      <c r="R1092" s="319">
        <f t="shared" si="379"/>
        <v>2831.1652800000002</v>
      </c>
      <c r="S1092" s="398" t="str">
        <f t="shared" si="377"/>
        <v>kg</v>
      </c>
      <c r="T1092" s="320">
        <v>36</v>
      </c>
      <c r="U1092" s="424" t="s">
        <v>519</v>
      </c>
      <c r="V1092" s="435">
        <f t="shared" ca="1" si="358"/>
        <v>23656.675000000047</v>
      </c>
      <c r="W1092" s="256">
        <f t="shared" ca="1" si="357"/>
        <v>2</v>
      </c>
      <c r="X1092" s="256">
        <f t="shared" ca="1" si="374"/>
        <v>1</v>
      </c>
      <c r="Y1092" s="256"/>
      <c r="Z1092" s="256"/>
      <c r="AA1092" s="292"/>
      <c r="AB1092" s="292"/>
      <c r="AC1092" s="292"/>
    </row>
    <row r="1093" spans="1:29" s="293" customFormat="1" ht="25.5" x14ac:dyDescent="0.2">
      <c r="A1093" s="399"/>
      <c r="B1093" s="311"/>
      <c r="C1093" s="312" t="s">
        <v>562</v>
      </c>
      <c r="D1093" s="419">
        <v>60</v>
      </c>
      <c r="E1093" s="316" t="s">
        <v>518</v>
      </c>
      <c r="F1093" s="420">
        <v>0</v>
      </c>
      <c r="G1093" s="419">
        <v>62</v>
      </c>
      <c r="H1093" s="316" t="s">
        <v>518</v>
      </c>
      <c r="I1093" s="420">
        <v>5</v>
      </c>
      <c r="J1093" s="509">
        <v>20</v>
      </c>
      <c r="K1093" s="421">
        <f t="shared" si="378"/>
        <v>45</v>
      </c>
      <c r="L1093" s="431">
        <v>20</v>
      </c>
      <c r="M1093" s="431">
        <v>2</v>
      </c>
      <c r="N1093" s="431">
        <f>ROUNDUP(K1093/(L1093/100),0)+1</f>
        <v>226</v>
      </c>
      <c r="O1093" s="510">
        <v>688</v>
      </c>
      <c r="P1093" s="315"/>
      <c r="Q1093" s="317">
        <v>2.4660000000000002</v>
      </c>
      <c r="R1093" s="319">
        <f t="shared" si="379"/>
        <v>7668.6681600000002</v>
      </c>
      <c r="S1093" s="398" t="str">
        <f t="shared" si="377"/>
        <v>kg</v>
      </c>
      <c r="T1093" s="320">
        <v>36</v>
      </c>
      <c r="U1093" s="424" t="s">
        <v>519</v>
      </c>
      <c r="V1093" s="435">
        <f t="shared" ca="1" si="358"/>
        <v>23656.675000000047</v>
      </c>
      <c r="W1093" s="256">
        <f t="shared" ca="1" si="357"/>
        <v>2</v>
      </c>
      <c r="X1093" s="256">
        <f t="shared" ca="1" si="374"/>
        <v>1</v>
      </c>
      <c r="Y1093" s="256"/>
      <c r="Z1093" s="256"/>
      <c r="AA1093" s="292"/>
      <c r="AB1093" s="292"/>
      <c r="AC1093" s="292"/>
    </row>
    <row r="1094" spans="1:29" s="293" customFormat="1" ht="25.5" x14ac:dyDescent="0.2">
      <c r="A1094" s="399"/>
      <c r="B1094" s="311"/>
      <c r="C1094" s="312" t="s">
        <v>563</v>
      </c>
      <c r="D1094" s="419">
        <v>60</v>
      </c>
      <c r="E1094" s="316" t="s">
        <v>518</v>
      </c>
      <c r="F1094" s="420">
        <v>0</v>
      </c>
      <c r="G1094" s="419">
        <v>62</v>
      </c>
      <c r="H1094" s="316" t="s">
        <v>518</v>
      </c>
      <c r="I1094" s="420">
        <v>5</v>
      </c>
      <c r="J1094" s="509">
        <v>20</v>
      </c>
      <c r="K1094" s="421">
        <f t="shared" si="378"/>
        <v>45</v>
      </c>
      <c r="L1094" s="431"/>
      <c r="M1094" s="431">
        <v>2</v>
      </c>
      <c r="N1094" s="431">
        <f>2+4</f>
        <v>6</v>
      </c>
      <c r="O1094" s="510">
        <f>K1094*100</f>
        <v>4500</v>
      </c>
      <c r="P1094" s="511">
        <f>ROUND(O1094/100/15,0)*100</f>
        <v>300</v>
      </c>
      <c r="Q1094" s="317">
        <v>2.4660000000000002</v>
      </c>
      <c r="R1094" s="319">
        <f t="shared" si="379"/>
        <v>1420.4160000000002</v>
      </c>
      <c r="S1094" s="398" t="str">
        <f t="shared" si="377"/>
        <v>kg</v>
      </c>
      <c r="T1094" s="320">
        <v>36</v>
      </c>
      <c r="U1094" s="424" t="s">
        <v>519</v>
      </c>
      <c r="V1094" s="435">
        <f t="shared" ca="1" si="358"/>
        <v>23656.675000000047</v>
      </c>
      <c r="W1094" s="256">
        <f t="shared" ca="1" si="357"/>
        <v>2</v>
      </c>
      <c r="X1094" s="256">
        <f t="shared" ca="1" si="374"/>
        <v>1</v>
      </c>
      <c r="Y1094" s="256"/>
      <c r="Z1094" s="256"/>
      <c r="AA1094" s="292"/>
      <c r="AB1094" s="292"/>
      <c r="AC1094" s="292"/>
    </row>
    <row r="1095" spans="1:29" s="293" customFormat="1" ht="25.5" x14ac:dyDescent="0.2">
      <c r="A1095" s="399"/>
      <c r="B1095" s="311"/>
      <c r="C1095" s="312" t="s">
        <v>559</v>
      </c>
      <c r="D1095" s="419">
        <v>60</v>
      </c>
      <c r="E1095" s="316" t="s">
        <v>518</v>
      </c>
      <c r="F1095" s="420">
        <v>0</v>
      </c>
      <c r="G1095" s="419">
        <v>62</v>
      </c>
      <c r="H1095" s="316" t="s">
        <v>518</v>
      </c>
      <c r="I1095" s="420">
        <v>5</v>
      </c>
      <c r="J1095" s="509">
        <v>8</v>
      </c>
      <c r="K1095" s="433">
        <f t="shared" si="378"/>
        <v>45</v>
      </c>
      <c r="L1095" s="431">
        <v>60</v>
      </c>
      <c r="M1095" s="431">
        <f>ROUNDUP(12/(L1095/100),0)+1</f>
        <v>21</v>
      </c>
      <c r="N1095" s="431">
        <f>ROUNDUP(K1095/(L1095/100),0)+1</f>
        <v>76</v>
      </c>
      <c r="O1095" s="510">
        <v>90</v>
      </c>
      <c r="P1095" s="317"/>
      <c r="Q1095" s="317">
        <v>0.39500000000000002</v>
      </c>
      <c r="R1095" s="319">
        <f t="shared" si="379"/>
        <v>567.37800000000004</v>
      </c>
      <c r="S1095" s="398" t="str">
        <f t="shared" si="377"/>
        <v>kg</v>
      </c>
      <c r="T1095" s="320">
        <v>36</v>
      </c>
      <c r="U1095" s="424" t="s">
        <v>519</v>
      </c>
      <c r="V1095" s="435">
        <f t="shared" ca="1" si="358"/>
        <v>23656.675000000047</v>
      </c>
      <c r="W1095" s="256">
        <f t="shared" ca="1" si="357"/>
        <v>2</v>
      </c>
      <c r="X1095" s="256">
        <f t="shared" ca="1" si="374"/>
        <v>1</v>
      </c>
      <c r="Y1095" s="256"/>
      <c r="Z1095" s="256"/>
      <c r="AA1095" s="292"/>
      <c r="AB1095" s="292"/>
      <c r="AC1095" s="292"/>
    </row>
    <row r="1096" spans="1:29" s="293" customFormat="1" ht="15.75" x14ac:dyDescent="0.2">
      <c r="A1096" s="399"/>
      <c r="B1096" s="311"/>
      <c r="C1096" s="312"/>
      <c r="D1096" s="419"/>
      <c r="E1096" s="316"/>
      <c r="F1096" s="420"/>
      <c r="G1096" s="419"/>
      <c r="H1096" s="316"/>
      <c r="I1096" s="420"/>
      <c r="J1096" s="509"/>
      <c r="K1096" s="433"/>
      <c r="L1096" s="417"/>
      <c r="M1096" s="431"/>
      <c r="N1096" s="431"/>
      <c r="O1096" s="510"/>
      <c r="P1096" s="317"/>
      <c r="Q1096" s="315"/>
      <c r="R1096" s="319"/>
      <c r="S1096" s="853"/>
      <c r="T1096" s="320"/>
      <c r="U1096" s="424"/>
      <c r="V1096" s="435">
        <f t="shared" ca="1" si="358"/>
        <v>23656.675000000047</v>
      </c>
      <c r="W1096" s="256">
        <f t="shared" ca="1" si="357"/>
        <v>0</v>
      </c>
      <c r="X1096" s="256">
        <f t="shared" ca="1" si="374"/>
        <v>1</v>
      </c>
      <c r="Y1096" s="256"/>
      <c r="Z1096" s="256"/>
      <c r="AA1096" s="292"/>
      <c r="AB1096" s="292"/>
      <c r="AC1096" s="292"/>
    </row>
    <row r="1097" spans="1:29" s="293" customFormat="1" ht="25.5" x14ac:dyDescent="0.2">
      <c r="A1097" s="399"/>
      <c r="B1097" s="311"/>
      <c r="C1097" s="312" t="s">
        <v>561</v>
      </c>
      <c r="D1097" s="419">
        <v>57</v>
      </c>
      <c r="E1097" s="316" t="s">
        <v>518</v>
      </c>
      <c r="F1097" s="420">
        <v>16</v>
      </c>
      <c r="G1097" s="419">
        <v>60</v>
      </c>
      <c r="H1097" s="316" t="s">
        <v>518</v>
      </c>
      <c r="I1097" s="420">
        <v>0</v>
      </c>
      <c r="J1097" s="509">
        <v>8</v>
      </c>
      <c r="K1097" s="421">
        <f t="shared" ref="K1097:K1102" si="380">ABS((G1097*20+I1097)-(D1097*20+F1097))</f>
        <v>44</v>
      </c>
      <c r="L1097" s="431">
        <v>20</v>
      </c>
      <c r="M1097" s="431">
        <v>2</v>
      </c>
      <c r="N1097" s="431">
        <f>15*2</f>
        <v>30</v>
      </c>
      <c r="O1097" s="510">
        <f>K1097*100</f>
        <v>4400</v>
      </c>
      <c r="P1097" s="511">
        <f>ROUND(O1097/100/15,0)*100</f>
        <v>300</v>
      </c>
      <c r="Q1097" s="317">
        <v>0.39500000000000002</v>
      </c>
      <c r="R1097" s="319">
        <f t="shared" ref="R1097:R1102" si="381">N1097*((O1097+P1097)/100)*M1097*Q1097</f>
        <v>1113.9000000000001</v>
      </c>
      <c r="S1097" s="398" t="str">
        <f>$L$1174</f>
        <v>kg</v>
      </c>
      <c r="T1097" s="320">
        <v>37</v>
      </c>
      <c r="U1097" s="424" t="s">
        <v>519</v>
      </c>
      <c r="V1097" s="435">
        <f t="shared" ca="1" si="358"/>
        <v>23656.675000000047</v>
      </c>
      <c r="W1097" s="256">
        <f t="shared" ca="1" si="357"/>
        <v>2</v>
      </c>
      <c r="X1097" s="256">
        <f t="shared" ca="1" si="374"/>
        <v>1</v>
      </c>
      <c r="Y1097" s="256"/>
      <c r="Z1097" s="256"/>
      <c r="AA1097" s="292"/>
      <c r="AB1097" s="292"/>
      <c r="AC1097" s="292"/>
    </row>
    <row r="1098" spans="1:29" s="293" customFormat="1" ht="25.5" x14ac:dyDescent="0.2">
      <c r="A1098" s="399"/>
      <c r="B1098" s="311"/>
      <c r="C1098" s="312" t="s">
        <v>556</v>
      </c>
      <c r="D1098" s="419">
        <v>57</v>
      </c>
      <c r="E1098" s="316" t="s">
        <v>518</v>
      </c>
      <c r="F1098" s="420">
        <v>16</v>
      </c>
      <c r="G1098" s="419">
        <v>60</v>
      </c>
      <c r="H1098" s="316" t="s">
        <v>518</v>
      </c>
      <c r="I1098" s="420">
        <v>0</v>
      </c>
      <c r="J1098" s="509">
        <v>8</v>
      </c>
      <c r="K1098" s="421">
        <f t="shared" si="380"/>
        <v>44</v>
      </c>
      <c r="L1098" s="431">
        <v>20</v>
      </c>
      <c r="M1098" s="431">
        <v>2</v>
      </c>
      <c r="N1098" s="431">
        <f>ROUNDUP(K1098/(L1098/100),0)+1</f>
        <v>221</v>
      </c>
      <c r="O1098" s="510">
        <v>109</v>
      </c>
      <c r="P1098" s="315"/>
      <c r="Q1098" s="317">
        <v>0.39500000000000002</v>
      </c>
      <c r="R1098" s="319">
        <f t="shared" si="381"/>
        <v>190.30310000000003</v>
      </c>
      <c r="S1098" s="398" t="str">
        <f t="shared" ref="S1098:S1116" si="382">$L$1174</f>
        <v>kg</v>
      </c>
      <c r="T1098" s="320">
        <v>37</v>
      </c>
      <c r="U1098" s="424" t="s">
        <v>519</v>
      </c>
      <c r="V1098" s="435">
        <f t="shared" ca="1" si="358"/>
        <v>23656.675000000047</v>
      </c>
      <c r="W1098" s="256">
        <f t="shared" ca="1" si="357"/>
        <v>2</v>
      </c>
      <c r="X1098" s="256">
        <f t="shared" ca="1" si="374"/>
        <v>1</v>
      </c>
      <c r="Y1098" s="256"/>
      <c r="Z1098" s="256"/>
      <c r="AA1098" s="292"/>
      <c r="AB1098" s="292"/>
      <c r="AC1098" s="292"/>
    </row>
    <row r="1099" spans="1:29" s="293" customFormat="1" ht="25.5" x14ac:dyDescent="0.2">
      <c r="A1099" s="399"/>
      <c r="B1099" s="311"/>
      <c r="C1099" s="312" t="s">
        <v>557</v>
      </c>
      <c r="D1099" s="419">
        <v>57</v>
      </c>
      <c r="E1099" s="316" t="s">
        <v>518</v>
      </c>
      <c r="F1099" s="420">
        <v>16</v>
      </c>
      <c r="G1099" s="419">
        <v>60</v>
      </c>
      <c r="H1099" s="316" t="s">
        <v>518</v>
      </c>
      <c r="I1099" s="420">
        <v>0</v>
      </c>
      <c r="J1099" s="509">
        <v>20</v>
      </c>
      <c r="K1099" s="421">
        <f t="shared" si="380"/>
        <v>44</v>
      </c>
      <c r="L1099" s="431">
        <v>20</v>
      </c>
      <c r="M1099" s="431">
        <v>2</v>
      </c>
      <c r="N1099" s="431">
        <f>ROUNDUP(K1099/(L1099/100),0)+1</f>
        <v>221</v>
      </c>
      <c r="O1099" s="510">
        <v>254</v>
      </c>
      <c r="P1099" s="315"/>
      <c r="Q1099" s="317">
        <v>2.4660000000000002</v>
      </c>
      <c r="R1099" s="319">
        <f t="shared" si="381"/>
        <v>2768.5288800000003</v>
      </c>
      <c r="S1099" s="398" t="str">
        <f t="shared" si="382"/>
        <v>kg</v>
      </c>
      <c r="T1099" s="320">
        <v>37</v>
      </c>
      <c r="U1099" s="424" t="s">
        <v>519</v>
      </c>
      <c r="V1099" s="435">
        <f t="shared" ca="1" si="358"/>
        <v>23656.675000000047</v>
      </c>
      <c r="W1099" s="256">
        <f t="shared" ca="1" si="357"/>
        <v>2</v>
      </c>
      <c r="X1099" s="256">
        <f t="shared" ca="1" si="374"/>
        <v>1</v>
      </c>
      <c r="Y1099" s="256"/>
      <c r="Z1099" s="256"/>
      <c r="AA1099" s="292"/>
      <c r="AB1099" s="292"/>
      <c r="AC1099" s="292"/>
    </row>
    <row r="1100" spans="1:29" s="293" customFormat="1" ht="25.5" x14ac:dyDescent="0.2">
      <c r="A1100" s="399"/>
      <c r="B1100" s="311"/>
      <c r="C1100" s="312" t="s">
        <v>562</v>
      </c>
      <c r="D1100" s="419">
        <v>57</v>
      </c>
      <c r="E1100" s="316" t="s">
        <v>518</v>
      </c>
      <c r="F1100" s="420">
        <v>16</v>
      </c>
      <c r="G1100" s="419">
        <v>60</v>
      </c>
      <c r="H1100" s="316" t="s">
        <v>518</v>
      </c>
      <c r="I1100" s="420">
        <v>0</v>
      </c>
      <c r="J1100" s="509">
        <v>20</v>
      </c>
      <c r="K1100" s="421">
        <f t="shared" si="380"/>
        <v>44</v>
      </c>
      <c r="L1100" s="431">
        <v>20</v>
      </c>
      <c r="M1100" s="431">
        <v>2</v>
      </c>
      <c r="N1100" s="431">
        <f>ROUNDUP(K1100/(L1100/100),0)+1</f>
        <v>221</v>
      </c>
      <c r="O1100" s="510">
        <v>688</v>
      </c>
      <c r="P1100" s="315"/>
      <c r="Q1100" s="317">
        <v>2.4660000000000002</v>
      </c>
      <c r="R1100" s="319">
        <f t="shared" si="381"/>
        <v>7499.0073600000005</v>
      </c>
      <c r="S1100" s="398" t="str">
        <f t="shared" si="382"/>
        <v>kg</v>
      </c>
      <c r="T1100" s="320">
        <v>37</v>
      </c>
      <c r="U1100" s="424" t="s">
        <v>519</v>
      </c>
      <c r="V1100" s="435">
        <f t="shared" ca="1" si="358"/>
        <v>23656.675000000047</v>
      </c>
      <c r="W1100" s="256">
        <f t="shared" ca="1" si="357"/>
        <v>2</v>
      </c>
      <c r="X1100" s="256">
        <f t="shared" ca="1" si="374"/>
        <v>1</v>
      </c>
      <c r="Y1100" s="256"/>
      <c r="Z1100" s="256"/>
      <c r="AA1100" s="292"/>
      <c r="AB1100" s="292"/>
      <c r="AC1100" s="292"/>
    </row>
    <row r="1101" spans="1:29" s="293" customFormat="1" ht="25.5" x14ac:dyDescent="0.2">
      <c r="A1101" s="399"/>
      <c r="B1101" s="311"/>
      <c r="C1101" s="312" t="s">
        <v>563</v>
      </c>
      <c r="D1101" s="419">
        <v>57</v>
      </c>
      <c r="E1101" s="316" t="s">
        <v>518</v>
      </c>
      <c r="F1101" s="420">
        <v>16</v>
      </c>
      <c r="G1101" s="419">
        <v>60</v>
      </c>
      <c r="H1101" s="316" t="s">
        <v>518</v>
      </c>
      <c r="I1101" s="420">
        <v>0</v>
      </c>
      <c r="J1101" s="509">
        <v>20</v>
      </c>
      <c r="K1101" s="421">
        <f t="shared" si="380"/>
        <v>44</v>
      </c>
      <c r="L1101" s="431"/>
      <c r="M1101" s="431">
        <v>2</v>
      </c>
      <c r="N1101" s="431">
        <f>2+4</f>
        <v>6</v>
      </c>
      <c r="O1101" s="510">
        <f>K1101*100</f>
        <v>4400</v>
      </c>
      <c r="P1101" s="511">
        <f>ROUND(O1101/100/15,0)*100</f>
        <v>300</v>
      </c>
      <c r="Q1101" s="317">
        <v>2.4660000000000002</v>
      </c>
      <c r="R1101" s="319">
        <f t="shared" si="381"/>
        <v>1390.8240000000001</v>
      </c>
      <c r="S1101" s="398" t="str">
        <f t="shared" si="382"/>
        <v>kg</v>
      </c>
      <c r="T1101" s="320">
        <v>37</v>
      </c>
      <c r="U1101" s="424" t="s">
        <v>519</v>
      </c>
      <c r="V1101" s="435">
        <f t="shared" ca="1" si="358"/>
        <v>23656.675000000047</v>
      </c>
      <c r="W1101" s="256">
        <f t="shared" ca="1" si="357"/>
        <v>2</v>
      </c>
      <c r="X1101" s="256">
        <f t="shared" ca="1" si="374"/>
        <v>1</v>
      </c>
      <c r="Y1101" s="256"/>
      <c r="Z1101" s="256"/>
      <c r="AA1101" s="292"/>
      <c r="AB1101" s="292"/>
      <c r="AC1101" s="292"/>
    </row>
    <row r="1102" spans="1:29" s="293" customFormat="1" ht="25.5" x14ac:dyDescent="0.2">
      <c r="A1102" s="399"/>
      <c r="B1102" s="311"/>
      <c r="C1102" s="312" t="s">
        <v>559</v>
      </c>
      <c r="D1102" s="419">
        <v>57</v>
      </c>
      <c r="E1102" s="316" t="s">
        <v>518</v>
      </c>
      <c r="F1102" s="420">
        <v>16</v>
      </c>
      <c r="G1102" s="419">
        <v>60</v>
      </c>
      <c r="H1102" s="316" t="s">
        <v>518</v>
      </c>
      <c r="I1102" s="420">
        <v>0</v>
      </c>
      <c r="J1102" s="509">
        <v>8</v>
      </c>
      <c r="K1102" s="433">
        <f t="shared" si="380"/>
        <v>44</v>
      </c>
      <c r="L1102" s="431">
        <v>60</v>
      </c>
      <c r="M1102" s="431">
        <f>ROUNDUP(12/(L1102/100),0)+1</f>
        <v>21</v>
      </c>
      <c r="N1102" s="431">
        <f>ROUNDUP(K1102/(L1102/100),0)+1</f>
        <v>75</v>
      </c>
      <c r="O1102" s="510">
        <v>90</v>
      </c>
      <c r="P1102" s="317"/>
      <c r="Q1102" s="317">
        <v>0.39500000000000002</v>
      </c>
      <c r="R1102" s="319">
        <f t="shared" si="381"/>
        <v>559.91250000000002</v>
      </c>
      <c r="S1102" s="398" t="str">
        <f t="shared" si="382"/>
        <v>kg</v>
      </c>
      <c r="T1102" s="320">
        <v>37</v>
      </c>
      <c r="U1102" s="424" t="s">
        <v>519</v>
      </c>
      <c r="V1102" s="435">
        <f t="shared" ca="1" si="358"/>
        <v>23656.675000000047</v>
      </c>
      <c r="W1102" s="256">
        <f t="shared" ca="1" si="357"/>
        <v>2</v>
      </c>
      <c r="X1102" s="256">
        <f t="shared" ca="1" si="374"/>
        <v>1</v>
      </c>
      <c r="Y1102" s="256"/>
      <c r="Z1102" s="256"/>
      <c r="AA1102" s="292"/>
      <c r="AB1102" s="292"/>
      <c r="AC1102" s="292"/>
    </row>
    <row r="1103" spans="1:29" s="293" customFormat="1" ht="15.75" x14ac:dyDescent="0.2">
      <c r="A1103" s="399"/>
      <c r="B1103" s="311"/>
      <c r="C1103" s="312"/>
      <c r="D1103" s="419"/>
      <c r="E1103" s="316"/>
      <c r="F1103" s="420"/>
      <c r="G1103" s="419"/>
      <c r="H1103" s="316"/>
      <c r="I1103" s="420"/>
      <c r="J1103" s="509"/>
      <c r="K1103" s="433"/>
      <c r="L1103" s="417"/>
      <c r="M1103" s="431"/>
      <c r="N1103" s="431"/>
      <c r="O1103" s="510"/>
      <c r="P1103" s="317"/>
      <c r="Q1103" s="315"/>
      <c r="R1103" s="319"/>
      <c r="S1103" s="853"/>
      <c r="T1103" s="320"/>
      <c r="U1103" s="424"/>
      <c r="V1103" s="435">
        <f t="shared" ca="1" si="358"/>
        <v>23656.675000000047</v>
      </c>
      <c r="W1103" s="256">
        <f t="shared" ca="1" si="357"/>
        <v>0</v>
      </c>
      <c r="X1103" s="256">
        <f t="shared" ca="1" si="374"/>
        <v>1</v>
      </c>
      <c r="Y1103" s="256"/>
      <c r="Z1103" s="256"/>
      <c r="AA1103" s="292"/>
      <c r="AB1103" s="292"/>
      <c r="AC1103" s="292"/>
    </row>
    <row r="1104" spans="1:29" s="293" customFormat="1" ht="25.5" x14ac:dyDescent="0.2">
      <c r="A1104" s="399"/>
      <c r="B1104" s="311"/>
      <c r="C1104" s="312" t="s">
        <v>561</v>
      </c>
      <c r="D1104" s="419">
        <v>55</v>
      </c>
      <c r="E1104" s="316" t="s">
        <v>518</v>
      </c>
      <c r="F1104" s="420">
        <v>10</v>
      </c>
      <c r="G1104" s="419">
        <v>57</v>
      </c>
      <c r="H1104" s="316" t="s">
        <v>518</v>
      </c>
      <c r="I1104" s="420">
        <v>16</v>
      </c>
      <c r="J1104" s="509">
        <v>8</v>
      </c>
      <c r="K1104" s="421">
        <f t="shared" ref="K1104:K1109" si="383">ABS((G1104*20+I1104)-(D1104*20+F1104))</f>
        <v>46</v>
      </c>
      <c r="L1104" s="431">
        <v>20</v>
      </c>
      <c r="M1104" s="431">
        <v>2</v>
      </c>
      <c r="N1104" s="431">
        <f>15*2</f>
        <v>30</v>
      </c>
      <c r="O1104" s="510">
        <f>K1104*100</f>
        <v>4600</v>
      </c>
      <c r="P1104" s="511">
        <f>ROUND(O1104/100/15,0)*100</f>
        <v>300</v>
      </c>
      <c r="Q1104" s="317">
        <v>0.39500000000000002</v>
      </c>
      <c r="R1104" s="319">
        <f t="shared" ref="R1104:R1109" si="384">N1104*((O1104+P1104)/100)*M1104*Q1104</f>
        <v>1161.3</v>
      </c>
      <c r="S1104" s="398" t="str">
        <f t="shared" si="382"/>
        <v>kg</v>
      </c>
      <c r="T1104" s="320">
        <v>38</v>
      </c>
      <c r="U1104" s="424" t="s">
        <v>519</v>
      </c>
      <c r="V1104" s="435">
        <f t="shared" ca="1" si="358"/>
        <v>23656.675000000047</v>
      </c>
      <c r="W1104" s="256">
        <f t="shared" ca="1" si="357"/>
        <v>2</v>
      </c>
      <c r="X1104" s="256">
        <f t="shared" ca="1" si="374"/>
        <v>1</v>
      </c>
      <c r="Y1104" s="256"/>
      <c r="Z1104" s="256"/>
      <c r="AA1104" s="292"/>
      <c r="AB1104" s="292"/>
      <c r="AC1104" s="292"/>
    </row>
    <row r="1105" spans="1:29" s="293" customFormat="1" ht="25.5" x14ac:dyDescent="0.2">
      <c r="A1105" s="399"/>
      <c r="B1105" s="311"/>
      <c r="C1105" s="312" t="s">
        <v>556</v>
      </c>
      <c r="D1105" s="419">
        <v>55</v>
      </c>
      <c r="E1105" s="316" t="s">
        <v>518</v>
      </c>
      <c r="F1105" s="420">
        <v>10</v>
      </c>
      <c r="G1105" s="419">
        <v>57</v>
      </c>
      <c r="H1105" s="316" t="s">
        <v>518</v>
      </c>
      <c r="I1105" s="420">
        <v>16</v>
      </c>
      <c r="J1105" s="509">
        <v>8</v>
      </c>
      <c r="K1105" s="421">
        <f t="shared" si="383"/>
        <v>46</v>
      </c>
      <c r="L1105" s="431">
        <v>20</v>
      </c>
      <c r="M1105" s="431">
        <v>2</v>
      </c>
      <c r="N1105" s="431">
        <f>ROUNDUP(K1105/(L1105/100),0)+1</f>
        <v>231</v>
      </c>
      <c r="O1105" s="510">
        <v>109</v>
      </c>
      <c r="P1105" s="315"/>
      <c r="Q1105" s="317">
        <v>0.39500000000000002</v>
      </c>
      <c r="R1105" s="319">
        <f t="shared" si="384"/>
        <v>198.91410000000002</v>
      </c>
      <c r="S1105" s="398" t="str">
        <f t="shared" si="382"/>
        <v>kg</v>
      </c>
      <c r="T1105" s="320">
        <v>38</v>
      </c>
      <c r="U1105" s="424" t="s">
        <v>519</v>
      </c>
      <c r="V1105" s="435">
        <f t="shared" ca="1" si="358"/>
        <v>23656.675000000047</v>
      </c>
      <c r="W1105" s="256">
        <f t="shared" ca="1" si="357"/>
        <v>2</v>
      </c>
      <c r="X1105" s="256">
        <f t="shared" ca="1" si="374"/>
        <v>1</v>
      </c>
      <c r="Y1105" s="256"/>
      <c r="Z1105" s="256"/>
      <c r="AA1105" s="292"/>
      <c r="AB1105" s="292"/>
      <c r="AC1105" s="292"/>
    </row>
    <row r="1106" spans="1:29" s="293" customFormat="1" ht="25.5" x14ac:dyDescent="0.2">
      <c r="A1106" s="399"/>
      <c r="B1106" s="311"/>
      <c r="C1106" s="312" t="s">
        <v>557</v>
      </c>
      <c r="D1106" s="419">
        <v>55</v>
      </c>
      <c r="E1106" s="316" t="s">
        <v>518</v>
      </c>
      <c r="F1106" s="420">
        <v>10</v>
      </c>
      <c r="G1106" s="419">
        <v>57</v>
      </c>
      <c r="H1106" s="316" t="s">
        <v>518</v>
      </c>
      <c r="I1106" s="420">
        <v>16</v>
      </c>
      <c r="J1106" s="509">
        <v>20</v>
      </c>
      <c r="K1106" s="421">
        <f t="shared" si="383"/>
        <v>46</v>
      </c>
      <c r="L1106" s="431">
        <v>20</v>
      </c>
      <c r="M1106" s="431">
        <v>2</v>
      </c>
      <c r="N1106" s="431">
        <f>ROUNDUP(K1106/(L1106/100),0)+1</f>
        <v>231</v>
      </c>
      <c r="O1106" s="510">
        <v>254</v>
      </c>
      <c r="P1106" s="315"/>
      <c r="Q1106" s="317">
        <v>2.4660000000000002</v>
      </c>
      <c r="R1106" s="319">
        <f t="shared" si="384"/>
        <v>2893.8016800000005</v>
      </c>
      <c r="S1106" s="398" t="str">
        <f t="shared" si="382"/>
        <v>kg</v>
      </c>
      <c r="T1106" s="320">
        <v>38</v>
      </c>
      <c r="U1106" s="424" t="s">
        <v>519</v>
      </c>
      <c r="V1106" s="435">
        <f t="shared" ca="1" si="358"/>
        <v>23656.675000000047</v>
      </c>
      <c r="W1106" s="256">
        <f t="shared" ref="W1106:W1137" ca="1" si="385">IF(LEFT(_xlfn.FORMULATEXT(V1106),3)="=SO",1,IF(COUNTA(A1106:U1106)=0,0,2))</f>
        <v>2</v>
      </c>
      <c r="X1106" s="256">
        <f t="shared" ca="1" si="374"/>
        <v>1</v>
      </c>
      <c r="Y1106" s="256"/>
      <c r="Z1106" s="256"/>
      <c r="AA1106" s="292"/>
      <c r="AB1106" s="292"/>
      <c r="AC1106" s="292"/>
    </row>
    <row r="1107" spans="1:29" s="293" customFormat="1" ht="25.5" x14ac:dyDescent="0.2">
      <c r="A1107" s="399"/>
      <c r="B1107" s="311"/>
      <c r="C1107" s="312" t="s">
        <v>562</v>
      </c>
      <c r="D1107" s="419">
        <v>55</v>
      </c>
      <c r="E1107" s="316" t="s">
        <v>518</v>
      </c>
      <c r="F1107" s="420">
        <v>10</v>
      </c>
      <c r="G1107" s="419">
        <v>57</v>
      </c>
      <c r="H1107" s="316" t="s">
        <v>518</v>
      </c>
      <c r="I1107" s="420">
        <v>16</v>
      </c>
      <c r="J1107" s="509">
        <v>20</v>
      </c>
      <c r="K1107" s="421">
        <f t="shared" si="383"/>
        <v>46</v>
      </c>
      <c r="L1107" s="431">
        <v>20</v>
      </c>
      <c r="M1107" s="431">
        <v>2</v>
      </c>
      <c r="N1107" s="431">
        <f>ROUNDUP(K1107/(L1107/100),0)+1</f>
        <v>231</v>
      </c>
      <c r="O1107" s="510">
        <v>688</v>
      </c>
      <c r="P1107" s="315"/>
      <c r="Q1107" s="317">
        <v>2.4660000000000002</v>
      </c>
      <c r="R1107" s="319">
        <f t="shared" si="384"/>
        <v>7838.3289600000007</v>
      </c>
      <c r="S1107" s="398" t="str">
        <f t="shared" si="382"/>
        <v>kg</v>
      </c>
      <c r="T1107" s="320">
        <v>38</v>
      </c>
      <c r="U1107" s="424" t="s">
        <v>519</v>
      </c>
      <c r="V1107" s="435">
        <f t="shared" ref="V1107:V1172" ca="1" si="386">IF(OFFSET(V1107,1,1)=1,OFFSET(V1107,0,-4),OFFSET(V1107,1,0))</f>
        <v>23656.675000000047</v>
      </c>
      <c r="W1107" s="256">
        <f t="shared" ca="1" si="385"/>
        <v>2</v>
      </c>
      <c r="X1107" s="256">
        <f t="shared" ca="1" si="374"/>
        <v>1</v>
      </c>
      <c r="Y1107" s="256"/>
      <c r="Z1107" s="256"/>
      <c r="AA1107" s="292"/>
      <c r="AB1107" s="292"/>
      <c r="AC1107" s="292"/>
    </row>
    <row r="1108" spans="1:29" s="293" customFormat="1" ht="25.5" x14ac:dyDescent="0.2">
      <c r="A1108" s="399"/>
      <c r="B1108" s="311"/>
      <c r="C1108" s="312" t="s">
        <v>563</v>
      </c>
      <c r="D1108" s="419">
        <v>55</v>
      </c>
      <c r="E1108" s="316" t="s">
        <v>518</v>
      </c>
      <c r="F1108" s="420">
        <v>10</v>
      </c>
      <c r="G1108" s="419">
        <v>57</v>
      </c>
      <c r="H1108" s="316" t="s">
        <v>518</v>
      </c>
      <c r="I1108" s="420">
        <v>16</v>
      </c>
      <c r="J1108" s="509">
        <v>20</v>
      </c>
      <c r="K1108" s="421">
        <f t="shared" si="383"/>
        <v>46</v>
      </c>
      <c r="L1108" s="431"/>
      <c r="M1108" s="431">
        <v>2</v>
      </c>
      <c r="N1108" s="431">
        <f>2+4</f>
        <v>6</v>
      </c>
      <c r="O1108" s="510">
        <f>K1108*100</f>
        <v>4600</v>
      </c>
      <c r="P1108" s="511">
        <f>ROUND(O1108/100/15,0)*100</f>
        <v>300</v>
      </c>
      <c r="Q1108" s="317">
        <v>2.4660000000000002</v>
      </c>
      <c r="R1108" s="319">
        <f t="shared" si="384"/>
        <v>1450.008</v>
      </c>
      <c r="S1108" s="398" t="str">
        <f t="shared" si="382"/>
        <v>kg</v>
      </c>
      <c r="T1108" s="320">
        <v>38</v>
      </c>
      <c r="U1108" s="424" t="s">
        <v>519</v>
      </c>
      <c r="V1108" s="435">
        <f t="shared" ca="1" si="386"/>
        <v>23656.675000000047</v>
      </c>
      <c r="W1108" s="256">
        <f t="shared" ca="1" si="385"/>
        <v>2</v>
      </c>
      <c r="X1108" s="256">
        <f t="shared" ref="X1108:X1114" ca="1" si="387">IF(COUNTA(OFFSET(A880,1,0))-COUNTA(A880)=-1,0,1)</f>
        <v>1</v>
      </c>
      <c r="Y1108" s="256"/>
      <c r="Z1108" s="256"/>
      <c r="AA1108" s="292"/>
      <c r="AB1108" s="292"/>
      <c r="AC1108" s="292"/>
    </row>
    <row r="1109" spans="1:29" s="293" customFormat="1" ht="25.5" x14ac:dyDescent="0.2">
      <c r="A1109" s="399"/>
      <c r="B1109" s="311"/>
      <c r="C1109" s="312" t="s">
        <v>559</v>
      </c>
      <c r="D1109" s="419">
        <v>55</v>
      </c>
      <c r="E1109" s="316" t="s">
        <v>518</v>
      </c>
      <c r="F1109" s="420">
        <v>10</v>
      </c>
      <c r="G1109" s="419">
        <v>57</v>
      </c>
      <c r="H1109" s="316" t="s">
        <v>518</v>
      </c>
      <c r="I1109" s="420">
        <v>16</v>
      </c>
      <c r="J1109" s="509">
        <v>8</v>
      </c>
      <c r="K1109" s="433">
        <f t="shared" si="383"/>
        <v>46</v>
      </c>
      <c r="L1109" s="431">
        <v>60</v>
      </c>
      <c r="M1109" s="431">
        <f>ROUNDUP(12/(L1109/100),0)+1</f>
        <v>21</v>
      </c>
      <c r="N1109" s="431">
        <f>ROUNDUP(K1109/(L1109/100),0)+1</f>
        <v>78</v>
      </c>
      <c r="O1109" s="510">
        <v>90</v>
      </c>
      <c r="P1109" s="317"/>
      <c r="Q1109" s="317">
        <v>0.39500000000000002</v>
      </c>
      <c r="R1109" s="319">
        <f t="shared" si="384"/>
        <v>582.30900000000008</v>
      </c>
      <c r="S1109" s="398" t="str">
        <f t="shared" si="382"/>
        <v>kg</v>
      </c>
      <c r="T1109" s="320">
        <v>38</v>
      </c>
      <c r="U1109" s="424" t="s">
        <v>519</v>
      </c>
      <c r="V1109" s="435">
        <f t="shared" ca="1" si="386"/>
        <v>23656.675000000047</v>
      </c>
      <c r="W1109" s="256">
        <f t="shared" ca="1" si="385"/>
        <v>2</v>
      </c>
      <c r="X1109" s="256">
        <f t="shared" ca="1" si="387"/>
        <v>1</v>
      </c>
      <c r="Y1109" s="256"/>
      <c r="Z1109" s="256"/>
      <c r="AA1109" s="292"/>
      <c r="AB1109" s="292"/>
      <c r="AC1109" s="292"/>
    </row>
    <row r="1110" spans="1:29" s="293" customFormat="1" ht="15.75" x14ac:dyDescent="0.2">
      <c r="A1110" s="399"/>
      <c r="B1110" s="311"/>
      <c r="C1110" s="312"/>
      <c r="D1110" s="419"/>
      <c r="E1110" s="316"/>
      <c r="F1110" s="420"/>
      <c r="G1110" s="419"/>
      <c r="H1110" s="316"/>
      <c r="I1110" s="420"/>
      <c r="J1110" s="509"/>
      <c r="K1110" s="433"/>
      <c r="L1110" s="417"/>
      <c r="M1110" s="431"/>
      <c r="N1110" s="431"/>
      <c r="O1110" s="510"/>
      <c r="P1110" s="317"/>
      <c r="Q1110" s="315"/>
      <c r="R1110" s="319"/>
      <c r="S1110" s="853"/>
      <c r="T1110" s="320"/>
      <c r="U1110" s="424"/>
      <c r="V1110" s="435">
        <f t="shared" ca="1" si="386"/>
        <v>23656.675000000047</v>
      </c>
      <c r="W1110" s="256">
        <f t="shared" ca="1" si="385"/>
        <v>0</v>
      </c>
      <c r="X1110" s="256">
        <f t="shared" ca="1" si="387"/>
        <v>1</v>
      </c>
      <c r="Y1110" s="256"/>
      <c r="Z1110" s="256"/>
      <c r="AA1110" s="292"/>
      <c r="AB1110" s="292"/>
      <c r="AC1110" s="292"/>
    </row>
    <row r="1111" spans="1:29" s="293" customFormat="1" ht="25.5" x14ac:dyDescent="0.2">
      <c r="A1111" s="399"/>
      <c r="B1111" s="311"/>
      <c r="C1111" s="312" t="s">
        <v>561</v>
      </c>
      <c r="D1111" s="419">
        <v>51</v>
      </c>
      <c r="E1111" s="316" t="s">
        <v>518</v>
      </c>
      <c r="F1111" s="420">
        <v>8</v>
      </c>
      <c r="G1111" s="419">
        <v>55</v>
      </c>
      <c r="H1111" s="316" t="s">
        <v>518</v>
      </c>
      <c r="I1111" s="420">
        <v>10</v>
      </c>
      <c r="J1111" s="509">
        <v>8</v>
      </c>
      <c r="K1111" s="421">
        <f t="shared" ref="K1111:K1116" si="388">ABS((G1111*20+I1111)-(D1111*20+F1111))</f>
        <v>82</v>
      </c>
      <c r="L1111" s="431">
        <v>20</v>
      </c>
      <c r="M1111" s="431">
        <v>2</v>
      </c>
      <c r="N1111" s="431">
        <f>15*2</f>
        <v>30</v>
      </c>
      <c r="O1111" s="510">
        <f>K1111*100</f>
        <v>8200</v>
      </c>
      <c r="P1111" s="511">
        <f>ROUND(O1111/100/15,0)*100</f>
        <v>500</v>
      </c>
      <c r="Q1111" s="317">
        <v>0.39500000000000002</v>
      </c>
      <c r="R1111" s="319">
        <f t="shared" ref="R1111:R1116" si="389">N1111*((O1111+P1111)/100)*M1111*Q1111</f>
        <v>2061.9</v>
      </c>
      <c r="S1111" s="398" t="str">
        <f t="shared" si="382"/>
        <v>kg</v>
      </c>
      <c r="T1111" s="320">
        <v>39</v>
      </c>
      <c r="U1111" s="424" t="s">
        <v>519</v>
      </c>
      <c r="V1111" s="435">
        <f t="shared" ca="1" si="386"/>
        <v>23656.675000000047</v>
      </c>
      <c r="W1111" s="256">
        <f t="shared" ca="1" si="385"/>
        <v>2</v>
      </c>
      <c r="X1111" s="256">
        <f t="shared" ca="1" si="387"/>
        <v>1</v>
      </c>
      <c r="Y1111" s="256"/>
      <c r="Z1111" s="256"/>
      <c r="AA1111" s="292"/>
      <c r="AB1111" s="292"/>
      <c r="AC1111" s="292"/>
    </row>
    <row r="1112" spans="1:29" s="293" customFormat="1" ht="25.5" x14ac:dyDescent="0.2">
      <c r="A1112" s="399"/>
      <c r="B1112" s="311"/>
      <c r="C1112" s="312" t="s">
        <v>556</v>
      </c>
      <c r="D1112" s="419">
        <v>51</v>
      </c>
      <c r="E1112" s="316" t="s">
        <v>518</v>
      </c>
      <c r="F1112" s="420">
        <v>8</v>
      </c>
      <c r="G1112" s="419">
        <v>55</v>
      </c>
      <c r="H1112" s="316" t="s">
        <v>518</v>
      </c>
      <c r="I1112" s="420">
        <v>10</v>
      </c>
      <c r="J1112" s="509">
        <v>8</v>
      </c>
      <c r="K1112" s="421">
        <f t="shared" si="388"/>
        <v>82</v>
      </c>
      <c r="L1112" s="431">
        <v>20</v>
      </c>
      <c r="M1112" s="431">
        <v>2</v>
      </c>
      <c r="N1112" s="431">
        <f>ROUNDUP(K1112/(L1112/100),0)+1</f>
        <v>411</v>
      </c>
      <c r="O1112" s="510">
        <v>109</v>
      </c>
      <c r="P1112" s="315"/>
      <c r="Q1112" s="317">
        <v>0.39500000000000002</v>
      </c>
      <c r="R1112" s="319">
        <f t="shared" si="389"/>
        <v>353.91210000000001</v>
      </c>
      <c r="S1112" s="398" t="str">
        <f t="shared" si="382"/>
        <v>kg</v>
      </c>
      <c r="T1112" s="320">
        <v>39</v>
      </c>
      <c r="U1112" s="424" t="s">
        <v>519</v>
      </c>
      <c r="V1112" s="435">
        <f t="shared" ca="1" si="386"/>
        <v>23656.675000000047</v>
      </c>
      <c r="W1112" s="256">
        <f t="shared" ca="1" si="385"/>
        <v>2</v>
      </c>
      <c r="X1112" s="256">
        <f t="shared" ca="1" si="387"/>
        <v>1</v>
      </c>
      <c r="Y1112" s="256"/>
      <c r="Z1112" s="256"/>
      <c r="AA1112" s="292"/>
      <c r="AB1112" s="292"/>
      <c r="AC1112" s="292"/>
    </row>
    <row r="1113" spans="1:29" s="293" customFormat="1" ht="25.5" x14ac:dyDescent="0.2">
      <c r="A1113" s="399"/>
      <c r="B1113" s="311"/>
      <c r="C1113" s="312" t="s">
        <v>557</v>
      </c>
      <c r="D1113" s="419">
        <v>51</v>
      </c>
      <c r="E1113" s="316" t="s">
        <v>518</v>
      </c>
      <c r="F1113" s="420">
        <v>8</v>
      </c>
      <c r="G1113" s="419">
        <v>55</v>
      </c>
      <c r="H1113" s="316" t="s">
        <v>518</v>
      </c>
      <c r="I1113" s="420">
        <v>10</v>
      </c>
      <c r="J1113" s="509">
        <v>20</v>
      </c>
      <c r="K1113" s="421">
        <f t="shared" si="388"/>
        <v>82</v>
      </c>
      <c r="L1113" s="431">
        <v>20</v>
      </c>
      <c r="M1113" s="431">
        <v>2</v>
      </c>
      <c r="N1113" s="431">
        <f>ROUNDUP(K1113/(L1113/100),0)+1</f>
        <v>411</v>
      </c>
      <c r="O1113" s="510">
        <v>254</v>
      </c>
      <c r="P1113" s="315"/>
      <c r="Q1113" s="317">
        <v>2.4660000000000002</v>
      </c>
      <c r="R1113" s="319">
        <f t="shared" si="389"/>
        <v>5148.7120800000002</v>
      </c>
      <c r="S1113" s="398" t="str">
        <f t="shared" si="382"/>
        <v>kg</v>
      </c>
      <c r="T1113" s="320">
        <v>39</v>
      </c>
      <c r="U1113" s="424" t="s">
        <v>519</v>
      </c>
      <c r="V1113" s="435">
        <f t="shared" ca="1" si="386"/>
        <v>23656.675000000047</v>
      </c>
      <c r="W1113" s="256">
        <f t="shared" ca="1" si="385"/>
        <v>2</v>
      </c>
      <c r="X1113" s="256">
        <f t="shared" ca="1" si="387"/>
        <v>1</v>
      </c>
      <c r="Y1113" s="256"/>
      <c r="Z1113" s="256"/>
      <c r="AA1113" s="292"/>
      <c r="AB1113" s="292"/>
      <c r="AC1113" s="292"/>
    </row>
    <row r="1114" spans="1:29" s="293" customFormat="1" ht="25.5" x14ac:dyDescent="0.2">
      <c r="A1114" s="399"/>
      <c r="B1114" s="311"/>
      <c r="C1114" s="312" t="s">
        <v>562</v>
      </c>
      <c r="D1114" s="419">
        <v>51</v>
      </c>
      <c r="E1114" s="316" t="s">
        <v>518</v>
      </c>
      <c r="F1114" s="420">
        <v>8</v>
      </c>
      <c r="G1114" s="419">
        <v>55</v>
      </c>
      <c r="H1114" s="316" t="s">
        <v>518</v>
      </c>
      <c r="I1114" s="420">
        <v>10</v>
      </c>
      <c r="J1114" s="509">
        <v>20</v>
      </c>
      <c r="K1114" s="421">
        <f t="shared" si="388"/>
        <v>82</v>
      </c>
      <c r="L1114" s="431">
        <v>20</v>
      </c>
      <c r="M1114" s="431">
        <v>2</v>
      </c>
      <c r="N1114" s="431">
        <f>ROUNDUP(K1114/(L1114/100),0)+1</f>
        <v>411</v>
      </c>
      <c r="O1114" s="510">
        <v>688</v>
      </c>
      <c r="P1114" s="315"/>
      <c r="Q1114" s="317">
        <v>2.4660000000000002</v>
      </c>
      <c r="R1114" s="319">
        <f t="shared" si="389"/>
        <v>13946.117760000001</v>
      </c>
      <c r="S1114" s="398" t="str">
        <f t="shared" si="382"/>
        <v>kg</v>
      </c>
      <c r="T1114" s="320">
        <v>39</v>
      </c>
      <c r="U1114" s="424" t="s">
        <v>519</v>
      </c>
      <c r="V1114" s="435">
        <f t="shared" ca="1" si="386"/>
        <v>23656.675000000047</v>
      </c>
      <c r="W1114" s="256">
        <f t="shared" ca="1" si="385"/>
        <v>2</v>
      </c>
      <c r="X1114" s="256">
        <f t="shared" ca="1" si="387"/>
        <v>1</v>
      </c>
      <c r="Y1114" s="256"/>
      <c r="Z1114" s="256"/>
      <c r="AA1114" s="292"/>
      <c r="AB1114" s="292"/>
      <c r="AC1114" s="292"/>
    </row>
    <row r="1115" spans="1:29" s="293" customFormat="1" ht="25.5" x14ac:dyDescent="0.2">
      <c r="A1115" s="399"/>
      <c r="B1115" s="311"/>
      <c r="C1115" s="312" t="s">
        <v>563</v>
      </c>
      <c r="D1115" s="419">
        <v>51</v>
      </c>
      <c r="E1115" s="316" t="s">
        <v>518</v>
      </c>
      <c r="F1115" s="420">
        <v>8</v>
      </c>
      <c r="G1115" s="419">
        <v>55</v>
      </c>
      <c r="H1115" s="316" t="s">
        <v>518</v>
      </c>
      <c r="I1115" s="420">
        <v>10</v>
      </c>
      <c r="J1115" s="509">
        <v>20</v>
      </c>
      <c r="K1115" s="421">
        <f t="shared" si="388"/>
        <v>82</v>
      </c>
      <c r="L1115" s="431"/>
      <c r="M1115" s="431">
        <v>2</v>
      </c>
      <c r="N1115" s="431">
        <f>2+4</f>
        <v>6</v>
      </c>
      <c r="O1115" s="510">
        <f>K1115*100</f>
        <v>8200</v>
      </c>
      <c r="P1115" s="511">
        <f>ROUND(O1115/100/15,0)*100</f>
        <v>500</v>
      </c>
      <c r="Q1115" s="317">
        <v>2.4660000000000002</v>
      </c>
      <c r="R1115" s="319">
        <f t="shared" si="389"/>
        <v>2574.5040000000004</v>
      </c>
      <c r="S1115" s="398" t="str">
        <f t="shared" si="382"/>
        <v>kg</v>
      </c>
      <c r="T1115" s="320">
        <v>39</v>
      </c>
      <c r="U1115" s="424" t="s">
        <v>519</v>
      </c>
      <c r="V1115" s="435">
        <f t="shared" ca="1" si="386"/>
        <v>23656.675000000047</v>
      </c>
      <c r="W1115" s="256">
        <f t="shared" ca="1" si="385"/>
        <v>2</v>
      </c>
      <c r="X1115" s="256">
        <f ca="1">IF(COUNTA(OFFSET(#REF!,1,0))-COUNTA(#REF!)=-1,0,1)</f>
        <v>1</v>
      </c>
      <c r="Y1115" s="256"/>
      <c r="Z1115" s="256"/>
      <c r="AA1115" s="292"/>
      <c r="AB1115" s="292"/>
      <c r="AC1115" s="292"/>
    </row>
    <row r="1116" spans="1:29" s="293" customFormat="1" ht="25.5" x14ac:dyDescent="0.2">
      <c r="A1116" s="399"/>
      <c r="B1116" s="311"/>
      <c r="C1116" s="312" t="s">
        <v>559</v>
      </c>
      <c r="D1116" s="419">
        <v>51</v>
      </c>
      <c r="E1116" s="316" t="s">
        <v>518</v>
      </c>
      <c r="F1116" s="420">
        <v>8</v>
      </c>
      <c r="G1116" s="419">
        <v>55</v>
      </c>
      <c r="H1116" s="316" t="s">
        <v>518</v>
      </c>
      <c r="I1116" s="420">
        <v>10</v>
      </c>
      <c r="J1116" s="509">
        <v>8</v>
      </c>
      <c r="K1116" s="433">
        <f t="shared" si="388"/>
        <v>82</v>
      </c>
      <c r="L1116" s="431">
        <v>60</v>
      </c>
      <c r="M1116" s="431">
        <f>ROUNDUP(12/(L1116/100),0)+1</f>
        <v>21</v>
      </c>
      <c r="N1116" s="431">
        <f>ROUNDUP(K1116/(L1116/100),0)+1</f>
        <v>138</v>
      </c>
      <c r="O1116" s="510">
        <v>90</v>
      </c>
      <c r="P1116" s="317"/>
      <c r="Q1116" s="317">
        <v>0.39500000000000002</v>
      </c>
      <c r="R1116" s="319">
        <f t="shared" si="389"/>
        <v>1030.2390000000003</v>
      </c>
      <c r="S1116" s="398" t="str">
        <f t="shared" si="382"/>
        <v>kg</v>
      </c>
      <c r="T1116" s="320">
        <v>39</v>
      </c>
      <c r="U1116" s="424" t="s">
        <v>519</v>
      </c>
      <c r="V1116" s="435">
        <f t="shared" ca="1" si="386"/>
        <v>23656.675000000047</v>
      </c>
      <c r="W1116" s="256">
        <f t="shared" ca="1" si="385"/>
        <v>2</v>
      </c>
      <c r="X1116" s="256">
        <f t="shared" ref="X1116:X1137" ca="1" si="390">IF(COUNTA(OFFSET(A942,1,0))-COUNTA(A942)=-1,0,1)</f>
        <v>1</v>
      </c>
      <c r="Y1116" s="256"/>
      <c r="Z1116" s="256"/>
      <c r="AA1116" s="292"/>
      <c r="AB1116" s="292"/>
      <c r="AC1116" s="292"/>
    </row>
    <row r="1117" spans="1:29" s="293" customFormat="1" ht="15.75" x14ac:dyDescent="0.2">
      <c r="A1117" s="399"/>
      <c r="B1117" s="311"/>
      <c r="C1117" s="312"/>
      <c r="D1117" s="419"/>
      <c r="E1117" s="316"/>
      <c r="F1117" s="420"/>
      <c r="G1117" s="419"/>
      <c r="H1117" s="316"/>
      <c r="I1117" s="420"/>
      <c r="J1117" s="509"/>
      <c r="K1117" s="433"/>
      <c r="L1117" s="417"/>
      <c r="M1117" s="431"/>
      <c r="N1117" s="431"/>
      <c r="O1117" s="510"/>
      <c r="P1117" s="317"/>
      <c r="Q1117" s="315"/>
      <c r="R1117" s="319"/>
      <c r="S1117" s="853"/>
      <c r="T1117" s="320"/>
      <c r="U1117" s="424"/>
      <c r="V1117" s="435">
        <f t="shared" ca="1" si="386"/>
        <v>23656.675000000047</v>
      </c>
      <c r="W1117" s="256">
        <f t="shared" ca="1" si="385"/>
        <v>0</v>
      </c>
      <c r="X1117" s="256">
        <f t="shared" ca="1" si="390"/>
        <v>1</v>
      </c>
      <c r="Y1117" s="256"/>
      <c r="Z1117" s="256"/>
      <c r="AA1117" s="292"/>
      <c r="AB1117" s="292"/>
      <c r="AC1117" s="292"/>
    </row>
    <row r="1118" spans="1:29" s="293" customFormat="1" ht="25.5" x14ac:dyDescent="0.2">
      <c r="A1118" s="399"/>
      <c r="B1118" s="311"/>
      <c r="C1118" s="312" t="s">
        <v>561</v>
      </c>
      <c r="D1118" s="419">
        <v>49</v>
      </c>
      <c r="E1118" s="316" t="s">
        <v>518</v>
      </c>
      <c r="F1118" s="420">
        <v>13</v>
      </c>
      <c r="G1118" s="419">
        <v>51</v>
      </c>
      <c r="H1118" s="316" t="s">
        <v>518</v>
      </c>
      <c r="I1118" s="420">
        <v>8</v>
      </c>
      <c r="J1118" s="509">
        <v>8</v>
      </c>
      <c r="K1118" s="421">
        <f t="shared" ref="K1118:K1123" si="391">ABS((G1118*20+I1118)-(D1118*20+F1118))</f>
        <v>35</v>
      </c>
      <c r="L1118" s="431">
        <v>20</v>
      </c>
      <c r="M1118" s="431">
        <v>2</v>
      </c>
      <c r="N1118" s="431">
        <f>15*2</f>
        <v>30</v>
      </c>
      <c r="O1118" s="510">
        <f>K1118*100</f>
        <v>3500</v>
      </c>
      <c r="P1118" s="511">
        <f>ROUND(O1118/100/15,0)*100</f>
        <v>200</v>
      </c>
      <c r="Q1118" s="317">
        <v>0.39500000000000002</v>
      </c>
      <c r="R1118" s="319">
        <f t="shared" ref="R1118:R1123" si="392">N1118*((O1118+P1118)/100)*M1118*Q1118</f>
        <v>876.90000000000009</v>
      </c>
      <c r="S1118" s="398" t="str">
        <f t="shared" ref="S1118:S1123" si="393">$L$1174</f>
        <v>kg</v>
      </c>
      <c r="T1118" s="320">
        <v>40</v>
      </c>
      <c r="U1118" s="424" t="s">
        <v>519</v>
      </c>
      <c r="V1118" s="435">
        <f t="shared" ca="1" si="386"/>
        <v>23656.675000000047</v>
      </c>
      <c r="W1118" s="256">
        <f t="shared" ca="1" si="385"/>
        <v>2</v>
      </c>
      <c r="X1118" s="256">
        <f t="shared" ca="1" si="390"/>
        <v>1</v>
      </c>
      <c r="Y1118" s="256"/>
      <c r="Z1118" s="256"/>
      <c r="AA1118" s="292"/>
      <c r="AB1118" s="292"/>
      <c r="AC1118" s="292"/>
    </row>
    <row r="1119" spans="1:29" s="293" customFormat="1" ht="25.5" x14ac:dyDescent="0.2">
      <c r="A1119" s="399"/>
      <c r="B1119" s="311"/>
      <c r="C1119" s="312" t="s">
        <v>556</v>
      </c>
      <c r="D1119" s="419">
        <v>49</v>
      </c>
      <c r="E1119" s="316" t="s">
        <v>518</v>
      </c>
      <c r="F1119" s="420">
        <v>13</v>
      </c>
      <c r="G1119" s="419">
        <v>51</v>
      </c>
      <c r="H1119" s="316" t="s">
        <v>518</v>
      </c>
      <c r="I1119" s="420">
        <v>8</v>
      </c>
      <c r="J1119" s="509">
        <v>8</v>
      </c>
      <c r="K1119" s="421">
        <f t="shared" si="391"/>
        <v>35</v>
      </c>
      <c r="L1119" s="431">
        <v>20</v>
      </c>
      <c r="M1119" s="431">
        <v>2</v>
      </c>
      <c r="N1119" s="431">
        <f>ROUNDUP(K1119/(L1119/100),0)+1</f>
        <v>176</v>
      </c>
      <c r="O1119" s="510">
        <v>109</v>
      </c>
      <c r="P1119" s="315"/>
      <c r="Q1119" s="317">
        <v>0.39500000000000002</v>
      </c>
      <c r="R1119" s="319">
        <f t="shared" si="392"/>
        <v>151.55360000000002</v>
      </c>
      <c r="S1119" s="398" t="str">
        <f t="shared" si="393"/>
        <v>kg</v>
      </c>
      <c r="T1119" s="320">
        <v>40</v>
      </c>
      <c r="U1119" s="424" t="s">
        <v>519</v>
      </c>
      <c r="V1119" s="435">
        <f t="shared" ca="1" si="386"/>
        <v>23656.675000000047</v>
      </c>
      <c r="W1119" s="256">
        <f t="shared" ca="1" si="385"/>
        <v>2</v>
      </c>
      <c r="X1119" s="256">
        <f t="shared" ca="1" si="390"/>
        <v>1</v>
      </c>
      <c r="Y1119" s="256"/>
      <c r="Z1119" s="256"/>
      <c r="AA1119" s="292"/>
      <c r="AB1119" s="292"/>
      <c r="AC1119" s="292"/>
    </row>
    <row r="1120" spans="1:29" s="293" customFormat="1" ht="25.5" x14ac:dyDescent="0.2">
      <c r="A1120" s="399"/>
      <c r="B1120" s="311"/>
      <c r="C1120" s="312" t="s">
        <v>557</v>
      </c>
      <c r="D1120" s="419">
        <v>49</v>
      </c>
      <c r="E1120" s="316" t="s">
        <v>518</v>
      </c>
      <c r="F1120" s="420">
        <v>13</v>
      </c>
      <c r="G1120" s="419">
        <v>51</v>
      </c>
      <c r="H1120" s="316" t="s">
        <v>518</v>
      </c>
      <c r="I1120" s="420">
        <v>8</v>
      </c>
      <c r="J1120" s="509">
        <v>20</v>
      </c>
      <c r="K1120" s="421">
        <f t="shared" si="391"/>
        <v>35</v>
      </c>
      <c r="L1120" s="431">
        <v>20</v>
      </c>
      <c r="M1120" s="431">
        <v>2</v>
      </c>
      <c r="N1120" s="431">
        <f>ROUNDUP(K1120/(L1120/100),0)+1</f>
        <v>176</v>
      </c>
      <c r="O1120" s="510">
        <v>254</v>
      </c>
      <c r="P1120" s="315"/>
      <c r="Q1120" s="317">
        <v>2.4660000000000002</v>
      </c>
      <c r="R1120" s="319">
        <f t="shared" si="392"/>
        <v>2204.8012800000001</v>
      </c>
      <c r="S1120" s="398" t="str">
        <f t="shared" si="393"/>
        <v>kg</v>
      </c>
      <c r="T1120" s="320">
        <v>40</v>
      </c>
      <c r="U1120" s="424" t="s">
        <v>519</v>
      </c>
      <c r="V1120" s="435">
        <f t="shared" ca="1" si="386"/>
        <v>23656.675000000047</v>
      </c>
      <c r="W1120" s="256">
        <f t="shared" ca="1" si="385"/>
        <v>2</v>
      </c>
      <c r="X1120" s="256">
        <f t="shared" ca="1" si="390"/>
        <v>0</v>
      </c>
      <c r="Y1120" s="256"/>
      <c r="Z1120" s="256"/>
      <c r="AA1120" s="292"/>
      <c r="AB1120" s="292"/>
      <c r="AC1120" s="292"/>
    </row>
    <row r="1121" spans="1:29" s="293" customFormat="1" ht="25.5" x14ac:dyDescent="0.2">
      <c r="A1121" s="399"/>
      <c r="B1121" s="311"/>
      <c r="C1121" s="312" t="s">
        <v>562</v>
      </c>
      <c r="D1121" s="419">
        <v>49</v>
      </c>
      <c r="E1121" s="316" t="s">
        <v>518</v>
      </c>
      <c r="F1121" s="420">
        <v>13</v>
      </c>
      <c r="G1121" s="419">
        <v>51</v>
      </c>
      <c r="H1121" s="316" t="s">
        <v>518</v>
      </c>
      <c r="I1121" s="420">
        <v>8</v>
      </c>
      <c r="J1121" s="509">
        <v>20</v>
      </c>
      <c r="K1121" s="421">
        <f t="shared" si="391"/>
        <v>35</v>
      </c>
      <c r="L1121" s="431">
        <v>20</v>
      </c>
      <c r="M1121" s="431">
        <v>2</v>
      </c>
      <c r="N1121" s="431">
        <f>ROUNDUP(K1121/(L1121/100),0)+1</f>
        <v>176</v>
      </c>
      <c r="O1121" s="510">
        <v>688</v>
      </c>
      <c r="P1121" s="315"/>
      <c r="Q1121" s="317">
        <v>2.4660000000000002</v>
      </c>
      <c r="R1121" s="319">
        <f t="shared" si="392"/>
        <v>5972.06016</v>
      </c>
      <c r="S1121" s="398" t="str">
        <f t="shared" si="393"/>
        <v>kg</v>
      </c>
      <c r="T1121" s="320">
        <v>40</v>
      </c>
      <c r="U1121" s="424" t="s">
        <v>519</v>
      </c>
      <c r="V1121" s="435">
        <f t="shared" ca="1" si="386"/>
        <v>23656.675000000047</v>
      </c>
      <c r="W1121" s="256">
        <f t="shared" ca="1" si="385"/>
        <v>2</v>
      </c>
      <c r="X1121" s="256">
        <f t="shared" ca="1" si="390"/>
        <v>1</v>
      </c>
      <c r="Y1121" s="256"/>
      <c r="Z1121" s="256"/>
      <c r="AA1121" s="292"/>
      <c r="AB1121" s="292"/>
      <c r="AC1121" s="292"/>
    </row>
    <row r="1122" spans="1:29" s="293" customFormat="1" ht="25.5" x14ac:dyDescent="0.2">
      <c r="A1122" s="399"/>
      <c r="B1122" s="311"/>
      <c r="C1122" s="312" t="s">
        <v>563</v>
      </c>
      <c r="D1122" s="419">
        <v>49</v>
      </c>
      <c r="E1122" s="316" t="s">
        <v>518</v>
      </c>
      <c r="F1122" s="420">
        <v>13</v>
      </c>
      <c r="G1122" s="419">
        <v>51</v>
      </c>
      <c r="H1122" s="316" t="s">
        <v>518</v>
      </c>
      <c r="I1122" s="420">
        <v>8</v>
      </c>
      <c r="J1122" s="509">
        <v>20</v>
      </c>
      <c r="K1122" s="421">
        <f t="shared" si="391"/>
        <v>35</v>
      </c>
      <c r="L1122" s="431"/>
      <c r="M1122" s="431">
        <v>2</v>
      </c>
      <c r="N1122" s="431">
        <f>2+4</f>
        <v>6</v>
      </c>
      <c r="O1122" s="510">
        <f>K1122*100</f>
        <v>3500</v>
      </c>
      <c r="P1122" s="511">
        <f>ROUND(O1122/100/15,0)*100</f>
        <v>200</v>
      </c>
      <c r="Q1122" s="317">
        <v>2.4660000000000002</v>
      </c>
      <c r="R1122" s="319">
        <f t="shared" si="392"/>
        <v>1094.904</v>
      </c>
      <c r="S1122" s="398" t="str">
        <f t="shared" si="393"/>
        <v>kg</v>
      </c>
      <c r="T1122" s="320">
        <v>40</v>
      </c>
      <c r="U1122" s="424" t="s">
        <v>519</v>
      </c>
      <c r="V1122" s="435">
        <f t="shared" ca="1" si="386"/>
        <v>23656.675000000047</v>
      </c>
      <c r="W1122" s="256">
        <f t="shared" ca="1" si="385"/>
        <v>2</v>
      </c>
      <c r="X1122" s="256">
        <f t="shared" ca="1" si="390"/>
        <v>1</v>
      </c>
      <c r="Y1122" s="256"/>
      <c r="Z1122" s="256"/>
      <c r="AA1122" s="292"/>
      <c r="AB1122" s="292"/>
      <c r="AC1122" s="292"/>
    </row>
    <row r="1123" spans="1:29" s="293" customFormat="1" ht="25.5" x14ac:dyDescent="0.2">
      <c r="A1123" s="399"/>
      <c r="B1123" s="311"/>
      <c r="C1123" s="312" t="s">
        <v>559</v>
      </c>
      <c r="D1123" s="419">
        <v>49</v>
      </c>
      <c r="E1123" s="316" t="s">
        <v>518</v>
      </c>
      <c r="F1123" s="420">
        <v>13</v>
      </c>
      <c r="G1123" s="419">
        <v>51</v>
      </c>
      <c r="H1123" s="316" t="s">
        <v>518</v>
      </c>
      <c r="I1123" s="420">
        <v>8</v>
      </c>
      <c r="J1123" s="509">
        <v>8</v>
      </c>
      <c r="K1123" s="433">
        <f t="shared" si="391"/>
        <v>35</v>
      </c>
      <c r="L1123" s="431">
        <v>60</v>
      </c>
      <c r="M1123" s="431">
        <f>ROUNDUP(12/(L1123/100),0)+1</f>
        <v>21</v>
      </c>
      <c r="N1123" s="431">
        <f>ROUNDUP(K1123/(L1123/100),0)+1</f>
        <v>60</v>
      </c>
      <c r="O1123" s="510">
        <v>90</v>
      </c>
      <c r="P1123" s="317"/>
      <c r="Q1123" s="317">
        <v>0.39500000000000002</v>
      </c>
      <c r="R1123" s="319">
        <f t="shared" si="392"/>
        <v>447.93</v>
      </c>
      <c r="S1123" s="398" t="str">
        <f t="shared" si="393"/>
        <v>kg</v>
      </c>
      <c r="T1123" s="320">
        <v>40</v>
      </c>
      <c r="U1123" s="424" t="s">
        <v>519</v>
      </c>
      <c r="V1123" s="435">
        <f t="shared" ca="1" si="386"/>
        <v>23656.675000000047</v>
      </c>
      <c r="W1123" s="256">
        <f t="shared" ca="1" si="385"/>
        <v>2</v>
      </c>
      <c r="X1123" s="256">
        <f t="shared" ca="1" si="390"/>
        <v>1</v>
      </c>
      <c r="Y1123" s="256"/>
      <c r="Z1123" s="256"/>
      <c r="AA1123" s="292"/>
      <c r="AB1123" s="292"/>
      <c r="AC1123" s="292"/>
    </row>
    <row r="1124" spans="1:29" s="293" customFormat="1" ht="15.75" x14ac:dyDescent="0.2">
      <c r="A1124" s="399"/>
      <c r="B1124" s="311"/>
      <c r="C1124" s="312"/>
      <c r="D1124" s="419"/>
      <c r="E1124" s="316"/>
      <c r="F1124" s="420"/>
      <c r="G1124" s="419"/>
      <c r="H1124" s="316"/>
      <c r="I1124" s="420"/>
      <c r="J1124" s="509"/>
      <c r="K1124" s="421"/>
      <c r="L1124" s="431"/>
      <c r="M1124" s="431"/>
      <c r="N1124" s="431"/>
      <c r="O1124" s="510"/>
      <c r="P1124" s="315"/>
      <c r="Q1124" s="317"/>
      <c r="R1124" s="319"/>
      <c r="S1124" s="398"/>
      <c r="T1124" s="320"/>
      <c r="U1124" s="424"/>
      <c r="V1124" s="435">
        <f t="shared" ca="1" si="386"/>
        <v>23656.675000000047</v>
      </c>
      <c r="W1124" s="256">
        <f t="shared" ca="1" si="385"/>
        <v>0</v>
      </c>
      <c r="X1124" s="256">
        <f t="shared" ca="1" si="390"/>
        <v>1</v>
      </c>
      <c r="Y1124" s="256"/>
      <c r="Z1124" s="256"/>
      <c r="AA1124" s="292"/>
      <c r="AB1124" s="292"/>
      <c r="AC1124" s="292"/>
    </row>
    <row r="1125" spans="1:29" s="293" customFormat="1" ht="15.75" x14ac:dyDescent="0.2">
      <c r="A1125" s="399"/>
      <c r="B1125" s="311"/>
      <c r="C1125" s="434" t="s">
        <v>532</v>
      </c>
      <c r="D1125" s="313"/>
      <c r="E1125" s="314"/>
      <c r="F1125" s="315"/>
      <c r="G1125" s="313"/>
      <c r="H1125" s="314"/>
      <c r="I1125" s="315"/>
      <c r="J1125" s="317"/>
      <c r="K1125" s="317"/>
      <c r="L1125" s="421"/>
      <c r="M1125" s="431"/>
      <c r="N1125" s="433"/>
      <c r="O1125" s="433"/>
      <c r="P1125" s="510"/>
      <c r="Q1125" s="315"/>
      <c r="R1125" s="319"/>
      <c r="S1125" s="398"/>
      <c r="T1125" s="320">
        <v>41</v>
      </c>
      <c r="U1125" s="317"/>
      <c r="V1125" s="435">
        <f t="shared" ca="1" si="386"/>
        <v>23656.675000000047</v>
      </c>
      <c r="W1125" s="256">
        <f t="shared" ca="1" si="385"/>
        <v>2</v>
      </c>
      <c r="X1125" s="256">
        <f t="shared" ca="1" si="390"/>
        <v>1</v>
      </c>
      <c r="Y1125" s="256"/>
      <c r="Z1125" s="256"/>
      <c r="AA1125" s="292"/>
      <c r="AB1125" s="292"/>
      <c r="AC1125" s="292"/>
    </row>
    <row r="1126" spans="1:29" s="293" customFormat="1" ht="25.5" x14ac:dyDescent="0.2">
      <c r="A1126" s="399"/>
      <c r="B1126" s="311"/>
      <c r="C1126" s="312" t="s">
        <v>561</v>
      </c>
      <c r="D1126" s="419">
        <v>48</v>
      </c>
      <c r="E1126" s="316" t="s">
        <v>518</v>
      </c>
      <c r="F1126" s="420">
        <v>8</v>
      </c>
      <c r="G1126" s="419">
        <v>49</v>
      </c>
      <c r="H1126" s="316" t="s">
        <v>518</v>
      </c>
      <c r="I1126" s="420">
        <v>13</v>
      </c>
      <c r="J1126" s="509">
        <v>8</v>
      </c>
      <c r="K1126" s="421">
        <f t="shared" ref="K1126:K1131" si="394">ABS((G1126*20+I1126)-(D1126*20+F1126))</f>
        <v>25</v>
      </c>
      <c r="L1126" s="431">
        <v>20</v>
      </c>
      <c r="M1126" s="431">
        <v>2</v>
      </c>
      <c r="N1126" s="431">
        <f>15*2</f>
        <v>30</v>
      </c>
      <c r="O1126" s="510">
        <f>K1126*100</f>
        <v>2500</v>
      </c>
      <c r="P1126" s="511">
        <f>ROUND(O1126/100/15,0)*100</f>
        <v>200</v>
      </c>
      <c r="Q1126" s="317">
        <v>0.39500000000000002</v>
      </c>
      <c r="R1126" s="319">
        <f t="shared" ref="R1126:R1131" si="395">N1126*((O1126+P1126)/100)*M1126*Q1126</f>
        <v>639.9</v>
      </c>
      <c r="S1126" s="398" t="str">
        <f>$L$1174</f>
        <v>kg</v>
      </c>
      <c r="T1126" s="320">
        <v>41</v>
      </c>
      <c r="U1126" s="424" t="s">
        <v>519</v>
      </c>
      <c r="V1126" s="435">
        <f t="shared" ca="1" si="386"/>
        <v>23656.675000000047</v>
      </c>
      <c r="W1126" s="256">
        <f t="shared" ca="1" si="385"/>
        <v>2</v>
      </c>
      <c r="X1126" s="256">
        <f t="shared" ca="1" si="390"/>
        <v>1</v>
      </c>
      <c r="Y1126" s="256"/>
      <c r="Z1126" s="256"/>
      <c r="AA1126" s="292"/>
      <c r="AB1126" s="292"/>
      <c r="AC1126" s="292"/>
    </row>
    <row r="1127" spans="1:29" s="293" customFormat="1" ht="25.5" x14ac:dyDescent="0.2">
      <c r="A1127" s="399"/>
      <c r="B1127" s="311"/>
      <c r="C1127" s="312" t="s">
        <v>556</v>
      </c>
      <c r="D1127" s="419">
        <v>48</v>
      </c>
      <c r="E1127" s="316" t="s">
        <v>518</v>
      </c>
      <c r="F1127" s="420">
        <v>8</v>
      </c>
      <c r="G1127" s="419">
        <v>49</v>
      </c>
      <c r="H1127" s="316" t="s">
        <v>518</v>
      </c>
      <c r="I1127" s="420">
        <v>13</v>
      </c>
      <c r="J1127" s="509">
        <v>8</v>
      </c>
      <c r="K1127" s="421">
        <f t="shared" si="394"/>
        <v>25</v>
      </c>
      <c r="L1127" s="431">
        <v>20</v>
      </c>
      <c r="M1127" s="431">
        <v>2</v>
      </c>
      <c r="N1127" s="431">
        <f>ROUNDUP(K1127/(L1127/100),0)+1</f>
        <v>126</v>
      </c>
      <c r="O1127" s="510">
        <v>109</v>
      </c>
      <c r="P1127" s="315"/>
      <c r="Q1127" s="317">
        <v>0.39500000000000002</v>
      </c>
      <c r="R1127" s="319">
        <f t="shared" si="395"/>
        <v>108.49860000000001</v>
      </c>
      <c r="S1127" s="398" t="str">
        <f t="shared" ref="S1127:S1138" si="396">$L$1174</f>
        <v>kg</v>
      </c>
      <c r="T1127" s="320">
        <v>41</v>
      </c>
      <c r="U1127" s="424" t="s">
        <v>519</v>
      </c>
      <c r="V1127" s="435">
        <f t="shared" ca="1" si="386"/>
        <v>23656.675000000047</v>
      </c>
      <c r="W1127" s="256">
        <f t="shared" ca="1" si="385"/>
        <v>2</v>
      </c>
      <c r="X1127" s="256">
        <f t="shared" ca="1" si="390"/>
        <v>1</v>
      </c>
      <c r="Y1127" s="256"/>
      <c r="Z1127" s="256"/>
      <c r="AA1127" s="292"/>
      <c r="AB1127" s="292"/>
      <c r="AC1127" s="292"/>
    </row>
    <row r="1128" spans="1:29" s="293" customFormat="1" ht="25.5" x14ac:dyDescent="0.2">
      <c r="A1128" s="399"/>
      <c r="B1128" s="311"/>
      <c r="C1128" s="312" t="s">
        <v>557</v>
      </c>
      <c r="D1128" s="419">
        <v>48</v>
      </c>
      <c r="E1128" s="316" t="s">
        <v>518</v>
      </c>
      <c r="F1128" s="420">
        <v>8</v>
      </c>
      <c r="G1128" s="419">
        <v>49</v>
      </c>
      <c r="H1128" s="316" t="s">
        <v>518</v>
      </c>
      <c r="I1128" s="420">
        <v>13</v>
      </c>
      <c r="J1128" s="509">
        <v>20</v>
      </c>
      <c r="K1128" s="421">
        <f t="shared" si="394"/>
        <v>25</v>
      </c>
      <c r="L1128" s="431">
        <v>20</v>
      </c>
      <c r="M1128" s="431">
        <v>2</v>
      </c>
      <c r="N1128" s="431">
        <f>ROUNDUP(K1128/(L1128/100),0)+1</f>
        <v>126</v>
      </c>
      <c r="O1128" s="510">
        <v>254</v>
      </c>
      <c r="P1128" s="315"/>
      <c r="Q1128" s="317">
        <v>2.4660000000000002</v>
      </c>
      <c r="R1128" s="319">
        <f t="shared" si="395"/>
        <v>1578.4372800000003</v>
      </c>
      <c r="S1128" s="398" t="str">
        <f t="shared" si="396"/>
        <v>kg</v>
      </c>
      <c r="T1128" s="320">
        <v>41</v>
      </c>
      <c r="U1128" s="424" t="s">
        <v>519</v>
      </c>
      <c r="V1128" s="435">
        <f t="shared" ca="1" si="386"/>
        <v>23656.675000000047</v>
      </c>
      <c r="W1128" s="256">
        <f t="shared" ca="1" si="385"/>
        <v>2</v>
      </c>
      <c r="X1128" s="256">
        <f t="shared" ca="1" si="390"/>
        <v>1</v>
      </c>
      <c r="Y1128" s="256"/>
      <c r="Z1128" s="256"/>
      <c r="AA1128" s="292"/>
      <c r="AB1128" s="292"/>
      <c r="AC1128" s="292"/>
    </row>
    <row r="1129" spans="1:29" s="293" customFormat="1" ht="25.5" x14ac:dyDescent="0.2">
      <c r="A1129" s="399"/>
      <c r="B1129" s="311"/>
      <c r="C1129" s="312" t="s">
        <v>562</v>
      </c>
      <c r="D1129" s="419">
        <v>48</v>
      </c>
      <c r="E1129" s="316" t="s">
        <v>518</v>
      </c>
      <c r="F1129" s="420">
        <v>8</v>
      </c>
      <c r="G1129" s="419">
        <v>49</v>
      </c>
      <c r="H1129" s="316" t="s">
        <v>518</v>
      </c>
      <c r="I1129" s="420">
        <v>13</v>
      </c>
      <c r="J1129" s="509">
        <v>20</v>
      </c>
      <c r="K1129" s="421">
        <f t="shared" si="394"/>
        <v>25</v>
      </c>
      <c r="L1129" s="431">
        <v>20</v>
      </c>
      <c r="M1129" s="431">
        <v>2</v>
      </c>
      <c r="N1129" s="431">
        <f>ROUNDUP(K1129/(L1129/100),0)+1</f>
        <v>126</v>
      </c>
      <c r="O1129" s="510">
        <v>688</v>
      </c>
      <c r="P1129" s="315"/>
      <c r="Q1129" s="317">
        <v>2.4660000000000002</v>
      </c>
      <c r="R1129" s="319">
        <f t="shared" si="395"/>
        <v>4275.4521600000007</v>
      </c>
      <c r="S1129" s="398" t="str">
        <f t="shared" si="396"/>
        <v>kg</v>
      </c>
      <c r="T1129" s="320">
        <v>41</v>
      </c>
      <c r="U1129" s="424" t="s">
        <v>519</v>
      </c>
      <c r="V1129" s="435">
        <f t="shared" ca="1" si="386"/>
        <v>23656.675000000047</v>
      </c>
      <c r="W1129" s="256">
        <f t="shared" ca="1" si="385"/>
        <v>2</v>
      </c>
      <c r="X1129" s="256">
        <f t="shared" ca="1" si="390"/>
        <v>1</v>
      </c>
      <c r="Y1129" s="256"/>
      <c r="Z1129" s="256"/>
      <c r="AA1129" s="292"/>
      <c r="AB1129" s="292"/>
      <c r="AC1129" s="292"/>
    </row>
    <row r="1130" spans="1:29" s="293" customFormat="1" ht="25.5" x14ac:dyDescent="0.2">
      <c r="A1130" s="399"/>
      <c r="B1130" s="311"/>
      <c r="C1130" s="312" t="s">
        <v>563</v>
      </c>
      <c r="D1130" s="419">
        <v>48</v>
      </c>
      <c r="E1130" s="316" t="s">
        <v>518</v>
      </c>
      <c r="F1130" s="420">
        <v>8</v>
      </c>
      <c r="G1130" s="419">
        <v>49</v>
      </c>
      <c r="H1130" s="316" t="s">
        <v>518</v>
      </c>
      <c r="I1130" s="420">
        <v>13</v>
      </c>
      <c r="J1130" s="509">
        <v>20</v>
      </c>
      <c r="K1130" s="421">
        <f t="shared" si="394"/>
        <v>25</v>
      </c>
      <c r="L1130" s="431"/>
      <c r="M1130" s="431">
        <v>2</v>
      </c>
      <c r="N1130" s="431">
        <f>2+4</f>
        <v>6</v>
      </c>
      <c r="O1130" s="510">
        <f>K1130*100</f>
        <v>2500</v>
      </c>
      <c r="P1130" s="511">
        <f>ROUND(O1130/100/15,0)*100</f>
        <v>200</v>
      </c>
      <c r="Q1130" s="317">
        <v>2.4660000000000002</v>
      </c>
      <c r="R1130" s="319">
        <f t="shared" si="395"/>
        <v>798.98400000000004</v>
      </c>
      <c r="S1130" s="398" t="str">
        <f t="shared" si="396"/>
        <v>kg</v>
      </c>
      <c r="T1130" s="320">
        <v>41</v>
      </c>
      <c r="U1130" s="424" t="s">
        <v>519</v>
      </c>
      <c r="V1130" s="435">
        <f t="shared" ca="1" si="386"/>
        <v>23656.675000000047</v>
      </c>
      <c r="W1130" s="256">
        <f t="shared" ca="1" si="385"/>
        <v>2</v>
      </c>
      <c r="X1130" s="256">
        <f t="shared" ca="1" si="390"/>
        <v>1</v>
      </c>
      <c r="Y1130" s="256"/>
      <c r="Z1130" s="256"/>
      <c r="AA1130" s="292"/>
      <c r="AB1130" s="292"/>
      <c r="AC1130" s="292"/>
    </row>
    <row r="1131" spans="1:29" s="293" customFormat="1" ht="25.5" x14ac:dyDescent="0.2">
      <c r="A1131" s="399"/>
      <c r="B1131" s="311"/>
      <c r="C1131" s="312" t="s">
        <v>559</v>
      </c>
      <c r="D1131" s="419">
        <v>48</v>
      </c>
      <c r="E1131" s="316" t="s">
        <v>518</v>
      </c>
      <c r="F1131" s="420">
        <v>8</v>
      </c>
      <c r="G1131" s="419">
        <v>49</v>
      </c>
      <c r="H1131" s="316" t="s">
        <v>518</v>
      </c>
      <c r="I1131" s="420">
        <v>13</v>
      </c>
      <c r="J1131" s="509">
        <v>8</v>
      </c>
      <c r="K1131" s="433">
        <f t="shared" si="394"/>
        <v>25</v>
      </c>
      <c r="L1131" s="431">
        <v>60</v>
      </c>
      <c r="M1131" s="431">
        <f>ROUNDUP(12/(L1131/100),0)+1</f>
        <v>21</v>
      </c>
      <c r="N1131" s="431">
        <f>ROUNDUP(K1131/(L1131/100),0)+1</f>
        <v>43</v>
      </c>
      <c r="O1131" s="510">
        <v>90</v>
      </c>
      <c r="P1131" s="317"/>
      <c r="Q1131" s="317">
        <v>0.39500000000000002</v>
      </c>
      <c r="R1131" s="319">
        <f t="shared" si="395"/>
        <v>321.01650000000001</v>
      </c>
      <c r="S1131" s="398" t="str">
        <f t="shared" si="396"/>
        <v>kg</v>
      </c>
      <c r="T1131" s="320">
        <v>41</v>
      </c>
      <c r="U1131" s="424" t="s">
        <v>519</v>
      </c>
      <c r="V1131" s="435">
        <f t="shared" ca="1" si="386"/>
        <v>23656.675000000047</v>
      </c>
      <c r="W1131" s="256">
        <f t="shared" ca="1" si="385"/>
        <v>2</v>
      </c>
      <c r="X1131" s="256">
        <f t="shared" ca="1" si="390"/>
        <v>1</v>
      </c>
      <c r="Y1131" s="256"/>
      <c r="Z1131" s="256"/>
      <c r="AA1131" s="292"/>
      <c r="AB1131" s="292"/>
      <c r="AC1131" s="292"/>
    </row>
    <row r="1132" spans="1:29" s="293" customFormat="1" ht="15.75" x14ac:dyDescent="0.2">
      <c r="A1132" s="399"/>
      <c r="B1132" s="311"/>
      <c r="C1132" s="312"/>
      <c r="D1132" s="419"/>
      <c r="E1132" s="316"/>
      <c r="F1132" s="420"/>
      <c r="G1132" s="419"/>
      <c r="H1132" s="316"/>
      <c r="I1132" s="420"/>
      <c r="J1132" s="509"/>
      <c r="K1132" s="421"/>
      <c r="L1132" s="431"/>
      <c r="M1132" s="431"/>
      <c r="N1132" s="431"/>
      <c r="O1132" s="510"/>
      <c r="P1132" s="315"/>
      <c r="Q1132" s="317"/>
      <c r="R1132" s="319"/>
      <c r="S1132" s="398"/>
      <c r="T1132" s="320"/>
      <c r="U1132" s="424"/>
      <c r="V1132" s="435">
        <f t="shared" ca="1" si="386"/>
        <v>23656.675000000047</v>
      </c>
      <c r="W1132" s="256">
        <f t="shared" ca="1" si="385"/>
        <v>0</v>
      </c>
      <c r="X1132" s="256">
        <f t="shared" ca="1" si="390"/>
        <v>1</v>
      </c>
      <c r="Y1132" s="256"/>
      <c r="Z1132" s="256"/>
      <c r="AA1132" s="292"/>
      <c r="AB1132" s="292"/>
      <c r="AC1132" s="292"/>
    </row>
    <row r="1133" spans="1:29" s="293" customFormat="1" ht="25.5" x14ac:dyDescent="0.2">
      <c r="A1133" s="399"/>
      <c r="B1133" s="311"/>
      <c r="C1133" s="312" t="s">
        <v>561</v>
      </c>
      <c r="D1133" s="419">
        <v>45</v>
      </c>
      <c r="E1133" s="316" t="s">
        <v>518</v>
      </c>
      <c r="F1133" s="420">
        <v>6</v>
      </c>
      <c r="G1133" s="419">
        <v>48</v>
      </c>
      <c r="H1133" s="316" t="s">
        <v>518</v>
      </c>
      <c r="I1133" s="420">
        <v>8</v>
      </c>
      <c r="J1133" s="509">
        <v>8</v>
      </c>
      <c r="K1133" s="421">
        <f t="shared" ref="K1133:K1138" si="397">ABS((G1133*20+I1133)-(D1133*20+F1133))</f>
        <v>62</v>
      </c>
      <c r="L1133" s="431">
        <v>20</v>
      </c>
      <c r="M1133" s="431">
        <v>2</v>
      </c>
      <c r="N1133" s="431">
        <f>15*2</f>
        <v>30</v>
      </c>
      <c r="O1133" s="510">
        <f>K1133*100</f>
        <v>6200</v>
      </c>
      <c r="P1133" s="511">
        <f>ROUND(O1133/100/15,0)*100</f>
        <v>400</v>
      </c>
      <c r="Q1133" s="317">
        <v>0.39500000000000002</v>
      </c>
      <c r="R1133" s="319">
        <f t="shared" ref="R1133:R1138" si="398">N1133*((O1133+P1133)/100)*M1133*Q1133</f>
        <v>1564.2</v>
      </c>
      <c r="S1133" s="398" t="str">
        <f t="shared" si="396"/>
        <v>kg</v>
      </c>
      <c r="T1133" s="320">
        <v>42</v>
      </c>
      <c r="U1133" s="424" t="s">
        <v>519</v>
      </c>
      <c r="V1133" s="435">
        <f t="shared" ca="1" si="386"/>
        <v>23656.675000000047</v>
      </c>
      <c r="W1133" s="256">
        <f t="shared" ca="1" si="385"/>
        <v>2</v>
      </c>
      <c r="X1133" s="256">
        <f t="shared" ca="1" si="390"/>
        <v>1</v>
      </c>
      <c r="Y1133" s="256"/>
      <c r="Z1133" s="256"/>
      <c r="AA1133" s="292"/>
      <c r="AB1133" s="292"/>
      <c r="AC1133" s="292"/>
    </row>
    <row r="1134" spans="1:29" s="293" customFormat="1" ht="25.5" x14ac:dyDescent="0.2">
      <c r="A1134" s="399"/>
      <c r="B1134" s="311"/>
      <c r="C1134" s="312" t="s">
        <v>556</v>
      </c>
      <c r="D1134" s="419">
        <v>45</v>
      </c>
      <c r="E1134" s="316" t="s">
        <v>518</v>
      </c>
      <c r="F1134" s="420">
        <v>6</v>
      </c>
      <c r="G1134" s="419">
        <v>48</v>
      </c>
      <c r="H1134" s="316" t="s">
        <v>518</v>
      </c>
      <c r="I1134" s="420">
        <v>8</v>
      </c>
      <c r="J1134" s="509">
        <v>8</v>
      </c>
      <c r="K1134" s="421">
        <f t="shared" si="397"/>
        <v>62</v>
      </c>
      <c r="L1134" s="431">
        <v>20</v>
      </c>
      <c r="M1134" s="431">
        <v>2</v>
      </c>
      <c r="N1134" s="431">
        <f>ROUNDUP(K1134/(L1134/100),0)+1</f>
        <v>311</v>
      </c>
      <c r="O1134" s="510">
        <v>109</v>
      </c>
      <c r="P1134" s="315"/>
      <c r="Q1134" s="317">
        <v>0.39500000000000002</v>
      </c>
      <c r="R1134" s="319">
        <f t="shared" si="398"/>
        <v>267.8021</v>
      </c>
      <c r="S1134" s="398" t="str">
        <f t="shared" si="396"/>
        <v>kg</v>
      </c>
      <c r="T1134" s="320">
        <v>42</v>
      </c>
      <c r="U1134" s="424" t="s">
        <v>519</v>
      </c>
      <c r="V1134" s="435">
        <f t="shared" ca="1" si="386"/>
        <v>23656.675000000047</v>
      </c>
      <c r="W1134" s="256">
        <f t="shared" ca="1" si="385"/>
        <v>2</v>
      </c>
      <c r="X1134" s="256">
        <f t="shared" ca="1" si="390"/>
        <v>1</v>
      </c>
      <c r="Y1134" s="256"/>
      <c r="Z1134" s="256"/>
      <c r="AA1134" s="292"/>
      <c r="AB1134" s="292"/>
      <c r="AC1134" s="292"/>
    </row>
    <row r="1135" spans="1:29" s="293" customFormat="1" ht="25.5" x14ac:dyDescent="0.2">
      <c r="A1135" s="399"/>
      <c r="B1135" s="311"/>
      <c r="C1135" s="312" t="s">
        <v>557</v>
      </c>
      <c r="D1135" s="419">
        <v>45</v>
      </c>
      <c r="E1135" s="316" t="s">
        <v>518</v>
      </c>
      <c r="F1135" s="420">
        <v>6</v>
      </c>
      <c r="G1135" s="419">
        <v>48</v>
      </c>
      <c r="H1135" s="316" t="s">
        <v>518</v>
      </c>
      <c r="I1135" s="420">
        <v>8</v>
      </c>
      <c r="J1135" s="509">
        <v>20</v>
      </c>
      <c r="K1135" s="421">
        <f t="shared" si="397"/>
        <v>62</v>
      </c>
      <c r="L1135" s="431">
        <v>20</v>
      </c>
      <c r="M1135" s="431">
        <v>2</v>
      </c>
      <c r="N1135" s="431">
        <f>ROUNDUP(K1135/(L1135/100),0)+1</f>
        <v>311</v>
      </c>
      <c r="O1135" s="510">
        <v>254</v>
      </c>
      <c r="P1135" s="315"/>
      <c r="Q1135" s="317">
        <v>2.4660000000000002</v>
      </c>
      <c r="R1135" s="319">
        <f t="shared" si="398"/>
        <v>3895.9840800000006</v>
      </c>
      <c r="S1135" s="398" t="str">
        <f t="shared" si="396"/>
        <v>kg</v>
      </c>
      <c r="T1135" s="320">
        <v>42</v>
      </c>
      <c r="U1135" s="424" t="s">
        <v>519</v>
      </c>
      <c r="V1135" s="435">
        <f t="shared" ca="1" si="386"/>
        <v>23656.675000000047</v>
      </c>
      <c r="W1135" s="256">
        <f t="shared" ca="1" si="385"/>
        <v>2</v>
      </c>
      <c r="X1135" s="256">
        <f t="shared" ca="1" si="390"/>
        <v>1</v>
      </c>
      <c r="Y1135" s="256"/>
      <c r="Z1135" s="256"/>
      <c r="AA1135" s="292"/>
      <c r="AB1135" s="292"/>
      <c r="AC1135" s="292"/>
    </row>
    <row r="1136" spans="1:29" s="293" customFormat="1" ht="25.5" x14ac:dyDescent="0.2">
      <c r="A1136" s="399"/>
      <c r="B1136" s="311"/>
      <c r="C1136" s="312" t="s">
        <v>562</v>
      </c>
      <c r="D1136" s="419">
        <v>45</v>
      </c>
      <c r="E1136" s="316" t="s">
        <v>518</v>
      </c>
      <c r="F1136" s="420">
        <v>6</v>
      </c>
      <c r="G1136" s="419">
        <v>48</v>
      </c>
      <c r="H1136" s="316" t="s">
        <v>518</v>
      </c>
      <c r="I1136" s="420">
        <v>8</v>
      </c>
      <c r="J1136" s="509">
        <v>20</v>
      </c>
      <c r="K1136" s="421">
        <f t="shared" si="397"/>
        <v>62</v>
      </c>
      <c r="L1136" s="431">
        <v>20</v>
      </c>
      <c r="M1136" s="431">
        <v>2</v>
      </c>
      <c r="N1136" s="431">
        <f>ROUNDUP(K1136/(L1136/100),0)+1</f>
        <v>311</v>
      </c>
      <c r="O1136" s="510">
        <v>688</v>
      </c>
      <c r="P1136" s="315"/>
      <c r="Q1136" s="317">
        <v>2.4660000000000002</v>
      </c>
      <c r="R1136" s="319">
        <f t="shared" si="398"/>
        <v>10552.901760000001</v>
      </c>
      <c r="S1136" s="398" t="str">
        <f t="shared" si="396"/>
        <v>kg</v>
      </c>
      <c r="T1136" s="320">
        <v>42</v>
      </c>
      <c r="U1136" s="424" t="s">
        <v>519</v>
      </c>
      <c r="V1136" s="435">
        <f t="shared" ca="1" si="386"/>
        <v>23656.675000000047</v>
      </c>
      <c r="W1136" s="256">
        <f t="shared" ca="1" si="385"/>
        <v>2</v>
      </c>
      <c r="X1136" s="256">
        <f t="shared" ca="1" si="390"/>
        <v>1</v>
      </c>
      <c r="Y1136" s="256"/>
      <c r="Z1136" s="256"/>
      <c r="AA1136" s="292"/>
      <c r="AB1136" s="292"/>
      <c r="AC1136" s="292"/>
    </row>
    <row r="1137" spans="1:29" s="293" customFormat="1" ht="25.5" x14ac:dyDescent="0.2">
      <c r="A1137" s="399"/>
      <c r="B1137" s="311"/>
      <c r="C1137" s="312" t="s">
        <v>563</v>
      </c>
      <c r="D1137" s="419">
        <v>45</v>
      </c>
      <c r="E1137" s="316" t="s">
        <v>518</v>
      </c>
      <c r="F1137" s="420">
        <v>6</v>
      </c>
      <c r="G1137" s="419">
        <v>48</v>
      </c>
      <c r="H1137" s="316" t="s">
        <v>518</v>
      </c>
      <c r="I1137" s="420">
        <v>8</v>
      </c>
      <c r="J1137" s="509">
        <v>20</v>
      </c>
      <c r="K1137" s="421">
        <f t="shared" si="397"/>
        <v>62</v>
      </c>
      <c r="L1137" s="431"/>
      <c r="M1137" s="431">
        <v>2</v>
      </c>
      <c r="N1137" s="431">
        <f>2+4</f>
        <v>6</v>
      </c>
      <c r="O1137" s="510">
        <f>K1137*100</f>
        <v>6200</v>
      </c>
      <c r="P1137" s="511">
        <f>ROUND(O1137/100/15,0)*100</f>
        <v>400</v>
      </c>
      <c r="Q1137" s="317">
        <v>2.4660000000000002</v>
      </c>
      <c r="R1137" s="319">
        <f t="shared" si="398"/>
        <v>1953.0720000000001</v>
      </c>
      <c r="S1137" s="398" t="str">
        <f t="shared" si="396"/>
        <v>kg</v>
      </c>
      <c r="T1137" s="320">
        <v>42</v>
      </c>
      <c r="U1137" s="424" t="s">
        <v>519</v>
      </c>
      <c r="V1137" s="435">
        <f t="shared" ca="1" si="386"/>
        <v>23656.675000000047</v>
      </c>
      <c r="W1137" s="256">
        <f t="shared" ca="1" si="385"/>
        <v>2</v>
      </c>
      <c r="X1137" s="256">
        <f t="shared" ca="1" si="390"/>
        <v>1</v>
      </c>
      <c r="Y1137" s="256"/>
      <c r="Z1137" s="256"/>
      <c r="AA1137" s="292"/>
      <c r="AB1137" s="292"/>
      <c r="AC1137" s="292"/>
    </row>
    <row r="1138" spans="1:29" s="293" customFormat="1" ht="25.5" x14ac:dyDescent="0.2">
      <c r="A1138" s="399"/>
      <c r="B1138" s="311"/>
      <c r="C1138" s="312" t="s">
        <v>559</v>
      </c>
      <c r="D1138" s="419">
        <v>45</v>
      </c>
      <c r="E1138" s="316" t="s">
        <v>518</v>
      </c>
      <c r="F1138" s="420">
        <v>6</v>
      </c>
      <c r="G1138" s="419">
        <v>48</v>
      </c>
      <c r="H1138" s="316" t="s">
        <v>518</v>
      </c>
      <c r="I1138" s="420">
        <v>8</v>
      </c>
      <c r="J1138" s="509">
        <v>8</v>
      </c>
      <c r="K1138" s="433">
        <f t="shared" si="397"/>
        <v>62</v>
      </c>
      <c r="L1138" s="431">
        <v>60</v>
      </c>
      <c r="M1138" s="431">
        <f>ROUNDUP(12/(L1138/100),0)+1</f>
        <v>21</v>
      </c>
      <c r="N1138" s="431">
        <f>ROUNDUP(K1138/(L1138/100),0)+1</f>
        <v>105</v>
      </c>
      <c r="O1138" s="510">
        <v>90</v>
      </c>
      <c r="P1138" s="317"/>
      <c r="Q1138" s="317">
        <v>0.39500000000000002</v>
      </c>
      <c r="R1138" s="319">
        <f t="shared" si="398"/>
        <v>783.87750000000005</v>
      </c>
      <c r="S1138" s="398" t="str">
        <f t="shared" si="396"/>
        <v>kg</v>
      </c>
      <c r="T1138" s="320">
        <v>42</v>
      </c>
      <c r="U1138" s="424" t="s">
        <v>519</v>
      </c>
      <c r="V1138" s="435">
        <f t="shared" ca="1" si="386"/>
        <v>23656.675000000047</v>
      </c>
      <c r="W1138" s="256">
        <f t="shared" ref="W1138:W1150" ca="1" si="399">IF(LEFT(_xlfn.FORMULATEXT(V1138),3)="=SO",1,IF(COUNTA(A1138:U1138)=0,0,2))</f>
        <v>2</v>
      </c>
      <c r="X1138" s="256">
        <f t="shared" ref="X1138:X1150" ca="1" si="400">IF(COUNTA(OFFSET(A964,1,0))-COUNTA(A964)=-1,0,1)</f>
        <v>1</v>
      </c>
      <c r="Y1138" s="256"/>
      <c r="Z1138" s="256"/>
      <c r="AA1138" s="292"/>
      <c r="AB1138" s="292"/>
      <c r="AC1138" s="292"/>
    </row>
    <row r="1139" spans="1:29" s="293" customFormat="1" ht="15.75" x14ac:dyDescent="0.2">
      <c r="A1139" s="399"/>
      <c r="B1139" s="311"/>
      <c r="C1139" s="312"/>
      <c r="D1139" s="419"/>
      <c r="E1139" s="316"/>
      <c r="F1139" s="420"/>
      <c r="G1139" s="419"/>
      <c r="H1139" s="316"/>
      <c r="I1139" s="420"/>
      <c r="J1139" s="509"/>
      <c r="K1139" s="421"/>
      <c r="L1139" s="431"/>
      <c r="M1139" s="431"/>
      <c r="N1139" s="431"/>
      <c r="O1139" s="510"/>
      <c r="P1139" s="315"/>
      <c r="Q1139" s="317"/>
      <c r="R1139" s="319"/>
      <c r="S1139" s="398"/>
      <c r="T1139" s="320"/>
      <c r="U1139" s="424"/>
      <c r="V1139" s="435">
        <f t="shared" ca="1" si="386"/>
        <v>23656.675000000047</v>
      </c>
      <c r="W1139" s="256">
        <f t="shared" ca="1" si="399"/>
        <v>0</v>
      </c>
      <c r="X1139" s="256">
        <f t="shared" ca="1" si="400"/>
        <v>1</v>
      </c>
      <c r="Y1139" s="256"/>
      <c r="Z1139" s="256"/>
      <c r="AA1139" s="292"/>
      <c r="AB1139" s="292"/>
      <c r="AC1139" s="292"/>
    </row>
    <row r="1140" spans="1:29" s="293" customFormat="1" ht="15.75" x14ac:dyDescent="0.2">
      <c r="A1140" s="399"/>
      <c r="B1140" s="311"/>
      <c r="C1140" s="434" t="s">
        <v>532</v>
      </c>
      <c r="D1140" s="313"/>
      <c r="E1140" s="314"/>
      <c r="F1140" s="315"/>
      <c r="G1140" s="313"/>
      <c r="H1140" s="314"/>
      <c r="I1140" s="315"/>
      <c r="J1140" s="317"/>
      <c r="K1140" s="317"/>
      <c r="L1140" s="421"/>
      <c r="M1140" s="431"/>
      <c r="N1140" s="433"/>
      <c r="O1140" s="433"/>
      <c r="P1140" s="510"/>
      <c r="Q1140" s="315"/>
      <c r="R1140" s="319"/>
      <c r="S1140" s="398"/>
      <c r="T1140" s="320">
        <v>43</v>
      </c>
      <c r="U1140" s="317"/>
      <c r="V1140" s="435">
        <f t="shared" ca="1" si="386"/>
        <v>23656.675000000047</v>
      </c>
      <c r="W1140" s="256">
        <f t="shared" ca="1" si="399"/>
        <v>2</v>
      </c>
      <c r="X1140" s="256">
        <f t="shared" ca="1" si="400"/>
        <v>1</v>
      </c>
      <c r="Y1140" s="256"/>
      <c r="Z1140" s="256"/>
      <c r="AA1140" s="292"/>
      <c r="AB1140" s="292"/>
      <c r="AC1140" s="292"/>
    </row>
    <row r="1141" spans="1:29" s="293" customFormat="1" ht="25.5" x14ac:dyDescent="0.2">
      <c r="A1141" s="399"/>
      <c r="B1141" s="311"/>
      <c r="C1141" s="312" t="s">
        <v>561</v>
      </c>
      <c r="D1141" s="419">
        <v>42</v>
      </c>
      <c r="E1141" s="316" t="s">
        <v>518</v>
      </c>
      <c r="F1141" s="420">
        <v>3</v>
      </c>
      <c r="G1141" s="419">
        <v>45</v>
      </c>
      <c r="H1141" s="316" t="s">
        <v>518</v>
      </c>
      <c r="I1141" s="420">
        <v>6</v>
      </c>
      <c r="J1141" s="509">
        <v>8</v>
      </c>
      <c r="K1141" s="421">
        <f t="shared" ref="K1141:K1146" si="401">ABS((G1141*20+I1141)-(D1141*20+F1141))</f>
        <v>63</v>
      </c>
      <c r="L1141" s="431">
        <v>20</v>
      </c>
      <c r="M1141" s="431">
        <v>2</v>
      </c>
      <c r="N1141" s="431">
        <f>15*2</f>
        <v>30</v>
      </c>
      <c r="O1141" s="510">
        <f>K1141*100</f>
        <v>6300</v>
      </c>
      <c r="P1141" s="511">
        <f>ROUND(O1141/100/15,0)*100</f>
        <v>400</v>
      </c>
      <c r="Q1141" s="317">
        <v>0.39500000000000002</v>
      </c>
      <c r="R1141" s="319">
        <f t="shared" ref="R1141:R1146" si="402">N1141*((O1141+P1141)/100)*M1141*Q1141</f>
        <v>1587.9</v>
      </c>
      <c r="S1141" s="398" t="str">
        <f t="shared" ref="S1141:S1146" si="403">$L$1174</f>
        <v>kg</v>
      </c>
      <c r="T1141" s="320">
        <v>43</v>
      </c>
      <c r="U1141" s="424" t="s">
        <v>519</v>
      </c>
      <c r="V1141" s="435">
        <f t="shared" ca="1" si="386"/>
        <v>23656.675000000047</v>
      </c>
      <c r="W1141" s="256">
        <f t="shared" ca="1" si="399"/>
        <v>2</v>
      </c>
      <c r="X1141" s="256">
        <f t="shared" ca="1" si="400"/>
        <v>1</v>
      </c>
      <c r="Y1141" s="256"/>
      <c r="Z1141" s="256"/>
      <c r="AA1141" s="292"/>
      <c r="AB1141" s="292"/>
      <c r="AC1141" s="292"/>
    </row>
    <row r="1142" spans="1:29" s="293" customFormat="1" ht="25.5" x14ac:dyDescent="0.2">
      <c r="A1142" s="399"/>
      <c r="B1142" s="311"/>
      <c r="C1142" s="312" t="s">
        <v>556</v>
      </c>
      <c r="D1142" s="419">
        <v>42</v>
      </c>
      <c r="E1142" s="316" t="s">
        <v>518</v>
      </c>
      <c r="F1142" s="420">
        <v>3</v>
      </c>
      <c r="G1142" s="419">
        <v>45</v>
      </c>
      <c r="H1142" s="316" t="s">
        <v>518</v>
      </c>
      <c r="I1142" s="420">
        <v>6</v>
      </c>
      <c r="J1142" s="509">
        <v>8</v>
      </c>
      <c r="K1142" s="421">
        <f t="shared" si="401"/>
        <v>63</v>
      </c>
      <c r="L1142" s="431">
        <v>20</v>
      </c>
      <c r="M1142" s="431">
        <v>2</v>
      </c>
      <c r="N1142" s="431">
        <f>ROUNDUP(K1142/(L1142/100),0)+1</f>
        <v>316</v>
      </c>
      <c r="O1142" s="510">
        <v>109</v>
      </c>
      <c r="P1142" s="315"/>
      <c r="Q1142" s="317">
        <v>0.39500000000000002</v>
      </c>
      <c r="R1142" s="319">
        <f t="shared" si="402"/>
        <v>272.10759999999999</v>
      </c>
      <c r="S1142" s="398" t="str">
        <f t="shared" si="403"/>
        <v>kg</v>
      </c>
      <c r="T1142" s="320">
        <v>43</v>
      </c>
      <c r="U1142" s="424" t="s">
        <v>519</v>
      </c>
      <c r="V1142" s="435">
        <f t="shared" ca="1" si="386"/>
        <v>23656.675000000047</v>
      </c>
      <c r="W1142" s="256">
        <f t="shared" ca="1" si="399"/>
        <v>2</v>
      </c>
      <c r="X1142" s="256">
        <f t="shared" ca="1" si="400"/>
        <v>1</v>
      </c>
      <c r="Y1142" s="256"/>
      <c r="Z1142" s="256"/>
      <c r="AA1142" s="292"/>
      <c r="AB1142" s="292"/>
      <c r="AC1142" s="292"/>
    </row>
    <row r="1143" spans="1:29" s="293" customFormat="1" ht="25.5" x14ac:dyDescent="0.2">
      <c r="A1143" s="399"/>
      <c r="B1143" s="311"/>
      <c r="C1143" s="312" t="s">
        <v>557</v>
      </c>
      <c r="D1143" s="419">
        <v>42</v>
      </c>
      <c r="E1143" s="316" t="s">
        <v>518</v>
      </c>
      <c r="F1143" s="420">
        <v>3</v>
      </c>
      <c r="G1143" s="419">
        <v>45</v>
      </c>
      <c r="H1143" s="316" t="s">
        <v>518</v>
      </c>
      <c r="I1143" s="420">
        <v>6</v>
      </c>
      <c r="J1143" s="509">
        <v>20</v>
      </c>
      <c r="K1143" s="421">
        <f t="shared" si="401"/>
        <v>63</v>
      </c>
      <c r="L1143" s="431">
        <v>20</v>
      </c>
      <c r="M1143" s="431">
        <v>2</v>
      </c>
      <c r="N1143" s="431">
        <f>ROUNDUP(K1143/(L1143/100),0)+1</f>
        <v>316</v>
      </c>
      <c r="O1143" s="510">
        <v>254</v>
      </c>
      <c r="P1143" s="315"/>
      <c r="Q1143" s="317">
        <v>2.4660000000000002</v>
      </c>
      <c r="R1143" s="319">
        <f t="shared" si="402"/>
        <v>3958.62048</v>
      </c>
      <c r="S1143" s="398" t="str">
        <f t="shared" si="403"/>
        <v>kg</v>
      </c>
      <c r="T1143" s="320">
        <v>43</v>
      </c>
      <c r="U1143" s="424" t="s">
        <v>519</v>
      </c>
      <c r="V1143" s="435">
        <f t="shared" ca="1" si="386"/>
        <v>23656.675000000047</v>
      </c>
      <c r="W1143" s="256">
        <f t="shared" ca="1" si="399"/>
        <v>2</v>
      </c>
      <c r="X1143" s="256">
        <f t="shared" ca="1" si="400"/>
        <v>1</v>
      </c>
      <c r="Y1143" s="256"/>
      <c r="Z1143" s="256"/>
      <c r="AA1143" s="292"/>
      <c r="AB1143" s="292"/>
      <c r="AC1143" s="292"/>
    </row>
    <row r="1144" spans="1:29" s="293" customFormat="1" ht="25.5" x14ac:dyDescent="0.2">
      <c r="A1144" s="399"/>
      <c r="B1144" s="311"/>
      <c r="C1144" s="312" t="s">
        <v>562</v>
      </c>
      <c r="D1144" s="419">
        <v>42</v>
      </c>
      <c r="E1144" s="316" t="s">
        <v>518</v>
      </c>
      <c r="F1144" s="420">
        <v>3</v>
      </c>
      <c r="G1144" s="419">
        <v>45</v>
      </c>
      <c r="H1144" s="316" t="s">
        <v>518</v>
      </c>
      <c r="I1144" s="420">
        <v>6</v>
      </c>
      <c r="J1144" s="509">
        <v>20</v>
      </c>
      <c r="K1144" s="421">
        <f t="shared" si="401"/>
        <v>63</v>
      </c>
      <c r="L1144" s="431">
        <v>20</v>
      </c>
      <c r="M1144" s="431">
        <v>2</v>
      </c>
      <c r="N1144" s="431">
        <f>ROUNDUP(K1144/(L1144/100),0)+1</f>
        <v>316</v>
      </c>
      <c r="O1144" s="510">
        <v>688</v>
      </c>
      <c r="P1144" s="315"/>
      <c r="Q1144" s="317">
        <v>2.4660000000000002</v>
      </c>
      <c r="R1144" s="319">
        <f t="shared" si="402"/>
        <v>10722.56256</v>
      </c>
      <c r="S1144" s="398" t="str">
        <f t="shared" si="403"/>
        <v>kg</v>
      </c>
      <c r="T1144" s="320">
        <v>43</v>
      </c>
      <c r="U1144" s="424" t="s">
        <v>519</v>
      </c>
      <c r="V1144" s="435">
        <f t="shared" ca="1" si="386"/>
        <v>23656.675000000047</v>
      </c>
      <c r="W1144" s="256">
        <f t="shared" ca="1" si="399"/>
        <v>2</v>
      </c>
      <c r="X1144" s="256">
        <f t="shared" ca="1" si="400"/>
        <v>1</v>
      </c>
      <c r="Y1144" s="256"/>
      <c r="Z1144" s="256"/>
      <c r="AA1144" s="292"/>
      <c r="AB1144" s="292"/>
      <c r="AC1144" s="292"/>
    </row>
    <row r="1145" spans="1:29" s="293" customFormat="1" ht="25.5" x14ac:dyDescent="0.2">
      <c r="A1145" s="399"/>
      <c r="B1145" s="311"/>
      <c r="C1145" s="312" t="s">
        <v>563</v>
      </c>
      <c r="D1145" s="419">
        <v>42</v>
      </c>
      <c r="E1145" s="316" t="s">
        <v>518</v>
      </c>
      <c r="F1145" s="420">
        <v>3</v>
      </c>
      <c r="G1145" s="419">
        <v>45</v>
      </c>
      <c r="H1145" s="316" t="s">
        <v>518</v>
      </c>
      <c r="I1145" s="420">
        <v>6</v>
      </c>
      <c r="J1145" s="509">
        <v>20</v>
      </c>
      <c r="K1145" s="421">
        <f t="shared" si="401"/>
        <v>63</v>
      </c>
      <c r="L1145" s="431"/>
      <c r="M1145" s="431">
        <v>2</v>
      </c>
      <c r="N1145" s="431">
        <f>2+4</f>
        <v>6</v>
      </c>
      <c r="O1145" s="510">
        <f>K1145*100</f>
        <v>6300</v>
      </c>
      <c r="P1145" s="511">
        <f>ROUND(O1145/100/15,0)*100</f>
        <v>400</v>
      </c>
      <c r="Q1145" s="317">
        <v>2.4660000000000002</v>
      </c>
      <c r="R1145" s="319">
        <f t="shared" si="402"/>
        <v>1982.6640000000002</v>
      </c>
      <c r="S1145" s="398" t="str">
        <f t="shared" si="403"/>
        <v>kg</v>
      </c>
      <c r="T1145" s="320">
        <v>43</v>
      </c>
      <c r="U1145" s="424" t="s">
        <v>519</v>
      </c>
      <c r="V1145" s="435">
        <f t="shared" ca="1" si="386"/>
        <v>23656.675000000047</v>
      </c>
      <c r="W1145" s="256">
        <f t="shared" ca="1" si="399"/>
        <v>2</v>
      </c>
      <c r="X1145" s="256">
        <f t="shared" ca="1" si="400"/>
        <v>1</v>
      </c>
      <c r="Y1145" s="256"/>
      <c r="Z1145" s="256"/>
      <c r="AA1145" s="292"/>
      <c r="AB1145" s="292"/>
      <c r="AC1145" s="292"/>
    </row>
    <row r="1146" spans="1:29" s="293" customFormat="1" ht="25.5" x14ac:dyDescent="0.2">
      <c r="A1146" s="399"/>
      <c r="B1146" s="311"/>
      <c r="C1146" s="312" t="s">
        <v>559</v>
      </c>
      <c r="D1146" s="419">
        <v>42</v>
      </c>
      <c r="E1146" s="316" t="s">
        <v>518</v>
      </c>
      <c r="F1146" s="420">
        <v>3</v>
      </c>
      <c r="G1146" s="419">
        <v>45</v>
      </c>
      <c r="H1146" s="316" t="s">
        <v>518</v>
      </c>
      <c r="I1146" s="420">
        <v>6</v>
      </c>
      <c r="J1146" s="509">
        <v>8</v>
      </c>
      <c r="K1146" s="433">
        <f t="shared" si="401"/>
        <v>63</v>
      </c>
      <c r="L1146" s="431">
        <v>60</v>
      </c>
      <c r="M1146" s="431">
        <f>ROUNDUP(12/(L1146/100),0)+1</f>
        <v>21</v>
      </c>
      <c r="N1146" s="431">
        <f>ROUNDUP(K1146/(L1146/100),0)+1</f>
        <v>106</v>
      </c>
      <c r="O1146" s="510">
        <v>90</v>
      </c>
      <c r="P1146" s="317"/>
      <c r="Q1146" s="317">
        <v>0.39500000000000002</v>
      </c>
      <c r="R1146" s="319">
        <f t="shared" si="402"/>
        <v>791.34300000000007</v>
      </c>
      <c r="S1146" s="398" t="str">
        <f t="shared" si="403"/>
        <v>kg</v>
      </c>
      <c r="T1146" s="320">
        <v>43</v>
      </c>
      <c r="U1146" s="424" t="s">
        <v>519</v>
      </c>
      <c r="V1146" s="435">
        <f t="shared" ca="1" si="386"/>
        <v>23656.675000000047</v>
      </c>
      <c r="W1146" s="256">
        <f t="shared" ca="1" si="399"/>
        <v>2</v>
      </c>
      <c r="X1146" s="256">
        <f t="shared" ca="1" si="400"/>
        <v>1</v>
      </c>
      <c r="Y1146" s="256"/>
      <c r="Z1146" s="256"/>
      <c r="AA1146" s="292"/>
      <c r="AB1146" s="292"/>
      <c r="AC1146" s="292"/>
    </row>
    <row r="1147" spans="1:29" s="293" customFormat="1" ht="15.75" x14ac:dyDescent="0.2">
      <c r="A1147" s="399"/>
      <c r="B1147" s="311"/>
      <c r="C1147" s="312"/>
      <c r="D1147" s="419"/>
      <c r="E1147" s="316"/>
      <c r="F1147" s="420"/>
      <c r="G1147" s="419"/>
      <c r="H1147" s="316"/>
      <c r="I1147" s="420"/>
      <c r="J1147" s="509"/>
      <c r="K1147" s="421"/>
      <c r="L1147" s="431"/>
      <c r="M1147" s="431"/>
      <c r="N1147" s="431"/>
      <c r="O1147" s="510"/>
      <c r="P1147" s="315"/>
      <c r="Q1147" s="317"/>
      <c r="R1147" s="319"/>
      <c r="S1147" s="398"/>
      <c r="T1147" s="320"/>
      <c r="U1147" s="424"/>
      <c r="V1147" s="435">
        <f t="shared" ca="1" si="386"/>
        <v>23656.675000000047</v>
      </c>
      <c r="W1147" s="256">
        <f t="shared" ca="1" si="399"/>
        <v>0</v>
      </c>
      <c r="X1147" s="256">
        <f t="shared" ca="1" si="400"/>
        <v>1</v>
      </c>
      <c r="Y1147" s="256"/>
      <c r="Z1147" s="256"/>
      <c r="AA1147" s="292"/>
      <c r="AB1147" s="292"/>
      <c r="AC1147" s="292"/>
    </row>
    <row r="1148" spans="1:29" s="293" customFormat="1" ht="15.75" x14ac:dyDescent="0.2">
      <c r="A1148" s="399"/>
      <c r="B1148" s="311"/>
      <c r="C1148" s="434" t="s">
        <v>516</v>
      </c>
      <c r="D1148" s="313"/>
      <c r="E1148" s="314"/>
      <c r="F1148" s="315"/>
      <c r="G1148" s="380"/>
      <c r="H1148" s="316"/>
      <c r="I1148" s="381"/>
      <c r="J1148" s="317"/>
      <c r="K1148" s="421"/>
      <c r="L1148" s="433"/>
      <c r="M1148" s="433"/>
      <c r="N1148" s="433"/>
      <c r="O1148" s="433"/>
      <c r="P1148" s="315"/>
      <c r="Q1148" s="318"/>
      <c r="R1148" s="319"/>
      <c r="S1148" s="398"/>
      <c r="T1148" s="320">
        <v>43</v>
      </c>
      <c r="U1148" s="335"/>
      <c r="V1148" s="435">
        <f t="shared" ca="1" si="386"/>
        <v>23656.675000000047</v>
      </c>
      <c r="W1148" s="256">
        <f t="shared" ca="1" si="399"/>
        <v>2</v>
      </c>
      <c r="X1148" s="256">
        <f t="shared" ca="1" si="400"/>
        <v>1</v>
      </c>
      <c r="Y1148" s="256"/>
      <c r="Z1148" s="256"/>
      <c r="AA1148" s="292"/>
      <c r="AB1148" s="292"/>
      <c r="AC1148" s="292"/>
    </row>
    <row r="1149" spans="1:29" s="293" customFormat="1" ht="25.5" x14ac:dyDescent="0.2">
      <c r="A1149" s="399"/>
      <c r="B1149" s="311"/>
      <c r="C1149" s="312" t="s">
        <v>555</v>
      </c>
      <c r="D1149" s="417">
        <v>1</v>
      </c>
      <c r="E1149" s="314" t="s">
        <v>518</v>
      </c>
      <c r="F1149" s="418">
        <v>8</v>
      </c>
      <c r="G1149" s="417">
        <v>2</v>
      </c>
      <c r="H1149" s="314" t="s">
        <v>518</v>
      </c>
      <c r="I1149" s="418">
        <v>0</v>
      </c>
      <c r="J1149" s="509">
        <v>12.5</v>
      </c>
      <c r="K1149" s="421">
        <f t="shared" ref="K1149:K1154" si="404">ABS((G1149*20+I1149)-(D1149*20+F1149))</f>
        <v>12</v>
      </c>
      <c r="L1149" s="431">
        <v>10</v>
      </c>
      <c r="M1149" s="431">
        <v>1</v>
      </c>
      <c r="N1149" s="431">
        <f t="shared" ref="N1149:N1154" si="405">ROUNDUP(K1149/(L1149/100),0)+1</f>
        <v>121</v>
      </c>
      <c r="O1149" s="510">
        <v>626</v>
      </c>
      <c r="P1149" s="315"/>
      <c r="Q1149" s="317">
        <v>0.96299999999999997</v>
      </c>
      <c r="R1149" s="319">
        <f t="shared" ref="R1149:R1154" si="406">N1149*((O1149+P1149)/100)*M1149*Q1149</f>
        <v>729.43397999999991</v>
      </c>
      <c r="S1149" s="398" t="str">
        <f t="shared" ref="S1149:S1154" si="407">$L$1174</f>
        <v>kg</v>
      </c>
      <c r="T1149" s="320">
        <v>43</v>
      </c>
      <c r="U1149" s="424" t="s">
        <v>519</v>
      </c>
      <c r="V1149" s="435">
        <f t="shared" ca="1" si="386"/>
        <v>23656.675000000047</v>
      </c>
      <c r="W1149" s="256">
        <f t="shared" ca="1" si="399"/>
        <v>2</v>
      </c>
      <c r="X1149" s="256">
        <f t="shared" ca="1" si="400"/>
        <v>1</v>
      </c>
      <c r="Y1149" s="256"/>
      <c r="Z1149" s="256"/>
      <c r="AA1149" s="292"/>
      <c r="AB1149" s="292"/>
      <c r="AC1149" s="292"/>
    </row>
    <row r="1150" spans="1:29" s="293" customFormat="1" ht="25.5" x14ac:dyDescent="0.2">
      <c r="A1150" s="399"/>
      <c r="B1150" s="311"/>
      <c r="C1150" s="312" t="s">
        <v>556</v>
      </c>
      <c r="D1150" s="417">
        <v>1</v>
      </c>
      <c r="E1150" s="314" t="s">
        <v>518</v>
      </c>
      <c r="F1150" s="418">
        <v>8</v>
      </c>
      <c r="G1150" s="417">
        <v>2</v>
      </c>
      <c r="H1150" s="314" t="s">
        <v>518</v>
      </c>
      <c r="I1150" s="418">
        <v>0</v>
      </c>
      <c r="J1150" s="509">
        <v>8</v>
      </c>
      <c r="K1150" s="421">
        <f t="shared" si="404"/>
        <v>12</v>
      </c>
      <c r="L1150" s="431">
        <v>10</v>
      </c>
      <c r="M1150" s="431">
        <v>4</v>
      </c>
      <c r="N1150" s="431">
        <f t="shared" si="405"/>
        <v>121</v>
      </c>
      <c r="O1150" s="510">
        <v>109</v>
      </c>
      <c r="P1150" s="315"/>
      <c r="Q1150" s="317">
        <v>0.39500000000000002</v>
      </c>
      <c r="R1150" s="319">
        <f t="shared" si="406"/>
        <v>208.38620000000003</v>
      </c>
      <c r="S1150" s="398" t="str">
        <f t="shared" si="407"/>
        <v>kg</v>
      </c>
      <c r="T1150" s="320">
        <v>43</v>
      </c>
      <c r="U1150" s="424" t="s">
        <v>519</v>
      </c>
      <c r="V1150" s="435">
        <f t="shared" ca="1" si="386"/>
        <v>23656.675000000047</v>
      </c>
      <c r="W1150" s="256">
        <f t="shared" ca="1" si="399"/>
        <v>2</v>
      </c>
      <c r="X1150" s="256">
        <f t="shared" ca="1" si="400"/>
        <v>1</v>
      </c>
      <c r="Y1150" s="256"/>
      <c r="Z1150" s="256"/>
      <c r="AA1150" s="292"/>
      <c r="AB1150" s="292"/>
      <c r="AC1150" s="292"/>
    </row>
    <row r="1151" spans="1:29" s="293" customFormat="1" ht="25.5" x14ac:dyDescent="0.2">
      <c r="A1151" s="399"/>
      <c r="B1151" s="311"/>
      <c r="C1151" s="312" t="s">
        <v>557</v>
      </c>
      <c r="D1151" s="417">
        <v>1</v>
      </c>
      <c r="E1151" s="314" t="s">
        <v>518</v>
      </c>
      <c r="F1151" s="418">
        <v>8</v>
      </c>
      <c r="G1151" s="417">
        <v>2</v>
      </c>
      <c r="H1151" s="314" t="s">
        <v>518</v>
      </c>
      <c r="I1151" s="418">
        <v>0</v>
      </c>
      <c r="J1151" s="509">
        <v>12.5</v>
      </c>
      <c r="K1151" s="421">
        <f t="shared" si="404"/>
        <v>12</v>
      </c>
      <c r="L1151" s="431">
        <v>10</v>
      </c>
      <c r="M1151" s="431">
        <v>4</v>
      </c>
      <c r="N1151" s="431">
        <f t="shared" si="405"/>
        <v>121</v>
      </c>
      <c r="O1151" s="510">
        <v>266</v>
      </c>
      <c r="P1151" s="315"/>
      <c r="Q1151" s="317">
        <v>0.96299999999999997</v>
      </c>
      <c r="R1151" s="319">
        <f t="shared" si="406"/>
        <v>1239.8047200000001</v>
      </c>
      <c r="S1151" s="398" t="str">
        <f t="shared" si="407"/>
        <v>kg</v>
      </c>
      <c r="T1151" s="320">
        <v>43</v>
      </c>
      <c r="U1151" s="424" t="s">
        <v>519</v>
      </c>
      <c r="V1151" s="435">
        <f t="shared" ca="1" si="386"/>
        <v>23656.675000000047</v>
      </c>
      <c r="W1151" s="256">
        <f t="shared" ref="W1151:W1176" ca="1" si="408">IF(LEFT(_xlfn.FORMULATEXT(V1151),3)="=SO",1,IF(COUNTA(A1151:U1151)=0,0,2))</f>
        <v>2</v>
      </c>
      <c r="X1151" s="256">
        <f t="shared" ref="X1151:X1172" ca="1" si="409">IF(COUNTA(OFFSET(A977,1,0))-COUNTA(A977)=-1,0,1)</f>
        <v>1</v>
      </c>
      <c r="Y1151" s="256"/>
      <c r="Z1151" s="256"/>
      <c r="AA1151" s="292"/>
      <c r="AB1151" s="292"/>
      <c r="AC1151" s="292"/>
    </row>
    <row r="1152" spans="1:29" s="293" customFormat="1" ht="25.5" x14ac:dyDescent="0.2">
      <c r="A1152" s="399"/>
      <c r="B1152" s="311"/>
      <c r="C1152" s="312" t="s">
        <v>558</v>
      </c>
      <c r="D1152" s="417">
        <v>1</v>
      </c>
      <c r="E1152" s="314" t="s">
        <v>518</v>
      </c>
      <c r="F1152" s="418">
        <v>8</v>
      </c>
      <c r="G1152" s="417">
        <v>2</v>
      </c>
      <c r="H1152" s="314" t="s">
        <v>518</v>
      </c>
      <c r="I1152" s="418">
        <v>0</v>
      </c>
      <c r="J1152" s="509">
        <v>12.5</v>
      </c>
      <c r="K1152" s="421">
        <f t="shared" si="404"/>
        <v>12</v>
      </c>
      <c r="L1152" s="431">
        <v>20</v>
      </c>
      <c r="M1152" s="431">
        <v>1</v>
      </c>
      <c r="N1152" s="431">
        <f t="shared" si="405"/>
        <v>61</v>
      </c>
      <c r="O1152" s="510">
        <v>626</v>
      </c>
      <c r="P1152" s="315"/>
      <c r="Q1152" s="317">
        <v>0.96299999999999997</v>
      </c>
      <c r="R1152" s="319">
        <f t="shared" si="406"/>
        <v>367.73117999999999</v>
      </c>
      <c r="S1152" s="398" t="str">
        <f t="shared" si="407"/>
        <v>kg</v>
      </c>
      <c r="T1152" s="320">
        <v>43</v>
      </c>
      <c r="U1152" s="424" t="s">
        <v>519</v>
      </c>
      <c r="V1152" s="435">
        <f t="shared" ca="1" si="386"/>
        <v>23656.675000000047</v>
      </c>
      <c r="W1152" s="256">
        <f t="shared" ca="1" si="408"/>
        <v>2</v>
      </c>
      <c r="X1152" s="256">
        <f t="shared" ca="1" si="409"/>
        <v>1</v>
      </c>
      <c r="Y1152" s="256"/>
      <c r="Z1152" s="256"/>
      <c r="AA1152" s="292"/>
      <c r="AB1152" s="292"/>
      <c r="AC1152" s="292"/>
    </row>
    <row r="1153" spans="1:29" s="293" customFormat="1" ht="25.5" x14ac:dyDescent="0.2">
      <c r="A1153" s="399"/>
      <c r="B1153" s="311"/>
      <c r="C1153" s="312" t="s">
        <v>559</v>
      </c>
      <c r="D1153" s="417">
        <v>1</v>
      </c>
      <c r="E1153" s="314" t="s">
        <v>518</v>
      </c>
      <c r="F1153" s="418">
        <v>8</v>
      </c>
      <c r="G1153" s="417">
        <v>2</v>
      </c>
      <c r="H1153" s="314" t="s">
        <v>518</v>
      </c>
      <c r="I1153" s="418">
        <v>0</v>
      </c>
      <c r="J1153" s="509">
        <v>8</v>
      </c>
      <c r="K1153" s="421">
        <f t="shared" si="404"/>
        <v>12</v>
      </c>
      <c r="L1153" s="431">
        <v>60</v>
      </c>
      <c r="M1153" s="431">
        <f>ROUNDUP(6/(L1153/100),0)+1</f>
        <v>11</v>
      </c>
      <c r="N1153" s="431">
        <f t="shared" si="405"/>
        <v>21</v>
      </c>
      <c r="O1153" s="510">
        <v>90</v>
      </c>
      <c r="P1153" s="315"/>
      <c r="Q1153" s="317">
        <v>0.39500000000000002</v>
      </c>
      <c r="R1153" s="319">
        <f t="shared" si="406"/>
        <v>82.120500000000021</v>
      </c>
      <c r="S1153" s="398" t="str">
        <f t="shared" si="407"/>
        <v>kg</v>
      </c>
      <c r="T1153" s="320">
        <v>43</v>
      </c>
      <c r="U1153" s="424" t="s">
        <v>519</v>
      </c>
      <c r="V1153" s="435">
        <f t="shared" ca="1" si="386"/>
        <v>23656.675000000047</v>
      </c>
      <c r="W1153" s="256">
        <f t="shared" ca="1" si="408"/>
        <v>2</v>
      </c>
      <c r="X1153" s="256">
        <f t="shared" ca="1" si="409"/>
        <v>1</v>
      </c>
      <c r="Y1153" s="256"/>
      <c r="Z1153" s="256"/>
      <c r="AA1153" s="292"/>
      <c r="AB1153" s="292"/>
      <c r="AC1153" s="292"/>
    </row>
    <row r="1154" spans="1:29" s="293" customFormat="1" ht="25.5" x14ac:dyDescent="0.2">
      <c r="A1154" s="399"/>
      <c r="B1154" s="311"/>
      <c r="C1154" s="312" t="s">
        <v>560</v>
      </c>
      <c r="D1154" s="417">
        <v>1</v>
      </c>
      <c r="E1154" s="314" t="s">
        <v>518</v>
      </c>
      <c r="F1154" s="418">
        <v>8</v>
      </c>
      <c r="G1154" s="417">
        <v>2</v>
      </c>
      <c r="H1154" s="314" t="s">
        <v>518</v>
      </c>
      <c r="I1154" s="418">
        <v>0</v>
      </c>
      <c r="J1154" s="509">
        <v>8</v>
      </c>
      <c r="K1154" s="421">
        <f t="shared" si="404"/>
        <v>12</v>
      </c>
      <c r="L1154" s="431">
        <v>60</v>
      </c>
      <c r="M1154" s="431">
        <f>ROUNDUP(6/(L1154/100),0)+1</f>
        <v>11</v>
      </c>
      <c r="N1154" s="431">
        <f t="shared" si="405"/>
        <v>21</v>
      </c>
      <c r="O1154" s="510">
        <v>90</v>
      </c>
      <c r="P1154" s="315"/>
      <c r="Q1154" s="317">
        <v>0.39500000000000002</v>
      </c>
      <c r="R1154" s="319">
        <f t="shared" si="406"/>
        <v>82.120500000000021</v>
      </c>
      <c r="S1154" s="398" t="str">
        <f t="shared" si="407"/>
        <v>kg</v>
      </c>
      <c r="T1154" s="320">
        <v>43</v>
      </c>
      <c r="U1154" s="424" t="s">
        <v>519</v>
      </c>
      <c r="V1154" s="435">
        <f t="shared" ca="1" si="386"/>
        <v>23656.675000000047</v>
      </c>
      <c r="W1154" s="256">
        <f t="shared" ca="1" si="408"/>
        <v>2</v>
      </c>
      <c r="X1154" s="256">
        <f t="shared" ca="1" si="409"/>
        <v>1</v>
      </c>
      <c r="Y1154" s="256"/>
      <c r="Z1154" s="256"/>
      <c r="AA1154" s="292"/>
      <c r="AB1154" s="292"/>
      <c r="AC1154" s="292"/>
    </row>
    <row r="1155" spans="1:29" s="293" customFormat="1" ht="15.75" x14ac:dyDescent="0.2">
      <c r="A1155" s="399"/>
      <c r="B1155" s="311"/>
      <c r="C1155" s="312"/>
      <c r="D1155" s="419"/>
      <c r="E1155" s="316"/>
      <c r="F1155" s="420"/>
      <c r="G1155" s="419"/>
      <c r="H1155" s="316"/>
      <c r="I1155" s="420"/>
      <c r="J1155" s="509"/>
      <c r="K1155" s="421"/>
      <c r="L1155" s="431"/>
      <c r="M1155" s="431"/>
      <c r="N1155" s="431"/>
      <c r="O1155" s="510"/>
      <c r="P1155" s="315"/>
      <c r="Q1155" s="317"/>
      <c r="R1155" s="319"/>
      <c r="S1155" s="398"/>
      <c r="T1155" s="320"/>
      <c r="U1155" s="424"/>
      <c r="V1155" s="435">
        <f t="shared" ca="1" si="386"/>
        <v>23656.675000000047</v>
      </c>
      <c r="W1155" s="256">
        <f t="shared" ca="1" si="408"/>
        <v>0</v>
      </c>
      <c r="X1155" s="256">
        <f t="shared" ca="1" si="409"/>
        <v>1</v>
      </c>
      <c r="Y1155" s="256"/>
      <c r="Z1155" s="256"/>
      <c r="AA1155" s="292"/>
      <c r="AB1155" s="292"/>
      <c r="AC1155" s="292"/>
    </row>
    <row r="1156" spans="1:29" s="293" customFormat="1" ht="15.75" x14ac:dyDescent="0.2">
      <c r="A1156" s="399"/>
      <c r="B1156" s="311"/>
      <c r="C1156" s="434" t="s">
        <v>532</v>
      </c>
      <c r="D1156" s="313"/>
      <c r="E1156" s="314"/>
      <c r="F1156" s="315"/>
      <c r="G1156" s="313"/>
      <c r="H1156" s="314"/>
      <c r="I1156" s="315"/>
      <c r="J1156" s="317"/>
      <c r="K1156" s="317"/>
      <c r="L1156" s="421"/>
      <c r="M1156" s="431"/>
      <c r="N1156" s="433"/>
      <c r="O1156" s="433"/>
      <c r="P1156" s="510"/>
      <c r="Q1156" s="315"/>
      <c r="R1156" s="319"/>
      <c r="S1156" s="398"/>
      <c r="T1156" s="320">
        <v>44</v>
      </c>
      <c r="U1156" s="317"/>
      <c r="V1156" s="435">
        <f t="shared" ca="1" si="386"/>
        <v>23656.675000000047</v>
      </c>
      <c r="W1156" s="256">
        <f t="shared" ca="1" si="408"/>
        <v>2</v>
      </c>
      <c r="X1156" s="256">
        <f t="shared" ca="1" si="409"/>
        <v>1</v>
      </c>
      <c r="Y1156" s="256"/>
      <c r="Z1156" s="256"/>
      <c r="AA1156" s="292"/>
      <c r="AB1156" s="292"/>
      <c r="AC1156" s="292"/>
    </row>
    <row r="1157" spans="1:29" s="293" customFormat="1" ht="25.5" x14ac:dyDescent="0.2">
      <c r="A1157" s="399"/>
      <c r="B1157" s="311"/>
      <c r="C1157" s="312" t="s">
        <v>561</v>
      </c>
      <c r="D1157" s="419">
        <v>39</v>
      </c>
      <c r="E1157" s="316" t="s">
        <v>518</v>
      </c>
      <c r="F1157" s="420">
        <v>2</v>
      </c>
      <c r="G1157" s="419">
        <v>42</v>
      </c>
      <c r="H1157" s="316" t="s">
        <v>518</v>
      </c>
      <c r="I1157" s="420">
        <v>3</v>
      </c>
      <c r="J1157" s="509">
        <v>8</v>
      </c>
      <c r="K1157" s="421">
        <f t="shared" ref="K1157:K1162" si="410">ABS((G1157*20+I1157)-(D1157*20+F1157))</f>
        <v>61</v>
      </c>
      <c r="L1157" s="431">
        <v>20</v>
      </c>
      <c r="M1157" s="431">
        <v>2</v>
      </c>
      <c r="N1157" s="431">
        <f>15*2</f>
        <v>30</v>
      </c>
      <c r="O1157" s="510">
        <f>K1157*100</f>
        <v>6100</v>
      </c>
      <c r="P1157" s="511">
        <f>ROUND(O1157/100/15,0)*100</f>
        <v>400</v>
      </c>
      <c r="Q1157" s="317">
        <v>0.39500000000000002</v>
      </c>
      <c r="R1157" s="319">
        <f t="shared" ref="R1157:R1162" si="411">N1157*((O1157+P1157)/100)*M1157*Q1157</f>
        <v>1540.5</v>
      </c>
      <c r="S1157" s="398" t="str">
        <f>$L$1174</f>
        <v>kg</v>
      </c>
      <c r="T1157" s="320">
        <v>44</v>
      </c>
      <c r="U1157" s="424" t="s">
        <v>519</v>
      </c>
      <c r="V1157" s="435">
        <f t="shared" ca="1" si="386"/>
        <v>23656.675000000047</v>
      </c>
      <c r="W1157" s="256">
        <f t="shared" ca="1" si="408"/>
        <v>2</v>
      </c>
      <c r="X1157" s="256">
        <f t="shared" ca="1" si="409"/>
        <v>1</v>
      </c>
      <c r="Y1157" s="256"/>
      <c r="Z1157" s="256"/>
      <c r="AA1157" s="292"/>
      <c r="AB1157" s="292"/>
      <c r="AC1157" s="292"/>
    </row>
    <row r="1158" spans="1:29" s="293" customFormat="1" ht="25.5" x14ac:dyDescent="0.2">
      <c r="A1158" s="399"/>
      <c r="B1158" s="311"/>
      <c r="C1158" s="312" t="s">
        <v>556</v>
      </c>
      <c r="D1158" s="419">
        <v>39</v>
      </c>
      <c r="E1158" s="316" t="s">
        <v>518</v>
      </c>
      <c r="F1158" s="420">
        <v>2</v>
      </c>
      <c r="G1158" s="419">
        <v>42</v>
      </c>
      <c r="H1158" s="316" t="s">
        <v>518</v>
      </c>
      <c r="I1158" s="420">
        <v>3</v>
      </c>
      <c r="J1158" s="509">
        <v>8</v>
      </c>
      <c r="K1158" s="421">
        <f t="shared" si="410"/>
        <v>61</v>
      </c>
      <c r="L1158" s="431">
        <v>20</v>
      </c>
      <c r="M1158" s="431">
        <v>2</v>
      </c>
      <c r="N1158" s="431">
        <f>ROUNDUP(K1158/(L1158/100),0)+1</f>
        <v>306</v>
      </c>
      <c r="O1158" s="510">
        <v>109</v>
      </c>
      <c r="P1158" s="315"/>
      <c r="Q1158" s="317">
        <v>0.39500000000000002</v>
      </c>
      <c r="R1158" s="319">
        <f t="shared" si="411"/>
        <v>263.4966</v>
      </c>
      <c r="S1158" s="398" t="str">
        <f t="shared" ref="S1158:S1162" si="412">$L$1174</f>
        <v>kg</v>
      </c>
      <c r="T1158" s="320">
        <v>44</v>
      </c>
      <c r="U1158" s="424" t="s">
        <v>519</v>
      </c>
      <c r="V1158" s="435">
        <f t="shared" ca="1" si="386"/>
        <v>23656.675000000047</v>
      </c>
      <c r="W1158" s="256">
        <f t="shared" ca="1" si="408"/>
        <v>2</v>
      </c>
      <c r="X1158" s="256">
        <f t="shared" ca="1" si="409"/>
        <v>1</v>
      </c>
      <c r="Y1158" s="256"/>
      <c r="Z1158" s="256"/>
      <c r="AA1158" s="292"/>
      <c r="AB1158" s="292"/>
      <c r="AC1158" s="292"/>
    </row>
    <row r="1159" spans="1:29" s="293" customFormat="1" ht="25.5" x14ac:dyDescent="0.2">
      <c r="A1159" s="399"/>
      <c r="B1159" s="311"/>
      <c r="C1159" s="312" t="s">
        <v>557</v>
      </c>
      <c r="D1159" s="419">
        <v>39</v>
      </c>
      <c r="E1159" s="316" t="s">
        <v>518</v>
      </c>
      <c r="F1159" s="420">
        <v>2</v>
      </c>
      <c r="G1159" s="419">
        <v>42</v>
      </c>
      <c r="H1159" s="316" t="s">
        <v>518</v>
      </c>
      <c r="I1159" s="420">
        <v>3</v>
      </c>
      <c r="J1159" s="509">
        <v>20</v>
      </c>
      <c r="K1159" s="421">
        <f t="shared" si="410"/>
        <v>61</v>
      </c>
      <c r="L1159" s="431">
        <v>20</v>
      </c>
      <c r="M1159" s="431">
        <v>2</v>
      </c>
      <c r="N1159" s="431">
        <f>ROUNDUP(K1159/(L1159/100),0)+1</f>
        <v>306</v>
      </c>
      <c r="O1159" s="510">
        <v>254</v>
      </c>
      <c r="P1159" s="315"/>
      <c r="Q1159" s="317">
        <v>2.4660000000000002</v>
      </c>
      <c r="R1159" s="319">
        <f t="shared" si="411"/>
        <v>3833.3476800000003</v>
      </c>
      <c r="S1159" s="398" t="str">
        <f t="shared" si="412"/>
        <v>kg</v>
      </c>
      <c r="T1159" s="320">
        <v>44</v>
      </c>
      <c r="U1159" s="424" t="s">
        <v>519</v>
      </c>
      <c r="V1159" s="435">
        <f t="shared" ca="1" si="386"/>
        <v>23656.675000000047</v>
      </c>
      <c r="W1159" s="256">
        <f t="shared" ca="1" si="408"/>
        <v>2</v>
      </c>
      <c r="X1159" s="256">
        <f t="shared" ca="1" si="409"/>
        <v>1</v>
      </c>
      <c r="Y1159" s="256"/>
      <c r="Z1159" s="256"/>
      <c r="AA1159" s="292"/>
      <c r="AB1159" s="292"/>
      <c r="AC1159" s="292"/>
    </row>
    <row r="1160" spans="1:29" s="293" customFormat="1" ht="25.5" x14ac:dyDescent="0.2">
      <c r="A1160" s="399"/>
      <c r="B1160" s="311"/>
      <c r="C1160" s="312" t="s">
        <v>562</v>
      </c>
      <c r="D1160" s="419">
        <v>39</v>
      </c>
      <c r="E1160" s="316" t="s">
        <v>518</v>
      </c>
      <c r="F1160" s="420">
        <v>2</v>
      </c>
      <c r="G1160" s="419">
        <v>42</v>
      </c>
      <c r="H1160" s="316" t="s">
        <v>518</v>
      </c>
      <c r="I1160" s="420">
        <v>3</v>
      </c>
      <c r="J1160" s="509">
        <v>20</v>
      </c>
      <c r="K1160" s="421">
        <f t="shared" si="410"/>
        <v>61</v>
      </c>
      <c r="L1160" s="431">
        <v>20</v>
      </c>
      <c r="M1160" s="431">
        <v>2</v>
      </c>
      <c r="N1160" s="431">
        <f>ROUNDUP(K1160/(L1160/100),0)+1</f>
        <v>306</v>
      </c>
      <c r="O1160" s="510">
        <v>688</v>
      </c>
      <c r="P1160" s="315"/>
      <c r="Q1160" s="317">
        <v>2.4660000000000002</v>
      </c>
      <c r="R1160" s="319">
        <f t="shared" si="411"/>
        <v>10383.240959999999</v>
      </c>
      <c r="S1160" s="398" t="str">
        <f t="shared" si="412"/>
        <v>kg</v>
      </c>
      <c r="T1160" s="320">
        <v>44</v>
      </c>
      <c r="U1160" s="424" t="s">
        <v>519</v>
      </c>
      <c r="V1160" s="435">
        <f t="shared" ca="1" si="386"/>
        <v>23656.675000000047</v>
      </c>
      <c r="W1160" s="256">
        <f t="shared" ca="1" si="408"/>
        <v>2</v>
      </c>
      <c r="X1160" s="256">
        <f t="shared" ca="1" si="409"/>
        <v>1</v>
      </c>
      <c r="Y1160" s="256"/>
      <c r="Z1160" s="256"/>
      <c r="AA1160" s="292"/>
      <c r="AB1160" s="292"/>
      <c r="AC1160" s="292"/>
    </row>
    <row r="1161" spans="1:29" s="293" customFormat="1" ht="25.5" x14ac:dyDescent="0.2">
      <c r="A1161" s="399"/>
      <c r="B1161" s="311"/>
      <c r="C1161" s="312" t="s">
        <v>563</v>
      </c>
      <c r="D1161" s="419">
        <v>39</v>
      </c>
      <c r="E1161" s="316" t="s">
        <v>518</v>
      </c>
      <c r="F1161" s="420">
        <v>2</v>
      </c>
      <c r="G1161" s="419">
        <v>42</v>
      </c>
      <c r="H1161" s="316" t="s">
        <v>518</v>
      </c>
      <c r="I1161" s="420">
        <v>3</v>
      </c>
      <c r="J1161" s="509">
        <v>20</v>
      </c>
      <c r="K1161" s="421">
        <f t="shared" si="410"/>
        <v>61</v>
      </c>
      <c r="L1161" s="431"/>
      <c r="M1161" s="431">
        <v>2</v>
      </c>
      <c r="N1161" s="431">
        <f>2+4</f>
        <v>6</v>
      </c>
      <c r="O1161" s="510">
        <f>K1161*100</f>
        <v>6100</v>
      </c>
      <c r="P1161" s="511">
        <f>ROUND(O1161/100/15,0)*100</f>
        <v>400</v>
      </c>
      <c r="Q1161" s="317">
        <v>2.4660000000000002</v>
      </c>
      <c r="R1161" s="319">
        <f t="shared" si="411"/>
        <v>1923.4800000000002</v>
      </c>
      <c r="S1161" s="398" t="str">
        <f t="shared" si="412"/>
        <v>kg</v>
      </c>
      <c r="T1161" s="320">
        <v>44</v>
      </c>
      <c r="U1161" s="424" t="s">
        <v>519</v>
      </c>
      <c r="V1161" s="435">
        <f t="shared" ca="1" si="386"/>
        <v>23656.675000000047</v>
      </c>
      <c r="W1161" s="256">
        <f t="shared" ca="1" si="408"/>
        <v>2</v>
      </c>
      <c r="X1161" s="256">
        <f t="shared" ca="1" si="409"/>
        <v>1</v>
      </c>
      <c r="Y1161" s="256"/>
      <c r="Z1161" s="256"/>
      <c r="AA1161" s="292"/>
      <c r="AB1161" s="292"/>
      <c r="AC1161" s="292"/>
    </row>
    <row r="1162" spans="1:29" s="293" customFormat="1" ht="25.5" x14ac:dyDescent="0.2">
      <c r="A1162" s="399"/>
      <c r="B1162" s="311"/>
      <c r="C1162" s="312" t="s">
        <v>559</v>
      </c>
      <c r="D1162" s="419">
        <v>39</v>
      </c>
      <c r="E1162" s="316" t="s">
        <v>518</v>
      </c>
      <c r="F1162" s="420">
        <v>2</v>
      </c>
      <c r="G1162" s="419">
        <v>42</v>
      </c>
      <c r="H1162" s="316" t="s">
        <v>518</v>
      </c>
      <c r="I1162" s="420">
        <v>3</v>
      </c>
      <c r="J1162" s="509">
        <v>8</v>
      </c>
      <c r="K1162" s="433">
        <f t="shared" si="410"/>
        <v>61</v>
      </c>
      <c r="L1162" s="431">
        <v>60</v>
      </c>
      <c r="M1162" s="431">
        <f>ROUNDUP(12/(L1162/100),0)+1</f>
        <v>21</v>
      </c>
      <c r="N1162" s="431">
        <f>ROUNDUP(K1162/(L1162/100),0)+1</f>
        <v>103</v>
      </c>
      <c r="O1162" s="510">
        <v>90</v>
      </c>
      <c r="P1162" s="317"/>
      <c r="Q1162" s="317">
        <v>0.39500000000000002</v>
      </c>
      <c r="R1162" s="319">
        <f t="shared" si="411"/>
        <v>768.94650000000001</v>
      </c>
      <c r="S1162" s="398" t="str">
        <f t="shared" si="412"/>
        <v>kg</v>
      </c>
      <c r="T1162" s="320">
        <v>44</v>
      </c>
      <c r="U1162" s="424" t="s">
        <v>519</v>
      </c>
      <c r="V1162" s="435">
        <f t="shared" ca="1" si="386"/>
        <v>23656.675000000047</v>
      </c>
      <c r="W1162" s="256">
        <f t="shared" ca="1" si="408"/>
        <v>2</v>
      </c>
      <c r="X1162" s="256">
        <f t="shared" ca="1" si="409"/>
        <v>1</v>
      </c>
      <c r="Y1162" s="256"/>
      <c r="Z1162" s="256"/>
      <c r="AA1162" s="292"/>
      <c r="AB1162" s="292"/>
      <c r="AC1162" s="292"/>
    </row>
    <row r="1163" spans="1:29" s="293" customFormat="1" ht="15.75" x14ac:dyDescent="0.2">
      <c r="A1163" s="399"/>
      <c r="B1163" s="311"/>
      <c r="C1163" s="312"/>
      <c r="D1163" s="419"/>
      <c r="E1163" s="316"/>
      <c r="F1163" s="420"/>
      <c r="G1163" s="419"/>
      <c r="H1163" s="316"/>
      <c r="I1163" s="420"/>
      <c r="J1163" s="509"/>
      <c r="K1163" s="421"/>
      <c r="L1163" s="431"/>
      <c r="M1163" s="431"/>
      <c r="N1163" s="431"/>
      <c r="O1163" s="510"/>
      <c r="P1163" s="315"/>
      <c r="Q1163" s="317"/>
      <c r="R1163" s="319"/>
      <c r="S1163" s="398"/>
      <c r="T1163" s="320"/>
      <c r="U1163" s="424"/>
      <c r="V1163" s="435">
        <f t="shared" ca="1" si="386"/>
        <v>23656.675000000047</v>
      </c>
      <c r="W1163" s="256">
        <f t="shared" ca="1" si="408"/>
        <v>0</v>
      </c>
      <c r="X1163" s="256">
        <f t="shared" ca="1" si="409"/>
        <v>1</v>
      </c>
      <c r="Y1163" s="256"/>
      <c r="Z1163" s="256"/>
      <c r="AA1163" s="292"/>
      <c r="AB1163" s="292"/>
      <c r="AC1163" s="292"/>
    </row>
    <row r="1164" spans="1:29" s="293" customFormat="1" ht="15.75" x14ac:dyDescent="0.2">
      <c r="A1164" s="399"/>
      <c r="B1164" s="311"/>
      <c r="C1164" s="434" t="s">
        <v>516</v>
      </c>
      <c r="D1164" s="313"/>
      <c r="E1164" s="314"/>
      <c r="F1164" s="315"/>
      <c r="G1164" s="380"/>
      <c r="H1164" s="316"/>
      <c r="I1164" s="381"/>
      <c r="J1164" s="317"/>
      <c r="K1164" s="421"/>
      <c r="L1164" s="433"/>
      <c r="M1164" s="433"/>
      <c r="N1164" s="433"/>
      <c r="O1164" s="433"/>
      <c r="P1164" s="315"/>
      <c r="Q1164" s="318"/>
      <c r="R1164" s="319"/>
      <c r="S1164" s="398"/>
      <c r="T1164" s="320">
        <v>44</v>
      </c>
      <c r="U1164" s="335"/>
      <c r="V1164" s="435">
        <f t="shared" ca="1" si="386"/>
        <v>23656.675000000047</v>
      </c>
      <c r="W1164" s="256">
        <f t="shared" ca="1" si="408"/>
        <v>2</v>
      </c>
      <c r="X1164" s="256">
        <f t="shared" ca="1" si="409"/>
        <v>1</v>
      </c>
      <c r="Y1164" s="256"/>
      <c r="Z1164" s="256"/>
      <c r="AA1164" s="292"/>
      <c r="AB1164" s="292"/>
      <c r="AC1164" s="292"/>
    </row>
    <row r="1165" spans="1:29" s="293" customFormat="1" ht="25.5" x14ac:dyDescent="0.2">
      <c r="A1165" s="399"/>
      <c r="B1165" s="311"/>
      <c r="C1165" s="312" t="s">
        <v>555</v>
      </c>
      <c r="D1165" s="417">
        <v>0</v>
      </c>
      <c r="E1165" s="314" t="s">
        <v>518</v>
      </c>
      <c r="F1165" s="418">
        <v>6</v>
      </c>
      <c r="G1165" s="417">
        <v>1</v>
      </c>
      <c r="H1165" s="314" t="s">
        <v>518</v>
      </c>
      <c r="I1165" s="418">
        <v>8</v>
      </c>
      <c r="J1165" s="509">
        <v>12.5</v>
      </c>
      <c r="K1165" s="421">
        <f t="shared" ref="K1165:K1170" si="413">ABS((G1165*20+I1165)-(D1165*20+F1165))</f>
        <v>22</v>
      </c>
      <c r="L1165" s="431">
        <v>10</v>
      </c>
      <c r="M1165" s="431">
        <v>1</v>
      </c>
      <c r="N1165" s="431">
        <f t="shared" ref="N1165:N1170" si="414">ROUNDUP(K1165/(L1165/100),0)+1</f>
        <v>221</v>
      </c>
      <c r="O1165" s="510">
        <v>626</v>
      </c>
      <c r="P1165" s="315"/>
      <c r="Q1165" s="317">
        <v>0.96299999999999997</v>
      </c>
      <c r="R1165" s="319">
        <f t="shared" ref="R1165:R1170" si="415">N1165*((O1165+P1165)/100)*M1165*Q1165</f>
        <v>1332.27198</v>
      </c>
      <c r="S1165" s="398" t="str">
        <f t="shared" ref="S1165:S1170" si="416">$L$1174</f>
        <v>kg</v>
      </c>
      <c r="T1165" s="320">
        <v>44</v>
      </c>
      <c r="U1165" s="424" t="s">
        <v>519</v>
      </c>
      <c r="V1165" s="435">
        <f t="shared" ca="1" si="386"/>
        <v>23656.675000000047</v>
      </c>
      <c r="W1165" s="256">
        <f t="shared" ca="1" si="408"/>
        <v>2</v>
      </c>
      <c r="X1165" s="256">
        <f t="shared" ca="1" si="409"/>
        <v>1</v>
      </c>
      <c r="Y1165" s="256"/>
      <c r="Z1165" s="256"/>
      <c r="AA1165" s="292"/>
      <c r="AB1165" s="292"/>
      <c r="AC1165" s="292"/>
    </row>
    <row r="1166" spans="1:29" s="293" customFormat="1" ht="25.5" x14ac:dyDescent="0.2">
      <c r="A1166" s="399"/>
      <c r="B1166" s="311"/>
      <c r="C1166" s="312" t="s">
        <v>556</v>
      </c>
      <c r="D1166" s="417">
        <v>0</v>
      </c>
      <c r="E1166" s="314" t="s">
        <v>518</v>
      </c>
      <c r="F1166" s="418">
        <v>6</v>
      </c>
      <c r="G1166" s="417">
        <v>1</v>
      </c>
      <c r="H1166" s="314" t="s">
        <v>518</v>
      </c>
      <c r="I1166" s="418">
        <v>8</v>
      </c>
      <c r="J1166" s="509">
        <v>8</v>
      </c>
      <c r="K1166" s="421">
        <f t="shared" si="413"/>
        <v>22</v>
      </c>
      <c r="L1166" s="431">
        <v>10</v>
      </c>
      <c r="M1166" s="431">
        <v>4</v>
      </c>
      <c r="N1166" s="431">
        <f t="shared" si="414"/>
        <v>221</v>
      </c>
      <c r="O1166" s="510">
        <v>109</v>
      </c>
      <c r="P1166" s="315"/>
      <c r="Q1166" s="317">
        <v>0.39500000000000002</v>
      </c>
      <c r="R1166" s="319">
        <f t="shared" si="415"/>
        <v>380.60620000000006</v>
      </c>
      <c r="S1166" s="398" t="str">
        <f t="shared" si="416"/>
        <v>kg</v>
      </c>
      <c r="T1166" s="320">
        <v>44</v>
      </c>
      <c r="U1166" s="424" t="s">
        <v>519</v>
      </c>
      <c r="V1166" s="435">
        <f t="shared" ca="1" si="386"/>
        <v>23656.675000000047</v>
      </c>
      <c r="W1166" s="256">
        <f t="shared" ca="1" si="408"/>
        <v>2</v>
      </c>
      <c r="X1166" s="256">
        <f t="shared" ca="1" si="409"/>
        <v>1</v>
      </c>
      <c r="Y1166" s="256"/>
      <c r="Z1166" s="256"/>
      <c r="AA1166" s="292"/>
      <c r="AB1166" s="292"/>
      <c r="AC1166" s="292"/>
    </row>
    <row r="1167" spans="1:29" s="293" customFormat="1" ht="25.5" x14ac:dyDescent="0.2">
      <c r="A1167" s="399"/>
      <c r="B1167" s="311"/>
      <c r="C1167" s="312" t="s">
        <v>557</v>
      </c>
      <c r="D1167" s="417">
        <v>0</v>
      </c>
      <c r="E1167" s="314" t="s">
        <v>518</v>
      </c>
      <c r="F1167" s="418">
        <v>6</v>
      </c>
      <c r="G1167" s="417">
        <v>1</v>
      </c>
      <c r="H1167" s="314" t="s">
        <v>518</v>
      </c>
      <c r="I1167" s="418">
        <v>8</v>
      </c>
      <c r="J1167" s="509">
        <v>12.5</v>
      </c>
      <c r="K1167" s="421">
        <f t="shared" si="413"/>
        <v>22</v>
      </c>
      <c r="L1167" s="431">
        <v>10</v>
      </c>
      <c r="M1167" s="431">
        <v>4</v>
      </c>
      <c r="N1167" s="431">
        <f t="shared" si="414"/>
        <v>221</v>
      </c>
      <c r="O1167" s="510">
        <v>266</v>
      </c>
      <c r="P1167" s="315"/>
      <c r="Q1167" s="317">
        <v>0.96299999999999997</v>
      </c>
      <c r="R1167" s="319">
        <f t="shared" si="415"/>
        <v>2264.4367200000002</v>
      </c>
      <c r="S1167" s="398" t="str">
        <f t="shared" si="416"/>
        <v>kg</v>
      </c>
      <c r="T1167" s="320">
        <v>44</v>
      </c>
      <c r="U1167" s="424" t="s">
        <v>519</v>
      </c>
      <c r="V1167" s="435">
        <f t="shared" ca="1" si="386"/>
        <v>23656.675000000047</v>
      </c>
      <c r="W1167" s="256">
        <f t="shared" ca="1" si="408"/>
        <v>2</v>
      </c>
      <c r="X1167" s="256">
        <f t="shared" ca="1" si="409"/>
        <v>1</v>
      </c>
      <c r="Y1167" s="256"/>
      <c r="Z1167" s="256"/>
      <c r="AA1167" s="292"/>
      <c r="AB1167" s="292"/>
      <c r="AC1167" s="292"/>
    </row>
    <row r="1168" spans="1:29" s="293" customFormat="1" ht="25.5" x14ac:dyDescent="0.2">
      <c r="A1168" s="399"/>
      <c r="B1168" s="311"/>
      <c r="C1168" s="312" t="s">
        <v>558</v>
      </c>
      <c r="D1168" s="417">
        <v>0</v>
      </c>
      <c r="E1168" s="314" t="s">
        <v>518</v>
      </c>
      <c r="F1168" s="418">
        <v>6</v>
      </c>
      <c r="G1168" s="417">
        <v>1</v>
      </c>
      <c r="H1168" s="314" t="s">
        <v>518</v>
      </c>
      <c r="I1168" s="418">
        <v>8</v>
      </c>
      <c r="J1168" s="509">
        <v>12.5</v>
      </c>
      <c r="K1168" s="421">
        <f t="shared" si="413"/>
        <v>22</v>
      </c>
      <c r="L1168" s="431">
        <v>20</v>
      </c>
      <c r="M1168" s="431">
        <v>1</v>
      </c>
      <c r="N1168" s="431">
        <f t="shared" si="414"/>
        <v>111</v>
      </c>
      <c r="O1168" s="510">
        <v>626</v>
      </c>
      <c r="P1168" s="315"/>
      <c r="Q1168" s="317">
        <v>0.96299999999999997</v>
      </c>
      <c r="R1168" s="319">
        <f t="shared" si="415"/>
        <v>669.15017999999998</v>
      </c>
      <c r="S1168" s="398" t="str">
        <f t="shared" si="416"/>
        <v>kg</v>
      </c>
      <c r="T1168" s="320">
        <v>44</v>
      </c>
      <c r="U1168" s="424" t="s">
        <v>519</v>
      </c>
      <c r="V1168" s="435">
        <f t="shared" ca="1" si="386"/>
        <v>23656.675000000047</v>
      </c>
      <c r="W1168" s="256">
        <f t="shared" ca="1" si="408"/>
        <v>2</v>
      </c>
      <c r="X1168" s="256">
        <f t="shared" ca="1" si="409"/>
        <v>1</v>
      </c>
      <c r="Y1168" s="256"/>
      <c r="Z1168" s="256"/>
      <c r="AA1168" s="292"/>
      <c r="AB1168" s="292"/>
      <c r="AC1168" s="292"/>
    </row>
    <row r="1169" spans="1:29" s="293" customFormat="1" ht="25.5" x14ac:dyDescent="0.2">
      <c r="A1169" s="399"/>
      <c r="B1169" s="311"/>
      <c r="C1169" s="312" t="s">
        <v>559</v>
      </c>
      <c r="D1169" s="417">
        <v>0</v>
      </c>
      <c r="E1169" s="314" t="s">
        <v>518</v>
      </c>
      <c r="F1169" s="418">
        <v>6</v>
      </c>
      <c r="G1169" s="417">
        <v>1</v>
      </c>
      <c r="H1169" s="314" t="s">
        <v>518</v>
      </c>
      <c r="I1169" s="418">
        <v>8</v>
      </c>
      <c r="J1169" s="509">
        <v>8</v>
      </c>
      <c r="K1169" s="421">
        <f t="shared" si="413"/>
        <v>22</v>
      </c>
      <c r="L1169" s="431">
        <v>60</v>
      </c>
      <c r="M1169" s="431">
        <f>ROUNDUP(6/(L1169/100),0)+1</f>
        <v>11</v>
      </c>
      <c r="N1169" s="431">
        <f t="shared" si="414"/>
        <v>38</v>
      </c>
      <c r="O1169" s="510">
        <v>90</v>
      </c>
      <c r="P1169" s="315"/>
      <c r="Q1169" s="317">
        <v>0.39500000000000002</v>
      </c>
      <c r="R1169" s="319">
        <f t="shared" si="415"/>
        <v>148.59900000000002</v>
      </c>
      <c r="S1169" s="398" t="str">
        <f t="shared" si="416"/>
        <v>kg</v>
      </c>
      <c r="T1169" s="320">
        <v>44</v>
      </c>
      <c r="U1169" s="424" t="s">
        <v>519</v>
      </c>
      <c r="V1169" s="435">
        <f t="shared" ca="1" si="386"/>
        <v>23656.675000000047</v>
      </c>
      <c r="W1169" s="256">
        <f t="shared" ca="1" si="408"/>
        <v>2</v>
      </c>
      <c r="X1169" s="256">
        <f t="shared" ca="1" si="409"/>
        <v>1</v>
      </c>
      <c r="Y1169" s="256"/>
      <c r="Z1169" s="256"/>
      <c r="AA1169" s="292"/>
      <c r="AB1169" s="292"/>
      <c r="AC1169" s="292"/>
    </row>
    <row r="1170" spans="1:29" s="293" customFormat="1" ht="25.5" x14ac:dyDescent="0.2">
      <c r="A1170" s="399"/>
      <c r="B1170" s="311"/>
      <c r="C1170" s="312" t="s">
        <v>560</v>
      </c>
      <c r="D1170" s="417">
        <v>0</v>
      </c>
      <c r="E1170" s="314" t="s">
        <v>518</v>
      </c>
      <c r="F1170" s="418">
        <v>6</v>
      </c>
      <c r="G1170" s="417">
        <v>1</v>
      </c>
      <c r="H1170" s="314" t="s">
        <v>518</v>
      </c>
      <c r="I1170" s="418">
        <v>8</v>
      </c>
      <c r="J1170" s="509">
        <v>8</v>
      </c>
      <c r="K1170" s="421">
        <f t="shared" si="413"/>
        <v>22</v>
      </c>
      <c r="L1170" s="431">
        <v>60</v>
      </c>
      <c r="M1170" s="431">
        <f>ROUNDUP(6/(L1170/100),0)+1</f>
        <v>11</v>
      </c>
      <c r="N1170" s="431">
        <f t="shared" si="414"/>
        <v>38</v>
      </c>
      <c r="O1170" s="510">
        <v>90</v>
      </c>
      <c r="P1170" s="315"/>
      <c r="Q1170" s="317">
        <v>0.39500000000000002</v>
      </c>
      <c r="R1170" s="319">
        <f t="shared" si="415"/>
        <v>148.59900000000002</v>
      </c>
      <c r="S1170" s="398" t="str">
        <f t="shared" si="416"/>
        <v>kg</v>
      </c>
      <c r="T1170" s="320">
        <v>44</v>
      </c>
      <c r="U1170" s="424" t="s">
        <v>519</v>
      </c>
      <c r="V1170" s="435">
        <f t="shared" ca="1" si="386"/>
        <v>23656.675000000047</v>
      </c>
      <c r="W1170" s="256">
        <f t="shared" ca="1" si="408"/>
        <v>2</v>
      </c>
      <c r="X1170" s="256">
        <f t="shared" ca="1" si="409"/>
        <v>1</v>
      </c>
      <c r="Y1170" s="256"/>
      <c r="Z1170" s="256"/>
      <c r="AA1170" s="292"/>
      <c r="AB1170" s="292"/>
      <c r="AC1170" s="292"/>
    </row>
    <row r="1171" spans="1:29" s="293" customFormat="1" ht="15.75" x14ac:dyDescent="0.2">
      <c r="A1171" s="399"/>
      <c r="B1171" s="311"/>
      <c r="C1171" s="312"/>
      <c r="D1171" s="419"/>
      <c r="E1171" s="316"/>
      <c r="F1171" s="420"/>
      <c r="G1171" s="419"/>
      <c r="H1171" s="316"/>
      <c r="I1171" s="420"/>
      <c r="J1171" s="509"/>
      <c r="K1171" s="421"/>
      <c r="L1171" s="431"/>
      <c r="M1171" s="431"/>
      <c r="N1171" s="431"/>
      <c r="O1171" s="510"/>
      <c r="P1171" s="315"/>
      <c r="Q1171" s="317"/>
      <c r="R1171" s="319"/>
      <c r="S1171" s="398"/>
      <c r="T1171" s="320"/>
      <c r="U1171" s="424"/>
      <c r="V1171" s="435">
        <f t="shared" ca="1" si="386"/>
        <v>23656.675000000047</v>
      </c>
      <c r="W1171" s="256">
        <f t="shared" ca="1" si="408"/>
        <v>0</v>
      </c>
      <c r="X1171" s="256">
        <f t="shared" ca="1" si="409"/>
        <v>1</v>
      </c>
      <c r="Y1171" s="256"/>
      <c r="Z1171" s="256"/>
      <c r="AA1171" s="292"/>
      <c r="AB1171" s="292"/>
      <c r="AC1171" s="292"/>
    </row>
    <row r="1172" spans="1:29" s="293" customFormat="1" ht="15.75" x14ac:dyDescent="0.2">
      <c r="A1172" s="399"/>
      <c r="B1172" s="311"/>
      <c r="C1172" s="312"/>
      <c r="D1172" s="419"/>
      <c r="E1172" s="316"/>
      <c r="F1172" s="420"/>
      <c r="G1172" s="419"/>
      <c r="H1172" s="316"/>
      <c r="I1172" s="420"/>
      <c r="J1172" s="509"/>
      <c r="K1172" s="421"/>
      <c r="L1172" s="431"/>
      <c r="M1172" s="431"/>
      <c r="N1172" s="431"/>
      <c r="O1172" s="510"/>
      <c r="P1172" s="315"/>
      <c r="Q1172" s="317"/>
      <c r="R1172" s="319"/>
      <c r="S1172" s="398"/>
      <c r="T1172" s="320"/>
      <c r="U1172" s="424"/>
      <c r="V1172" s="435">
        <f t="shared" ca="1" si="386"/>
        <v>23656.675000000047</v>
      </c>
      <c r="W1172" s="256">
        <f t="shared" ca="1" si="408"/>
        <v>0</v>
      </c>
      <c r="X1172" s="256">
        <f t="shared" ca="1" si="409"/>
        <v>1</v>
      </c>
      <c r="Y1172" s="256"/>
      <c r="Z1172" s="256"/>
      <c r="AA1172" s="292"/>
      <c r="AB1172" s="292"/>
      <c r="AC1172" s="292"/>
    </row>
    <row r="1173" spans="1:29" s="293" customFormat="1" ht="15.75" x14ac:dyDescent="0.2">
      <c r="A1173" s="399"/>
      <c r="B1173" s="311"/>
      <c r="C1173" s="312"/>
      <c r="D1173" s="419"/>
      <c r="E1173" s="316"/>
      <c r="F1173" s="420"/>
      <c r="G1173" s="419"/>
      <c r="H1173" s="316"/>
      <c r="I1173" s="420"/>
      <c r="J1173" s="509"/>
      <c r="K1173" s="421"/>
      <c r="L1173" s="417"/>
      <c r="M1173" s="431"/>
      <c r="N1173" s="431"/>
      <c r="O1173" s="510"/>
      <c r="P1173" s="315"/>
      <c r="Q1173" s="315"/>
      <c r="R1173" s="319"/>
      <c r="S1173" s="853"/>
      <c r="T1173" s="320"/>
      <c r="U1173" s="424"/>
      <c r="V1173" s="435">
        <f t="shared" ref="V1173:V1176" ca="1" si="417">IF(OFFSET(V1173,1,1)=1,OFFSET(V1173,0,-4),OFFSET(V1173,1,0))</f>
        <v>23656.675000000047</v>
      </c>
      <c r="W1173" s="256">
        <f t="shared" ca="1" si="408"/>
        <v>0</v>
      </c>
      <c r="X1173" s="256">
        <f ca="1">IF(COUNTA(OFFSET(A1006,1,0))-COUNTA(A1006)=-1,0,1)</f>
        <v>1</v>
      </c>
      <c r="Y1173" s="256"/>
      <c r="Z1173" s="256"/>
      <c r="AA1173" s="292"/>
      <c r="AB1173" s="292"/>
      <c r="AC1173" s="292"/>
    </row>
    <row r="1174" spans="1:29" s="111" customFormat="1" ht="15.75" x14ac:dyDescent="0.2">
      <c r="A1174" s="288"/>
      <c r="B1174" s="354"/>
      <c r="C1174" s="355"/>
      <c r="D1174" s="1354" t="s">
        <v>492</v>
      </c>
      <c r="E1174" s="1355"/>
      <c r="F1174" s="1355"/>
      <c r="G1174" s="1355"/>
      <c r="H1174" s="1355"/>
      <c r="I1174" s="1356"/>
      <c r="J1174" s="1357">
        <f>VLOOKUP(A1176,'11 - FINANCEIRO'!_xlnm.Print_Area,6,FALSE)</f>
        <v>547502.34</v>
      </c>
      <c r="K1174" s="1358"/>
      <c r="L1174" s="356" t="str">
        <f>VLOOKUP(A1176,'11 - FINANCEIRO'!_xlnm.Print_Area,4,FALSE)</f>
        <v>kg</v>
      </c>
      <c r="M1174" s="1359" t="s">
        <v>493</v>
      </c>
      <c r="N1174" s="1360"/>
      <c r="O1174" s="1360"/>
      <c r="P1174" s="1360"/>
      <c r="Q1174" s="1361"/>
      <c r="R1174" s="357">
        <f>TRUNC(SUM(R950:R1173),3)</f>
        <v>498537.94300000003</v>
      </c>
      <c r="S1174" s="358" t="str">
        <f>L1174</f>
        <v>kg</v>
      </c>
      <c r="T1174" s="359"/>
      <c r="U1174" s="360"/>
      <c r="V1174" s="435">
        <f t="shared" ca="1" si="417"/>
        <v>23656.675000000047</v>
      </c>
      <c r="W1174" s="256">
        <f t="shared" ca="1" si="408"/>
        <v>2</v>
      </c>
      <c r="X1174" s="256">
        <f ca="1">IF(COUNTA(OFFSET(A1007,1,0))-COUNTA(A1007)=-1,0,1)</f>
        <v>1</v>
      </c>
      <c r="Y1174" s="250"/>
      <c r="Z1174" s="250"/>
    </row>
    <row r="1175" spans="1:29" s="293" customFormat="1" ht="15.75" x14ac:dyDescent="0.2">
      <c r="A1175" s="288"/>
      <c r="B1175" s="354"/>
      <c r="C1175" s="361"/>
      <c r="D1175" s="1362" t="s">
        <v>494</v>
      </c>
      <c r="E1175" s="1363"/>
      <c r="F1175" s="1363"/>
      <c r="G1175" s="1363"/>
      <c r="H1175" s="1363"/>
      <c r="I1175" s="1364"/>
      <c r="J1175" s="1365">
        <f>R1174/J1174</f>
        <v>0.91056769364675239</v>
      </c>
      <c r="K1175" s="1366"/>
      <c r="L1175" s="1369"/>
      <c r="M1175" s="1371" t="s">
        <v>495</v>
      </c>
      <c r="N1175" s="1372"/>
      <c r="O1175" s="1372"/>
      <c r="P1175" s="1372"/>
      <c r="Q1175" s="1373"/>
      <c r="R1175" s="362">
        <f>VLOOKUP(A1176,'11 - FINANCEIRO'!_xlnm.Print_Area,8,FALSE)</f>
        <v>474881.26799999998</v>
      </c>
      <c r="S1175" s="363" t="str">
        <f>L1174</f>
        <v>kg</v>
      </c>
      <c r="T1175" s="359"/>
      <c r="U1175" s="360"/>
      <c r="V1175" s="435">
        <f t="shared" ca="1" si="417"/>
        <v>23656.675000000047</v>
      </c>
      <c r="W1175" s="256">
        <f t="shared" ca="1" si="408"/>
        <v>2</v>
      </c>
      <c r="X1175" s="256">
        <f ca="1">IF(COUNTA(OFFSET(A1008,1,0))-COUNTA(A1008)=-1,0,1)</f>
        <v>1</v>
      </c>
      <c r="Y1175" s="256"/>
      <c r="Z1175" s="256"/>
      <c r="AA1175" s="292"/>
      <c r="AB1175" s="292"/>
      <c r="AC1175" s="292"/>
    </row>
    <row r="1176" spans="1:29" s="293" customFormat="1" ht="15.75" x14ac:dyDescent="0.2">
      <c r="A1176" s="288" t="s">
        <v>30</v>
      </c>
      <c r="B1176" s="364"/>
      <c r="C1176" s="365"/>
      <c r="D1176" s="1354"/>
      <c r="E1176" s="1355"/>
      <c r="F1176" s="1355"/>
      <c r="G1176" s="1355"/>
      <c r="H1176" s="1355"/>
      <c r="I1176" s="1356"/>
      <c r="J1176" s="1367"/>
      <c r="K1176" s="1368"/>
      <c r="L1176" s="1370"/>
      <c r="M1176" s="1371" t="s">
        <v>496</v>
      </c>
      <c r="N1176" s="1372"/>
      <c r="O1176" s="1372"/>
      <c r="P1176" s="1372"/>
      <c r="Q1176" s="1373"/>
      <c r="R1176" s="362">
        <f>R1174-R1175</f>
        <v>23656.675000000047</v>
      </c>
      <c r="S1176" s="363" t="str">
        <f>L1174</f>
        <v>kg</v>
      </c>
      <c r="T1176" s="366"/>
      <c r="U1176" s="367"/>
      <c r="V1176" s="435">
        <f t="shared" ca="1" si="417"/>
        <v>23656.675000000047</v>
      </c>
      <c r="W1176" s="256">
        <f t="shared" ca="1" si="408"/>
        <v>2</v>
      </c>
      <c r="X1176" s="256">
        <f ca="1">IF(COUNTA(OFFSET(A1009,1,0))-COUNTA(A1009)=-1,0,1)</f>
        <v>1</v>
      </c>
      <c r="Y1176" s="256"/>
      <c r="Z1176" s="256"/>
      <c r="AA1176" s="292"/>
      <c r="AB1176" s="292"/>
      <c r="AC1176" s="292"/>
    </row>
    <row r="1177" spans="1:29" s="111" customFormat="1" ht="15.75" x14ac:dyDescent="0.2">
      <c r="A1177" s="288"/>
      <c r="B1177" s="368"/>
      <c r="C1177" s="365"/>
      <c r="D1177" s="369"/>
      <c r="E1177" s="370"/>
      <c r="F1177" s="369"/>
      <c r="G1177" s="369"/>
      <c r="H1177" s="369"/>
      <c r="I1177" s="369"/>
      <c r="J1177" s="371"/>
      <c r="K1177" s="372"/>
      <c r="L1177" s="373"/>
      <c r="M1177" s="374"/>
      <c r="N1177" s="374"/>
      <c r="O1177" s="374"/>
      <c r="P1177" s="374"/>
      <c r="Q1177" s="374"/>
      <c r="R1177" s="375"/>
      <c r="S1177" s="376"/>
      <c r="T1177" s="377"/>
      <c r="U1177" s="378"/>
      <c r="V1177" s="1024">
        <f ca="1">SUM(V948:V1176)</f>
        <v>5417378.5749999778</v>
      </c>
      <c r="W1177" s="256">
        <f t="shared" ref="W1177:W1388" ca="1" si="418">IF(LEFT(_xlfn.FORMULATEXT(V1177),3)="=SO",1,IF(COUNTA(A1177:U1177)=0,0,2))</f>
        <v>1</v>
      </c>
      <c r="X1177" s="256">
        <f t="shared" ca="1" si="309"/>
        <v>0</v>
      </c>
      <c r="Y1177" s="250"/>
      <c r="Z1177" s="250"/>
    </row>
    <row r="1178" spans="1:29" s="293" customFormat="1" ht="27" customHeight="1" x14ac:dyDescent="0.2">
      <c r="A1178" s="288"/>
      <c r="B1178" s="1374" t="str">
        <f>VLOOKUP(A1274,'11 - FINANCEIRO'!_xlnm.Print_Area,1,FALSE)</f>
        <v>2.1.5</v>
      </c>
      <c r="C1178" s="1376" t="str">
        <f>VLOOKUP(A1274,'11 - FINANCEIRO'!_xlnm.Print_Area,3,FALSE)</f>
        <v>Armação Em Aço Ca-60 - Fornecimento, Preparo E Colocação</v>
      </c>
      <c r="D1178" s="1378" t="s">
        <v>477</v>
      </c>
      <c r="E1178" s="1379"/>
      <c r="F1178" s="1379"/>
      <c r="G1178" s="1379"/>
      <c r="H1178" s="1379"/>
      <c r="I1178" s="1380"/>
      <c r="J1178" s="1338" t="s">
        <v>549</v>
      </c>
      <c r="K1178" s="1338" t="s">
        <v>479</v>
      </c>
      <c r="L1178" s="1338" t="s">
        <v>569</v>
      </c>
      <c r="M1178" s="1338" t="s">
        <v>570</v>
      </c>
      <c r="N1178" s="1338" t="s">
        <v>571</v>
      </c>
      <c r="O1178" s="1338" t="s">
        <v>482</v>
      </c>
      <c r="P1178" s="1338" t="s">
        <v>296</v>
      </c>
      <c r="Q1178" s="1338" t="s">
        <v>572</v>
      </c>
      <c r="R1178" s="1336" t="s">
        <v>296</v>
      </c>
      <c r="S1178" s="1338" t="s">
        <v>486</v>
      </c>
      <c r="T1178" s="1338" t="s">
        <v>487</v>
      </c>
      <c r="U1178" s="1340" t="s">
        <v>488</v>
      </c>
      <c r="V1178" s="291">
        <f t="shared" ref="V1178:V1274" ca="1" si="419">IF(OFFSET(V1178,1,1)=1,OFFSET(V1178,0,-4),OFFSET(V1178,1,0))</f>
        <v>12096.948999999993</v>
      </c>
      <c r="W1178" s="256">
        <f t="shared" ca="1" si="418"/>
        <v>2</v>
      </c>
      <c r="X1178" s="256">
        <f t="shared" ca="1" si="309"/>
        <v>1</v>
      </c>
      <c r="Y1178" s="256"/>
      <c r="Z1178" s="256">
        <v>13</v>
      </c>
      <c r="AA1178" s="292">
        <v>0.3</v>
      </c>
      <c r="AB1178" s="292">
        <v>9.64</v>
      </c>
      <c r="AC1178" s="292">
        <f>Z1178*AA1178*AB1178</f>
        <v>37.596000000000004</v>
      </c>
    </row>
    <row r="1179" spans="1:29" s="293" customFormat="1" ht="27" customHeight="1" x14ac:dyDescent="0.2">
      <c r="A1179" s="288"/>
      <c r="B1179" s="1375"/>
      <c r="C1179" s="1377"/>
      <c r="D1179" s="1342" t="s">
        <v>489</v>
      </c>
      <c r="E1179" s="1343"/>
      <c r="F1179" s="1344"/>
      <c r="G1179" s="1345" t="s">
        <v>490</v>
      </c>
      <c r="H1179" s="1346"/>
      <c r="I1179" s="1347"/>
      <c r="J1179" s="1339"/>
      <c r="K1179" s="1339"/>
      <c r="L1179" s="1339"/>
      <c r="M1179" s="1339"/>
      <c r="N1179" s="1339"/>
      <c r="O1179" s="1339"/>
      <c r="P1179" s="1339"/>
      <c r="Q1179" s="1339"/>
      <c r="R1179" s="1337"/>
      <c r="S1179" s="1339"/>
      <c r="T1179" s="1339"/>
      <c r="U1179" s="1341"/>
      <c r="V1179" s="291">
        <f t="shared" ca="1" si="419"/>
        <v>12096.948999999993</v>
      </c>
      <c r="W1179" s="256">
        <f t="shared" ca="1" si="418"/>
        <v>2</v>
      </c>
      <c r="X1179" s="256">
        <f t="shared" ca="1" si="309"/>
        <v>1</v>
      </c>
      <c r="Y1179" s="256"/>
      <c r="Z1179" s="256">
        <v>1</v>
      </c>
      <c r="AA1179" s="292">
        <v>0.3</v>
      </c>
      <c r="AB1179" s="292">
        <v>30</v>
      </c>
      <c r="AC1179" s="292">
        <f>Z1179*AA1179*AB1179</f>
        <v>9</v>
      </c>
    </row>
    <row r="1180" spans="1:29" s="293" customFormat="1" ht="15.75" x14ac:dyDescent="0.2">
      <c r="A1180" s="288"/>
      <c r="B1180" s="296"/>
      <c r="C1180" s="526" t="s">
        <v>516</v>
      </c>
      <c r="D1180" s="298"/>
      <c r="E1180" s="299"/>
      <c r="F1180" s="300"/>
      <c r="G1180" s="301"/>
      <c r="H1180" s="302"/>
      <c r="I1180" s="303"/>
      <c r="J1180" s="304"/>
      <c r="K1180" s="416"/>
      <c r="L1180" s="416"/>
      <c r="M1180" s="416"/>
      <c r="N1180" s="416"/>
      <c r="O1180" s="416"/>
      <c r="P1180" s="416"/>
      <c r="Q1180" s="416"/>
      <c r="R1180" s="307"/>
      <c r="S1180" s="308"/>
      <c r="T1180" s="309">
        <v>9</v>
      </c>
      <c r="U1180" s="383"/>
      <c r="V1180" s="291">
        <f t="shared" ca="1" si="419"/>
        <v>12096.948999999993</v>
      </c>
      <c r="W1180" s="256">
        <f t="shared" ca="1" si="418"/>
        <v>2</v>
      </c>
      <c r="X1180" s="256">
        <f t="shared" ca="1" si="309"/>
        <v>1</v>
      </c>
      <c r="Y1180" s="256"/>
      <c r="Z1180" s="256"/>
      <c r="AA1180" s="292"/>
      <c r="AB1180" s="292"/>
      <c r="AC1180" s="292">
        <f>SUM(AC1178:AC1179)</f>
        <v>46.596000000000004</v>
      </c>
    </row>
    <row r="1181" spans="1:29" s="293" customFormat="1" ht="25.5" x14ac:dyDescent="0.2">
      <c r="A1181" s="288"/>
      <c r="B1181" s="311"/>
      <c r="C1181" s="312" t="s">
        <v>573</v>
      </c>
      <c r="D1181" s="417">
        <v>5</v>
      </c>
      <c r="E1181" s="314" t="s">
        <v>518</v>
      </c>
      <c r="F1181" s="418">
        <v>0</v>
      </c>
      <c r="G1181" s="417">
        <v>6</v>
      </c>
      <c r="H1181" s="314" t="s">
        <v>518</v>
      </c>
      <c r="I1181" s="418">
        <v>10</v>
      </c>
      <c r="J1181" s="509">
        <v>6</v>
      </c>
      <c r="K1181" s="527">
        <f>ABS((G1181*20+I1181)-(D1181*20+F1181))</f>
        <v>30</v>
      </c>
      <c r="L1181" s="433">
        <f>ROUNDUP((K1181/30)*5,0)*30</f>
        <v>150</v>
      </c>
      <c r="M1181" s="431">
        <f>186+592+186</f>
        <v>964</v>
      </c>
      <c r="N1181" s="433">
        <f>4*30</f>
        <v>120</v>
      </c>
      <c r="O1181" s="431">
        <f>(K1181+(L1181/100))*((M1181+N1181)/100)</f>
        <v>341.46</v>
      </c>
      <c r="P1181" s="527">
        <v>2</v>
      </c>
      <c r="Q1181" s="527">
        <v>4.4800000000000004</v>
      </c>
      <c r="R1181" s="528">
        <f>O1181*P1181*Q1181</f>
        <v>3059.4816000000001</v>
      </c>
      <c r="S1181" s="398" t="str">
        <f>$S$1272</f>
        <v>kg</v>
      </c>
      <c r="T1181" s="320">
        <v>9</v>
      </c>
      <c r="U1181" s="424" t="s">
        <v>519</v>
      </c>
      <c r="V1181" s="291">
        <f t="shared" ca="1" si="419"/>
        <v>12096.948999999993</v>
      </c>
      <c r="W1181" s="256">
        <f t="shared" ca="1" si="418"/>
        <v>2</v>
      </c>
      <c r="X1181" s="256">
        <f t="shared" ca="1" si="309"/>
        <v>1</v>
      </c>
      <c r="Y1181" s="256"/>
      <c r="Z1181" s="256">
        <v>5</v>
      </c>
      <c r="AA1181" s="292">
        <v>0.3</v>
      </c>
      <c r="AB1181" s="292">
        <v>30</v>
      </c>
      <c r="AC1181" s="292">
        <f>Z1181*AA1181*AB1181</f>
        <v>45</v>
      </c>
    </row>
    <row r="1182" spans="1:29" s="293" customFormat="1" ht="25.5" x14ac:dyDescent="0.2">
      <c r="A1182" s="288"/>
      <c r="B1182" s="311"/>
      <c r="C1182" s="312" t="s">
        <v>574</v>
      </c>
      <c r="D1182" s="417">
        <v>5</v>
      </c>
      <c r="E1182" s="314" t="s">
        <v>518</v>
      </c>
      <c r="F1182" s="418">
        <v>0</v>
      </c>
      <c r="G1182" s="417">
        <v>6</v>
      </c>
      <c r="H1182" s="314" t="s">
        <v>518</v>
      </c>
      <c r="I1182" s="418">
        <v>10</v>
      </c>
      <c r="J1182" s="509">
        <v>6</v>
      </c>
      <c r="K1182" s="527">
        <f>ABS((G1182*20+I1182)-(D1182*20+F1182))</f>
        <v>30</v>
      </c>
      <c r="L1182" s="433">
        <f>ROUNDUP((K1182/30)*5,0)*30</f>
        <v>150</v>
      </c>
      <c r="M1182" s="431">
        <f>169+558+169</f>
        <v>896</v>
      </c>
      <c r="N1182" s="433">
        <f>4*30</f>
        <v>120</v>
      </c>
      <c r="O1182" s="431">
        <f>(K1182+(L1182/100))*((M1182+N1182)/100)</f>
        <v>320.04000000000002</v>
      </c>
      <c r="P1182" s="527">
        <v>2</v>
      </c>
      <c r="Q1182" s="527">
        <v>4.4800000000000004</v>
      </c>
      <c r="R1182" s="528">
        <f>O1182*P1182*Q1182</f>
        <v>2867.5584000000003</v>
      </c>
      <c r="S1182" s="398" t="str">
        <f>$S$1272</f>
        <v>kg</v>
      </c>
      <c r="T1182" s="320">
        <v>9</v>
      </c>
      <c r="U1182" s="424" t="s">
        <v>519</v>
      </c>
      <c r="V1182" s="291">
        <f t="shared" ca="1" si="419"/>
        <v>12096.948999999993</v>
      </c>
      <c r="W1182" s="256">
        <f t="shared" ca="1" si="418"/>
        <v>2</v>
      </c>
      <c r="X1182" s="256">
        <f t="shared" ca="1" si="309"/>
        <v>1</v>
      </c>
      <c r="Y1182" s="256"/>
      <c r="Z1182" s="256">
        <v>4</v>
      </c>
      <c r="AA1182" s="292">
        <v>0.3</v>
      </c>
      <c r="AB1182" s="292">
        <v>9.64</v>
      </c>
      <c r="AC1182" s="292">
        <f>Z1182*AA1182*AB1182</f>
        <v>11.568</v>
      </c>
    </row>
    <row r="1183" spans="1:29" s="293" customFormat="1" ht="15.75" x14ac:dyDescent="0.2">
      <c r="A1183" s="288"/>
      <c r="B1183" s="311"/>
      <c r="C1183" s="312"/>
      <c r="D1183" s="313"/>
      <c r="E1183" s="314"/>
      <c r="F1183" s="315"/>
      <c r="G1183" s="313"/>
      <c r="H1183" s="314"/>
      <c r="I1183" s="315"/>
      <c r="J1183" s="317"/>
      <c r="K1183" s="529"/>
      <c r="L1183" s="433"/>
      <c r="M1183" s="431"/>
      <c r="N1183" s="433"/>
      <c r="O1183" s="433"/>
      <c r="P1183" s="529"/>
      <c r="Q1183" s="529"/>
      <c r="R1183" s="528"/>
      <c r="S1183" s="398"/>
      <c r="T1183" s="320"/>
      <c r="U1183" s="317"/>
      <c r="V1183" s="291">
        <f t="shared" ca="1" si="419"/>
        <v>12096.948999999993</v>
      </c>
      <c r="W1183" s="256">
        <f t="shared" ca="1" si="418"/>
        <v>0</v>
      </c>
      <c r="X1183" s="256">
        <f t="shared" ca="1" si="309"/>
        <v>1</v>
      </c>
      <c r="Y1183" s="256"/>
      <c r="Z1183" s="256"/>
      <c r="AA1183" s="292"/>
      <c r="AB1183" s="292"/>
      <c r="AC1183" s="292">
        <f>SUM(AC1181:AC1182)</f>
        <v>56.567999999999998</v>
      </c>
    </row>
    <row r="1184" spans="1:29" s="293" customFormat="1" ht="15.75" x14ac:dyDescent="0.2">
      <c r="A1184" s="288"/>
      <c r="B1184" s="311"/>
      <c r="C1184" s="434" t="s">
        <v>525</v>
      </c>
      <c r="D1184" s="313"/>
      <c r="E1184" s="314"/>
      <c r="F1184" s="315"/>
      <c r="G1184" s="313"/>
      <c r="H1184" s="314"/>
      <c r="I1184" s="315"/>
      <c r="J1184" s="317"/>
      <c r="K1184" s="529"/>
      <c r="L1184" s="433"/>
      <c r="M1184" s="431"/>
      <c r="N1184" s="433"/>
      <c r="O1184" s="433"/>
      <c r="P1184" s="529"/>
      <c r="Q1184" s="529"/>
      <c r="R1184" s="528"/>
      <c r="S1184" s="398"/>
      <c r="T1184" s="320">
        <v>9</v>
      </c>
      <c r="U1184" s="317"/>
      <c r="V1184" s="291">
        <f t="shared" ca="1" si="419"/>
        <v>12096.948999999993</v>
      </c>
      <c r="W1184" s="256">
        <f t="shared" ca="1" si="418"/>
        <v>2</v>
      </c>
      <c r="X1184" s="256">
        <f t="shared" ca="1" si="309"/>
        <v>1</v>
      </c>
      <c r="Y1184" s="256"/>
      <c r="Z1184" s="256"/>
      <c r="AA1184" s="292"/>
      <c r="AB1184" s="292"/>
      <c r="AC1184" s="292"/>
    </row>
    <row r="1185" spans="1:29" s="293" customFormat="1" ht="25.5" x14ac:dyDescent="0.2">
      <c r="A1185" s="288"/>
      <c r="B1185" s="311"/>
      <c r="C1185" s="312" t="s">
        <v>573</v>
      </c>
      <c r="D1185" s="417">
        <v>6</v>
      </c>
      <c r="E1185" s="314" t="s">
        <v>518</v>
      </c>
      <c r="F1185" s="418">
        <v>10</v>
      </c>
      <c r="G1185" s="417">
        <v>12</v>
      </c>
      <c r="H1185" s="314" t="s">
        <v>518</v>
      </c>
      <c r="I1185" s="418">
        <v>6.42</v>
      </c>
      <c r="J1185" s="509">
        <v>6</v>
      </c>
      <c r="K1185" s="527">
        <f>ABS((G1185*20+I1185)-(D1185*20+F1185))</f>
        <v>116.41999999999999</v>
      </c>
      <c r="L1185" s="433">
        <f>ROUNDUP((K1185/30)*5,0)*30</f>
        <v>600</v>
      </c>
      <c r="M1185" s="431">
        <v>792</v>
      </c>
      <c r="N1185" s="433">
        <f>3*30</f>
        <v>90</v>
      </c>
      <c r="O1185" s="431">
        <f>(K1185+(L1185/100))*((M1185+N1185)/100)</f>
        <v>1079.7443999999998</v>
      </c>
      <c r="P1185" s="527">
        <v>2</v>
      </c>
      <c r="Q1185" s="527">
        <v>4.4800000000000004</v>
      </c>
      <c r="R1185" s="528">
        <f>O1185*P1185*Q1185</f>
        <v>9674.5098239999988</v>
      </c>
      <c r="S1185" s="398" t="str">
        <f>$S$1272</f>
        <v>kg</v>
      </c>
      <c r="T1185" s="320">
        <v>9</v>
      </c>
      <c r="U1185" s="424" t="s">
        <v>519</v>
      </c>
      <c r="V1185" s="291">
        <f t="shared" ca="1" si="419"/>
        <v>12096.948999999993</v>
      </c>
      <c r="W1185" s="256">
        <f t="shared" ca="1" si="418"/>
        <v>2</v>
      </c>
      <c r="X1185" s="256">
        <f t="shared" ca="1" si="309"/>
        <v>1</v>
      </c>
      <c r="Y1185" s="256"/>
      <c r="Z1185" s="256"/>
      <c r="AA1185" s="292"/>
      <c r="AB1185" s="292"/>
      <c r="AC1185" s="292"/>
    </row>
    <row r="1186" spans="1:29" s="293" customFormat="1" ht="15.75" x14ac:dyDescent="0.2">
      <c r="A1186" s="288"/>
      <c r="B1186" s="311"/>
      <c r="C1186" s="312"/>
      <c r="D1186" s="313"/>
      <c r="E1186" s="314"/>
      <c r="F1186" s="315"/>
      <c r="G1186" s="313"/>
      <c r="H1186" s="314"/>
      <c r="I1186" s="315"/>
      <c r="J1186" s="317"/>
      <c r="K1186" s="529"/>
      <c r="L1186" s="433"/>
      <c r="M1186" s="431"/>
      <c r="N1186" s="433"/>
      <c r="O1186" s="433"/>
      <c r="P1186" s="529"/>
      <c r="Q1186" s="529"/>
      <c r="R1186" s="528"/>
      <c r="S1186" s="398"/>
      <c r="T1186" s="320"/>
      <c r="U1186" s="317"/>
      <c r="V1186" s="291">
        <f t="shared" ca="1" si="419"/>
        <v>12096.948999999993</v>
      </c>
      <c r="W1186" s="256">
        <f t="shared" ca="1" si="418"/>
        <v>0</v>
      </c>
      <c r="X1186" s="256">
        <f t="shared" ca="1" si="309"/>
        <v>1</v>
      </c>
      <c r="Y1186" s="256"/>
      <c r="Z1186" s="256"/>
      <c r="AA1186" s="292"/>
      <c r="AB1186" s="292"/>
      <c r="AC1186" s="292"/>
    </row>
    <row r="1187" spans="1:29" s="293" customFormat="1" ht="15.75" x14ac:dyDescent="0.2">
      <c r="A1187" s="288"/>
      <c r="B1187" s="311"/>
      <c r="C1187" s="434" t="s">
        <v>527</v>
      </c>
      <c r="D1187" s="313"/>
      <c r="E1187" s="314"/>
      <c r="F1187" s="315"/>
      <c r="G1187" s="313"/>
      <c r="H1187" s="314"/>
      <c r="I1187" s="315"/>
      <c r="J1187" s="317"/>
      <c r="K1187" s="529"/>
      <c r="L1187" s="433"/>
      <c r="M1187" s="431"/>
      <c r="N1187" s="433"/>
      <c r="O1187" s="433"/>
      <c r="P1187" s="529"/>
      <c r="Q1187" s="529"/>
      <c r="R1187" s="528"/>
      <c r="S1187" s="398"/>
      <c r="T1187" s="320">
        <v>9</v>
      </c>
      <c r="U1187" s="317"/>
      <c r="V1187" s="291">
        <f t="shared" ca="1" si="419"/>
        <v>12096.948999999993</v>
      </c>
      <c r="W1187" s="256">
        <f t="shared" ca="1" si="418"/>
        <v>2</v>
      </c>
      <c r="X1187" s="256">
        <f t="shared" ca="1" si="309"/>
        <v>1</v>
      </c>
      <c r="Y1187" s="256"/>
      <c r="Z1187" s="256"/>
      <c r="AA1187" s="292"/>
      <c r="AB1187" s="292"/>
      <c r="AC1187" s="292"/>
    </row>
    <row r="1188" spans="1:29" s="293" customFormat="1" ht="25.5" x14ac:dyDescent="0.2">
      <c r="A1188" s="288"/>
      <c r="B1188" s="311"/>
      <c r="C1188" s="312" t="s">
        <v>573</v>
      </c>
      <c r="D1188" s="417">
        <v>12</v>
      </c>
      <c r="E1188" s="314" t="s">
        <v>518</v>
      </c>
      <c r="F1188" s="418">
        <v>6.42</v>
      </c>
      <c r="G1188" s="419">
        <v>17</v>
      </c>
      <c r="H1188" s="316" t="s">
        <v>518</v>
      </c>
      <c r="I1188" s="420">
        <v>4.42</v>
      </c>
      <c r="J1188" s="509">
        <v>6</v>
      </c>
      <c r="K1188" s="527">
        <f>ABS((G1188*20+I1188)-(D1188*20+F1188))</f>
        <v>98.000000000000028</v>
      </c>
      <c r="L1188" s="433">
        <f>ROUNDUP((K1188/30)*5,0)*30</f>
        <v>510</v>
      </c>
      <c r="M1188" s="431">
        <v>992</v>
      </c>
      <c r="N1188" s="433">
        <f>4*30</f>
        <v>120</v>
      </c>
      <c r="O1188" s="431">
        <f>(K1188+(L1188/100))*((M1188+N1188)/100)</f>
        <v>1146.4720000000002</v>
      </c>
      <c r="P1188" s="527">
        <v>2</v>
      </c>
      <c r="Q1188" s="527">
        <v>4.4800000000000004</v>
      </c>
      <c r="R1188" s="528">
        <f>O1188*P1188*Q1188</f>
        <v>10272.389120000003</v>
      </c>
      <c r="S1188" s="398" t="str">
        <f>$S$1272</f>
        <v>kg</v>
      </c>
      <c r="T1188" s="320">
        <v>9</v>
      </c>
      <c r="U1188" s="424" t="s">
        <v>519</v>
      </c>
      <c r="V1188" s="291">
        <f t="shared" ca="1" si="419"/>
        <v>12096.948999999993</v>
      </c>
      <c r="W1188" s="256">
        <f t="shared" ca="1" si="418"/>
        <v>2</v>
      </c>
      <c r="X1188" s="256">
        <f t="shared" ca="1" si="309"/>
        <v>1</v>
      </c>
      <c r="Y1188" s="256"/>
      <c r="Z1188" s="256"/>
      <c r="AA1188" s="292"/>
      <c r="AB1188" s="292"/>
      <c r="AC1188" s="292"/>
    </row>
    <row r="1189" spans="1:29" s="293" customFormat="1" ht="15.75" x14ac:dyDescent="0.2">
      <c r="A1189" s="288"/>
      <c r="B1189" s="311"/>
      <c r="C1189" s="312"/>
      <c r="D1189" s="313"/>
      <c r="E1189" s="314"/>
      <c r="F1189" s="315"/>
      <c r="G1189" s="313"/>
      <c r="H1189" s="314"/>
      <c r="I1189" s="315"/>
      <c r="J1189" s="317"/>
      <c r="K1189" s="529"/>
      <c r="L1189" s="433"/>
      <c r="M1189" s="431"/>
      <c r="N1189" s="433"/>
      <c r="O1189" s="433"/>
      <c r="P1189" s="529"/>
      <c r="Q1189" s="529"/>
      <c r="R1189" s="528"/>
      <c r="S1189" s="398"/>
      <c r="T1189" s="320"/>
      <c r="U1189" s="317"/>
      <c r="V1189" s="291">
        <f t="shared" ca="1" si="419"/>
        <v>12096.948999999993</v>
      </c>
      <c r="W1189" s="256">
        <f t="shared" ca="1" si="418"/>
        <v>0</v>
      </c>
      <c r="X1189" s="256">
        <f t="shared" ca="1" si="309"/>
        <v>1</v>
      </c>
      <c r="Y1189" s="256"/>
      <c r="Z1189" s="256"/>
      <c r="AA1189" s="292"/>
      <c r="AB1189" s="292"/>
      <c r="AC1189" s="292"/>
    </row>
    <row r="1190" spans="1:29" s="293" customFormat="1" ht="15.75" x14ac:dyDescent="0.2">
      <c r="A1190" s="288"/>
      <c r="B1190" s="311"/>
      <c r="C1190" s="434" t="s">
        <v>528</v>
      </c>
      <c r="D1190" s="313"/>
      <c r="E1190" s="314"/>
      <c r="F1190" s="315"/>
      <c r="G1190" s="313"/>
      <c r="H1190" s="314"/>
      <c r="I1190" s="315"/>
      <c r="J1190" s="317"/>
      <c r="K1190" s="529"/>
      <c r="L1190" s="433"/>
      <c r="M1190" s="431"/>
      <c r="N1190" s="433"/>
      <c r="O1190" s="433"/>
      <c r="P1190" s="529"/>
      <c r="Q1190" s="529"/>
      <c r="R1190" s="528"/>
      <c r="S1190" s="398"/>
      <c r="T1190" s="320">
        <v>11</v>
      </c>
      <c r="U1190" s="317"/>
      <c r="V1190" s="291">
        <f t="shared" ca="1" si="419"/>
        <v>12096.948999999993</v>
      </c>
      <c r="W1190" s="256">
        <f t="shared" ca="1" si="418"/>
        <v>2</v>
      </c>
      <c r="X1190" s="256">
        <f t="shared" ca="1" si="309"/>
        <v>1</v>
      </c>
      <c r="Y1190" s="256"/>
      <c r="Z1190" s="256"/>
      <c r="AA1190" s="292"/>
      <c r="AB1190" s="292"/>
      <c r="AC1190" s="292"/>
    </row>
    <row r="1191" spans="1:29" s="293" customFormat="1" ht="25.5" x14ac:dyDescent="0.2">
      <c r="A1191" s="288"/>
      <c r="B1191" s="311"/>
      <c r="C1191" s="312" t="s">
        <v>573</v>
      </c>
      <c r="D1191" s="419">
        <v>17</v>
      </c>
      <c r="E1191" s="316" t="s">
        <v>518</v>
      </c>
      <c r="F1191" s="420">
        <v>4.42</v>
      </c>
      <c r="G1191" s="417">
        <v>25</v>
      </c>
      <c r="H1191" s="314" t="s">
        <v>518</v>
      </c>
      <c r="I1191" s="418">
        <v>4.42</v>
      </c>
      <c r="J1191" s="509">
        <v>6</v>
      </c>
      <c r="K1191" s="527">
        <f>ABS((G1191*20+I1191)-(D1191*20+F1191))</f>
        <v>160</v>
      </c>
      <c r="L1191" s="433">
        <f>ROUNDUP((K1191/30)*5,0)*30</f>
        <v>810</v>
      </c>
      <c r="M1191" s="431">
        <v>1192</v>
      </c>
      <c r="N1191" s="433">
        <f>5*30</f>
        <v>150</v>
      </c>
      <c r="O1191" s="431">
        <f>(K1191+(L1191/100))*((M1191+N1191)/100)</f>
        <v>2255.902</v>
      </c>
      <c r="P1191" s="527">
        <v>2</v>
      </c>
      <c r="Q1191" s="527">
        <v>4.4800000000000004</v>
      </c>
      <c r="R1191" s="528">
        <f>O1191*P1191*Q1191</f>
        <v>20212.881920000003</v>
      </c>
      <c r="S1191" s="398" t="str">
        <f>$S$1272</f>
        <v>kg</v>
      </c>
      <c r="T1191" s="320">
        <v>11</v>
      </c>
      <c r="U1191" s="424" t="s">
        <v>519</v>
      </c>
      <c r="V1191" s="291">
        <f t="shared" ca="1" si="419"/>
        <v>12096.948999999993</v>
      </c>
      <c r="W1191" s="256">
        <f t="shared" ca="1" si="418"/>
        <v>2</v>
      </c>
      <c r="X1191" s="256">
        <f t="shared" ca="1" si="309"/>
        <v>1</v>
      </c>
      <c r="Y1191" s="256"/>
      <c r="Z1191" s="256"/>
      <c r="AA1191" s="292"/>
      <c r="AB1191" s="292"/>
      <c r="AC1191" s="292"/>
    </row>
    <row r="1192" spans="1:29" s="293" customFormat="1" ht="15.75" x14ac:dyDescent="0.2">
      <c r="A1192" s="288"/>
      <c r="B1192" s="311"/>
      <c r="C1192" s="312"/>
      <c r="D1192" s="313"/>
      <c r="E1192" s="314"/>
      <c r="F1192" s="315"/>
      <c r="G1192" s="313"/>
      <c r="H1192" s="314"/>
      <c r="I1192" s="315"/>
      <c r="J1192" s="317"/>
      <c r="K1192" s="529"/>
      <c r="L1192" s="433"/>
      <c r="M1192" s="431"/>
      <c r="N1192" s="433"/>
      <c r="O1192" s="433"/>
      <c r="P1192" s="529"/>
      <c r="Q1192" s="529"/>
      <c r="R1192" s="528"/>
      <c r="S1192" s="398"/>
      <c r="T1192" s="320"/>
      <c r="U1192" s="317"/>
      <c r="V1192" s="291">
        <f t="shared" ca="1" si="419"/>
        <v>12096.948999999993</v>
      </c>
      <c r="W1192" s="256">
        <f t="shared" ca="1" si="418"/>
        <v>0</v>
      </c>
      <c r="X1192" s="256">
        <f t="shared" ca="1" si="309"/>
        <v>1</v>
      </c>
      <c r="Y1192" s="256"/>
      <c r="Z1192" s="256"/>
      <c r="AA1192" s="292"/>
      <c r="AB1192" s="292"/>
      <c r="AC1192" s="292"/>
    </row>
    <row r="1193" spans="1:29" s="293" customFormat="1" ht="15.75" x14ac:dyDescent="0.2">
      <c r="A1193" s="399"/>
      <c r="B1193" s="311"/>
      <c r="C1193" s="434" t="s">
        <v>532</v>
      </c>
      <c r="D1193" s="313"/>
      <c r="E1193" s="314"/>
      <c r="F1193" s="315"/>
      <c r="G1193" s="313"/>
      <c r="H1193" s="314"/>
      <c r="I1193" s="315"/>
      <c r="J1193" s="317"/>
      <c r="K1193" s="529"/>
      <c r="L1193" s="433"/>
      <c r="M1193" s="431"/>
      <c r="N1193" s="433"/>
      <c r="O1193" s="433"/>
      <c r="P1193" s="529"/>
      <c r="Q1193" s="529"/>
      <c r="R1193" s="528"/>
      <c r="S1193" s="398"/>
      <c r="T1193" s="320">
        <v>14</v>
      </c>
      <c r="U1193" s="317"/>
      <c r="V1193" s="435">
        <f t="shared" ca="1" si="419"/>
        <v>12096.948999999993</v>
      </c>
      <c r="W1193" s="256">
        <f t="shared" ca="1" si="418"/>
        <v>2</v>
      </c>
      <c r="X1193" s="256">
        <f ca="1">IF(COUNTA(OFFSET(A1192,1,0))-COUNTA(A1192)=-1,0,1)</f>
        <v>1</v>
      </c>
      <c r="Y1193" s="256"/>
      <c r="Z1193" s="256"/>
      <c r="AA1193" s="292"/>
      <c r="AB1193" s="292"/>
      <c r="AC1193" s="292"/>
    </row>
    <row r="1194" spans="1:29" s="293" customFormat="1" ht="25.5" x14ac:dyDescent="0.2">
      <c r="A1194" s="399"/>
      <c r="B1194" s="562"/>
      <c r="C1194" s="495" t="s">
        <v>573</v>
      </c>
      <c r="D1194" s="551">
        <v>25</v>
      </c>
      <c r="E1194" s="552" t="s">
        <v>518</v>
      </c>
      <c r="F1194" s="553">
        <v>4.42</v>
      </c>
      <c r="G1194" s="496">
        <v>31</v>
      </c>
      <c r="H1194" s="497" t="s">
        <v>518</v>
      </c>
      <c r="I1194" s="498">
        <v>10</v>
      </c>
      <c r="J1194" s="766">
        <v>6</v>
      </c>
      <c r="K1194" s="769">
        <f>ABS((G1194*20+I1194)-(D1194*20+F1194))</f>
        <v>125.57999999999998</v>
      </c>
      <c r="L1194" s="508">
        <f>ROUNDUP((K1194/30)*5,0)*30</f>
        <v>630</v>
      </c>
      <c r="M1194" s="499">
        <v>1192</v>
      </c>
      <c r="N1194" s="508">
        <f>5*30</f>
        <v>150</v>
      </c>
      <c r="O1194" s="499">
        <f>(K1194+(L1194/100))*((M1194+N1194)/100)</f>
        <v>1769.8296</v>
      </c>
      <c r="P1194" s="769">
        <v>2</v>
      </c>
      <c r="Q1194" s="769">
        <v>4.4800000000000004</v>
      </c>
      <c r="R1194" s="770">
        <f>O1194*P1194*Q1194</f>
        <v>15857.673216000001</v>
      </c>
      <c r="S1194" s="554" t="str">
        <f>$S$1272</f>
        <v>kg</v>
      </c>
      <c r="T1194" s="506">
        <v>14</v>
      </c>
      <c r="U1194" s="507" t="s">
        <v>519</v>
      </c>
      <c r="V1194" s="435">
        <f t="shared" ca="1" si="419"/>
        <v>12096.948999999993</v>
      </c>
      <c r="W1194" s="256">
        <f t="shared" ca="1" si="418"/>
        <v>2</v>
      </c>
      <c r="X1194" s="256">
        <f t="shared" ca="1" si="309"/>
        <v>1</v>
      </c>
      <c r="Y1194" s="256"/>
      <c r="Z1194" s="256"/>
      <c r="AA1194" s="292"/>
      <c r="AB1194" s="292"/>
      <c r="AC1194" s="292"/>
    </row>
    <row r="1195" spans="1:29" s="293" customFormat="1" ht="15.75" x14ac:dyDescent="0.2">
      <c r="A1195" s="288"/>
      <c r="B1195" s="311"/>
      <c r="C1195" s="312"/>
      <c r="D1195" s="313"/>
      <c r="E1195" s="314"/>
      <c r="F1195" s="315"/>
      <c r="G1195" s="313"/>
      <c r="H1195" s="314"/>
      <c r="I1195" s="315"/>
      <c r="J1195" s="317"/>
      <c r="K1195" s="529"/>
      <c r="L1195" s="433"/>
      <c r="M1195" s="431"/>
      <c r="N1195" s="433"/>
      <c r="O1195" s="433"/>
      <c r="P1195" s="529"/>
      <c r="Q1195" s="529"/>
      <c r="R1195" s="528"/>
      <c r="S1195" s="398"/>
      <c r="T1195" s="320"/>
      <c r="U1195" s="317"/>
      <c r="V1195" s="291">
        <f t="shared" ca="1" si="419"/>
        <v>12096.948999999993</v>
      </c>
      <c r="W1195" s="256">
        <f t="shared" ref="W1195:W1206" ca="1" si="420">IF(LEFT(_xlfn.FORMULATEXT(V1195),3)="=SO",1,IF(COUNTA(A1195:U1195)=0,0,2))</f>
        <v>0</v>
      </c>
      <c r="X1195" s="256">
        <f ca="1">IF(COUNTA(OFFSET(A1194,1,0))-COUNTA(A1194)=-1,0,1)</f>
        <v>1</v>
      </c>
      <c r="Y1195" s="256"/>
      <c r="Z1195" s="256"/>
      <c r="AA1195" s="292"/>
      <c r="AB1195" s="292"/>
      <c r="AC1195" s="292"/>
    </row>
    <row r="1196" spans="1:29" s="293" customFormat="1" ht="25.5" x14ac:dyDescent="0.2">
      <c r="A1196" s="399"/>
      <c r="B1196" s="562"/>
      <c r="C1196" s="495" t="s">
        <v>573</v>
      </c>
      <c r="D1196" s="419">
        <v>80</v>
      </c>
      <c r="E1196" s="316" t="s">
        <v>518</v>
      </c>
      <c r="F1196" s="420">
        <v>8</v>
      </c>
      <c r="G1196" s="419">
        <v>99</v>
      </c>
      <c r="H1196" s="316" t="s">
        <v>518</v>
      </c>
      <c r="I1196" s="420">
        <v>6.4</v>
      </c>
      <c r="J1196" s="766">
        <v>6</v>
      </c>
      <c r="K1196" s="769">
        <f>ABS((G1196*20+I1196)-(D1196*20+F1196))</f>
        <v>378.40000000000009</v>
      </c>
      <c r="L1196" s="508">
        <f>ROUNDUP((K1196/30)*5,0)*30</f>
        <v>1920</v>
      </c>
      <c r="M1196" s="499">
        <v>1192</v>
      </c>
      <c r="N1196" s="508">
        <f>5*30</f>
        <v>150</v>
      </c>
      <c r="O1196" s="499">
        <f>(K1196+(L1196/100))*((M1196+N1196)/100)</f>
        <v>5335.7920000000013</v>
      </c>
      <c r="P1196" s="769">
        <v>2</v>
      </c>
      <c r="Q1196" s="769">
        <v>4.4800000000000004</v>
      </c>
      <c r="R1196" s="770">
        <f>O1196*P1196*Q1196</f>
        <v>47808.696320000017</v>
      </c>
      <c r="S1196" s="554" t="str">
        <f>$S$1272</f>
        <v>kg</v>
      </c>
      <c r="T1196" s="506">
        <v>28</v>
      </c>
      <c r="U1196" s="507" t="s">
        <v>519</v>
      </c>
      <c r="V1196" s="435">
        <f t="shared" ca="1" si="419"/>
        <v>12096.948999999993</v>
      </c>
      <c r="W1196" s="256">
        <f t="shared" ca="1" si="420"/>
        <v>2</v>
      </c>
      <c r="X1196" s="256">
        <f ca="1">IF(COUNTA(OFFSET(#REF!,1,0))-COUNTA(#REF!)=-1,0,1)</f>
        <v>1</v>
      </c>
      <c r="Y1196" s="256"/>
      <c r="Z1196" s="256"/>
      <c r="AA1196" s="292"/>
      <c r="AB1196" s="292"/>
      <c r="AC1196" s="292"/>
    </row>
    <row r="1197" spans="1:29" s="293" customFormat="1" ht="15.75" x14ac:dyDescent="0.2">
      <c r="A1197" s="288"/>
      <c r="B1197" s="311"/>
      <c r="C1197" s="312"/>
      <c r="D1197" s="313"/>
      <c r="E1197" s="314"/>
      <c r="F1197" s="315"/>
      <c r="G1197" s="313"/>
      <c r="H1197" s="314"/>
      <c r="I1197" s="315"/>
      <c r="J1197" s="317"/>
      <c r="K1197" s="529"/>
      <c r="L1197" s="433"/>
      <c r="M1197" s="431"/>
      <c r="N1197" s="433"/>
      <c r="O1197" s="433"/>
      <c r="P1197" s="529"/>
      <c r="Q1197" s="529"/>
      <c r="R1197" s="528"/>
      <c r="S1197" s="398"/>
      <c r="T1197" s="320"/>
      <c r="U1197" s="317"/>
      <c r="V1197" s="291">
        <f t="shared" ca="1" si="419"/>
        <v>12096.948999999993</v>
      </c>
      <c r="W1197" s="256">
        <f t="shared" ca="1" si="420"/>
        <v>0</v>
      </c>
      <c r="X1197" s="256">
        <f ca="1">IF(COUNTA(OFFSET(A1196,1,0))-COUNTA(A1196)=-1,0,1)</f>
        <v>1</v>
      </c>
      <c r="Y1197" s="256"/>
      <c r="Z1197" s="256"/>
      <c r="AA1197" s="292"/>
      <c r="AB1197" s="292"/>
      <c r="AC1197" s="292"/>
    </row>
    <row r="1198" spans="1:29" s="111" customFormat="1" ht="15.75" x14ac:dyDescent="0.2">
      <c r="A1198" s="399"/>
      <c r="B1198" s="322"/>
      <c r="C1198" s="434" t="s">
        <v>1063</v>
      </c>
      <c r="D1198" s="417"/>
      <c r="E1198" s="314"/>
      <c r="F1198" s="418"/>
      <c r="G1198" s="419"/>
      <c r="H1198" s="316"/>
      <c r="I1198" s="420"/>
      <c r="J1198" s="317"/>
      <c r="K1198" s="421"/>
      <c r="L1198" s="328"/>
      <c r="M1198" s="422"/>
      <c r="N1198" s="423"/>
      <c r="O1198" s="334"/>
      <c r="P1198" s="328"/>
      <c r="Q1198" s="334"/>
      <c r="R1198" s="319"/>
      <c r="S1198" s="331"/>
      <c r="T1198" s="320">
        <v>31</v>
      </c>
      <c r="U1198" s="335"/>
      <c r="V1198" s="435">
        <f ca="1">IF(OFFSET(V1198,1,1)=1,OFFSET(V1198,0,-4),OFFSET(V1198,1,0))</f>
        <v>12096.948999999993</v>
      </c>
      <c r="W1198" s="256">
        <f t="shared" ca="1" si="420"/>
        <v>2</v>
      </c>
      <c r="X1198" s="256">
        <f ca="1">IF(COUNTA(OFFSET(A1190,1,0))-COUNTA(A1190)=-1,0,1)</f>
        <v>1</v>
      </c>
      <c r="Y1198" s="250"/>
      <c r="Z1198" s="250"/>
    </row>
    <row r="1199" spans="1:29" s="458" customFormat="1" ht="15" x14ac:dyDescent="0.2">
      <c r="A1199" s="436"/>
      <c r="B1199" s="437"/>
      <c r="C1199" s="495" t="s">
        <v>573</v>
      </c>
      <c r="D1199" s="419">
        <v>79</v>
      </c>
      <c r="E1199" s="316" t="s">
        <v>518</v>
      </c>
      <c r="F1199" s="420">
        <v>16</v>
      </c>
      <c r="G1199" s="419">
        <v>80</v>
      </c>
      <c r="H1199" s="316" t="s">
        <v>518</v>
      </c>
      <c r="I1199" s="420">
        <v>8</v>
      </c>
      <c r="J1199" s="766">
        <v>6</v>
      </c>
      <c r="K1199" s="769">
        <f>ABS((G1199*20+I1199)-(D1199*20+F1199))</f>
        <v>12</v>
      </c>
      <c r="L1199" s="508">
        <f>ROUNDUP((K1199/30)*5,0)*30</f>
        <v>60</v>
      </c>
      <c r="M1199" s="499">
        <v>1392</v>
      </c>
      <c r="N1199" s="508">
        <f>5*30</f>
        <v>150</v>
      </c>
      <c r="O1199" s="499">
        <f>(K1199+(L1199/100))*((M1199+N1199)/100)</f>
        <v>194.292</v>
      </c>
      <c r="P1199" s="769">
        <v>2</v>
      </c>
      <c r="Q1199" s="769">
        <v>4.4800000000000004</v>
      </c>
      <c r="R1199" s="770">
        <f>O1199*P1199*Q1199</f>
        <v>1740.8563200000001</v>
      </c>
      <c r="S1199" s="452"/>
      <c r="T1199" s="453">
        <v>31</v>
      </c>
      <c r="U1199" s="454"/>
      <c r="V1199" s="455">
        <f ca="1">IF(OFFSET(V1199,1,1)=1,OFFSET(V1199,0,-4),OFFSET(V1199,1,0))</f>
        <v>12096.948999999993</v>
      </c>
      <c r="W1199" s="456">
        <f t="shared" ca="1" si="420"/>
        <v>2</v>
      </c>
      <c r="X1199" s="456">
        <f ca="1">IF(COUNTA(OFFSET(A1192,1,0))-COUNTA(A1192)=-1,0,1)</f>
        <v>1</v>
      </c>
      <c r="Y1199" s="457"/>
      <c r="Z1199" s="457"/>
    </row>
    <row r="1200" spans="1:29" s="458" customFormat="1" ht="15" x14ac:dyDescent="0.2">
      <c r="A1200" s="436"/>
      <c r="B1200" s="861"/>
      <c r="C1200" s="495"/>
      <c r="D1200" s="419"/>
      <c r="E1200" s="316"/>
      <c r="F1200" s="420"/>
      <c r="G1200" s="419"/>
      <c r="H1200" s="316"/>
      <c r="I1200" s="420"/>
      <c r="J1200" s="766"/>
      <c r="K1200" s="769"/>
      <c r="L1200" s="508"/>
      <c r="M1200" s="499"/>
      <c r="N1200" s="508"/>
      <c r="O1200" s="499"/>
      <c r="P1200" s="769"/>
      <c r="Q1200" s="769"/>
      <c r="R1200" s="770"/>
      <c r="S1200" s="862"/>
      <c r="T1200" s="863"/>
      <c r="U1200" s="864"/>
      <c r="V1200" s="455">
        <f t="shared" ref="V1200:V1201" ca="1" si="421">IF(OFFSET(V1200,1,1)=1,OFFSET(V1200,0,-4),OFFSET(V1200,1,0))</f>
        <v>12096.948999999993</v>
      </c>
      <c r="W1200" s="456">
        <f t="shared" ref="W1200:W1201" ca="1" si="422">IF(LEFT(_xlfn.FORMULATEXT(V1200),3)="=SO",1,IF(COUNTA(A1200:U1200)=0,0,2))</f>
        <v>0</v>
      </c>
      <c r="X1200" s="456">
        <f t="shared" ref="X1200:X1201" ca="1" si="423">IF(COUNTA(OFFSET(A1193,1,0))-COUNTA(A1193)=-1,0,1)</f>
        <v>1</v>
      </c>
      <c r="Y1200" s="457"/>
      <c r="Z1200" s="457"/>
    </row>
    <row r="1201" spans="1:29" s="293" customFormat="1" ht="25.5" x14ac:dyDescent="0.2">
      <c r="A1201" s="399"/>
      <c r="B1201" s="562"/>
      <c r="C1201" s="495" t="s">
        <v>573</v>
      </c>
      <c r="D1201" s="419">
        <v>72</v>
      </c>
      <c r="E1201" s="316" t="s">
        <v>518</v>
      </c>
      <c r="F1201" s="420">
        <v>17</v>
      </c>
      <c r="G1201" s="419">
        <v>79</v>
      </c>
      <c r="H1201" s="316" t="s">
        <v>518</v>
      </c>
      <c r="I1201" s="420">
        <v>16</v>
      </c>
      <c r="J1201" s="766">
        <v>6</v>
      </c>
      <c r="K1201" s="769">
        <f>ABS((G1201*20+I1201)-(D1201*20+F1201))</f>
        <v>139</v>
      </c>
      <c r="L1201" s="508">
        <f>ROUNDUP((K1201/30)*5,0)*30</f>
        <v>720</v>
      </c>
      <c r="M1201" s="499">
        <v>1192</v>
      </c>
      <c r="N1201" s="508">
        <f>5*30</f>
        <v>150</v>
      </c>
      <c r="O1201" s="499">
        <f>(K1201+(L1201/100))*((M1201+N1201)/100)</f>
        <v>1962.0039999999999</v>
      </c>
      <c r="P1201" s="769">
        <v>2</v>
      </c>
      <c r="Q1201" s="769">
        <v>4.4800000000000004</v>
      </c>
      <c r="R1201" s="770">
        <f>O1201*P1201*Q1201</f>
        <v>17579.555840000001</v>
      </c>
      <c r="S1201" s="554" t="str">
        <f>$S$1067</f>
        <v>kg</v>
      </c>
      <c r="T1201" s="506">
        <v>31</v>
      </c>
      <c r="U1201" s="507" t="s">
        <v>519</v>
      </c>
      <c r="V1201" s="455">
        <f t="shared" ca="1" si="421"/>
        <v>12096.948999999993</v>
      </c>
      <c r="W1201" s="456">
        <f t="shared" ca="1" si="422"/>
        <v>2</v>
      </c>
      <c r="X1201" s="456">
        <f t="shared" ca="1" si="423"/>
        <v>1</v>
      </c>
      <c r="Y1201" s="256"/>
      <c r="Z1201" s="256"/>
      <c r="AA1201" s="292"/>
      <c r="AB1201" s="292"/>
      <c r="AC1201" s="292"/>
    </row>
    <row r="1202" spans="1:29" s="458" customFormat="1" ht="15" x14ac:dyDescent="0.2">
      <c r="A1202" s="436"/>
      <c r="B1202" s="437"/>
      <c r="C1202" s="438"/>
      <c r="D1202" s="439"/>
      <c r="E1202" s="440"/>
      <c r="F1202" s="441"/>
      <c r="G1202" s="442"/>
      <c r="H1202" s="443"/>
      <c r="I1202" s="444"/>
      <c r="J1202" s="445"/>
      <c r="K1202" s="446"/>
      <c r="L1202" s="447"/>
      <c r="M1202" s="448"/>
      <c r="N1202" s="449"/>
      <c r="O1202" s="450"/>
      <c r="P1202" s="447"/>
      <c r="Q1202" s="450"/>
      <c r="R1202" s="451"/>
      <c r="S1202" s="452"/>
      <c r="T1202" s="453"/>
      <c r="U1202" s="454"/>
      <c r="V1202" s="455">
        <f ca="1">IF(OFFSET(V1202,1,1)=1,OFFSET(V1202,0,-4),OFFSET(V1202,1,0))</f>
        <v>12096.948999999993</v>
      </c>
      <c r="W1202" s="456">
        <f t="shared" ca="1" si="420"/>
        <v>0</v>
      </c>
      <c r="X1202" s="456">
        <f ca="1">IF(COUNTA(OFFSET(A1191,1,0))-COUNTA(A1191)=-1,0,1)</f>
        <v>1</v>
      </c>
      <c r="Y1202" s="457"/>
      <c r="Z1202" s="457"/>
    </row>
    <row r="1203" spans="1:29" s="293" customFormat="1" ht="25.5" x14ac:dyDescent="0.2">
      <c r="A1203" s="399"/>
      <c r="B1203" s="562"/>
      <c r="C1203" s="495" t="s">
        <v>573</v>
      </c>
      <c r="D1203" s="419">
        <v>71</v>
      </c>
      <c r="E1203" s="316" t="s">
        <v>518</v>
      </c>
      <c r="F1203" s="420">
        <v>7</v>
      </c>
      <c r="G1203" s="419">
        <v>72</v>
      </c>
      <c r="H1203" s="316" t="s">
        <v>518</v>
      </c>
      <c r="I1203" s="420">
        <v>17</v>
      </c>
      <c r="J1203" s="766">
        <v>6</v>
      </c>
      <c r="K1203" s="769">
        <f>ABS((G1203*20+I1203)-(D1203*20+F1203))</f>
        <v>30</v>
      </c>
      <c r="L1203" s="508">
        <f>ROUNDUP((K1203/30)*5,0)*30</f>
        <v>150</v>
      </c>
      <c r="M1203" s="499">
        <v>1192</v>
      </c>
      <c r="N1203" s="508">
        <f>5*30</f>
        <v>150</v>
      </c>
      <c r="O1203" s="499">
        <f>(K1203+(L1203/100))*((M1203+N1203)/100)</f>
        <v>422.73</v>
      </c>
      <c r="P1203" s="769">
        <v>2</v>
      </c>
      <c r="Q1203" s="769">
        <v>4.4800000000000004</v>
      </c>
      <c r="R1203" s="770">
        <f>O1203*P1203*Q1203</f>
        <v>3787.6608000000006</v>
      </c>
      <c r="S1203" s="554" t="str">
        <f>$L$1272</f>
        <v>kg</v>
      </c>
      <c r="T1203" s="506">
        <v>32</v>
      </c>
      <c r="U1203" s="507" t="s">
        <v>519</v>
      </c>
      <c r="V1203" s="435">
        <f t="shared" ref="V1203" ca="1" si="424">IF(OFFSET(V1203,1,1)=1,OFFSET(V1203,0,-4),OFFSET(V1203,1,0))</f>
        <v>12096.948999999993</v>
      </c>
      <c r="W1203" s="256">
        <f t="shared" ca="1" si="420"/>
        <v>2</v>
      </c>
      <c r="X1203" s="256">
        <f ca="1">IF(COUNTA(OFFSET(#REF!,1,0))-COUNTA(#REF!)=-1,0,1)</f>
        <v>1</v>
      </c>
      <c r="Y1203" s="256"/>
      <c r="Z1203" s="256"/>
      <c r="AA1203" s="292"/>
      <c r="AB1203" s="292"/>
      <c r="AC1203" s="292"/>
    </row>
    <row r="1204" spans="1:29" s="458" customFormat="1" ht="15" x14ac:dyDescent="0.2">
      <c r="A1204" s="436"/>
      <c r="B1204" s="437"/>
      <c r="C1204" s="438"/>
      <c r="D1204" s="439"/>
      <c r="E1204" s="440"/>
      <c r="F1204" s="441"/>
      <c r="G1204" s="442"/>
      <c r="H1204" s="443"/>
      <c r="I1204" s="444"/>
      <c r="J1204" s="445"/>
      <c r="K1204" s="446"/>
      <c r="L1204" s="447"/>
      <c r="M1204" s="448"/>
      <c r="N1204" s="449"/>
      <c r="O1204" s="450"/>
      <c r="P1204" s="447"/>
      <c r="Q1204" s="450"/>
      <c r="R1204" s="451"/>
      <c r="S1204" s="452"/>
      <c r="T1204" s="453"/>
      <c r="U1204" s="454"/>
      <c r="V1204" s="455">
        <f ca="1">IF(OFFSET(V1204,1,1)=1,OFFSET(V1204,0,-4),OFFSET(V1204,1,0))</f>
        <v>12096.948999999993</v>
      </c>
      <c r="W1204" s="456">
        <f t="shared" ca="1" si="420"/>
        <v>0</v>
      </c>
      <c r="X1204" s="456">
        <f ca="1">IF(COUNTA(OFFSET(A1192,1,0))-COUNTA(A1192)=-1,0,1)</f>
        <v>1</v>
      </c>
      <c r="Y1204" s="457"/>
      <c r="Z1204" s="457"/>
    </row>
    <row r="1205" spans="1:29" s="293" customFormat="1" ht="15.75" x14ac:dyDescent="0.2">
      <c r="A1205" s="399"/>
      <c r="B1205" s="311"/>
      <c r="C1205" s="434" t="s">
        <v>532</v>
      </c>
      <c r="D1205" s="313"/>
      <c r="E1205" s="314"/>
      <c r="F1205" s="315"/>
      <c r="G1205" s="313"/>
      <c r="H1205" s="314"/>
      <c r="I1205" s="315"/>
      <c r="J1205" s="317"/>
      <c r="K1205" s="529"/>
      <c r="L1205" s="433"/>
      <c r="M1205" s="431"/>
      <c r="N1205" s="433"/>
      <c r="O1205" s="433"/>
      <c r="P1205" s="529"/>
      <c r="Q1205" s="529"/>
      <c r="R1205" s="528"/>
      <c r="S1205" s="398"/>
      <c r="T1205" s="320">
        <v>33</v>
      </c>
      <c r="U1205" s="317"/>
      <c r="V1205" s="435">
        <f t="shared" ca="1" si="419"/>
        <v>12096.948999999993</v>
      </c>
      <c r="W1205" s="256">
        <f t="shared" ca="1" si="420"/>
        <v>2</v>
      </c>
      <c r="X1205" s="256">
        <f ca="1">IF(COUNTA(OFFSET(A1204,1,0))-COUNTA(A1204)=-1,0,1)</f>
        <v>1</v>
      </c>
      <c r="Y1205" s="256"/>
      <c r="Z1205" s="256"/>
      <c r="AA1205" s="292"/>
      <c r="AB1205" s="292"/>
      <c r="AC1205" s="292"/>
    </row>
    <row r="1206" spans="1:29" s="293" customFormat="1" ht="25.5" x14ac:dyDescent="0.2">
      <c r="A1206" s="399"/>
      <c r="B1206" s="562"/>
      <c r="C1206" s="495" t="s">
        <v>573</v>
      </c>
      <c r="D1206" s="419">
        <v>68</v>
      </c>
      <c r="E1206" s="316" t="s">
        <v>518</v>
      </c>
      <c r="F1206" s="420">
        <v>7</v>
      </c>
      <c r="G1206" s="419">
        <v>71</v>
      </c>
      <c r="H1206" s="316" t="s">
        <v>518</v>
      </c>
      <c r="I1206" s="420">
        <v>7</v>
      </c>
      <c r="J1206" s="766">
        <v>6</v>
      </c>
      <c r="K1206" s="769">
        <f>ABS((G1206*20+I1206)-(D1206*20+F1206))</f>
        <v>60</v>
      </c>
      <c r="L1206" s="508">
        <f>ROUNDUP((K1206/30)*5,0)*30</f>
        <v>300</v>
      </c>
      <c r="M1206" s="499">
        <v>1192</v>
      </c>
      <c r="N1206" s="508">
        <f>5*30</f>
        <v>150</v>
      </c>
      <c r="O1206" s="499">
        <f>(K1206+(L1206/100))*((M1206+N1206)/100)</f>
        <v>845.46</v>
      </c>
      <c r="P1206" s="769">
        <v>2</v>
      </c>
      <c r="Q1206" s="769">
        <v>4.4800000000000004</v>
      </c>
      <c r="R1206" s="770">
        <f>O1206*P1206*Q1206</f>
        <v>7575.3216000000011</v>
      </c>
      <c r="S1206" s="554" t="str">
        <f>$S$1272</f>
        <v>kg</v>
      </c>
      <c r="T1206" s="506">
        <v>33</v>
      </c>
      <c r="U1206" s="507" t="s">
        <v>519</v>
      </c>
      <c r="V1206" s="435">
        <f t="shared" ca="1" si="419"/>
        <v>12096.948999999993</v>
      </c>
      <c r="W1206" s="256">
        <f t="shared" ca="1" si="420"/>
        <v>2</v>
      </c>
      <c r="X1206" s="256">
        <f ca="1">IF(COUNTA(OFFSET(#REF!,1,0))-COUNTA(#REF!)=-1,0,1)</f>
        <v>1</v>
      </c>
      <c r="Y1206" s="256"/>
      <c r="Z1206" s="256"/>
      <c r="AA1206" s="292"/>
      <c r="AB1206" s="292"/>
      <c r="AC1206" s="292"/>
    </row>
    <row r="1207" spans="1:29" s="293" customFormat="1" ht="15.75" x14ac:dyDescent="0.2">
      <c r="A1207" s="399"/>
      <c r="B1207" s="562"/>
      <c r="C1207" s="495"/>
      <c r="D1207" s="496"/>
      <c r="E1207" s="497"/>
      <c r="F1207" s="498"/>
      <c r="G1207" s="496"/>
      <c r="H1207" s="497"/>
      <c r="I1207" s="498"/>
      <c r="J1207" s="766"/>
      <c r="K1207" s="769"/>
      <c r="L1207" s="500"/>
      <c r="M1207" s="499"/>
      <c r="N1207" s="508"/>
      <c r="O1207" s="499"/>
      <c r="P1207" s="769"/>
      <c r="Q1207" s="930"/>
      <c r="R1207" s="770"/>
      <c r="S1207" s="554"/>
      <c r="T1207" s="506"/>
      <c r="U1207" s="507"/>
      <c r="V1207" s="435">
        <f t="shared" ca="1" si="419"/>
        <v>12096.948999999993</v>
      </c>
      <c r="W1207" s="256">
        <f t="shared" ref="W1207:W1215" ca="1" si="425">IF(LEFT(_xlfn.FORMULATEXT(V1207),3)="=SO",1,IF(COUNTA(A1207:U1207)=0,0,2))</f>
        <v>0</v>
      </c>
      <c r="X1207" s="256">
        <f ca="1">IF(COUNTA(OFFSET(#REF!,1,0))-COUNTA(#REF!)=-1,0,1)</f>
        <v>1</v>
      </c>
      <c r="Y1207" s="256"/>
      <c r="Z1207" s="256"/>
      <c r="AA1207" s="292"/>
      <c r="AB1207" s="292"/>
      <c r="AC1207" s="292"/>
    </row>
    <row r="1208" spans="1:29" s="293" customFormat="1" ht="15.75" x14ac:dyDescent="0.2">
      <c r="A1208" s="399"/>
      <c r="B1208" s="562"/>
      <c r="C1208" s="434" t="s">
        <v>532</v>
      </c>
      <c r="D1208" s="313"/>
      <c r="E1208" s="314"/>
      <c r="F1208" s="315"/>
      <c r="G1208" s="313"/>
      <c r="H1208" s="314"/>
      <c r="I1208" s="315"/>
      <c r="J1208" s="317"/>
      <c r="K1208" s="529"/>
      <c r="L1208" s="433"/>
      <c r="M1208" s="431"/>
      <c r="N1208" s="433"/>
      <c r="O1208" s="433"/>
      <c r="P1208" s="529"/>
      <c r="Q1208" s="529"/>
      <c r="R1208" s="528"/>
      <c r="S1208" s="398"/>
      <c r="T1208" s="320">
        <v>33</v>
      </c>
      <c r="U1208" s="317"/>
      <c r="V1208" s="435">
        <f t="shared" ca="1" si="419"/>
        <v>12096.948999999993</v>
      </c>
      <c r="W1208" s="256">
        <f t="shared" ca="1" si="425"/>
        <v>2</v>
      </c>
      <c r="X1208" s="256">
        <f ca="1">IF(COUNTA(OFFSET(#REF!,1,0))-COUNTA(#REF!)=-1,0,1)</f>
        <v>1</v>
      </c>
      <c r="Y1208" s="256"/>
      <c r="Z1208" s="256"/>
      <c r="AA1208" s="292"/>
      <c r="AB1208" s="292"/>
      <c r="AC1208" s="292"/>
    </row>
    <row r="1209" spans="1:29" s="293" customFormat="1" ht="25.5" x14ac:dyDescent="0.2">
      <c r="A1209" s="399"/>
      <c r="B1209" s="562"/>
      <c r="C1209" s="495" t="s">
        <v>573</v>
      </c>
      <c r="D1209" s="419">
        <v>66</v>
      </c>
      <c r="E1209" s="316" t="s">
        <v>518</v>
      </c>
      <c r="F1209" s="420">
        <v>17</v>
      </c>
      <c r="G1209" s="419">
        <v>68</v>
      </c>
      <c r="H1209" s="316" t="s">
        <v>518</v>
      </c>
      <c r="I1209" s="420">
        <v>7</v>
      </c>
      <c r="J1209" s="766">
        <v>6</v>
      </c>
      <c r="K1209" s="769">
        <f>ABS((G1209*20+I1209)-(D1209*20+F1209))</f>
        <v>30</v>
      </c>
      <c r="L1209" s="508">
        <f>ROUNDUP((K1209/30)*5,0)*30</f>
        <v>150</v>
      </c>
      <c r="M1209" s="499">
        <v>1192</v>
      </c>
      <c r="N1209" s="508">
        <f>5*30</f>
        <v>150</v>
      </c>
      <c r="O1209" s="499">
        <f>(K1209+(L1209/100))*((M1209+N1209)/100)</f>
        <v>422.73</v>
      </c>
      <c r="P1209" s="769">
        <v>2</v>
      </c>
      <c r="Q1209" s="769">
        <v>4.4800000000000004</v>
      </c>
      <c r="R1209" s="770">
        <f>O1209*P1209*Q1209</f>
        <v>3787.6608000000006</v>
      </c>
      <c r="S1209" s="554" t="str">
        <f>$L$1272</f>
        <v>kg</v>
      </c>
      <c r="T1209" s="506">
        <v>33</v>
      </c>
      <c r="U1209" s="927" t="s">
        <v>519</v>
      </c>
      <c r="V1209" s="435">
        <f t="shared" ca="1" si="419"/>
        <v>12096.948999999993</v>
      </c>
      <c r="W1209" s="256">
        <f t="shared" ca="1" si="425"/>
        <v>2</v>
      </c>
      <c r="X1209" s="256">
        <f ca="1">IF(COUNTA(OFFSET(#REF!,1,0))-COUNTA(#REF!)=-1,0,1)</f>
        <v>1</v>
      </c>
      <c r="Y1209" s="256"/>
      <c r="Z1209" s="256"/>
      <c r="AA1209" s="292"/>
      <c r="AB1209" s="292"/>
      <c r="AC1209" s="292"/>
    </row>
    <row r="1210" spans="1:29" s="293" customFormat="1" ht="15.75" x14ac:dyDescent="0.2">
      <c r="A1210" s="399"/>
      <c r="B1210" s="562"/>
      <c r="C1210" s="495"/>
      <c r="D1210" s="496"/>
      <c r="E1210" s="497"/>
      <c r="F1210" s="498"/>
      <c r="G1210" s="496"/>
      <c r="H1210" s="497"/>
      <c r="I1210" s="498"/>
      <c r="J1210" s="766"/>
      <c r="K1210" s="769"/>
      <c r="L1210" s="500"/>
      <c r="M1210" s="499"/>
      <c r="N1210" s="508"/>
      <c r="O1210" s="499"/>
      <c r="P1210" s="769"/>
      <c r="Q1210" s="930"/>
      <c r="R1210" s="770"/>
      <c r="S1210" s="554"/>
      <c r="T1210" s="506"/>
      <c r="U1210" s="507"/>
      <c r="V1210" s="435">
        <f t="shared" ca="1" si="419"/>
        <v>12096.948999999993</v>
      </c>
      <c r="W1210" s="256">
        <f t="shared" ca="1" si="425"/>
        <v>0</v>
      </c>
      <c r="X1210" s="256">
        <f ca="1">IF(COUNTA(OFFSET(#REF!,1,0))-COUNTA(#REF!)=-1,0,1)</f>
        <v>1</v>
      </c>
      <c r="Y1210" s="256"/>
      <c r="Z1210" s="256"/>
      <c r="AA1210" s="292"/>
      <c r="AB1210" s="292"/>
      <c r="AC1210" s="292"/>
    </row>
    <row r="1211" spans="1:29" s="293" customFormat="1" ht="15.75" x14ac:dyDescent="0.2">
      <c r="A1211" s="399"/>
      <c r="B1211" s="562"/>
      <c r="C1211" s="434" t="s">
        <v>532</v>
      </c>
      <c r="D1211" s="313"/>
      <c r="E1211" s="314"/>
      <c r="F1211" s="315"/>
      <c r="G1211" s="313"/>
      <c r="H1211" s="314"/>
      <c r="I1211" s="315"/>
      <c r="J1211" s="317"/>
      <c r="K1211" s="529"/>
      <c r="L1211" s="433"/>
      <c r="M1211" s="431"/>
      <c r="N1211" s="433"/>
      <c r="O1211" s="433"/>
      <c r="P1211" s="529"/>
      <c r="Q1211" s="529"/>
      <c r="R1211" s="528"/>
      <c r="S1211" s="398"/>
      <c r="T1211" s="320">
        <v>34</v>
      </c>
      <c r="U1211" s="317"/>
      <c r="V1211" s="435">
        <f t="shared" ca="1" si="419"/>
        <v>12096.948999999993</v>
      </c>
      <c r="W1211" s="256">
        <f t="shared" ca="1" si="425"/>
        <v>2</v>
      </c>
      <c r="X1211" s="256">
        <f ca="1">IF(COUNTA(OFFSET(#REF!,1,0))-COUNTA(#REF!)=-1,0,1)</f>
        <v>1</v>
      </c>
      <c r="Y1211" s="256"/>
      <c r="Z1211" s="256"/>
      <c r="AA1211" s="292"/>
      <c r="AB1211" s="292"/>
      <c r="AC1211" s="292"/>
    </row>
    <row r="1212" spans="1:29" s="293" customFormat="1" ht="25.5" x14ac:dyDescent="0.2">
      <c r="A1212" s="399"/>
      <c r="B1212" s="562"/>
      <c r="C1212" s="495" t="s">
        <v>573</v>
      </c>
      <c r="D1212" s="419">
        <v>65</v>
      </c>
      <c r="E1212" s="316" t="s">
        <v>518</v>
      </c>
      <c r="F1212" s="420">
        <v>5</v>
      </c>
      <c r="G1212" s="419">
        <v>66</v>
      </c>
      <c r="H1212" s="316" t="s">
        <v>518</v>
      </c>
      <c r="I1212" s="420">
        <v>17</v>
      </c>
      <c r="J1212" s="766">
        <v>6</v>
      </c>
      <c r="K1212" s="769">
        <f>ABS((G1212*20+I1212)-(D1212*20+F1212))</f>
        <v>32</v>
      </c>
      <c r="L1212" s="508">
        <f>ROUNDUP((K1212/30)*5,0)*30</f>
        <v>180</v>
      </c>
      <c r="M1212" s="499">
        <v>1192</v>
      </c>
      <c r="N1212" s="508">
        <f>5*30</f>
        <v>150</v>
      </c>
      <c r="O1212" s="499">
        <f>(K1212+(L1212/100))*((M1212+N1212)/100)</f>
        <v>453.59599999999995</v>
      </c>
      <c r="P1212" s="769">
        <v>2</v>
      </c>
      <c r="Q1212" s="769">
        <v>4.4800000000000004</v>
      </c>
      <c r="R1212" s="770">
        <f>O1212*P1212*Q1212</f>
        <v>4064.2201599999999</v>
      </c>
      <c r="S1212" s="554" t="str">
        <f>$S$1188</f>
        <v>kg</v>
      </c>
      <c r="T1212" s="506">
        <v>34</v>
      </c>
      <c r="U1212" s="507" t="s">
        <v>519</v>
      </c>
      <c r="V1212" s="435">
        <f t="shared" ca="1" si="419"/>
        <v>12096.948999999993</v>
      </c>
      <c r="W1212" s="256">
        <f t="shared" ca="1" si="425"/>
        <v>2</v>
      </c>
      <c r="X1212" s="256">
        <f ca="1">IF(COUNTA(OFFSET(#REF!,1,0))-COUNTA(#REF!)=-1,0,1)</f>
        <v>1</v>
      </c>
      <c r="Y1212" s="256"/>
      <c r="Z1212" s="256"/>
      <c r="AA1212" s="292"/>
      <c r="AB1212" s="292"/>
      <c r="AC1212" s="292"/>
    </row>
    <row r="1213" spans="1:29" s="293" customFormat="1" ht="15.75" x14ac:dyDescent="0.2">
      <c r="A1213" s="399"/>
      <c r="B1213" s="562"/>
      <c r="C1213" s="495"/>
      <c r="D1213" s="496"/>
      <c r="E1213" s="497"/>
      <c r="F1213" s="498"/>
      <c r="G1213" s="496"/>
      <c r="H1213" s="497"/>
      <c r="I1213" s="498"/>
      <c r="J1213" s="766"/>
      <c r="K1213" s="769"/>
      <c r="L1213" s="500"/>
      <c r="M1213" s="499"/>
      <c r="N1213" s="508"/>
      <c r="O1213" s="499"/>
      <c r="P1213" s="769"/>
      <c r="Q1213" s="930"/>
      <c r="R1213" s="770"/>
      <c r="S1213" s="554"/>
      <c r="T1213" s="506"/>
      <c r="U1213" s="507"/>
      <c r="V1213" s="435">
        <f t="shared" ca="1" si="419"/>
        <v>12096.948999999993</v>
      </c>
      <c r="W1213" s="256">
        <f t="shared" ca="1" si="425"/>
        <v>0</v>
      </c>
      <c r="X1213" s="256">
        <f ca="1">IF(COUNTA(OFFSET(#REF!,1,0))-COUNTA(#REF!)=-1,0,1)</f>
        <v>1</v>
      </c>
      <c r="Y1213" s="256"/>
      <c r="Z1213" s="256"/>
      <c r="AA1213" s="292"/>
      <c r="AB1213" s="292"/>
      <c r="AC1213" s="292"/>
    </row>
    <row r="1214" spans="1:29" s="293" customFormat="1" ht="15.75" x14ac:dyDescent="0.2">
      <c r="A1214" s="399"/>
      <c r="B1214" s="562"/>
      <c r="C1214" s="434" t="s">
        <v>532</v>
      </c>
      <c r="D1214" s="313"/>
      <c r="E1214" s="314"/>
      <c r="F1214" s="315"/>
      <c r="G1214" s="313"/>
      <c r="H1214" s="314"/>
      <c r="I1214" s="315"/>
      <c r="J1214" s="317"/>
      <c r="K1214" s="529"/>
      <c r="L1214" s="433"/>
      <c r="M1214" s="431"/>
      <c r="N1214" s="433"/>
      <c r="O1214" s="433"/>
      <c r="P1214" s="529"/>
      <c r="Q1214" s="529"/>
      <c r="R1214" s="528"/>
      <c r="S1214" s="398"/>
      <c r="T1214" s="320">
        <v>35</v>
      </c>
      <c r="U1214" s="317"/>
      <c r="V1214" s="435">
        <f t="shared" ca="1" si="419"/>
        <v>12096.948999999993</v>
      </c>
      <c r="W1214" s="256">
        <f t="shared" ca="1" si="425"/>
        <v>2</v>
      </c>
      <c r="X1214" s="256">
        <f ca="1">IF(COUNTA(OFFSET(#REF!,1,0))-COUNTA(#REF!)=-1,0,1)</f>
        <v>1</v>
      </c>
      <c r="Y1214" s="256"/>
      <c r="Z1214" s="256"/>
      <c r="AA1214" s="292"/>
      <c r="AB1214" s="292"/>
      <c r="AC1214" s="292"/>
    </row>
    <row r="1215" spans="1:29" s="293" customFormat="1" ht="25.5" x14ac:dyDescent="0.2">
      <c r="A1215" s="399"/>
      <c r="B1215" s="562"/>
      <c r="C1215" s="495" t="s">
        <v>573</v>
      </c>
      <c r="D1215" s="419">
        <v>62</v>
      </c>
      <c r="E1215" s="316" t="s">
        <v>518</v>
      </c>
      <c r="F1215" s="420">
        <v>5</v>
      </c>
      <c r="G1215" s="419">
        <v>65</v>
      </c>
      <c r="H1215" s="316" t="s">
        <v>518</v>
      </c>
      <c r="I1215" s="420">
        <v>5</v>
      </c>
      <c r="J1215" s="766">
        <v>6</v>
      </c>
      <c r="K1215" s="769">
        <f>ABS((G1215*20+I1215)-(D1215*20+F1215))</f>
        <v>60</v>
      </c>
      <c r="L1215" s="508">
        <f>ROUNDUP((K1215/30)*5,0)*30</f>
        <v>300</v>
      </c>
      <c r="M1215" s="499">
        <v>1192</v>
      </c>
      <c r="N1215" s="508">
        <f>5*30</f>
        <v>150</v>
      </c>
      <c r="O1215" s="499">
        <f>(K1215+(L1215/100))*((M1215+N1215)/100)</f>
        <v>845.46</v>
      </c>
      <c r="P1215" s="769">
        <v>2</v>
      </c>
      <c r="Q1215" s="769">
        <v>4.4800000000000004</v>
      </c>
      <c r="R1215" s="770">
        <f>O1215*P1215*Q1215</f>
        <v>7575.3216000000011</v>
      </c>
      <c r="S1215" s="554" t="str">
        <f>$L$1272</f>
        <v>kg</v>
      </c>
      <c r="T1215" s="506">
        <v>35</v>
      </c>
      <c r="U1215" s="507" t="s">
        <v>519</v>
      </c>
      <c r="V1215" s="435">
        <f t="shared" ca="1" si="419"/>
        <v>12096.948999999993</v>
      </c>
      <c r="W1215" s="256">
        <f t="shared" ca="1" si="425"/>
        <v>2</v>
      </c>
      <c r="X1215" s="256">
        <f ca="1">IF(COUNTA(OFFSET(#REF!,1,0))-COUNTA(#REF!)=-1,0,1)</f>
        <v>1</v>
      </c>
      <c r="Y1215" s="256"/>
      <c r="Z1215" s="256"/>
      <c r="AA1215" s="292"/>
      <c r="AB1215" s="292"/>
      <c r="AC1215" s="292"/>
    </row>
    <row r="1216" spans="1:29" s="293" customFormat="1" ht="15.75" x14ac:dyDescent="0.2">
      <c r="A1216" s="399"/>
      <c r="B1216" s="562"/>
      <c r="C1216" s="495"/>
      <c r="D1216" s="496"/>
      <c r="E1216" s="497"/>
      <c r="F1216" s="498"/>
      <c r="G1216" s="496"/>
      <c r="H1216" s="497"/>
      <c r="I1216" s="498"/>
      <c r="J1216" s="766"/>
      <c r="K1216" s="769"/>
      <c r="L1216" s="500"/>
      <c r="M1216" s="499"/>
      <c r="N1216" s="508"/>
      <c r="O1216" s="499"/>
      <c r="P1216" s="769"/>
      <c r="Q1216" s="930"/>
      <c r="R1216" s="770"/>
      <c r="S1216" s="554"/>
      <c r="T1216" s="506"/>
      <c r="U1216" s="507"/>
      <c r="V1216" s="435">
        <f t="shared" ca="1" si="419"/>
        <v>12096.948999999993</v>
      </c>
      <c r="W1216" s="256">
        <f t="shared" ref="W1216:W1218" ca="1" si="426">IF(LEFT(_xlfn.FORMULATEXT(V1216),3)="=SO",1,IF(COUNTA(A1216:U1216)=0,0,2))</f>
        <v>0</v>
      </c>
      <c r="X1216" s="256">
        <f ca="1">IF(COUNTA(OFFSET(#REF!,1,0))-COUNTA(#REF!)=-1,0,1)</f>
        <v>1</v>
      </c>
      <c r="Y1216" s="256"/>
      <c r="Z1216" s="256"/>
      <c r="AA1216" s="292"/>
      <c r="AB1216" s="292"/>
      <c r="AC1216" s="292"/>
    </row>
    <row r="1217" spans="1:29" s="293" customFormat="1" ht="15.75" x14ac:dyDescent="0.2">
      <c r="A1217" s="399"/>
      <c r="B1217" s="562"/>
      <c r="C1217" s="434" t="s">
        <v>532</v>
      </c>
      <c r="D1217" s="313"/>
      <c r="E1217" s="314"/>
      <c r="F1217" s="315"/>
      <c r="G1217" s="313"/>
      <c r="H1217" s="314"/>
      <c r="I1217" s="315"/>
      <c r="J1217" s="317"/>
      <c r="K1217" s="529"/>
      <c r="L1217" s="433"/>
      <c r="M1217" s="431"/>
      <c r="N1217" s="433"/>
      <c r="O1217" s="433"/>
      <c r="P1217" s="529"/>
      <c r="Q1217" s="529"/>
      <c r="R1217" s="528"/>
      <c r="S1217" s="398"/>
      <c r="T1217" s="320">
        <v>36</v>
      </c>
      <c r="U1217" s="317"/>
      <c r="V1217" s="435">
        <f t="shared" ca="1" si="419"/>
        <v>12096.948999999993</v>
      </c>
      <c r="W1217" s="256">
        <f t="shared" ca="1" si="426"/>
        <v>2</v>
      </c>
      <c r="X1217" s="256">
        <f ca="1">IF(COUNTA(OFFSET(#REF!,1,0))-COUNTA(#REF!)=-1,0,1)</f>
        <v>1</v>
      </c>
      <c r="Y1217" s="256"/>
      <c r="Z1217" s="256"/>
      <c r="AA1217" s="292"/>
      <c r="AB1217" s="292"/>
      <c r="AC1217" s="292"/>
    </row>
    <row r="1218" spans="1:29" s="293" customFormat="1" ht="25.5" x14ac:dyDescent="0.2">
      <c r="A1218" s="399"/>
      <c r="B1218" s="562"/>
      <c r="C1218" s="495" t="s">
        <v>573</v>
      </c>
      <c r="D1218" s="419">
        <v>60</v>
      </c>
      <c r="E1218" s="316" t="s">
        <v>518</v>
      </c>
      <c r="F1218" s="420">
        <v>0</v>
      </c>
      <c r="G1218" s="419">
        <v>62</v>
      </c>
      <c r="H1218" s="316" t="s">
        <v>518</v>
      </c>
      <c r="I1218" s="420">
        <v>5</v>
      </c>
      <c r="J1218" s="766">
        <v>6</v>
      </c>
      <c r="K1218" s="769">
        <f>ABS((G1218*20+I1218)-(D1218*20+F1218))</f>
        <v>45</v>
      </c>
      <c r="L1218" s="508">
        <f>ROUNDUP((K1218/30)*5,0)*30</f>
        <v>240</v>
      </c>
      <c r="M1218" s="499">
        <v>1192</v>
      </c>
      <c r="N1218" s="508">
        <f>5*30</f>
        <v>150</v>
      </c>
      <c r="O1218" s="499">
        <f>(K1218+(L1218/100))*((M1218+N1218)/100)</f>
        <v>636.10799999999995</v>
      </c>
      <c r="P1218" s="769">
        <v>2</v>
      </c>
      <c r="Q1218" s="769">
        <v>4.4800000000000004</v>
      </c>
      <c r="R1218" s="770">
        <f>O1218*P1218*Q1218</f>
        <v>5699.5276800000001</v>
      </c>
      <c r="S1218" s="554" t="str">
        <f>$L$1272</f>
        <v>kg</v>
      </c>
      <c r="T1218" s="506">
        <v>36</v>
      </c>
      <c r="U1218" s="507" t="s">
        <v>519</v>
      </c>
      <c r="V1218" s="435">
        <f t="shared" ca="1" si="419"/>
        <v>12096.948999999993</v>
      </c>
      <c r="W1218" s="256">
        <f t="shared" ca="1" si="426"/>
        <v>2</v>
      </c>
      <c r="X1218" s="256">
        <f ca="1">IF(COUNTA(OFFSET(#REF!,1,0))-COUNTA(#REF!)=-1,0,1)</f>
        <v>1</v>
      </c>
      <c r="Y1218" s="256"/>
      <c r="Z1218" s="256"/>
      <c r="AA1218" s="292"/>
      <c r="AB1218" s="292"/>
      <c r="AC1218" s="292"/>
    </row>
    <row r="1219" spans="1:29" s="293" customFormat="1" ht="15.75" x14ac:dyDescent="0.2">
      <c r="A1219" s="399"/>
      <c r="B1219" s="562"/>
      <c r="C1219" s="495"/>
      <c r="D1219" s="496"/>
      <c r="E1219" s="497"/>
      <c r="F1219" s="498"/>
      <c r="G1219" s="496"/>
      <c r="H1219" s="497"/>
      <c r="I1219" s="498"/>
      <c r="J1219" s="766"/>
      <c r="K1219" s="769"/>
      <c r="L1219" s="500"/>
      <c r="M1219" s="499"/>
      <c r="N1219" s="508"/>
      <c r="O1219" s="499"/>
      <c r="P1219" s="769"/>
      <c r="Q1219" s="930"/>
      <c r="R1219" s="770"/>
      <c r="S1219" s="554"/>
      <c r="T1219" s="506"/>
      <c r="U1219" s="507"/>
      <c r="V1219" s="435">
        <f t="shared" ca="1" si="419"/>
        <v>12096.948999999993</v>
      </c>
      <c r="W1219" s="256">
        <f t="shared" ref="W1219:W1228" ca="1" si="427">IF(LEFT(_xlfn.FORMULATEXT(V1219),3)="=SO",1,IF(COUNTA(A1219:U1219)=0,0,2))</f>
        <v>0</v>
      </c>
      <c r="X1219" s="256">
        <f ca="1">IF(COUNTA(OFFSET(#REF!,1,0))-COUNTA(#REF!)=-1,0,1)</f>
        <v>1</v>
      </c>
      <c r="Y1219" s="256"/>
      <c r="Z1219" s="256"/>
      <c r="AA1219" s="292"/>
      <c r="AB1219" s="292"/>
      <c r="AC1219" s="292"/>
    </row>
    <row r="1220" spans="1:29" s="293" customFormat="1" ht="15.75" x14ac:dyDescent="0.2">
      <c r="A1220" s="399"/>
      <c r="B1220" s="562"/>
      <c r="C1220" s="434" t="s">
        <v>532</v>
      </c>
      <c r="D1220" s="313"/>
      <c r="E1220" s="314"/>
      <c r="F1220" s="315"/>
      <c r="G1220" s="313"/>
      <c r="H1220" s="314"/>
      <c r="I1220" s="315"/>
      <c r="J1220" s="317"/>
      <c r="K1220" s="529"/>
      <c r="L1220" s="433"/>
      <c r="M1220" s="431"/>
      <c r="N1220" s="433"/>
      <c r="O1220" s="433"/>
      <c r="P1220" s="529"/>
      <c r="Q1220" s="529"/>
      <c r="R1220" s="528"/>
      <c r="S1220" s="398"/>
      <c r="T1220" s="320">
        <v>37</v>
      </c>
      <c r="U1220" s="317"/>
      <c r="V1220" s="435">
        <f t="shared" ca="1" si="419"/>
        <v>12096.948999999993</v>
      </c>
      <c r="W1220" s="256">
        <f t="shared" ca="1" si="427"/>
        <v>2</v>
      </c>
      <c r="X1220" s="256">
        <f ca="1">IF(COUNTA(OFFSET(#REF!,1,0))-COUNTA(#REF!)=-1,0,1)</f>
        <v>1</v>
      </c>
      <c r="Y1220" s="256"/>
      <c r="Z1220" s="256"/>
      <c r="AA1220" s="292"/>
      <c r="AB1220" s="292"/>
      <c r="AC1220" s="292"/>
    </row>
    <row r="1221" spans="1:29" s="293" customFormat="1" ht="25.5" x14ac:dyDescent="0.2">
      <c r="A1221" s="399"/>
      <c r="B1221" s="562"/>
      <c r="C1221" s="495" t="s">
        <v>573</v>
      </c>
      <c r="D1221" s="419">
        <v>57</v>
      </c>
      <c r="E1221" s="316" t="s">
        <v>518</v>
      </c>
      <c r="F1221" s="420">
        <v>16</v>
      </c>
      <c r="G1221" s="419">
        <v>60</v>
      </c>
      <c r="H1221" s="316" t="s">
        <v>518</v>
      </c>
      <c r="I1221" s="420">
        <v>0</v>
      </c>
      <c r="J1221" s="766">
        <v>6</v>
      </c>
      <c r="K1221" s="769">
        <f>ABS((G1221*20+I1221)-(D1221*20+F1221))</f>
        <v>44</v>
      </c>
      <c r="L1221" s="508">
        <f>ROUNDUP((K1221/30)*5,0)*30</f>
        <v>240</v>
      </c>
      <c r="M1221" s="499">
        <v>1192</v>
      </c>
      <c r="N1221" s="508">
        <f>5*30</f>
        <v>150</v>
      </c>
      <c r="O1221" s="499">
        <f>(K1221+(L1221/100))*((M1221+N1221)/100)</f>
        <v>622.68799999999999</v>
      </c>
      <c r="P1221" s="769">
        <v>2</v>
      </c>
      <c r="Q1221" s="769">
        <v>4.4800000000000004</v>
      </c>
      <c r="R1221" s="770">
        <f>O1221*P1221*Q1221</f>
        <v>5579.2844800000003</v>
      </c>
      <c r="S1221" s="554" t="str">
        <f>$L$1272</f>
        <v>kg</v>
      </c>
      <c r="T1221" s="506">
        <v>37</v>
      </c>
      <c r="U1221" s="507" t="s">
        <v>519</v>
      </c>
      <c r="V1221" s="435">
        <f t="shared" ca="1" si="419"/>
        <v>12096.948999999993</v>
      </c>
      <c r="W1221" s="256">
        <f t="shared" ca="1" si="427"/>
        <v>2</v>
      </c>
      <c r="X1221" s="256">
        <f ca="1">IF(COUNTA(OFFSET(#REF!,1,0))-COUNTA(#REF!)=-1,0,1)</f>
        <v>1</v>
      </c>
      <c r="Y1221" s="256"/>
      <c r="Z1221" s="256"/>
      <c r="AA1221" s="292"/>
      <c r="AB1221" s="292"/>
      <c r="AC1221" s="292"/>
    </row>
    <row r="1222" spans="1:29" s="293" customFormat="1" ht="15.75" x14ac:dyDescent="0.2">
      <c r="A1222" s="399"/>
      <c r="B1222" s="562"/>
      <c r="C1222" s="495"/>
      <c r="D1222" s="496"/>
      <c r="E1222" s="497"/>
      <c r="F1222" s="498"/>
      <c r="G1222" s="496"/>
      <c r="H1222" s="497"/>
      <c r="I1222" s="498"/>
      <c r="J1222" s="766"/>
      <c r="K1222" s="769"/>
      <c r="L1222" s="500"/>
      <c r="M1222" s="499"/>
      <c r="N1222" s="508"/>
      <c r="O1222" s="499"/>
      <c r="P1222" s="769"/>
      <c r="Q1222" s="930"/>
      <c r="R1222" s="770"/>
      <c r="S1222" s="554"/>
      <c r="T1222" s="506"/>
      <c r="U1222" s="507"/>
      <c r="V1222" s="435">
        <f t="shared" ca="1" si="419"/>
        <v>12096.948999999993</v>
      </c>
      <c r="W1222" s="256">
        <f t="shared" ref="W1222:W1227" ca="1" si="428">IF(LEFT(_xlfn.FORMULATEXT(V1222),3)="=SO",1,IF(COUNTA(A1222:U1222)=0,0,2))</f>
        <v>0</v>
      </c>
      <c r="X1222" s="256">
        <f ca="1">IF(COUNTA(OFFSET(#REF!,1,0))-COUNTA(#REF!)=-1,0,1)</f>
        <v>1</v>
      </c>
      <c r="Y1222" s="256"/>
      <c r="Z1222" s="256"/>
      <c r="AA1222" s="292"/>
      <c r="AB1222" s="292"/>
      <c r="AC1222" s="292"/>
    </row>
    <row r="1223" spans="1:29" s="293" customFormat="1" ht="15.75" x14ac:dyDescent="0.2">
      <c r="A1223" s="399"/>
      <c r="B1223" s="562"/>
      <c r="C1223" s="434" t="s">
        <v>532</v>
      </c>
      <c r="D1223" s="313"/>
      <c r="E1223" s="314"/>
      <c r="F1223" s="315"/>
      <c r="G1223" s="313"/>
      <c r="H1223" s="314"/>
      <c r="I1223" s="315"/>
      <c r="J1223" s="317"/>
      <c r="K1223" s="529"/>
      <c r="L1223" s="433"/>
      <c r="M1223" s="431"/>
      <c r="N1223" s="433"/>
      <c r="O1223" s="433"/>
      <c r="P1223" s="529"/>
      <c r="Q1223" s="529"/>
      <c r="R1223" s="528"/>
      <c r="S1223" s="398"/>
      <c r="T1223" s="320">
        <v>38</v>
      </c>
      <c r="U1223" s="317"/>
      <c r="V1223" s="435">
        <f t="shared" ca="1" si="419"/>
        <v>12096.948999999993</v>
      </c>
      <c r="W1223" s="256">
        <f t="shared" ca="1" si="428"/>
        <v>2</v>
      </c>
      <c r="X1223" s="256">
        <f ca="1">IF(COUNTA(OFFSET(#REF!,1,0))-COUNTA(#REF!)=-1,0,1)</f>
        <v>1</v>
      </c>
      <c r="Y1223" s="256"/>
      <c r="Z1223" s="256"/>
      <c r="AA1223" s="292"/>
      <c r="AB1223" s="292"/>
      <c r="AC1223" s="292"/>
    </row>
    <row r="1224" spans="1:29" s="293" customFormat="1" ht="25.5" x14ac:dyDescent="0.2">
      <c r="A1224" s="399"/>
      <c r="B1224" s="562"/>
      <c r="C1224" s="495" t="s">
        <v>573</v>
      </c>
      <c r="D1224" s="419">
        <v>55</v>
      </c>
      <c r="E1224" s="316" t="s">
        <v>518</v>
      </c>
      <c r="F1224" s="420">
        <v>10</v>
      </c>
      <c r="G1224" s="419">
        <v>57</v>
      </c>
      <c r="H1224" s="316" t="s">
        <v>518</v>
      </c>
      <c r="I1224" s="420">
        <v>16</v>
      </c>
      <c r="J1224" s="766">
        <v>6</v>
      </c>
      <c r="K1224" s="769">
        <f>ABS((G1224*20+I1224)-(D1224*20+F1224))</f>
        <v>46</v>
      </c>
      <c r="L1224" s="508">
        <f>ROUNDUP((K1224/30)*5,0)*30</f>
        <v>240</v>
      </c>
      <c r="M1224" s="499">
        <v>1192</v>
      </c>
      <c r="N1224" s="508">
        <f>5*30</f>
        <v>150</v>
      </c>
      <c r="O1224" s="499">
        <f>(K1224+(L1224/100))*((M1224+N1224)/100)</f>
        <v>649.52800000000002</v>
      </c>
      <c r="P1224" s="769">
        <v>2</v>
      </c>
      <c r="Q1224" s="769">
        <v>4.4800000000000004</v>
      </c>
      <c r="R1224" s="770">
        <f>O1224*P1224*Q1224</f>
        <v>5819.7708800000009</v>
      </c>
      <c r="S1224" s="554" t="str">
        <f>$L$1272</f>
        <v>kg</v>
      </c>
      <c r="T1224" s="506">
        <v>38</v>
      </c>
      <c r="U1224" s="507" t="s">
        <v>519</v>
      </c>
      <c r="V1224" s="435">
        <f t="shared" ca="1" si="419"/>
        <v>12096.948999999993</v>
      </c>
      <c r="W1224" s="256">
        <f t="shared" ca="1" si="428"/>
        <v>2</v>
      </c>
      <c r="X1224" s="256">
        <f ca="1">IF(COUNTA(OFFSET(#REF!,1,0))-COUNTA(#REF!)=-1,0,1)</f>
        <v>1</v>
      </c>
      <c r="Y1224" s="256"/>
      <c r="Z1224" s="256"/>
      <c r="AA1224" s="292"/>
      <c r="AB1224" s="292"/>
      <c r="AC1224" s="292"/>
    </row>
    <row r="1225" spans="1:29" s="293" customFormat="1" ht="15.75" x14ac:dyDescent="0.2">
      <c r="A1225" s="399"/>
      <c r="B1225" s="562"/>
      <c r="C1225" s="865"/>
      <c r="D1225" s="1075"/>
      <c r="E1225" s="1076"/>
      <c r="F1225" s="1077"/>
      <c r="G1225" s="1075"/>
      <c r="H1225" s="1076"/>
      <c r="I1225" s="1077"/>
      <c r="J1225" s="1078"/>
      <c r="K1225" s="1079"/>
      <c r="L1225" s="1041"/>
      <c r="M1225" s="1080"/>
      <c r="N1225" s="1041"/>
      <c r="O1225" s="1080"/>
      <c r="P1225" s="1079"/>
      <c r="Q1225" s="1079"/>
      <c r="R1225" s="1081"/>
      <c r="S1225" s="791"/>
      <c r="T1225" s="792"/>
      <c r="U1225" s="1082"/>
      <c r="V1225" s="435">
        <f t="shared" ca="1" si="419"/>
        <v>12096.948999999993</v>
      </c>
      <c r="W1225" s="256">
        <f t="shared" ca="1" si="428"/>
        <v>0</v>
      </c>
      <c r="X1225" s="256">
        <f ca="1">IF(COUNTA(OFFSET(#REF!,1,0))-COUNTA(#REF!)=-1,0,1)</f>
        <v>1</v>
      </c>
      <c r="Y1225" s="256"/>
      <c r="Z1225" s="256"/>
      <c r="AA1225" s="292"/>
      <c r="AB1225" s="292"/>
      <c r="AC1225" s="292"/>
    </row>
    <row r="1226" spans="1:29" s="293" customFormat="1" ht="15.75" x14ac:dyDescent="0.2">
      <c r="A1226" s="399"/>
      <c r="B1226" s="562"/>
      <c r="C1226" s="434" t="s">
        <v>516</v>
      </c>
      <c r="D1226" s="313"/>
      <c r="E1226" s="314"/>
      <c r="F1226" s="315"/>
      <c r="G1226" s="380"/>
      <c r="H1226" s="316"/>
      <c r="I1226" s="381"/>
      <c r="J1226" s="317"/>
      <c r="K1226" s="433"/>
      <c r="L1226" s="433"/>
      <c r="M1226" s="433"/>
      <c r="N1226" s="433"/>
      <c r="O1226" s="433"/>
      <c r="P1226" s="433"/>
      <c r="Q1226" s="433"/>
      <c r="R1226" s="319"/>
      <c r="S1226" s="398"/>
      <c r="T1226" s="320">
        <v>38</v>
      </c>
      <c r="U1226" s="335"/>
      <c r="V1226" s="435">
        <f t="shared" ca="1" si="419"/>
        <v>12096.948999999993</v>
      </c>
      <c r="W1226" s="256">
        <f t="shared" ca="1" si="428"/>
        <v>2</v>
      </c>
      <c r="X1226" s="256">
        <f ca="1">IF(COUNTA(OFFSET(#REF!,1,0))-COUNTA(#REF!)=-1,0,1)</f>
        <v>1</v>
      </c>
      <c r="Y1226" s="256"/>
      <c r="Z1226" s="256"/>
      <c r="AA1226" s="292"/>
      <c r="AB1226" s="292"/>
      <c r="AC1226" s="292"/>
    </row>
    <row r="1227" spans="1:29" s="293" customFormat="1" ht="25.5" x14ac:dyDescent="0.2">
      <c r="A1227" s="399"/>
      <c r="B1227" s="562"/>
      <c r="C1227" s="312" t="s">
        <v>573</v>
      </c>
      <c r="D1227" s="417">
        <v>4</v>
      </c>
      <c r="E1227" s="314" t="s">
        <v>518</v>
      </c>
      <c r="F1227" s="418">
        <v>16</v>
      </c>
      <c r="G1227" s="417">
        <v>5</v>
      </c>
      <c r="H1227" s="314" t="s">
        <v>518</v>
      </c>
      <c r="I1227" s="418">
        <v>14.5</v>
      </c>
      <c r="J1227" s="509">
        <v>6</v>
      </c>
      <c r="K1227" s="527">
        <f>ABS((G1227*20+I1227)-(D1227*20+F1227))</f>
        <v>18.5</v>
      </c>
      <c r="L1227" s="433">
        <f>ROUNDUP((K1227/30)*5,0)*30</f>
        <v>120</v>
      </c>
      <c r="M1227" s="431">
        <f>186+592+186</f>
        <v>964</v>
      </c>
      <c r="N1227" s="433">
        <f>4*30</f>
        <v>120</v>
      </c>
      <c r="O1227" s="431">
        <f>(K1227+(L1227/100))*((M1227+N1227)/100)</f>
        <v>213.548</v>
      </c>
      <c r="P1227" s="527">
        <v>2</v>
      </c>
      <c r="Q1227" s="527">
        <v>4.4800000000000004</v>
      </c>
      <c r="R1227" s="528">
        <f>O1227*P1227*Q1227</f>
        <v>1913.3900800000001</v>
      </c>
      <c r="S1227" s="554" t="str">
        <f>$L$1272</f>
        <v>kg</v>
      </c>
      <c r="T1227" s="320">
        <v>38</v>
      </c>
      <c r="U1227" s="424" t="s">
        <v>519</v>
      </c>
      <c r="V1227" s="435">
        <f t="shared" ca="1" si="419"/>
        <v>12096.948999999993</v>
      </c>
      <c r="W1227" s="256">
        <f t="shared" ca="1" si="428"/>
        <v>2</v>
      </c>
      <c r="X1227" s="256">
        <f ca="1">IF(COUNTA(OFFSET(#REF!,1,0))-COUNTA(#REF!)=-1,0,1)</f>
        <v>1</v>
      </c>
      <c r="Y1227" s="256"/>
      <c r="Z1227" s="256"/>
      <c r="AA1227" s="292"/>
      <c r="AB1227" s="292"/>
      <c r="AC1227" s="292"/>
    </row>
    <row r="1228" spans="1:29" s="293" customFormat="1" ht="25.5" x14ac:dyDescent="0.2">
      <c r="A1228" s="399"/>
      <c r="B1228" s="562"/>
      <c r="C1228" s="312" t="s">
        <v>574</v>
      </c>
      <c r="D1228" s="417">
        <v>4</v>
      </c>
      <c r="E1228" s="314" t="s">
        <v>518</v>
      </c>
      <c r="F1228" s="418">
        <v>16</v>
      </c>
      <c r="G1228" s="417">
        <v>5</v>
      </c>
      <c r="H1228" s="314" t="s">
        <v>518</v>
      </c>
      <c r="I1228" s="418">
        <v>14.5</v>
      </c>
      <c r="J1228" s="509">
        <v>6</v>
      </c>
      <c r="K1228" s="527">
        <f>ABS((G1228*20+I1228)-(D1228*20+F1228))</f>
        <v>18.5</v>
      </c>
      <c r="L1228" s="433">
        <f>ROUNDUP((K1228/30)*5,0)*30</f>
        <v>120</v>
      </c>
      <c r="M1228" s="431">
        <f>169+558+169</f>
        <v>896</v>
      </c>
      <c r="N1228" s="433">
        <f>4*30</f>
        <v>120</v>
      </c>
      <c r="O1228" s="431">
        <f>(K1228+(L1228/100))*((M1228+N1228)/100)</f>
        <v>200.15199999999999</v>
      </c>
      <c r="P1228" s="527">
        <v>2</v>
      </c>
      <c r="Q1228" s="527">
        <v>4.4800000000000004</v>
      </c>
      <c r="R1228" s="528">
        <f>O1228*P1228*Q1228</f>
        <v>1793.3619200000001</v>
      </c>
      <c r="S1228" s="554" t="str">
        <f>$L$1272</f>
        <v>kg</v>
      </c>
      <c r="T1228" s="320">
        <v>38</v>
      </c>
      <c r="U1228" s="424" t="s">
        <v>519</v>
      </c>
      <c r="V1228" s="435">
        <f t="shared" ca="1" si="419"/>
        <v>12096.948999999993</v>
      </c>
      <c r="W1228" s="256">
        <f t="shared" ca="1" si="427"/>
        <v>2</v>
      </c>
      <c r="X1228" s="256">
        <f ca="1">IF(COUNTA(OFFSET(#REF!,1,0))-COUNTA(#REF!)=-1,0,1)</f>
        <v>1</v>
      </c>
      <c r="Y1228" s="256"/>
      <c r="Z1228" s="256"/>
      <c r="AA1228" s="292"/>
      <c r="AB1228" s="292"/>
      <c r="AC1228" s="292"/>
    </row>
    <row r="1229" spans="1:29" s="293" customFormat="1" ht="15.75" x14ac:dyDescent="0.2">
      <c r="A1229" s="399"/>
      <c r="B1229" s="562"/>
      <c r="C1229" s="495"/>
      <c r="D1229" s="551"/>
      <c r="E1229" s="552"/>
      <c r="F1229" s="553"/>
      <c r="G1229" s="551"/>
      <c r="H1229" s="552"/>
      <c r="I1229" s="553"/>
      <c r="J1229" s="766"/>
      <c r="K1229" s="769"/>
      <c r="L1229" s="500"/>
      <c r="M1229" s="499"/>
      <c r="N1229" s="508"/>
      <c r="O1229" s="499"/>
      <c r="P1229" s="769"/>
      <c r="Q1229" s="930"/>
      <c r="R1229" s="770"/>
      <c r="S1229" s="554"/>
      <c r="T1229" s="506"/>
      <c r="U1229" s="507"/>
      <c r="V1229" s="435">
        <f t="shared" ca="1" si="419"/>
        <v>12096.948999999993</v>
      </c>
      <c r="W1229" s="256">
        <f t="shared" ref="W1229:W1235" ca="1" si="429">IF(LEFT(_xlfn.FORMULATEXT(V1229),3)="=SO",1,IF(COUNTA(A1229:U1229)=0,0,2))</f>
        <v>0</v>
      </c>
      <c r="X1229" s="256">
        <f ca="1">IF(COUNTA(OFFSET(#REF!,1,0))-COUNTA(#REF!)=-1,0,1)</f>
        <v>1</v>
      </c>
      <c r="Y1229" s="256"/>
      <c r="Z1229" s="256"/>
      <c r="AA1229" s="292"/>
      <c r="AB1229" s="292"/>
      <c r="AC1229" s="292"/>
    </row>
    <row r="1230" spans="1:29" s="293" customFormat="1" ht="15.75" x14ac:dyDescent="0.2">
      <c r="A1230" s="399"/>
      <c r="B1230" s="562"/>
      <c r="C1230" s="434" t="s">
        <v>532</v>
      </c>
      <c r="D1230" s="313"/>
      <c r="E1230" s="314"/>
      <c r="F1230" s="315"/>
      <c r="G1230" s="313"/>
      <c r="H1230" s="314"/>
      <c r="I1230" s="315"/>
      <c r="J1230" s="317"/>
      <c r="K1230" s="529"/>
      <c r="L1230" s="433"/>
      <c r="M1230" s="431"/>
      <c r="N1230" s="433"/>
      <c r="O1230" s="433"/>
      <c r="P1230" s="529"/>
      <c r="Q1230" s="529"/>
      <c r="R1230" s="528"/>
      <c r="S1230" s="398"/>
      <c r="T1230" s="320">
        <v>39</v>
      </c>
      <c r="U1230" s="317"/>
      <c r="V1230" s="435">
        <f t="shared" ca="1" si="419"/>
        <v>12096.948999999993</v>
      </c>
      <c r="W1230" s="256">
        <f t="shared" ca="1" si="429"/>
        <v>2</v>
      </c>
      <c r="X1230" s="256">
        <f ca="1">IF(COUNTA(OFFSET(#REF!,1,0))-COUNTA(#REF!)=-1,0,1)</f>
        <v>1</v>
      </c>
      <c r="Y1230" s="256"/>
      <c r="Z1230" s="256"/>
      <c r="AA1230" s="292"/>
      <c r="AB1230" s="292"/>
      <c r="AC1230" s="292"/>
    </row>
    <row r="1231" spans="1:29" s="293" customFormat="1" ht="25.5" x14ac:dyDescent="0.2">
      <c r="A1231" s="399"/>
      <c r="B1231" s="562"/>
      <c r="C1231" s="495" t="s">
        <v>573</v>
      </c>
      <c r="D1231" s="419">
        <v>51</v>
      </c>
      <c r="E1231" s="316" t="s">
        <v>518</v>
      </c>
      <c r="F1231" s="420">
        <v>8</v>
      </c>
      <c r="G1231" s="419">
        <v>55</v>
      </c>
      <c r="H1231" s="316" t="s">
        <v>518</v>
      </c>
      <c r="I1231" s="420">
        <v>10</v>
      </c>
      <c r="J1231" s="766">
        <v>6</v>
      </c>
      <c r="K1231" s="769">
        <f>ABS((G1231*20+I1231)-(D1231*20+F1231))</f>
        <v>82</v>
      </c>
      <c r="L1231" s="508">
        <f>ROUNDUP((K1231/30)*5,0)*30</f>
        <v>420</v>
      </c>
      <c r="M1231" s="499">
        <v>1192</v>
      </c>
      <c r="N1231" s="508">
        <f>5*30</f>
        <v>150</v>
      </c>
      <c r="O1231" s="499">
        <f>(K1231+(L1231/100))*((M1231+N1231)/100)</f>
        <v>1156.8040000000001</v>
      </c>
      <c r="P1231" s="769">
        <v>2</v>
      </c>
      <c r="Q1231" s="769">
        <v>4.4800000000000004</v>
      </c>
      <c r="R1231" s="770">
        <f>O1231*P1231*Q1231</f>
        <v>10364.963840000002</v>
      </c>
      <c r="S1231" s="554" t="str">
        <f>$L$1272</f>
        <v>kg</v>
      </c>
      <c r="T1231" s="506">
        <v>39</v>
      </c>
      <c r="U1231" s="507" t="s">
        <v>519</v>
      </c>
      <c r="V1231" s="435">
        <f t="shared" ca="1" si="419"/>
        <v>12096.948999999993</v>
      </c>
      <c r="W1231" s="256">
        <f t="shared" ca="1" si="429"/>
        <v>2</v>
      </c>
      <c r="X1231" s="256">
        <f ca="1">IF(COUNTA(OFFSET(#REF!,1,0))-COUNTA(#REF!)=-1,0,1)</f>
        <v>1</v>
      </c>
      <c r="Y1231" s="256"/>
      <c r="Z1231" s="256"/>
      <c r="AA1231" s="292"/>
      <c r="AB1231" s="292"/>
      <c r="AC1231" s="292"/>
    </row>
    <row r="1232" spans="1:29" s="293" customFormat="1" ht="15.75" x14ac:dyDescent="0.2">
      <c r="A1232" s="399"/>
      <c r="B1232" s="562"/>
      <c r="C1232" s="495"/>
      <c r="D1232" s="551"/>
      <c r="E1232" s="552"/>
      <c r="F1232" s="553"/>
      <c r="G1232" s="551"/>
      <c r="H1232" s="552"/>
      <c r="I1232" s="553"/>
      <c r="J1232" s="766"/>
      <c r="K1232" s="769"/>
      <c r="L1232" s="500"/>
      <c r="M1232" s="499"/>
      <c r="N1232" s="508"/>
      <c r="O1232" s="499"/>
      <c r="P1232" s="769"/>
      <c r="Q1232" s="930"/>
      <c r="R1232" s="770"/>
      <c r="S1232" s="554"/>
      <c r="T1232" s="506"/>
      <c r="U1232" s="507"/>
      <c r="V1232" s="435">
        <f t="shared" ca="1" si="419"/>
        <v>12096.948999999993</v>
      </c>
      <c r="W1232" s="256">
        <f t="shared" ca="1" si="429"/>
        <v>0</v>
      </c>
      <c r="X1232" s="256">
        <f ca="1">IF(COUNTA(OFFSET(#REF!,1,0))-COUNTA(#REF!)=-1,0,1)</f>
        <v>1</v>
      </c>
      <c r="Y1232" s="256"/>
      <c r="Z1232" s="256"/>
      <c r="AA1232" s="292"/>
      <c r="AB1232" s="292"/>
      <c r="AC1232" s="292"/>
    </row>
    <row r="1233" spans="1:29" s="293" customFormat="1" ht="15.75" x14ac:dyDescent="0.2">
      <c r="A1233" s="399"/>
      <c r="B1233" s="562"/>
      <c r="C1233" s="434" t="s">
        <v>516</v>
      </c>
      <c r="D1233" s="313"/>
      <c r="E1233" s="314"/>
      <c r="F1233" s="315"/>
      <c r="G1233" s="380"/>
      <c r="H1233" s="316"/>
      <c r="I1233" s="381"/>
      <c r="J1233" s="317"/>
      <c r="K1233" s="433"/>
      <c r="L1233" s="433"/>
      <c r="M1233" s="433"/>
      <c r="N1233" s="433"/>
      <c r="O1233" s="433"/>
      <c r="P1233" s="433"/>
      <c r="Q1233" s="433"/>
      <c r="R1233" s="319"/>
      <c r="S1233" s="398"/>
      <c r="T1233" s="320">
        <v>39</v>
      </c>
      <c r="U1233" s="335"/>
      <c r="V1233" s="435">
        <f t="shared" ca="1" si="419"/>
        <v>12096.948999999993</v>
      </c>
      <c r="W1233" s="256">
        <f t="shared" ca="1" si="429"/>
        <v>2</v>
      </c>
      <c r="X1233" s="256">
        <f ca="1">IF(COUNTA(OFFSET(#REF!,1,0))-COUNTA(#REF!)=-1,0,1)</f>
        <v>1</v>
      </c>
      <c r="Y1233" s="256"/>
      <c r="Z1233" s="256"/>
      <c r="AA1233" s="292"/>
      <c r="AB1233" s="292"/>
      <c r="AC1233" s="292"/>
    </row>
    <row r="1234" spans="1:29" s="293" customFormat="1" ht="25.5" x14ac:dyDescent="0.2">
      <c r="A1234" s="399"/>
      <c r="B1234" s="562"/>
      <c r="C1234" s="312" t="s">
        <v>573</v>
      </c>
      <c r="D1234" s="417">
        <v>4</v>
      </c>
      <c r="E1234" s="314" t="s">
        <v>518</v>
      </c>
      <c r="F1234" s="418">
        <v>0</v>
      </c>
      <c r="G1234" s="417">
        <v>4</v>
      </c>
      <c r="H1234" s="314" t="s">
        <v>518</v>
      </c>
      <c r="I1234" s="418">
        <v>16</v>
      </c>
      <c r="J1234" s="509">
        <v>6</v>
      </c>
      <c r="K1234" s="527">
        <f>ABS((G1234*20+I1234)-(D1234*20+F1234))</f>
        <v>16</v>
      </c>
      <c r="L1234" s="433">
        <f>ROUNDUP((K1234/30)*5,0)*30</f>
        <v>90</v>
      </c>
      <c r="M1234" s="431">
        <f>186+592+186</f>
        <v>964</v>
      </c>
      <c r="N1234" s="433">
        <f>4*30</f>
        <v>120</v>
      </c>
      <c r="O1234" s="431">
        <f>(K1234+(L1234/100))*((M1234+N1234)/100)</f>
        <v>183.19599999999997</v>
      </c>
      <c r="P1234" s="527">
        <v>2</v>
      </c>
      <c r="Q1234" s="527">
        <v>4.4800000000000004</v>
      </c>
      <c r="R1234" s="528">
        <f>O1234*P1234*Q1234</f>
        <v>1641.43616</v>
      </c>
      <c r="S1234" s="554" t="str">
        <f>$L$1272</f>
        <v>kg</v>
      </c>
      <c r="T1234" s="320">
        <v>39</v>
      </c>
      <c r="U1234" s="424" t="s">
        <v>519</v>
      </c>
      <c r="V1234" s="435">
        <f t="shared" ca="1" si="419"/>
        <v>12096.948999999993</v>
      </c>
      <c r="W1234" s="256">
        <f t="shared" ca="1" si="429"/>
        <v>2</v>
      </c>
      <c r="X1234" s="256">
        <f ca="1">IF(COUNTA(OFFSET(#REF!,1,0))-COUNTA(#REF!)=-1,0,1)</f>
        <v>1</v>
      </c>
      <c r="Y1234" s="256"/>
      <c r="Z1234" s="256"/>
      <c r="AA1234" s="292"/>
      <c r="AB1234" s="292"/>
      <c r="AC1234" s="292"/>
    </row>
    <row r="1235" spans="1:29" s="293" customFormat="1" ht="25.5" x14ac:dyDescent="0.2">
      <c r="A1235" s="399"/>
      <c r="B1235" s="562"/>
      <c r="C1235" s="312" t="s">
        <v>574</v>
      </c>
      <c r="D1235" s="417">
        <v>4</v>
      </c>
      <c r="E1235" s="314" t="s">
        <v>518</v>
      </c>
      <c r="F1235" s="418">
        <v>0</v>
      </c>
      <c r="G1235" s="417">
        <v>4</v>
      </c>
      <c r="H1235" s="314" t="s">
        <v>518</v>
      </c>
      <c r="I1235" s="418">
        <v>16</v>
      </c>
      <c r="J1235" s="509">
        <v>6</v>
      </c>
      <c r="K1235" s="527">
        <f>ABS((G1235*20+I1235)-(D1235*20+F1235))</f>
        <v>16</v>
      </c>
      <c r="L1235" s="433">
        <f>ROUNDUP((K1235/30)*5,0)*30</f>
        <v>90</v>
      </c>
      <c r="M1235" s="431">
        <f>169+558+169</f>
        <v>896</v>
      </c>
      <c r="N1235" s="433">
        <f>4*30</f>
        <v>120</v>
      </c>
      <c r="O1235" s="431">
        <f>(K1235+(L1235/100))*((M1235+N1235)/100)</f>
        <v>171.70399999999998</v>
      </c>
      <c r="P1235" s="527">
        <v>2</v>
      </c>
      <c r="Q1235" s="527">
        <v>4.4800000000000004</v>
      </c>
      <c r="R1235" s="528">
        <f>O1235*P1235*Q1235</f>
        <v>1538.46784</v>
      </c>
      <c r="S1235" s="554" t="str">
        <f>$L$1272</f>
        <v>kg</v>
      </c>
      <c r="T1235" s="320">
        <v>39</v>
      </c>
      <c r="U1235" s="424" t="s">
        <v>519</v>
      </c>
      <c r="V1235" s="435">
        <f t="shared" ca="1" si="419"/>
        <v>12096.948999999993</v>
      </c>
      <c r="W1235" s="256">
        <f t="shared" ca="1" si="429"/>
        <v>2</v>
      </c>
      <c r="X1235" s="256">
        <f ca="1">IF(COUNTA(OFFSET(#REF!,1,0))-COUNTA(#REF!)=-1,0,1)</f>
        <v>1</v>
      </c>
      <c r="Y1235" s="256"/>
      <c r="Z1235" s="256"/>
      <c r="AA1235" s="292"/>
      <c r="AB1235" s="292"/>
      <c r="AC1235" s="292"/>
    </row>
    <row r="1236" spans="1:29" s="293" customFormat="1" ht="15.75" x14ac:dyDescent="0.2">
      <c r="A1236" s="399"/>
      <c r="B1236" s="562"/>
      <c r="C1236" s="495"/>
      <c r="D1236" s="551"/>
      <c r="E1236" s="552"/>
      <c r="F1236" s="553"/>
      <c r="G1236" s="551"/>
      <c r="H1236" s="552"/>
      <c r="I1236" s="553"/>
      <c r="J1236" s="766"/>
      <c r="K1236" s="769"/>
      <c r="L1236" s="500"/>
      <c r="M1236" s="499"/>
      <c r="N1236" s="508"/>
      <c r="O1236" s="499"/>
      <c r="P1236" s="769"/>
      <c r="Q1236" s="930"/>
      <c r="R1236" s="770"/>
      <c r="S1236" s="554"/>
      <c r="T1236" s="506"/>
      <c r="U1236" s="507"/>
      <c r="V1236" s="435">
        <f t="shared" ca="1" si="419"/>
        <v>12096.948999999993</v>
      </c>
      <c r="W1236" s="256">
        <f t="shared" ref="W1236:W1242" ca="1" si="430">IF(LEFT(_xlfn.FORMULATEXT(V1236),3)="=SO",1,IF(COUNTA(A1236:U1236)=0,0,2))</f>
        <v>0</v>
      </c>
      <c r="X1236" s="256">
        <f ca="1">IF(COUNTA(OFFSET(#REF!,1,0))-COUNTA(#REF!)=-1,0,1)</f>
        <v>1</v>
      </c>
      <c r="Y1236" s="256"/>
      <c r="Z1236" s="256"/>
      <c r="AA1236" s="292"/>
      <c r="AB1236" s="292"/>
      <c r="AC1236" s="292"/>
    </row>
    <row r="1237" spans="1:29" s="293" customFormat="1" ht="15.75" x14ac:dyDescent="0.2">
      <c r="A1237" s="399"/>
      <c r="B1237" s="562"/>
      <c r="C1237" s="434" t="s">
        <v>532</v>
      </c>
      <c r="D1237" s="313"/>
      <c r="E1237" s="314"/>
      <c r="F1237" s="315"/>
      <c r="G1237" s="313"/>
      <c r="H1237" s="314"/>
      <c r="I1237" s="315"/>
      <c r="J1237" s="317"/>
      <c r="K1237" s="529"/>
      <c r="L1237" s="433"/>
      <c r="M1237" s="431"/>
      <c r="N1237" s="433"/>
      <c r="O1237" s="433"/>
      <c r="P1237" s="529"/>
      <c r="Q1237" s="529"/>
      <c r="R1237" s="528"/>
      <c r="S1237" s="398"/>
      <c r="T1237" s="320">
        <v>40</v>
      </c>
      <c r="U1237" s="317"/>
      <c r="V1237" s="435">
        <f t="shared" ca="1" si="419"/>
        <v>12096.948999999993</v>
      </c>
      <c r="W1237" s="256">
        <f t="shared" ca="1" si="430"/>
        <v>2</v>
      </c>
      <c r="X1237" s="256">
        <f ca="1">IF(COUNTA(OFFSET(#REF!,1,0))-COUNTA(#REF!)=-1,0,1)</f>
        <v>1</v>
      </c>
      <c r="Y1237" s="256"/>
      <c r="Z1237" s="256"/>
      <c r="AA1237" s="292"/>
      <c r="AB1237" s="292"/>
      <c r="AC1237" s="292"/>
    </row>
    <row r="1238" spans="1:29" s="293" customFormat="1" ht="25.5" x14ac:dyDescent="0.2">
      <c r="A1238" s="399"/>
      <c r="B1238" s="562"/>
      <c r="C1238" s="495" t="s">
        <v>573</v>
      </c>
      <c r="D1238" s="419">
        <v>49</v>
      </c>
      <c r="E1238" s="316" t="s">
        <v>518</v>
      </c>
      <c r="F1238" s="420">
        <v>13</v>
      </c>
      <c r="G1238" s="419">
        <v>51</v>
      </c>
      <c r="H1238" s="316" t="s">
        <v>518</v>
      </c>
      <c r="I1238" s="420">
        <v>8</v>
      </c>
      <c r="J1238" s="766">
        <v>6</v>
      </c>
      <c r="K1238" s="769">
        <f>ABS((G1238*20+I1238)-(D1238*20+F1238))</f>
        <v>35</v>
      </c>
      <c r="L1238" s="508">
        <f>ROUNDUP((K1238/30)*5,0)*30</f>
        <v>180</v>
      </c>
      <c r="M1238" s="499">
        <v>1192</v>
      </c>
      <c r="N1238" s="508">
        <f>5*30</f>
        <v>150</v>
      </c>
      <c r="O1238" s="499">
        <f>(K1238+(L1238/100))*((M1238+N1238)/100)</f>
        <v>493.85599999999994</v>
      </c>
      <c r="P1238" s="769">
        <v>2</v>
      </c>
      <c r="Q1238" s="769">
        <v>4.4800000000000004</v>
      </c>
      <c r="R1238" s="770">
        <f>O1238*P1238*Q1238</f>
        <v>4424.9497599999995</v>
      </c>
      <c r="S1238" s="554" t="str">
        <f>$L$1272</f>
        <v>kg</v>
      </c>
      <c r="T1238" s="506">
        <v>40</v>
      </c>
      <c r="U1238" s="507" t="s">
        <v>519</v>
      </c>
      <c r="V1238" s="435">
        <f t="shared" ca="1" si="419"/>
        <v>12096.948999999993</v>
      </c>
      <c r="W1238" s="256">
        <f t="shared" ca="1" si="430"/>
        <v>2</v>
      </c>
      <c r="X1238" s="256">
        <f ca="1">IF(COUNTA(OFFSET(#REF!,1,0))-COUNTA(#REF!)=-1,0,1)</f>
        <v>1</v>
      </c>
      <c r="Y1238" s="256"/>
      <c r="Z1238" s="256"/>
      <c r="AA1238" s="292"/>
      <c r="AB1238" s="292"/>
      <c r="AC1238" s="292"/>
    </row>
    <row r="1239" spans="1:29" s="293" customFormat="1" ht="15.75" x14ac:dyDescent="0.2">
      <c r="A1239" s="399"/>
      <c r="B1239" s="562"/>
      <c r="C1239" s="865"/>
      <c r="D1239" s="1134"/>
      <c r="E1239" s="1076"/>
      <c r="F1239" s="1077"/>
      <c r="G1239" s="1134"/>
      <c r="H1239" s="1076"/>
      <c r="I1239" s="1077"/>
      <c r="J1239" s="1078"/>
      <c r="K1239" s="1079"/>
      <c r="L1239" s="1041"/>
      <c r="M1239" s="1080"/>
      <c r="N1239" s="1041"/>
      <c r="O1239" s="1080"/>
      <c r="P1239" s="1079"/>
      <c r="Q1239" s="1079"/>
      <c r="R1239" s="1081"/>
      <c r="S1239" s="791"/>
      <c r="T1239" s="792"/>
      <c r="U1239" s="1082"/>
      <c r="V1239" s="435">
        <f t="shared" ca="1" si="419"/>
        <v>12096.948999999993</v>
      </c>
      <c r="W1239" s="256">
        <f t="shared" ca="1" si="430"/>
        <v>0</v>
      </c>
      <c r="X1239" s="256">
        <f ca="1">IF(COUNTA(OFFSET(#REF!,1,0))-COUNTA(#REF!)=-1,0,1)</f>
        <v>1</v>
      </c>
      <c r="Y1239" s="256"/>
      <c r="Z1239" s="256"/>
      <c r="AA1239" s="292"/>
      <c r="AB1239" s="292"/>
      <c r="AC1239" s="292"/>
    </row>
    <row r="1240" spans="1:29" s="293" customFormat="1" ht="15.75" x14ac:dyDescent="0.2">
      <c r="A1240" s="399"/>
      <c r="B1240" s="562"/>
      <c r="C1240" s="434" t="s">
        <v>516</v>
      </c>
      <c r="D1240" s="313"/>
      <c r="E1240" s="314"/>
      <c r="F1240" s="315"/>
      <c r="G1240" s="380"/>
      <c r="H1240" s="316"/>
      <c r="I1240" s="381"/>
      <c r="J1240" s="317"/>
      <c r="K1240" s="433"/>
      <c r="L1240" s="433"/>
      <c r="M1240" s="433"/>
      <c r="N1240" s="433"/>
      <c r="O1240" s="433"/>
      <c r="P1240" s="433"/>
      <c r="Q1240" s="433"/>
      <c r="R1240" s="319"/>
      <c r="S1240" s="398"/>
      <c r="T1240" s="320">
        <v>40</v>
      </c>
      <c r="U1240" s="335"/>
      <c r="V1240" s="435">
        <f t="shared" ca="1" si="419"/>
        <v>12096.948999999993</v>
      </c>
      <c r="W1240" s="256">
        <f t="shared" ca="1" si="430"/>
        <v>2</v>
      </c>
      <c r="X1240" s="256">
        <f ca="1">IF(COUNTA(OFFSET(#REF!,1,0))-COUNTA(#REF!)=-1,0,1)</f>
        <v>1</v>
      </c>
      <c r="Y1240" s="256"/>
      <c r="Z1240" s="256"/>
      <c r="AA1240" s="292"/>
      <c r="AB1240" s="292"/>
      <c r="AC1240" s="292"/>
    </row>
    <row r="1241" spans="1:29" s="293" customFormat="1" ht="25.5" x14ac:dyDescent="0.2">
      <c r="A1241" s="399"/>
      <c r="B1241" s="562"/>
      <c r="C1241" s="312" t="s">
        <v>573</v>
      </c>
      <c r="D1241" s="417">
        <v>3</v>
      </c>
      <c r="E1241" s="314" t="s">
        <v>518</v>
      </c>
      <c r="F1241" s="418">
        <v>4</v>
      </c>
      <c r="G1241" s="417">
        <v>4</v>
      </c>
      <c r="H1241" s="314" t="s">
        <v>518</v>
      </c>
      <c r="I1241" s="418">
        <v>0</v>
      </c>
      <c r="J1241" s="509">
        <v>6</v>
      </c>
      <c r="K1241" s="527">
        <f>ABS((G1241*20+I1241)-(D1241*20+F1241))</f>
        <v>16</v>
      </c>
      <c r="L1241" s="433">
        <f>ROUNDUP((K1241/30)*5,0)*30</f>
        <v>90</v>
      </c>
      <c r="M1241" s="431">
        <f>186+592+186</f>
        <v>964</v>
      </c>
      <c r="N1241" s="433">
        <f>4*30</f>
        <v>120</v>
      </c>
      <c r="O1241" s="431">
        <f>(K1241+(L1241/100))*((M1241+N1241)/100)</f>
        <v>183.19599999999997</v>
      </c>
      <c r="P1241" s="527">
        <v>2</v>
      </c>
      <c r="Q1241" s="527">
        <v>4.4800000000000004</v>
      </c>
      <c r="R1241" s="528">
        <f>O1241*P1241*Q1241</f>
        <v>1641.43616</v>
      </c>
      <c r="S1241" s="554" t="str">
        <f>$L$1272</f>
        <v>kg</v>
      </c>
      <c r="T1241" s="320">
        <v>40</v>
      </c>
      <c r="U1241" s="424" t="s">
        <v>519</v>
      </c>
      <c r="V1241" s="435">
        <f t="shared" ca="1" si="419"/>
        <v>12096.948999999993</v>
      </c>
      <c r="W1241" s="256">
        <f t="shared" ca="1" si="430"/>
        <v>2</v>
      </c>
      <c r="X1241" s="256">
        <f ca="1">IF(COUNTA(OFFSET(#REF!,1,0))-COUNTA(#REF!)=-1,0,1)</f>
        <v>1</v>
      </c>
      <c r="Y1241" s="256"/>
      <c r="Z1241" s="256"/>
      <c r="AA1241" s="292"/>
      <c r="AB1241" s="292"/>
      <c r="AC1241" s="292"/>
    </row>
    <row r="1242" spans="1:29" s="293" customFormat="1" ht="25.5" x14ac:dyDescent="0.2">
      <c r="A1242" s="399"/>
      <c r="B1242" s="562"/>
      <c r="C1242" s="312" t="s">
        <v>574</v>
      </c>
      <c r="D1242" s="417">
        <v>3</v>
      </c>
      <c r="E1242" s="314" t="s">
        <v>518</v>
      </c>
      <c r="F1242" s="418">
        <v>4</v>
      </c>
      <c r="G1242" s="417">
        <v>4</v>
      </c>
      <c r="H1242" s="314" t="s">
        <v>518</v>
      </c>
      <c r="I1242" s="418">
        <v>0</v>
      </c>
      <c r="J1242" s="509">
        <v>6</v>
      </c>
      <c r="K1242" s="527">
        <f>ABS((G1242*20+I1242)-(D1242*20+F1242))</f>
        <v>16</v>
      </c>
      <c r="L1242" s="433">
        <f>ROUNDUP((K1242/30)*5,0)*30</f>
        <v>90</v>
      </c>
      <c r="M1242" s="431">
        <f>169+558+169</f>
        <v>896</v>
      </c>
      <c r="N1242" s="433">
        <f>4*30</f>
        <v>120</v>
      </c>
      <c r="O1242" s="431">
        <f>(K1242+(L1242/100))*((M1242+N1242)/100)</f>
        <v>171.70399999999998</v>
      </c>
      <c r="P1242" s="527">
        <v>2</v>
      </c>
      <c r="Q1242" s="527">
        <v>4.4800000000000004</v>
      </c>
      <c r="R1242" s="528">
        <f>O1242*P1242*Q1242</f>
        <v>1538.46784</v>
      </c>
      <c r="S1242" s="554" t="str">
        <f>$L$1272</f>
        <v>kg</v>
      </c>
      <c r="T1242" s="320">
        <v>40</v>
      </c>
      <c r="U1242" s="424" t="s">
        <v>519</v>
      </c>
      <c r="V1242" s="435">
        <f t="shared" ca="1" si="419"/>
        <v>12096.948999999993</v>
      </c>
      <c r="W1242" s="256">
        <f t="shared" ca="1" si="430"/>
        <v>2</v>
      </c>
      <c r="X1242" s="256">
        <f ca="1">IF(COUNTA(OFFSET(#REF!,1,0))-COUNTA(#REF!)=-1,0,1)</f>
        <v>1</v>
      </c>
      <c r="Y1242" s="256"/>
      <c r="Z1242" s="256"/>
      <c r="AA1242" s="292"/>
      <c r="AB1242" s="292"/>
      <c r="AC1242" s="292"/>
    </row>
    <row r="1243" spans="1:29" s="293" customFormat="1" ht="15.75" x14ac:dyDescent="0.2">
      <c r="A1243" s="399"/>
      <c r="B1243" s="562"/>
      <c r="C1243" s="495"/>
      <c r="D1243" s="551"/>
      <c r="E1243" s="552"/>
      <c r="F1243" s="553"/>
      <c r="G1243" s="551"/>
      <c r="H1243" s="552"/>
      <c r="I1243" s="553"/>
      <c r="J1243" s="766"/>
      <c r="K1243" s="769"/>
      <c r="L1243" s="500"/>
      <c r="M1243" s="499"/>
      <c r="N1243" s="508"/>
      <c r="O1243" s="499"/>
      <c r="P1243" s="769"/>
      <c r="Q1243" s="930"/>
      <c r="R1243" s="770"/>
      <c r="S1243" s="554"/>
      <c r="T1243" s="506"/>
      <c r="U1243" s="507"/>
      <c r="V1243" s="435">
        <f t="shared" ca="1" si="419"/>
        <v>12096.948999999993</v>
      </c>
      <c r="W1243" s="256">
        <f t="shared" ref="W1243:W1250" ca="1" si="431">IF(LEFT(_xlfn.FORMULATEXT(V1243),3)="=SO",1,IF(COUNTA(A1243:U1243)=0,0,2))</f>
        <v>0</v>
      </c>
      <c r="X1243" s="256">
        <f ca="1">IF(COUNTA(OFFSET(#REF!,1,0))-COUNTA(#REF!)=-1,0,1)</f>
        <v>1</v>
      </c>
      <c r="Y1243" s="256"/>
      <c r="Z1243" s="256"/>
      <c r="AA1243" s="292"/>
      <c r="AB1243" s="292"/>
      <c r="AC1243" s="292"/>
    </row>
    <row r="1244" spans="1:29" s="293" customFormat="1" ht="15.75" x14ac:dyDescent="0.2">
      <c r="A1244" s="399"/>
      <c r="B1244" s="562"/>
      <c r="C1244" s="434" t="s">
        <v>532</v>
      </c>
      <c r="D1244" s="313"/>
      <c r="E1244" s="314"/>
      <c r="F1244" s="315"/>
      <c r="G1244" s="313"/>
      <c r="H1244" s="314"/>
      <c r="I1244" s="315"/>
      <c r="J1244" s="317"/>
      <c r="K1244" s="529"/>
      <c r="L1244" s="433"/>
      <c r="M1244" s="431"/>
      <c r="N1244" s="433"/>
      <c r="O1244" s="433"/>
      <c r="P1244" s="529"/>
      <c r="Q1244" s="529"/>
      <c r="R1244" s="528"/>
      <c r="S1244" s="398"/>
      <c r="T1244" s="320">
        <v>41</v>
      </c>
      <c r="U1244" s="317"/>
      <c r="V1244" s="435">
        <f t="shared" ca="1" si="419"/>
        <v>12096.948999999993</v>
      </c>
      <c r="W1244" s="256">
        <f t="shared" ca="1" si="431"/>
        <v>2</v>
      </c>
      <c r="X1244" s="256">
        <f ca="1">IF(COUNTA(OFFSET(#REF!,1,0))-COUNTA(#REF!)=-1,0,1)</f>
        <v>1</v>
      </c>
      <c r="Y1244" s="256"/>
      <c r="Z1244" s="256"/>
      <c r="AA1244" s="292"/>
      <c r="AB1244" s="292"/>
      <c r="AC1244" s="292"/>
    </row>
    <row r="1245" spans="1:29" s="293" customFormat="1" ht="25.5" x14ac:dyDescent="0.2">
      <c r="A1245" s="399"/>
      <c r="B1245" s="562"/>
      <c r="C1245" s="495" t="s">
        <v>573</v>
      </c>
      <c r="D1245" s="419">
        <v>48</v>
      </c>
      <c r="E1245" s="316" t="s">
        <v>518</v>
      </c>
      <c r="F1245" s="420">
        <v>8</v>
      </c>
      <c r="G1245" s="419">
        <v>49</v>
      </c>
      <c r="H1245" s="316" t="s">
        <v>518</v>
      </c>
      <c r="I1245" s="420">
        <v>13</v>
      </c>
      <c r="J1245" s="766">
        <v>6</v>
      </c>
      <c r="K1245" s="769">
        <f>ABS((G1245*20+I1245)-(D1245*20+F1245))</f>
        <v>25</v>
      </c>
      <c r="L1245" s="508">
        <f>ROUNDUP((K1245/30)*5,0)*30</f>
        <v>150</v>
      </c>
      <c r="M1245" s="499">
        <v>1192</v>
      </c>
      <c r="N1245" s="508">
        <f>5*30</f>
        <v>150</v>
      </c>
      <c r="O1245" s="499">
        <f>(K1245+(L1245/100))*((M1245+N1245)/100)</f>
        <v>355.63</v>
      </c>
      <c r="P1245" s="769">
        <v>2</v>
      </c>
      <c r="Q1245" s="769">
        <v>4.4800000000000004</v>
      </c>
      <c r="R1245" s="770">
        <f>O1245*P1245*Q1245</f>
        <v>3186.4448000000002</v>
      </c>
      <c r="S1245" s="554" t="str">
        <f>$L$1272</f>
        <v>kg</v>
      </c>
      <c r="T1245" s="506">
        <v>41</v>
      </c>
      <c r="U1245" s="507" t="s">
        <v>519</v>
      </c>
      <c r="V1245" s="435">
        <f t="shared" ca="1" si="419"/>
        <v>12096.948999999993</v>
      </c>
      <c r="W1245" s="256">
        <f t="shared" ca="1" si="431"/>
        <v>2</v>
      </c>
      <c r="X1245" s="256">
        <f ca="1">IF(COUNTA(OFFSET(#REF!,1,0))-COUNTA(#REF!)=-1,0,1)</f>
        <v>1</v>
      </c>
      <c r="Y1245" s="256"/>
      <c r="Z1245" s="256"/>
      <c r="AA1245" s="292"/>
      <c r="AB1245" s="292"/>
      <c r="AC1245" s="292"/>
    </row>
    <row r="1246" spans="1:29" s="293" customFormat="1" ht="15.75" x14ac:dyDescent="0.2">
      <c r="A1246" s="399"/>
      <c r="B1246" s="562"/>
      <c r="C1246" s="865"/>
      <c r="D1246" s="1134"/>
      <c r="E1246" s="1076"/>
      <c r="F1246" s="1077"/>
      <c r="G1246" s="1134"/>
      <c r="H1246" s="1076"/>
      <c r="I1246" s="1077"/>
      <c r="J1246" s="1078"/>
      <c r="K1246" s="1079"/>
      <c r="L1246" s="1041"/>
      <c r="M1246" s="1080"/>
      <c r="N1246" s="1041"/>
      <c r="O1246" s="1080"/>
      <c r="P1246" s="1079"/>
      <c r="Q1246" s="1079"/>
      <c r="R1246" s="1081"/>
      <c r="S1246" s="791"/>
      <c r="T1246" s="792"/>
      <c r="U1246" s="1082"/>
      <c r="V1246" s="435">
        <f t="shared" ca="1" si="419"/>
        <v>12096.948999999993</v>
      </c>
      <c r="W1246" s="256">
        <f t="shared" ca="1" si="431"/>
        <v>0</v>
      </c>
      <c r="X1246" s="256">
        <f ca="1">IF(COUNTA(OFFSET(#REF!,1,0))-COUNTA(#REF!)=-1,0,1)</f>
        <v>1</v>
      </c>
      <c r="Y1246" s="256"/>
      <c r="Z1246" s="256"/>
      <c r="AA1246" s="292"/>
      <c r="AB1246" s="292"/>
      <c r="AC1246" s="292"/>
    </row>
    <row r="1247" spans="1:29" s="293" customFormat="1" ht="15.75" x14ac:dyDescent="0.2">
      <c r="A1247" s="399"/>
      <c r="B1247" s="562"/>
      <c r="C1247" s="434" t="s">
        <v>516</v>
      </c>
      <c r="D1247" s="313"/>
      <c r="E1247" s="314"/>
      <c r="F1247" s="315"/>
      <c r="G1247" s="380"/>
      <c r="H1247" s="316"/>
      <c r="I1247" s="381"/>
      <c r="J1247" s="317"/>
      <c r="K1247" s="433"/>
      <c r="L1247" s="433"/>
      <c r="M1247" s="433"/>
      <c r="N1247" s="433"/>
      <c r="O1247" s="433"/>
      <c r="P1247" s="433"/>
      <c r="Q1247" s="433"/>
      <c r="R1247" s="319"/>
      <c r="S1247" s="398"/>
      <c r="T1247" s="320">
        <v>41</v>
      </c>
      <c r="U1247" s="335"/>
      <c r="V1247" s="435">
        <f t="shared" ca="1" si="419"/>
        <v>12096.948999999993</v>
      </c>
      <c r="W1247" s="256">
        <f t="shared" ca="1" si="431"/>
        <v>2</v>
      </c>
      <c r="X1247" s="256">
        <f ca="1">IF(COUNTA(OFFSET(#REF!,1,0))-COUNTA(#REF!)=-1,0,1)</f>
        <v>1</v>
      </c>
      <c r="Y1247" s="256"/>
      <c r="Z1247" s="256"/>
      <c r="AA1247" s="292"/>
      <c r="AB1247" s="292"/>
      <c r="AC1247" s="292"/>
    </row>
    <row r="1248" spans="1:29" s="293" customFormat="1" ht="25.5" x14ac:dyDescent="0.2">
      <c r="A1248" s="399"/>
      <c r="B1248" s="562"/>
      <c r="C1248" s="312" t="s">
        <v>573</v>
      </c>
      <c r="D1248" s="417">
        <v>2</v>
      </c>
      <c r="E1248" s="314" t="s">
        <v>518</v>
      </c>
      <c r="F1248" s="418">
        <v>6</v>
      </c>
      <c r="G1248" s="417">
        <v>3</v>
      </c>
      <c r="H1248" s="314" t="s">
        <v>518</v>
      </c>
      <c r="I1248" s="418">
        <v>4</v>
      </c>
      <c r="J1248" s="509">
        <v>6</v>
      </c>
      <c r="K1248" s="527">
        <f>ABS((G1248*20+I1248)-(D1248*20+F1248))</f>
        <v>18</v>
      </c>
      <c r="L1248" s="433">
        <f>ROUNDUP((K1248/30)*5,0)*30</f>
        <v>90</v>
      </c>
      <c r="M1248" s="431">
        <f>186+592+186</f>
        <v>964</v>
      </c>
      <c r="N1248" s="433">
        <f>4*30</f>
        <v>120</v>
      </c>
      <c r="O1248" s="431">
        <f>(K1248+(L1248/100))*((M1248+N1248)/100)</f>
        <v>204.87599999999998</v>
      </c>
      <c r="P1248" s="527">
        <v>2</v>
      </c>
      <c r="Q1248" s="527">
        <v>4.4800000000000004</v>
      </c>
      <c r="R1248" s="528">
        <f>O1248*P1248*Q1248</f>
        <v>1835.68896</v>
      </c>
      <c r="S1248" s="398" t="str">
        <f>$S$1272</f>
        <v>kg</v>
      </c>
      <c r="T1248" s="320">
        <v>41</v>
      </c>
      <c r="U1248" s="424" t="s">
        <v>519</v>
      </c>
      <c r="V1248" s="435">
        <f t="shared" ca="1" si="419"/>
        <v>12096.948999999993</v>
      </c>
      <c r="W1248" s="256">
        <f t="shared" ca="1" si="431"/>
        <v>2</v>
      </c>
      <c r="X1248" s="256">
        <f ca="1">IF(COUNTA(OFFSET(#REF!,1,0))-COUNTA(#REF!)=-1,0,1)</f>
        <v>1</v>
      </c>
      <c r="Y1248" s="256"/>
      <c r="Z1248" s="256"/>
      <c r="AA1248" s="292"/>
      <c r="AB1248" s="292"/>
      <c r="AC1248" s="292"/>
    </row>
    <row r="1249" spans="1:29" s="293" customFormat="1" ht="25.5" x14ac:dyDescent="0.2">
      <c r="A1249" s="399"/>
      <c r="B1249" s="562"/>
      <c r="C1249" s="312" t="s">
        <v>574</v>
      </c>
      <c r="D1249" s="417">
        <v>2</v>
      </c>
      <c r="E1249" s="314" t="s">
        <v>518</v>
      </c>
      <c r="F1249" s="418">
        <v>6</v>
      </c>
      <c r="G1249" s="417">
        <v>3</v>
      </c>
      <c r="H1249" s="314" t="s">
        <v>518</v>
      </c>
      <c r="I1249" s="418">
        <v>4</v>
      </c>
      <c r="J1249" s="509">
        <v>6</v>
      </c>
      <c r="K1249" s="527">
        <f>ABS((G1249*20+I1249)-(D1249*20+F1249))</f>
        <v>18</v>
      </c>
      <c r="L1249" s="433">
        <f>ROUNDUP((K1249/30)*5,0)*30</f>
        <v>90</v>
      </c>
      <c r="M1249" s="431">
        <f>169+558+169</f>
        <v>896</v>
      </c>
      <c r="N1249" s="433">
        <f>4*30</f>
        <v>120</v>
      </c>
      <c r="O1249" s="431">
        <f>(K1249+(L1249/100))*((M1249+N1249)/100)</f>
        <v>192.024</v>
      </c>
      <c r="P1249" s="527">
        <v>2</v>
      </c>
      <c r="Q1249" s="527">
        <v>4.4800000000000004</v>
      </c>
      <c r="R1249" s="528">
        <f>O1249*P1249*Q1249</f>
        <v>1720.5350400000002</v>
      </c>
      <c r="S1249" s="398" t="str">
        <f>$S$1272</f>
        <v>kg</v>
      </c>
      <c r="T1249" s="320">
        <v>41</v>
      </c>
      <c r="U1249" s="424" t="s">
        <v>519</v>
      </c>
      <c r="V1249" s="435">
        <f t="shared" ca="1" si="419"/>
        <v>12096.948999999993</v>
      </c>
      <c r="W1249" s="256">
        <f t="shared" ca="1" si="431"/>
        <v>2</v>
      </c>
      <c r="X1249" s="256">
        <f ca="1">IF(COUNTA(OFFSET(#REF!,1,0))-COUNTA(#REF!)=-1,0,1)</f>
        <v>1</v>
      </c>
      <c r="Y1249" s="256"/>
      <c r="Z1249" s="256"/>
      <c r="AA1249" s="292"/>
      <c r="AB1249" s="292"/>
      <c r="AC1249" s="292"/>
    </row>
    <row r="1250" spans="1:29" s="293" customFormat="1" ht="15.75" x14ac:dyDescent="0.2">
      <c r="A1250" s="399"/>
      <c r="B1250" s="562"/>
      <c r="C1250" s="495"/>
      <c r="D1250" s="551"/>
      <c r="E1250" s="552"/>
      <c r="F1250" s="553"/>
      <c r="G1250" s="551"/>
      <c r="H1250" s="552"/>
      <c r="I1250" s="553"/>
      <c r="J1250" s="766"/>
      <c r="K1250" s="769"/>
      <c r="L1250" s="500"/>
      <c r="M1250" s="499"/>
      <c r="N1250" s="508"/>
      <c r="O1250" s="499"/>
      <c r="P1250" s="769"/>
      <c r="Q1250" s="930"/>
      <c r="R1250" s="770"/>
      <c r="S1250" s="554"/>
      <c r="T1250" s="506"/>
      <c r="U1250" s="507"/>
      <c r="V1250" s="435">
        <f t="shared" ca="1" si="419"/>
        <v>12096.948999999993</v>
      </c>
      <c r="W1250" s="256">
        <f t="shared" ca="1" si="431"/>
        <v>0</v>
      </c>
      <c r="X1250" s="256">
        <f ca="1">IF(COUNTA(OFFSET(#REF!,1,0))-COUNTA(#REF!)=-1,0,1)</f>
        <v>1</v>
      </c>
      <c r="Y1250" s="256"/>
      <c r="Z1250" s="256"/>
      <c r="AA1250" s="292"/>
      <c r="AB1250" s="292"/>
      <c r="AC1250" s="292"/>
    </row>
    <row r="1251" spans="1:29" s="293" customFormat="1" ht="15.75" x14ac:dyDescent="0.2">
      <c r="A1251" s="399"/>
      <c r="B1251" s="562"/>
      <c r="C1251" s="434" t="s">
        <v>532</v>
      </c>
      <c r="D1251" s="313"/>
      <c r="E1251" s="314"/>
      <c r="F1251" s="315"/>
      <c r="G1251" s="313"/>
      <c r="H1251" s="314"/>
      <c r="I1251" s="315"/>
      <c r="J1251" s="317"/>
      <c r="K1251" s="529"/>
      <c r="L1251" s="433"/>
      <c r="M1251" s="431"/>
      <c r="N1251" s="433"/>
      <c r="O1251" s="433"/>
      <c r="P1251" s="529"/>
      <c r="Q1251" s="529"/>
      <c r="R1251" s="528"/>
      <c r="S1251" s="398"/>
      <c r="T1251" s="320">
        <v>42</v>
      </c>
      <c r="U1251" s="317"/>
      <c r="V1251" s="435">
        <f t="shared" ca="1" si="419"/>
        <v>12096.948999999993</v>
      </c>
      <c r="W1251" s="256">
        <f t="shared" ref="W1251:W1255" ca="1" si="432">IF(LEFT(_xlfn.FORMULATEXT(V1251),3)="=SO",1,IF(COUNTA(A1251:U1251)=0,0,2))</f>
        <v>2</v>
      </c>
      <c r="X1251" s="256">
        <f ca="1">IF(COUNTA(OFFSET(#REF!,1,0))-COUNTA(#REF!)=-1,0,1)</f>
        <v>1</v>
      </c>
      <c r="Y1251" s="256"/>
      <c r="Z1251" s="256"/>
      <c r="AA1251" s="292"/>
      <c r="AB1251" s="292"/>
      <c r="AC1251" s="292"/>
    </row>
    <row r="1252" spans="1:29" s="293" customFormat="1" ht="25.5" x14ac:dyDescent="0.2">
      <c r="A1252" s="399"/>
      <c r="B1252" s="562"/>
      <c r="C1252" s="495" t="s">
        <v>573</v>
      </c>
      <c r="D1252" s="419">
        <v>45</v>
      </c>
      <c r="E1252" s="316" t="s">
        <v>518</v>
      </c>
      <c r="F1252" s="420">
        <v>6</v>
      </c>
      <c r="G1252" s="419">
        <v>48</v>
      </c>
      <c r="H1252" s="316" t="s">
        <v>518</v>
      </c>
      <c r="I1252" s="420">
        <v>8</v>
      </c>
      <c r="J1252" s="766">
        <v>6</v>
      </c>
      <c r="K1252" s="769">
        <f>ABS((G1252*20+I1252)-(D1252*20+F1252))</f>
        <v>62</v>
      </c>
      <c r="L1252" s="508">
        <f>ROUNDUP((K1252/30)*5,0)*30</f>
        <v>330</v>
      </c>
      <c r="M1252" s="499">
        <v>1192</v>
      </c>
      <c r="N1252" s="508">
        <f>5*30</f>
        <v>150</v>
      </c>
      <c r="O1252" s="499">
        <f>(K1252+(L1252/100))*((M1252+N1252)/100)</f>
        <v>876.32599999999991</v>
      </c>
      <c r="P1252" s="769">
        <v>2</v>
      </c>
      <c r="Q1252" s="769">
        <v>4.4800000000000004</v>
      </c>
      <c r="R1252" s="770">
        <f>O1252*P1252*Q1252</f>
        <v>7851.8809599999995</v>
      </c>
      <c r="S1252" s="398" t="str">
        <f>$S$1272</f>
        <v>kg</v>
      </c>
      <c r="T1252" s="506">
        <v>42</v>
      </c>
      <c r="U1252" s="507" t="s">
        <v>519</v>
      </c>
      <c r="V1252" s="435">
        <f t="shared" ca="1" si="419"/>
        <v>12096.948999999993</v>
      </c>
      <c r="W1252" s="256">
        <f t="shared" ca="1" si="432"/>
        <v>2</v>
      </c>
      <c r="X1252" s="256">
        <f ca="1">IF(COUNTA(OFFSET(#REF!,1,0))-COUNTA(#REF!)=-1,0,1)</f>
        <v>1</v>
      </c>
      <c r="Y1252" s="256"/>
      <c r="Z1252" s="256"/>
      <c r="AA1252" s="292"/>
      <c r="AB1252" s="292"/>
      <c r="AC1252" s="292"/>
    </row>
    <row r="1253" spans="1:29" s="293" customFormat="1" ht="15.75" x14ac:dyDescent="0.2">
      <c r="A1253" s="399"/>
      <c r="B1253" s="562"/>
      <c r="C1253" s="865"/>
      <c r="D1253" s="1134"/>
      <c r="E1253" s="1076"/>
      <c r="F1253" s="1077"/>
      <c r="G1253" s="1134"/>
      <c r="H1253" s="1076"/>
      <c r="I1253" s="1077"/>
      <c r="J1253" s="1078"/>
      <c r="K1253" s="1079"/>
      <c r="L1253" s="1041"/>
      <c r="M1253" s="1080"/>
      <c r="N1253" s="1041"/>
      <c r="O1253" s="1080"/>
      <c r="P1253" s="1079"/>
      <c r="Q1253" s="1079"/>
      <c r="R1253" s="1081"/>
      <c r="S1253" s="791"/>
      <c r="T1253" s="792"/>
      <c r="U1253" s="1082"/>
      <c r="V1253" s="435">
        <f t="shared" ca="1" si="419"/>
        <v>12096.948999999993</v>
      </c>
      <c r="W1253" s="256">
        <f t="shared" ca="1" si="432"/>
        <v>0</v>
      </c>
      <c r="X1253" s="256">
        <f ca="1">IF(COUNTA(OFFSET(#REF!,1,0))-COUNTA(#REF!)=-1,0,1)</f>
        <v>1</v>
      </c>
      <c r="Y1253" s="256"/>
      <c r="Z1253" s="256"/>
      <c r="AA1253" s="292"/>
      <c r="AB1253" s="292"/>
      <c r="AC1253" s="292"/>
    </row>
    <row r="1254" spans="1:29" s="293" customFormat="1" ht="15.75" x14ac:dyDescent="0.2">
      <c r="A1254" s="399"/>
      <c r="B1254" s="562"/>
      <c r="C1254" s="434" t="s">
        <v>516</v>
      </c>
      <c r="D1254" s="313"/>
      <c r="E1254" s="314"/>
      <c r="F1254" s="315"/>
      <c r="G1254" s="380"/>
      <c r="H1254" s="316"/>
      <c r="I1254" s="381"/>
      <c r="J1254" s="317"/>
      <c r="K1254" s="433"/>
      <c r="L1254" s="433"/>
      <c r="M1254" s="433"/>
      <c r="N1254" s="433"/>
      <c r="O1254" s="433"/>
      <c r="P1254" s="433"/>
      <c r="Q1254" s="433"/>
      <c r="R1254" s="319"/>
      <c r="S1254" s="398"/>
      <c r="T1254" s="320">
        <v>42</v>
      </c>
      <c r="U1254" s="335"/>
      <c r="V1254" s="435">
        <f t="shared" ca="1" si="419"/>
        <v>12096.948999999993</v>
      </c>
      <c r="W1254" s="256">
        <f t="shared" ca="1" si="432"/>
        <v>2</v>
      </c>
      <c r="X1254" s="256">
        <f ca="1">IF(COUNTA(OFFSET(#REF!,1,0))-COUNTA(#REF!)=-1,0,1)</f>
        <v>1</v>
      </c>
      <c r="Y1254" s="256"/>
      <c r="Z1254" s="256"/>
      <c r="AA1254" s="292"/>
      <c r="AB1254" s="292"/>
      <c r="AC1254" s="292"/>
    </row>
    <row r="1255" spans="1:29" s="293" customFormat="1" ht="25.5" x14ac:dyDescent="0.2">
      <c r="A1255" s="399"/>
      <c r="B1255" s="562"/>
      <c r="C1255" s="312" t="s">
        <v>573</v>
      </c>
      <c r="D1255" s="417">
        <v>2</v>
      </c>
      <c r="E1255" s="314" t="s">
        <v>518</v>
      </c>
      <c r="F1255" s="418">
        <v>0</v>
      </c>
      <c r="G1255" s="417">
        <v>2</v>
      </c>
      <c r="H1255" s="314" t="s">
        <v>518</v>
      </c>
      <c r="I1255" s="418">
        <v>6</v>
      </c>
      <c r="J1255" s="509">
        <v>6</v>
      </c>
      <c r="K1255" s="527">
        <f>ABS((G1255*20+I1255)-(D1255*20+F1255))</f>
        <v>6</v>
      </c>
      <c r="L1255" s="433">
        <f>ROUNDUP((K1255/30)*5,0)*30</f>
        <v>30</v>
      </c>
      <c r="M1255" s="431">
        <f>186+592+186</f>
        <v>964</v>
      </c>
      <c r="N1255" s="433">
        <f>4*30</f>
        <v>120</v>
      </c>
      <c r="O1255" s="431">
        <f>(K1255+(L1255/100))*((M1255+N1255)/100)</f>
        <v>68.292000000000002</v>
      </c>
      <c r="P1255" s="527">
        <v>2</v>
      </c>
      <c r="Q1255" s="527">
        <v>4.4800000000000004</v>
      </c>
      <c r="R1255" s="528">
        <f>O1255*P1255*Q1255</f>
        <v>611.89632000000006</v>
      </c>
      <c r="S1255" s="398" t="str">
        <f>$S$1272</f>
        <v>kg</v>
      </c>
      <c r="T1255" s="320">
        <v>42</v>
      </c>
      <c r="U1255" s="424" t="s">
        <v>519</v>
      </c>
      <c r="V1255" s="435">
        <f t="shared" ca="1" si="419"/>
        <v>12096.948999999993</v>
      </c>
      <c r="W1255" s="256">
        <f t="shared" ca="1" si="432"/>
        <v>2</v>
      </c>
      <c r="X1255" s="256">
        <f ca="1">IF(COUNTA(OFFSET(#REF!,1,0))-COUNTA(#REF!)=-1,0,1)</f>
        <v>1</v>
      </c>
      <c r="Y1255" s="256"/>
      <c r="Z1255" s="256"/>
      <c r="AA1255" s="292"/>
      <c r="AB1255" s="292"/>
      <c r="AC1255" s="292"/>
    </row>
    <row r="1256" spans="1:29" s="293" customFormat="1" ht="25.5" x14ac:dyDescent="0.2">
      <c r="A1256" s="399"/>
      <c r="B1256" s="562"/>
      <c r="C1256" s="312" t="s">
        <v>574</v>
      </c>
      <c r="D1256" s="417">
        <v>2</v>
      </c>
      <c r="E1256" s="314" t="s">
        <v>518</v>
      </c>
      <c r="F1256" s="418">
        <v>0</v>
      </c>
      <c r="G1256" s="417">
        <v>2</v>
      </c>
      <c r="H1256" s="314" t="s">
        <v>518</v>
      </c>
      <c r="I1256" s="418">
        <v>6</v>
      </c>
      <c r="J1256" s="509">
        <v>6</v>
      </c>
      <c r="K1256" s="527">
        <f>ABS((G1256*20+I1256)-(D1256*20+F1256))</f>
        <v>6</v>
      </c>
      <c r="L1256" s="433">
        <f>ROUNDUP((K1256/30)*5,0)*30</f>
        <v>30</v>
      </c>
      <c r="M1256" s="431">
        <f>169+558+169</f>
        <v>896</v>
      </c>
      <c r="N1256" s="433">
        <f>4*30</f>
        <v>120</v>
      </c>
      <c r="O1256" s="431">
        <f>(K1256+(L1256/100))*((M1256+N1256)/100)</f>
        <v>64.007999999999996</v>
      </c>
      <c r="P1256" s="527">
        <v>2</v>
      </c>
      <c r="Q1256" s="527">
        <v>4.4800000000000004</v>
      </c>
      <c r="R1256" s="528">
        <f>O1256*P1256*Q1256</f>
        <v>573.51168000000007</v>
      </c>
      <c r="S1256" s="398" t="str">
        <f>$S$1272</f>
        <v>kg</v>
      </c>
      <c r="T1256" s="320">
        <v>42</v>
      </c>
      <c r="U1256" s="424" t="s">
        <v>519</v>
      </c>
      <c r="V1256" s="435">
        <f t="shared" ca="1" si="419"/>
        <v>12096.948999999993</v>
      </c>
      <c r="W1256" s="256">
        <f t="shared" ref="W1256:W1272" ca="1" si="433">IF(LEFT(_xlfn.FORMULATEXT(V1256),3)="=SO",1,IF(COUNTA(A1256:U1256)=0,0,2))</f>
        <v>2</v>
      </c>
      <c r="X1256" s="256">
        <f ca="1">IF(COUNTA(OFFSET(#REF!,1,0))-COUNTA(#REF!)=-1,0,1)</f>
        <v>1</v>
      </c>
      <c r="Y1256" s="256"/>
      <c r="Z1256" s="256"/>
      <c r="AA1256" s="292"/>
      <c r="AB1256" s="292"/>
      <c r="AC1256" s="292"/>
    </row>
    <row r="1257" spans="1:29" s="293" customFormat="1" ht="15.75" x14ac:dyDescent="0.2">
      <c r="A1257" s="399"/>
      <c r="B1257" s="562"/>
      <c r="C1257" s="495"/>
      <c r="D1257" s="551"/>
      <c r="E1257" s="552"/>
      <c r="F1257" s="553"/>
      <c r="G1257" s="551"/>
      <c r="H1257" s="552"/>
      <c r="I1257" s="553"/>
      <c r="J1257" s="766"/>
      <c r="K1257" s="769"/>
      <c r="L1257" s="500"/>
      <c r="M1257" s="499"/>
      <c r="N1257" s="508"/>
      <c r="O1257" s="499"/>
      <c r="P1257" s="769"/>
      <c r="Q1257" s="930"/>
      <c r="R1257" s="770"/>
      <c r="S1257" s="554"/>
      <c r="T1257" s="506"/>
      <c r="U1257" s="507"/>
      <c r="V1257" s="435">
        <f t="shared" ca="1" si="419"/>
        <v>12096.948999999993</v>
      </c>
      <c r="W1257" s="256">
        <f t="shared" ca="1" si="433"/>
        <v>0</v>
      </c>
      <c r="X1257" s="256">
        <f ca="1">IF(COUNTA(OFFSET(#REF!,1,0))-COUNTA(#REF!)=-1,0,1)</f>
        <v>1</v>
      </c>
      <c r="Y1257" s="256"/>
      <c r="Z1257" s="256"/>
      <c r="AA1257" s="292"/>
      <c r="AB1257" s="292"/>
      <c r="AC1257" s="292"/>
    </row>
    <row r="1258" spans="1:29" s="293" customFormat="1" ht="15.75" x14ac:dyDescent="0.2">
      <c r="A1258" s="399"/>
      <c r="B1258" s="562"/>
      <c r="C1258" s="434" t="s">
        <v>532</v>
      </c>
      <c r="D1258" s="313"/>
      <c r="E1258" s="314"/>
      <c r="F1258" s="315"/>
      <c r="G1258" s="313"/>
      <c r="H1258" s="314"/>
      <c r="I1258" s="315"/>
      <c r="J1258" s="317"/>
      <c r="K1258" s="529"/>
      <c r="L1258" s="433"/>
      <c r="M1258" s="431"/>
      <c r="N1258" s="433"/>
      <c r="O1258" s="433"/>
      <c r="P1258" s="529"/>
      <c r="Q1258" s="529"/>
      <c r="R1258" s="528"/>
      <c r="S1258" s="398"/>
      <c r="T1258" s="320">
        <v>43</v>
      </c>
      <c r="U1258" s="317"/>
      <c r="V1258" s="435">
        <f t="shared" ca="1" si="419"/>
        <v>12096.948999999993</v>
      </c>
      <c r="W1258" s="256">
        <f t="shared" ca="1" si="433"/>
        <v>2</v>
      </c>
      <c r="X1258" s="256">
        <f ca="1">IF(COUNTA(OFFSET(#REF!,1,0))-COUNTA(#REF!)=-1,0,1)</f>
        <v>1</v>
      </c>
      <c r="Y1258" s="256"/>
      <c r="Z1258" s="256"/>
      <c r="AA1258" s="292"/>
      <c r="AB1258" s="292"/>
      <c r="AC1258" s="292"/>
    </row>
    <row r="1259" spans="1:29" s="293" customFormat="1" ht="25.5" x14ac:dyDescent="0.2">
      <c r="A1259" s="399"/>
      <c r="B1259" s="562"/>
      <c r="C1259" s="495" t="s">
        <v>573</v>
      </c>
      <c r="D1259" s="419">
        <v>42</v>
      </c>
      <c r="E1259" s="316" t="s">
        <v>518</v>
      </c>
      <c r="F1259" s="420">
        <v>3</v>
      </c>
      <c r="G1259" s="419">
        <v>45</v>
      </c>
      <c r="H1259" s="316" t="s">
        <v>518</v>
      </c>
      <c r="I1259" s="420">
        <v>6</v>
      </c>
      <c r="J1259" s="766">
        <v>6</v>
      </c>
      <c r="K1259" s="769">
        <f>ABS((G1259*20+I1259)-(D1259*20+F1259))</f>
        <v>63</v>
      </c>
      <c r="L1259" s="508">
        <f>ROUNDUP((K1259/30)*5,0)*30</f>
        <v>330</v>
      </c>
      <c r="M1259" s="499">
        <v>1192</v>
      </c>
      <c r="N1259" s="508">
        <f>5*30</f>
        <v>150</v>
      </c>
      <c r="O1259" s="499">
        <f>(K1259+(L1259/100))*((M1259+N1259)/100)</f>
        <v>889.74599999999998</v>
      </c>
      <c r="P1259" s="769">
        <v>2</v>
      </c>
      <c r="Q1259" s="769">
        <v>4.4800000000000004</v>
      </c>
      <c r="R1259" s="770">
        <f>O1259*P1259*Q1259</f>
        <v>7972.1241600000003</v>
      </c>
      <c r="S1259" s="398" t="str">
        <f>$S$1272</f>
        <v>kg</v>
      </c>
      <c r="T1259" s="506">
        <v>43</v>
      </c>
      <c r="U1259" s="507" t="s">
        <v>519</v>
      </c>
      <c r="V1259" s="435">
        <f t="shared" ca="1" si="419"/>
        <v>12096.948999999993</v>
      </c>
      <c r="W1259" s="256">
        <f t="shared" ref="W1259:W1271" ca="1" si="434">IF(LEFT(_xlfn.FORMULATEXT(V1259),3)="=SO",1,IF(COUNTA(A1259:U1259)=0,0,2))</f>
        <v>2</v>
      </c>
      <c r="X1259" s="256">
        <f ca="1">IF(COUNTA(OFFSET(#REF!,1,0))-COUNTA(#REF!)=-1,0,1)</f>
        <v>1</v>
      </c>
      <c r="Y1259" s="256"/>
      <c r="Z1259" s="256"/>
      <c r="AA1259" s="292"/>
      <c r="AB1259" s="292"/>
      <c r="AC1259" s="292"/>
    </row>
    <row r="1260" spans="1:29" s="293" customFormat="1" ht="15.75" x14ac:dyDescent="0.2">
      <c r="A1260" s="399"/>
      <c r="B1260" s="562"/>
      <c r="C1260" s="865"/>
      <c r="D1260" s="1134"/>
      <c r="E1260" s="1076"/>
      <c r="F1260" s="1077"/>
      <c r="G1260" s="1134"/>
      <c r="H1260" s="1076"/>
      <c r="I1260" s="1077"/>
      <c r="J1260" s="1078"/>
      <c r="K1260" s="1079"/>
      <c r="L1260" s="1041"/>
      <c r="M1260" s="1080"/>
      <c r="N1260" s="1041"/>
      <c r="O1260" s="1080"/>
      <c r="P1260" s="1079"/>
      <c r="Q1260" s="1079"/>
      <c r="R1260" s="1081"/>
      <c r="S1260" s="791"/>
      <c r="T1260" s="792"/>
      <c r="U1260" s="1082"/>
      <c r="V1260" s="435">
        <f t="shared" ca="1" si="419"/>
        <v>12096.948999999993</v>
      </c>
      <c r="W1260" s="256">
        <f t="shared" ca="1" si="434"/>
        <v>0</v>
      </c>
      <c r="X1260" s="256">
        <f ca="1">IF(COUNTA(OFFSET(#REF!,1,0))-COUNTA(#REF!)=-1,0,1)</f>
        <v>1</v>
      </c>
      <c r="Y1260" s="256"/>
      <c r="Z1260" s="256"/>
      <c r="AA1260" s="292"/>
      <c r="AB1260" s="292"/>
      <c r="AC1260" s="292"/>
    </row>
    <row r="1261" spans="1:29" s="293" customFormat="1" ht="15.75" x14ac:dyDescent="0.2">
      <c r="A1261" s="399"/>
      <c r="B1261" s="562"/>
      <c r="C1261" s="434" t="s">
        <v>516</v>
      </c>
      <c r="D1261" s="313"/>
      <c r="E1261" s="314"/>
      <c r="F1261" s="315"/>
      <c r="G1261" s="380"/>
      <c r="H1261" s="316"/>
      <c r="I1261" s="381"/>
      <c r="J1261" s="317"/>
      <c r="K1261" s="433"/>
      <c r="L1261" s="433"/>
      <c r="M1261" s="433"/>
      <c r="N1261" s="433"/>
      <c r="O1261" s="433"/>
      <c r="P1261" s="433"/>
      <c r="Q1261" s="433"/>
      <c r="R1261" s="319"/>
      <c r="S1261" s="398"/>
      <c r="T1261" s="320">
        <v>43</v>
      </c>
      <c r="U1261" s="335"/>
      <c r="V1261" s="435">
        <f t="shared" ca="1" si="419"/>
        <v>12096.948999999993</v>
      </c>
      <c r="W1261" s="256">
        <f t="shared" ca="1" si="434"/>
        <v>2</v>
      </c>
      <c r="X1261" s="256">
        <f ca="1">IF(COUNTA(OFFSET(#REF!,1,0))-COUNTA(#REF!)=-1,0,1)</f>
        <v>1</v>
      </c>
      <c r="Y1261" s="256"/>
      <c r="Z1261" s="256"/>
      <c r="AA1261" s="292"/>
      <c r="AB1261" s="292"/>
      <c r="AC1261" s="292"/>
    </row>
    <row r="1262" spans="1:29" s="293" customFormat="1" ht="25.5" x14ac:dyDescent="0.2">
      <c r="A1262" s="399"/>
      <c r="B1262" s="562"/>
      <c r="C1262" s="312" t="s">
        <v>573</v>
      </c>
      <c r="D1262" s="417">
        <v>1</v>
      </c>
      <c r="E1262" s="314" t="s">
        <v>518</v>
      </c>
      <c r="F1262" s="418">
        <v>8</v>
      </c>
      <c r="G1262" s="417">
        <v>2</v>
      </c>
      <c r="H1262" s="314" t="s">
        <v>518</v>
      </c>
      <c r="I1262" s="418">
        <v>0</v>
      </c>
      <c r="J1262" s="509">
        <v>6</v>
      </c>
      <c r="K1262" s="527">
        <f>ABS((G1262*20+I1262)-(D1262*20+F1262))</f>
        <v>12</v>
      </c>
      <c r="L1262" s="433">
        <f>ROUNDUP((K1262/30)*5,0)*30</f>
        <v>60</v>
      </c>
      <c r="M1262" s="431">
        <f>186+592+186</f>
        <v>964</v>
      </c>
      <c r="N1262" s="433">
        <f>4*30</f>
        <v>120</v>
      </c>
      <c r="O1262" s="431">
        <f>(K1262+(L1262/100))*((M1262+N1262)/100)</f>
        <v>136.584</v>
      </c>
      <c r="P1262" s="527">
        <v>2</v>
      </c>
      <c r="Q1262" s="527">
        <v>4.4800000000000004</v>
      </c>
      <c r="R1262" s="528">
        <f>O1262*P1262*Q1262</f>
        <v>1223.7926400000001</v>
      </c>
      <c r="S1262" s="398" t="str">
        <f>$S$1272</f>
        <v>kg</v>
      </c>
      <c r="T1262" s="320">
        <v>43</v>
      </c>
      <c r="U1262" s="424" t="s">
        <v>519</v>
      </c>
      <c r="V1262" s="435">
        <f t="shared" ca="1" si="419"/>
        <v>12096.948999999993</v>
      </c>
      <c r="W1262" s="256">
        <f t="shared" ca="1" si="434"/>
        <v>2</v>
      </c>
      <c r="X1262" s="256">
        <f ca="1">IF(COUNTA(OFFSET(#REF!,1,0))-COUNTA(#REF!)=-1,0,1)</f>
        <v>1</v>
      </c>
      <c r="Y1262" s="256"/>
      <c r="Z1262" s="256"/>
      <c r="AA1262" s="292"/>
      <c r="AB1262" s="292"/>
      <c r="AC1262" s="292"/>
    </row>
    <row r="1263" spans="1:29" s="293" customFormat="1" ht="25.5" x14ac:dyDescent="0.2">
      <c r="A1263" s="399"/>
      <c r="B1263" s="562"/>
      <c r="C1263" s="312" t="s">
        <v>574</v>
      </c>
      <c r="D1263" s="417">
        <v>1</v>
      </c>
      <c r="E1263" s="314" t="s">
        <v>518</v>
      </c>
      <c r="F1263" s="418">
        <v>8</v>
      </c>
      <c r="G1263" s="417">
        <v>2</v>
      </c>
      <c r="H1263" s="314" t="s">
        <v>518</v>
      </c>
      <c r="I1263" s="418">
        <v>0</v>
      </c>
      <c r="J1263" s="509">
        <v>6</v>
      </c>
      <c r="K1263" s="527">
        <f>ABS((G1263*20+I1263)-(D1263*20+F1263))</f>
        <v>12</v>
      </c>
      <c r="L1263" s="433">
        <f>ROUNDUP((K1263/30)*5,0)*30</f>
        <v>60</v>
      </c>
      <c r="M1263" s="431">
        <f>169+558+169</f>
        <v>896</v>
      </c>
      <c r="N1263" s="433">
        <f>4*30</f>
        <v>120</v>
      </c>
      <c r="O1263" s="431">
        <f>(K1263+(L1263/100))*((M1263+N1263)/100)</f>
        <v>128.01599999999999</v>
      </c>
      <c r="P1263" s="527">
        <v>2</v>
      </c>
      <c r="Q1263" s="527">
        <v>4.4800000000000004</v>
      </c>
      <c r="R1263" s="528">
        <f>O1263*P1263*Q1263</f>
        <v>1147.0233600000001</v>
      </c>
      <c r="S1263" s="398" t="str">
        <f>$S$1272</f>
        <v>kg</v>
      </c>
      <c r="T1263" s="320">
        <v>43</v>
      </c>
      <c r="U1263" s="424" t="s">
        <v>519</v>
      </c>
      <c r="V1263" s="435">
        <f t="shared" ca="1" si="419"/>
        <v>12096.948999999993</v>
      </c>
      <c r="W1263" s="256">
        <f t="shared" ca="1" si="434"/>
        <v>2</v>
      </c>
      <c r="X1263" s="256">
        <f ca="1">IF(COUNTA(OFFSET(#REF!,1,0))-COUNTA(#REF!)=-1,0,1)</f>
        <v>1</v>
      </c>
      <c r="Y1263" s="256"/>
      <c r="Z1263" s="256"/>
      <c r="AA1263" s="292"/>
      <c r="AB1263" s="292"/>
      <c r="AC1263" s="292"/>
    </row>
    <row r="1264" spans="1:29" s="293" customFormat="1" ht="15.75" x14ac:dyDescent="0.2">
      <c r="A1264" s="399"/>
      <c r="B1264" s="562"/>
      <c r="C1264" s="495"/>
      <c r="D1264" s="551"/>
      <c r="E1264" s="552"/>
      <c r="F1264" s="553"/>
      <c r="G1264" s="551"/>
      <c r="H1264" s="552"/>
      <c r="I1264" s="553"/>
      <c r="J1264" s="766"/>
      <c r="K1264" s="769"/>
      <c r="L1264" s="500"/>
      <c r="M1264" s="499"/>
      <c r="N1264" s="508"/>
      <c r="O1264" s="499"/>
      <c r="P1264" s="769"/>
      <c r="Q1264" s="930"/>
      <c r="R1264" s="770"/>
      <c r="S1264" s="554"/>
      <c r="T1264" s="506"/>
      <c r="U1264" s="507"/>
      <c r="V1264" s="435">
        <f t="shared" ca="1" si="419"/>
        <v>12096.948999999993</v>
      </c>
      <c r="W1264" s="256">
        <f t="shared" ca="1" si="434"/>
        <v>0</v>
      </c>
      <c r="X1264" s="256">
        <f ca="1">IF(COUNTA(OFFSET(#REF!,1,0))-COUNTA(#REF!)=-1,0,1)</f>
        <v>1</v>
      </c>
      <c r="Y1264" s="256"/>
      <c r="Z1264" s="256"/>
      <c r="AA1264" s="292"/>
      <c r="AB1264" s="292"/>
      <c r="AC1264" s="292"/>
    </row>
    <row r="1265" spans="1:29" s="293" customFormat="1" ht="15.75" x14ac:dyDescent="0.2">
      <c r="A1265" s="399"/>
      <c r="B1265" s="562"/>
      <c r="C1265" s="434" t="s">
        <v>532</v>
      </c>
      <c r="D1265" s="313"/>
      <c r="E1265" s="314"/>
      <c r="F1265" s="315"/>
      <c r="G1265" s="313"/>
      <c r="H1265" s="314"/>
      <c r="I1265" s="315"/>
      <c r="J1265" s="317"/>
      <c r="K1265" s="529"/>
      <c r="L1265" s="433"/>
      <c r="M1265" s="431"/>
      <c r="N1265" s="433"/>
      <c r="O1265" s="433"/>
      <c r="P1265" s="529"/>
      <c r="Q1265" s="529"/>
      <c r="R1265" s="528"/>
      <c r="S1265" s="398"/>
      <c r="T1265" s="320">
        <v>44</v>
      </c>
      <c r="U1265" s="317"/>
      <c r="V1265" s="435">
        <f t="shared" ca="1" si="419"/>
        <v>12096.948999999993</v>
      </c>
      <c r="W1265" s="256">
        <f t="shared" ca="1" si="434"/>
        <v>2</v>
      </c>
      <c r="X1265" s="256">
        <f ca="1">IF(COUNTA(OFFSET(#REF!,1,0))-COUNTA(#REF!)=-1,0,1)</f>
        <v>1</v>
      </c>
      <c r="Y1265" s="256"/>
      <c r="Z1265" s="256"/>
      <c r="AA1265" s="292"/>
      <c r="AB1265" s="292"/>
      <c r="AC1265" s="292"/>
    </row>
    <row r="1266" spans="1:29" s="293" customFormat="1" ht="25.5" x14ac:dyDescent="0.2">
      <c r="A1266" s="399"/>
      <c r="B1266" s="562"/>
      <c r="C1266" s="495" t="s">
        <v>573</v>
      </c>
      <c r="D1266" s="419">
        <v>39</v>
      </c>
      <c r="E1266" s="316" t="s">
        <v>518</v>
      </c>
      <c r="F1266" s="420">
        <v>2</v>
      </c>
      <c r="G1266" s="419">
        <v>42</v>
      </c>
      <c r="H1266" s="316" t="s">
        <v>518</v>
      </c>
      <c r="I1266" s="420">
        <v>3</v>
      </c>
      <c r="J1266" s="766">
        <v>6</v>
      </c>
      <c r="K1266" s="769">
        <f>ABS((G1266*20+I1266)-(D1266*20+F1266))</f>
        <v>61</v>
      </c>
      <c r="L1266" s="508">
        <f>ROUNDUP((K1266/30)*5,0)*30</f>
        <v>330</v>
      </c>
      <c r="M1266" s="499">
        <v>1192</v>
      </c>
      <c r="N1266" s="508">
        <f>5*30</f>
        <v>150</v>
      </c>
      <c r="O1266" s="499">
        <f>(K1266+(L1266/100))*((M1266+N1266)/100)</f>
        <v>862.90599999999995</v>
      </c>
      <c r="P1266" s="769">
        <v>2</v>
      </c>
      <c r="Q1266" s="769">
        <v>4.4800000000000004</v>
      </c>
      <c r="R1266" s="770">
        <f>O1266*P1266*Q1266</f>
        <v>7731.6377600000005</v>
      </c>
      <c r="S1266" s="398" t="str">
        <f>$S$1272</f>
        <v>kg</v>
      </c>
      <c r="T1266" s="506">
        <v>44</v>
      </c>
      <c r="U1266" s="507" t="s">
        <v>519</v>
      </c>
      <c r="V1266" s="435">
        <f t="shared" ca="1" si="419"/>
        <v>12096.948999999993</v>
      </c>
      <c r="W1266" s="256">
        <f t="shared" ca="1" si="434"/>
        <v>2</v>
      </c>
      <c r="X1266" s="256">
        <f ca="1">IF(COUNTA(OFFSET(#REF!,1,0))-COUNTA(#REF!)=-1,0,1)</f>
        <v>1</v>
      </c>
      <c r="Y1266" s="256"/>
      <c r="Z1266" s="256"/>
      <c r="AA1266" s="292"/>
      <c r="AB1266" s="292"/>
      <c r="AC1266" s="292"/>
    </row>
    <row r="1267" spans="1:29" s="293" customFormat="1" ht="15.75" x14ac:dyDescent="0.2">
      <c r="A1267" s="399"/>
      <c r="B1267" s="562"/>
      <c r="C1267" s="1196"/>
      <c r="D1267" s="1134"/>
      <c r="E1267" s="1076"/>
      <c r="F1267" s="1077"/>
      <c r="G1267" s="1134"/>
      <c r="H1267" s="1076"/>
      <c r="I1267" s="1077"/>
      <c r="J1267" s="1197"/>
      <c r="K1267" s="1198"/>
      <c r="L1267" s="1195"/>
      <c r="M1267" s="1199"/>
      <c r="N1267" s="1195"/>
      <c r="O1267" s="1199"/>
      <c r="P1267" s="1198"/>
      <c r="Q1267" s="1198"/>
      <c r="R1267" s="1200"/>
      <c r="S1267" s="1201"/>
      <c r="T1267" s="1202"/>
      <c r="U1267" s="1203"/>
      <c r="V1267" s="435">
        <f t="shared" ca="1" si="419"/>
        <v>12096.948999999993</v>
      </c>
      <c r="W1267" s="256">
        <f t="shared" ca="1" si="434"/>
        <v>0</v>
      </c>
      <c r="X1267" s="256">
        <f ca="1">IF(COUNTA(OFFSET(#REF!,1,0))-COUNTA(#REF!)=-1,0,1)</f>
        <v>1</v>
      </c>
      <c r="Y1267" s="256"/>
      <c r="Z1267" s="256"/>
      <c r="AA1267" s="292"/>
      <c r="AB1267" s="292"/>
      <c r="AC1267" s="292"/>
    </row>
    <row r="1268" spans="1:29" s="293" customFormat="1" ht="15.75" x14ac:dyDescent="0.2">
      <c r="A1268" s="399"/>
      <c r="B1268" s="562"/>
      <c r="C1268" s="434" t="s">
        <v>516</v>
      </c>
      <c r="D1268" s="313"/>
      <c r="E1268" s="314"/>
      <c r="F1268" s="315"/>
      <c r="G1268" s="380"/>
      <c r="H1268" s="316"/>
      <c r="I1268" s="381"/>
      <c r="J1268" s="317"/>
      <c r="K1268" s="433"/>
      <c r="L1268" s="433"/>
      <c r="M1268" s="433"/>
      <c r="N1268" s="433"/>
      <c r="O1268" s="433"/>
      <c r="P1268" s="433"/>
      <c r="Q1268" s="433"/>
      <c r="R1268" s="319"/>
      <c r="S1268" s="398"/>
      <c r="T1268" s="320">
        <v>44</v>
      </c>
      <c r="U1268" s="335"/>
      <c r="V1268" s="435">
        <f t="shared" ca="1" si="419"/>
        <v>12096.948999999993</v>
      </c>
      <c r="W1268" s="256">
        <f t="shared" ca="1" si="434"/>
        <v>2</v>
      </c>
      <c r="X1268" s="256">
        <f ca="1">IF(COUNTA(OFFSET(#REF!,1,0))-COUNTA(#REF!)=-1,0,1)</f>
        <v>1</v>
      </c>
      <c r="Y1268" s="256"/>
      <c r="Z1268" s="256"/>
      <c r="AA1268" s="292"/>
      <c r="AB1268" s="292"/>
      <c r="AC1268" s="292"/>
    </row>
    <row r="1269" spans="1:29" s="293" customFormat="1" ht="25.5" x14ac:dyDescent="0.2">
      <c r="A1269" s="399"/>
      <c r="B1269" s="562"/>
      <c r="C1269" s="312" t="s">
        <v>573</v>
      </c>
      <c r="D1269" s="417">
        <v>0</v>
      </c>
      <c r="E1269" s="314" t="s">
        <v>518</v>
      </c>
      <c r="F1269" s="418">
        <v>6</v>
      </c>
      <c r="G1269" s="417">
        <v>1</v>
      </c>
      <c r="H1269" s="314" t="s">
        <v>518</v>
      </c>
      <c r="I1269" s="418">
        <v>8</v>
      </c>
      <c r="J1269" s="509">
        <v>6</v>
      </c>
      <c r="K1269" s="527">
        <f>ABS((G1269*20+I1269)-(D1269*20+F1269))</f>
        <v>22</v>
      </c>
      <c r="L1269" s="433">
        <f>ROUNDUP((K1269/30)*5,0)*30</f>
        <v>120</v>
      </c>
      <c r="M1269" s="431">
        <f>186+592+186</f>
        <v>964</v>
      </c>
      <c r="N1269" s="433">
        <f>4*30</f>
        <v>120</v>
      </c>
      <c r="O1269" s="431">
        <f>(K1269+(L1269/100))*((M1269+N1269)/100)</f>
        <v>251.488</v>
      </c>
      <c r="P1269" s="527">
        <v>2</v>
      </c>
      <c r="Q1269" s="527">
        <v>4.4800000000000004</v>
      </c>
      <c r="R1269" s="528">
        <f>O1269*P1269*Q1269</f>
        <v>2253.33248</v>
      </c>
      <c r="S1269" s="398" t="str">
        <f>$S$1272</f>
        <v>kg</v>
      </c>
      <c r="T1269" s="320">
        <v>44</v>
      </c>
      <c r="U1269" s="424" t="s">
        <v>519</v>
      </c>
      <c r="V1269" s="435">
        <f t="shared" ca="1" si="419"/>
        <v>12096.948999999993</v>
      </c>
      <c r="W1269" s="256">
        <f t="shared" ca="1" si="434"/>
        <v>2</v>
      </c>
      <c r="X1269" s="256">
        <f ca="1">IF(COUNTA(OFFSET(#REF!,1,0))-COUNTA(#REF!)=-1,0,1)</f>
        <v>1</v>
      </c>
      <c r="Y1269" s="256"/>
      <c r="Z1269" s="256"/>
      <c r="AA1269" s="292"/>
      <c r="AB1269" s="292"/>
      <c r="AC1269" s="292"/>
    </row>
    <row r="1270" spans="1:29" s="293" customFormat="1" ht="25.5" x14ac:dyDescent="0.2">
      <c r="A1270" s="399"/>
      <c r="B1270" s="562"/>
      <c r="C1270" s="312" t="s">
        <v>574</v>
      </c>
      <c r="D1270" s="417">
        <v>0</v>
      </c>
      <c r="E1270" s="314" t="s">
        <v>518</v>
      </c>
      <c r="F1270" s="418">
        <v>6</v>
      </c>
      <c r="G1270" s="417">
        <v>1</v>
      </c>
      <c r="H1270" s="314" t="s">
        <v>518</v>
      </c>
      <c r="I1270" s="418">
        <v>8</v>
      </c>
      <c r="J1270" s="509">
        <v>6</v>
      </c>
      <c r="K1270" s="527">
        <f>ABS((G1270*20+I1270)-(D1270*20+F1270))</f>
        <v>22</v>
      </c>
      <c r="L1270" s="433">
        <f>ROUNDUP((K1270/30)*5,0)*30</f>
        <v>120</v>
      </c>
      <c r="M1270" s="431">
        <f>169+558+169</f>
        <v>896</v>
      </c>
      <c r="N1270" s="433">
        <f>4*30</f>
        <v>120</v>
      </c>
      <c r="O1270" s="431">
        <f>(K1270+(L1270/100))*((M1270+N1270)/100)</f>
        <v>235.71199999999999</v>
      </c>
      <c r="P1270" s="527">
        <v>2</v>
      </c>
      <c r="Q1270" s="527">
        <v>4.4800000000000004</v>
      </c>
      <c r="R1270" s="528">
        <f>O1270*P1270*Q1270</f>
        <v>2111.9795200000003</v>
      </c>
      <c r="S1270" s="398" t="str">
        <f>$S$1272</f>
        <v>kg</v>
      </c>
      <c r="T1270" s="320">
        <v>44</v>
      </c>
      <c r="U1270" s="424" t="s">
        <v>519</v>
      </c>
      <c r="V1270" s="435">
        <f t="shared" ca="1" si="419"/>
        <v>12096.948999999993</v>
      </c>
      <c r="W1270" s="256">
        <f t="shared" ca="1" si="434"/>
        <v>2</v>
      </c>
      <c r="X1270" s="256">
        <f ca="1">IF(COUNTA(OFFSET(#REF!,1,0))-COUNTA(#REF!)=-1,0,1)</f>
        <v>1</v>
      </c>
      <c r="Y1270" s="256"/>
      <c r="Z1270" s="256"/>
      <c r="AA1270" s="292"/>
      <c r="AB1270" s="292"/>
      <c r="AC1270" s="292"/>
    </row>
    <row r="1271" spans="1:29" s="293" customFormat="1" ht="15.75" x14ac:dyDescent="0.2">
      <c r="A1271" s="399"/>
      <c r="B1271" s="562"/>
      <c r="C1271" s="495"/>
      <c r="D1271" s="551"/>
      <c r="E1271" s="552"/>
      <c r="F1271" s="553"/>
      <c r="G1271" s="551"/>
      <c r="H1271" s="552"/>
      <c r="I1271" s="553"/>
      <c r="J1271" s="766"/>
      <c r="K1271" s="769"/>
      <c r="L1271" s="500"/>
      <c r="M1271" s="499"/>
      <c r="N1271" s="508"/>
      <c r="O1271" s="499"/>
      <c r="P1271" s="769"/>
      <c r="Q1271" s="930"/>
      <c r="R1271" s="770"/>
      <c r="S1271" s="554"/>
      <c r="T1271" s="506"/>
      <c r="U1271" s="507"/>
      <c r="V1271" s="435">
        <f t="shared" ca="1" si="419"/>
        <v>12096.948999999993</v>
      </c>
      <c r="W1271" s="256">
        <f t="shared" ca="1" si="434"/>
        <v>0</v>
      </c>
      <c r="X1271" s="256">
        <f ca="1">IF(COUNTA(OFFSET(#REF!,1,0))-COUNTA(#REF!)=-1,0,1)</f>
        <v>1</v>
      </c>
      <c r="Y1271" s="256"/>
      <c r="Z1271" s="256"/>
      <c r="AA1271" s="292"/>
      <c r="AB1271" s="292"/>
      <c r="AC1271" s="292"/>
    </row>
    <row r="1272" spans="1:29" s="111" customFormat="1" ht="15.75" customHeight="1" x14ac:dyDescent="0.2">
      <c r="A1272" s="288"/>
      <c r="B1272" s="485"/>
      <c r="C1272" s="486"/>
      <c r="D1272" s="1397" t="s">
        <v>492</v>
      </c>
      <c r="E1272" s="1398"/>
      <c r="F1272" s="1398"/>
      <c r="G1272" s="1398"/>
      <c r="H1272" s="1398"/>
      <c r="I1272" s="1399"/>
      <c r="J1272" s="1400">
        <f>VLOOKUP(A1274,'11 - FINANCEIRO'!_xlnm.Print_Area,6,FALSE)</f>
        <v>255978.23999999999</v>
      </c>
      <c r="K1272" s="1401"/>
      <c r="L1272" s="487" t="str">
        <f>VLOOKUP(A1274,'11 - FINANCEIRO'!_xlnm.Print_Area,4,FALSE)</f>
        <v>kg</v>
      </c>
      <c r="M1272" s="1371" t="s">
        <v>493</v>
      </c>
      <c r="N1272" s="1372"/>
      <c r="O1272" s="1372"/>
      <c r="P1272" s="1372"/>
      <c r="Q1272" s="1373"/>
      <c r="R1272" s="362">
        <f>TRUNC(SUM(R1180:R1271),3)</f>
        <v>236038.69099999999</v>
      </c>
      <c r="S1272" s="488" t="str">
        <f>L1272</f>
        <v>kg</v>
      </c>
      <c r="T1272" s="489"/>
      <c r="U1272" s="490"/>
      <c r="V1272" s="435">
        <f t="shared" ca="1" si="419"/>
        <v>12096.948999999993</v>
      </c>
      <c r="W1272" s="256">
        <f t="shared" ca="1" si="433"/>
        <v>2</v>
      </c>
      <c r="X1272" s="256">
        <f ca="1">IF(COUNTA(OFFSET(#REF!,1,0))-COUNTA(#REF!)=-1,0,1)</f>
        <v>1</v>
      </c>
      <c r="Y1272" s="250"/>
      <c r="Z1272" s="250"/>
    </row>
    <row r="1273" spans="1:29" s="293" customFormat="1" ht="15.75" customHeight="1" x14ac:dyDescent="0.2">
      <c r="A1273" s="288"/>
      <c r="B1273" s="354"/>
      <c r="C1273" s="361"/>
      <c r="D1273" s="1362" t="s">
        <v>494</v>
      </c>
      <c r="E1273" s="1363"/>
      <c r="F1273" s="1363"/>
      <c r="G1273" s="1363"/>
      <c r="H1273" s="1363"/>
      <c r="I1273" s="1364"/>
      <c r="J1273" s="1365">
        <f>R1272/J1272</f>
        <v>0.92210451560257622</v>
      </c>
      <c r="K1273" s="1366"/>
      <c r="L1273" s="1369"/>
      <c r="M1273" s="1371" t="s">
        <v>495</v>
      </c>
      <c r="N1273" s="1372"/>
      <c r="O1273" s="1372"/>
      <c r="P1273" s="1372"/>
      <c r="Q1273" s="1373"/>
      <c r="R1273" s="362">
        <f>VLOOKUP(A1274,'11 - FINANCEIRO'!_xlnm.Print_Area,8,FALSE)</f>
        <v>223941.742</v>
      </c>
      <c r="S1273" s="363" t="str">
        <f>L1272</f>
        <v>kg</v>
      </c>
      <c r="T1273" s="993"/>
      <c r="U1273" s="360"/>
      <c r="V1273" s="291">
        <f t="shared" ca="1" si="419"/>
        <v>12096.948999999993</v>
      </c>
      <c r="W1273" s="256">
        <f t="shared" ca="1" si="418"/>
        <v>2</v>
      </c>
      <c r="X1273" s="256">
        <f t="shared" ca="1" si="309"/>
        <v>1</v>
      </c>
      <c r="Y1273" s="256"/>
      <c r="Z1273" s="256"/>
      <c r="AA1273" s="292"/>
      <c r="AB1273" s="292"/>
      <c r="AC1273" s="292"/>
    </row>
    <row r="1274" spans="1:29" s="293" customFormat="1" ht="15.75" customHeight="1" x14ac:dyDescent="0.2">
      <c r="A1274" s="288" t="s">
        <v>31</v>
      </c>
      <c r="B1274" s="364"/>
      <c r="C1274" s="365"/>
      <c r="D1274" s="1354"/>
      <c r="E1274" s="1355"/>
      <c r="F1274" s="1355"/>
      <c r="G1274" s="1355"/>
      <c r="H1274" s="1355"/>
      <c r="I1274" s="1356"/>
      <c r="J1274" s="1367"/>
      <c r="K1274" s="1368"/>
      <c r="L1274" s="1370"/>
      <c r="M1274" s="1371" t="s">
        <v>496</v>
      </c>
      <c r="N1274" s="1372"/>
      <c r="O1274" s="1372"/>
      <c r="P1274" s="1372"/>
      <c r="Q1274" s="1373"/>
      <c r="R1274" s="362">
        <f>R1272-R1273</f>
        <v>12096.948999999993</v>
      </c>
      <c r="S1274" s="363" t="str">
        <f>L1272</f>
        <v>kg</v>
      </c>
      <c r="T1274" s="366"/>
      <c r="U1274" s="367"/>
      <c r="V1274" s="291">
        <f t="shared" ca="1" si="419"/>
        <v>12096.948999999993</v>
      </c>
      <c r="W1274" s="256">
        <f t="shared" ca="1" si="418"/>
        <v>2</v>
      </c>
      <c r="X1274" s="256">
        <f t="shared" ca="1" si="309"/>
        <v>1</v>
      </c>
      <c r="Y1274" s="256"/>
      <c r="Z1274" s="256"/>
      <c r="AA1274" s="292"/>
      <c r="AB1274" s="292"/>
      <c r="AC1274" s="292"/>
    </row>
    <row r="1275" spans="1:29" s="111" customFormat="1" ht="15.75" x14ac:dyDescent="0.2">
      <c r="A1275" s="288"/>
      <c r="B1275" s="368"/>
      <c r="C1275" s="365"/>
      <c r="D1275" s="369"/>
      <c r="E1275" s="370"/>
      <c r="F1275" s="369"/>
      <c r="G1275" s="369"/>
      <c r="H1275" s="369"/>
      <c r="I1275" s="369"/>
      <c r="J1275" s="371"/>
      <c r="K1275" s="372"/>
      <c r="L1275" s="373"/>
      <c r="M1275" s="374"/>
      <c r="N1275" s="374"/>
      <c r="O1275" s="374"/>
      <c r="P1275" s="374"/>
      <c r="Q1275" s="374"/>
      <c r="R1275" s="375"/>
      <c r="S1275" s="376"/>
      <c r="T1275" s="377"/>
      <c r="U1275" s="378"/>
      <c r="V1275" s="379">
        <f ca="1">SUM(V1178:V1274)</f>
        <v>1173404.0530000015</v>
      </c>
      <c r="W1275" s="256">
        <f t="shared" ca="1" si="418"/>
        <v>1</v>
      </c>
      <c r="X1275" s="256">
        <f t="shared" ca="1" si="309"/>
        <v>0</v>
      </c>
      <c r="Y1275" s="250"/>
      <c r="Z1275" s="250"/>
    </row>
    <row r="1276" spans="1:29" s="293" customFormat="1" ht="15.75" customHeight="1" x14ac:dyDescent="0.2">
      <c r="A1276" s="288"/>
      <c r="B1276" s="1374" t="str">
        <f>VLOOKUP(A1346,'11 - FINANCEIRO'!_xlnm.Print_Area,1,FALSE)</f>
        <v>2.1.6</v>
      </c>
      <c r="C1276" s="1376" t="str">
        <f>VLOOKUP(A1346,'11 - FINANCEIRO'!_xlnm.Print_Area,3,FALSE)</f>
        <v>Armação Em Aço Ca-25 - Fornecimento, Preparo E Colocação</v>
      </c>
      <c r="D1276" s="1378" t="s">
        <v>477</v>
      </c>
      <c r="E1276" s="1379"/>
      <c r="F1276" s="1379"/>
      <c r="G1276" s="1379"/>
      <c r="H1276" s="1379"/>
      <c r="I1276" s="1380"/>
      <c r="J1276" s="1338" t="s">
        <v>549</v>
      </c>
      <c r="K1276" s="1338" t="s">
        <v>554</v>
      </c>
      <c r="L1276" s="1338" t="s">
        <v>480</v>
      </c>
      <c r="M1276" s="1338" t="s">
        <v>296</v>
      </c>
      <c r="N1276" s="1338" t="s">
        <v>552</v>
      </c>
      <c r="O1276" s="1338"/>
      <c r="P1276" s="1338"/>
      <c r="Q1276" s="1338"/>
      <c r="R1276" s="1336" t="s">
        <v>296</v>
      </c>
      <c r="S1276" s="1338" t="s">
        <v>486</v>
      </c>
      <c r="T1276" s="1338" t="s">
        <v>487</v>
      </c>
      <c r="U1276" s="1340" t="s">
        <v>488</v>
      </c>
      <c r="V1276" s="291">
        <f t="shared" ref="V1276:V1346" ca="1" si="435">IF(OFFSET(V1276,1,1)=1,OFFSET(V1276,0,-4),OFFSET(V1276,1,0))</f>
        <v>50.552999999999884</v>
      </c>
      <c r="W1276" s="256">
        <f t="shared" ca="1" si="418"/>
        <v>2</v>
      </c>
      <c r="X1276" s="256">
        <f t="shared" ca="1" si="309"/>
        <v>1</v>
      </c>
      <c r="Y1276" s="256"/>
      <c r="Z1276" s="256"/>
      <c r="AA1276" s="292"/>
      <c r="AB1276" s="292"/>
      <c r="AC1276" s="292"/>
    </row>
    <row r="1277" spans="1:29" s="337" customFormat="1" ht="15.75" x14ac:dyDescent="0.2">
      <c r="A1277" s="288"/>
      <c r="B1277" s="1375"/>
      <c r="C1277" s="1377"/>
      <c r="D1277" s="1342" t="s">
        <v>489</v>
      </c>
      <c r="E1277" s="1343"/>
      <c r="F1277" s="1344"/>
      <c r="G1277" s="1345" t="s">
        <v>490</v>
      </c>
      <c r="H1277" s="1346"/>
      <c r="I1277" s="1347"/>
      <c r="J1277" s="1339"/>
      <c r="K1277" s="1339"/>
      <c r="L1277" s="1339"/>
      <c r="M1277" s="1339"/>
      <c r="N1277" s="1339"/>
      <c r="O1277" s="1339"/>
      <c r="P1277" s="1339"/>
      <c r="Q1277" s="1339"/>
      <c r="R1277" s="1337"/>
      <c r="S1277" s="1339"/>
      <c r="T1277" s="1339"/>
      <c r="U1277" s="1341"/>
      <c r="V1277" s="291">
        <f t="shared" ca="1" si="435"/>
        <v>50.552999999999884</v>
      </c>
      <c r="W1277" s="256">
        <f t="shared" ca="1" si="418"/>
        <v>2</v>
      </c>
      <c r="X1277" s="256">
        <f t="shared" ca="1" si="309"/>
        <v>1</v>
      </c>
      <c r="Y1277" s="336"/>
      <c r="Z1277" s="336"/>
    </row>
    <row r="1278" spans="1:29" s="337" customFormat="1" ht="25.5" x14ac:dyDescent="0.2">
      <c r="A1278" s="288"/>
      <c r="B1278" s="296"/>
      <c r="C1278" s="297" t="s">
        <v>575</v>
      </c>
      <c r="D1278" s="412">
        <v>7</v>
      </c>
      <c r="E1278" s="299" t="s">
        <v>518</v>
      </c>
      <c r="F1278" s="413">
        <v>10</v>
      </c>
      <c r="G1278" s="414"/>
      <c r="H1278" s="302"/>
      <c r="I1278" s="415"/>
      <c r="J1278" s="531">
        <v>25</v>
      </c>
      <c r="K1278" s="532">
        <v>2.4660000000000002</v>
      </c>
      <c r="L1278" s="416">
        <v>8</v>
      </c>
      <c r="M1278" s="410">
        <f>ROUNDUP((L1278-0.08)/0.3,0)+1</f>
        <v>28</v>
      </c>
      <c r="N1278" s="416">
        <v>0.5</v>
      </c>
      <c r="O1278" s="416"/>
      <c r="P1278" s="532"/>
      <c r="Q1278" s="533"/>
      <c r="R1278" s="307">
        <f t="shared" ref="R1278:R1294" si="436">M1278*N1278*K1278</f>
        <v>34.524000000000001</v>
      </c>
      <c r="S1278" s="308" t="str">
        <f>$L$1344</f>
        <v>kg</v>
      </c>
      <c r="T1278" s="309">
        <v>3</v>
      </c>
      <c r="U1278" s="534" t="s">
        <v>519</v>
      </c>
      <c r="V1278" s="291">
        <f t="shared" ca="1" si="435"/>
        <v>50.552999999999884</v>
      </c>
      <c r="W1278" s="256">
        <f t="shared" ca="1" si="418"/>
        <v>2</v>
      </c>
      <c r="X1278" s="256">
        <f t="shared" ca="1" si="309"/>
        <v>1</v>
      </c>
      <c r="Y1278" s="336"/>
      <c r="Z1278" s="336"/>
    </row>
    <row r="1279" spans="1:29" s="110" customFormat="1" ht="25.5" x14ac:dyDescent="0.2">
      <c r="A1279" s="403"/>
      <c r="B1279" s="431"/>
      <c r="C1279" s="312" t="s">
        <v>575</v>
      </c>
      <c r="D1279" s="417">
        <v>9</v>
      </c>
      <c r="E1279" s="314" t="s">
        <v>518</v>
      </c>
      <c r="F1279" s="418">
        <v>0</v>
      </c>
      <c r="G1279" s="419"/>
      <c r="H1279" s="316"/>
      <c r="I1279" s="420"/>
      <c r="J1279" s="509">
        <v>25</v>
      </c>
      <c r="K1279" s="535">
        <v>2.4660000000000002</v>
      </c>
      <c r="L1279" s="421">
        <v>8</v>
      </c>
      <c r="M1279" s="417">
        <f t="shared" ref="M1279:M1294" si="437">ROUNDUP((L1279-0.08)/0.3,0)+1</f>
        <v>28</v>
      </c>
      <c r="N1279" s="433">
        <v>0.5</v>
      </c>
      <c r="O1279" s="421"/>
      <c r="P1279" s="535"/>
      <c r="Q1279" s="536"/>
      <c r="R1279" s="319">
        <f t="shared" si="436"/>
        <v>34.524000000000001</v>
      </c>
      <c r="S1279" s="398" t="str">
        <f t="shared" ref="S1279:S1325" si="438">$L$1344</f>
        <v>kg</v>
      </c>
      <c r="T1279" s="320">
        <v>4</v>
      </c>
      <c r="U1279" s="424" t="s">
        <v>519</v>
      </c>
      <c r="V1279" s="291">
        <f t="shared" ca="1" si="435"/>
        <v>50.552999999999884</v>
      </c>
      <c r="W1279" s="256">
        <f t="shared" ca="1" si="418"/>
        <v>2</v>
      </c>
      <c r="X1279" s="256">
        <f ca="1">IF(COUNTA(OFFSET(A1278,1,0))-COUNTA(A1278)=-1,0,1)</f>
        <v>1</v>
      </c>
      <c r="Y1279" s="492"/>
      <c r="Z1279" s="492"/>
    </row>
    <row r="1280" spans="1:29" s="110" customFormat="1" ht="25.5" x14ac:dyDescent="0.2">
      <c r="A1280" s="403"/>
      <c r="B1280" s="322"/>
      <c r="C1280" s="382" t="s">
        <v>575</v>
      </c>
      <c r="D1280" s="417">
        <v>10</v>
      </c>
      <c r="E1280" s="314" t="s">
        <v>518</v>
      </c>
      <c r="F1280" s="418">
        <v>10</v>
      </c>
      <c r="G1280" s="419"/>
      <c r="H1280" s="316"/>
      <c r="I1280" s="420"/>
      <c r="J1280" s="509">
        <v>25</v>
      </c>
      <c r="K1280" s="423">
        <v>2.4660000000000002</v>
      </c>
      <c r="L1280" s="422">
        <v>8</v>
      </c>
      <c r="M1280" s="510">
        <f t="shared" si="437"/>
        <v>28</v>
      </c>
      <c r="N1280" s="422">
        <v>0.5</v>
      </c>
      <c r="O1280" s="537"/>
      <c r="P1280" s="423"/>
      <c r="Q1280" s="538"/>
      <c r="R1280" s="319">
        <f t="shared" si="436"/>
        <v>34.524000000000001</v>
      </c>
      <c r="S1280" s="398" t="str">
        <f t="shared" si="438"/>
        <v>kg</v>
      </c>
      <c r="T1280" s="320">
        <v>4</v>
      </c>
      <c r="U1280" s="424" t="s">
        <v>519</v>
      </c>
      <c r="V1280" s="291">
        <f t="shared" ca="1" si="435"/>
        <v>50.552999999999884</v>
      </c>
      <c r="W1280" s="256">
        <f t="shared" ca="1" si="418"/>
        <v>2</v>
      </c>
      <c r="X1280" s="256">
        <f t="shared" ref="X1280:X1515" ca="1" si="439">IF(COUNTA(OFFSET(A1279,1,0))-COUNTA(A1279)=-1,0,1)</f>
        <v>1</v>
      </c>
      <c r="Y1280" s="492"/>
      <c r="Z1280" s="492"/>
    </row>
    <row r="1281" spans="1:26" s="110" customFormat="1" ht="25.5" x14ac:dyDescent="0.2">
      <c r="A1281" s="403"/>
      <c r="B1281" s="322"/>
      <c r="C1281" s="382" t="s">
        <v>575</v>
      </c>
      <c r="D1281" s="417">
        <v>12</v>
      </c>
      <c r="E1281" s="314" t="s">
        <v>518</v>
      </c>
      <c r="F1281" s="418">
        <v>0</v>
      </c>
      <c r="G1281" s="419"/>
      <c r="H1281" s="316"/>
      <c r="I1281" s="420"/>
      <c r="J1281" s="509">
        <v>25</v>
      </c>
      <c r="K1281" s="423">
        <v>2.4660000000000002</v>
      </c>
      <c r="L1281" s="422">
        <v>8</v>
      </c>
      <c r="M1281" s="510">
        <f t="shared" si="437"/>
        <v>28</v>
      </c>
      <c r="N1281" s="422">
        <v>0.5</v>
      </c>
      <c r="O1281" s="537"/>
      <c r="P1281" s="423"/>
      <c r="Q1281" s="538"/>
      <c r="R1281" s="319">
        <f t="shared" si="436"/>
        <v>34.524000000000001</v>
      </c>
      <c r="S1281" s="398" t="str">
        <f t="shared" si="438"/>
        <v>kg</v>
      </c>
      <c r="T1281" s="320">
        <v>5</v>
      </c>
      <c r="U1281" s="424" t="s">
        <v>519</v>
      </c>
      <c r="V1281" s="291">
        <f t="shared" ca="1" si="435"/>
        <v>50.552999999999884</v>
      </c>
      <c r="W1281" s="256">
        <f t="shared" ca="1" si="418"/>
        <v>2</v>
      </c>
      <c r="X1281" s="256">
        <f t="shared" ca="1" si="439"/>
        <v>1</v>
      </c>
      <c r="Y1281" s="492"/>
      <c r="Z1281" s="492"/>
    </row>
    <row r="1282" spans="1:26" s="110" customFormat="1" ht="25.5" x14ac:dyDescent="0.2">
      <c r="A1282" s="403"/>
      <c r="B1282" s="322"/>
      <c r="C1282" s="382" t="s">
        <v>575</v>
      </c>
      <c r="D1282" s="417">
        <v>13</v>
      </c>
      <c r="E1282" s="314" t="s">
        <v>518</v>
      </c>
      <c r="F1282" s="418">
        <v>10</v>
      </c>
      <c r="G1282" s="419"/>
      <c r="H1282" s="316"/>
      <c r="I1282" s="420"/>
      <c r="J1282" s="509">
        <v>25</v>
      </c>
      <c r="K1282" s="423">
        <v>2.4660000000000002</v>
      </c>
      <c r="L1282" s="422">
        <v>10</v>
      </c>
      <c r="M1282" s="510">
        <f t="shared" si="437"/>
        <v>35</v>
      </c>
      <c r="N1282" s="422">
        <v>0.5</v>
      </c>
      <c r="O1282" s="537"/>
      <c r="P1282" s="423"/>
      <c r="Q1282" s="538"/>
      <c r="R1282" s="319">
        <f t="shared" si="436"/>
        <v>43.155000000000001</v>
      </c>
      <c r="S1282" s="398" t="str">
        <f t="shared" si="438"/>
        <v>kg</v>
      </c>
      <c r="T1282" s="320">
        <v>7</v>
      </c>
      <c r="U1282" s="424" t="s">
        <v>519</v>
      </c>
      <c r="V1282" s="291">
        <f t="shared" ca="1" si="435"/>
        <v>50.552999999999884</v>
      </c>
      <c r="W1282" s="256">
        <f t="shared" ca="1" si="418"/>
        <v>2</v>
      </c>
      <c r="X1282" s="256">
        <f t="shared" ca="1" si="439"/>
        <v>1</v>
      </c>
      <c r="Y1282" s="492"/>
      <c r="Z1282" s="492"/>
    </row>
    <row r="1283" spans="1:26" s="110" customFormat="1" ht="25.5" x14ac:dyDescent="0.2">
      <c r="A1283" s="403"/>
      <c r="B1283" s="322"/>
      <c r="C1283" s="382" t="s">
        <v>575</v>
      </c>
      <c r="D1283" s="417">
        <v>15</v>
      </c>
      <c r="E1283" s="314" t="s">
        <v>518</v>
      </c>
      <c r="F1283" s="418">
        <v>0</v>
      </c>
      <c r="G1283" s="419"/>
      <c r="H1283" s="316"/>
      <c r="I1283" s="420"/>
      <c r="J1283" s="509">
        <v>25</v>
      </c>
      <c r="K1283" s="423">
        <v>2.4660000000000002</v>
      </c>
      <c r="L1283" s="422">
        <v>10</v>
      </c>
      <c r="M1283" s="510">
        <f t="shared" si="437"/>
        <v>35</v>
      </c>
      <c r="N1283" s="422">
        <v>0.5</v>
      </c>
      <c r="O1283" s="537"/>
      <c r="P1283" s="423"/>
      <c r="Q1283" s="538"/>
      <c r="R1283" s="319">
        <f t="shared" si="436"/>
        <v>43.155000000000001</v>
      </c>
      <c r="S1283" s="398" t="str">
        <f t="shared" si="438"/>
        <v>kg</v>
      </c>
      <c r="T1283" s="320">
        <v>8</v>
      </c>
      <c r="U1283" s="424" t="s">
        <v>519</v>
      </c>
      <c r="V1283" s="291">
        <f t="shared" ca="1" si="435"/>
        <v>50.552999999999884</v>
      </c>
      <c r="W1283" s="256">
        <f t="shared" ca="1" si="418"/>
        <v>2</v>
      </c>
      <c r="X1283" s="256">
        <f t="shared" ca="1" si="439"/>
        <v>1</v>
      </c>
      <c r="Y1283" s="492"/>
      <c r="Z1283" s="492"/>
    </row>
    <row r="1284" spans="1:26" s="110" customFormat="1" ht="25.5" x14ac:dyDescent="0.2">
      <c r="A1284" s="403"/>
      <c r="B1284" s="322"/>
      <c r="C1284" s="382" t="s">
        <v>575</v>
      </c>
      <c r="D1284" s="417">
        <v>16</v>
      </c>
      <c r="E1284" s="314" t="s">
        <v>518</v>
      </c>
      <c r="F1284" s="418">
        <v>10</v>
      </c>
      <c r="G1284" s="419"/>
      <c r="H1284" s="316"/>
      <c r="I1284" s="420"/>
      <c r="J1284" s="509">
        <v>25</v>
      </c>
      <c r="K1284" s="423">
        <v>2.4660000000000002</v>
      </c>
      <c r="L1284" s="422">
        <v>10</v>
      </c>
      <c r="M1284" s="510">
        <f t="shared" si="437"/>
        <v>35</v>
      </c>
      <c r="N1284" s="422">
        <v>0.5</v>
      </c>
      <c r="O1284" s="537"/>
      <c r="P1284" s="423"/>
      <c r="Q1284" s="538"/>
      <c r="R1284" s="319">
        <f t="shared" si="436"/>
        <v>43.155000000000001</v>
      </c>
      <c r="S1284" s="398" t="str">
        <f t="shared" si="438"/>
        <v>kg</v>
      </c>
      <c r="T1284" s="320">
        <v>8</v>
      </c>
      <c r="U1284" s="424" t="s">
        <v>519</v>
      </c>
      <c r="V1284" s="291">
        <f t="shared" ca="1" si="435"/>
        <v>50.552999999999884</v>
      </c>
      <c r="W1284" s="256">
        <f t="shared" ca="1" si="418"/>
        <v>2</v>
      </c>
      <c r="X1284" s="256">
        <f t="shared" ca="1" si="439"/>
        <v>1</v>
      </c>
      <c r="Y1284" s="492"/>
      <c r="Z1284" s="492"/>
    </row>
    <row r="1285" spans="1:26" s="110" customFormat="1" ht="25.5" x14ac:dyDescent="0.2">
      <c r="A1285" s="403"/>
      <c r="B1285" s="322"/>
      <c r="C1285" s="382" t="s">
        <v>575</v>
      </c>
      <c r="D1285" s="417">
        <v>18</v>
      </c>
      <c r="E1285" s="314" t="s">
        <v>518</v>
      </c>
      <c r="F1285" s="418">
        <v>0</v>
      </c>
      <c r="G1285" s="419"/>
      <c r="H1285" s="316"/>
      <c r="I1285" s="420"/>
      <c r="J1285" s="509">
        <v>25</v>
      </c>
      <c r="K1285" s="423">
        <v>2.4660000000000002</v>
      </c>
      <c r="L1285" s="422">
        <v>12</v>
      </c>
      <c r="M1285" s="510">
        <f t="shared" si="437"/>
        <v>41</v>
      </c>
      <c r="N1285" s="422">
        <v>0.5</v>
      </c>
      <c r="O1285" s="537"/>
      <c r="P1285" s="423"/>
      <c r="Q1285" s="538"/>
      <c r="R1285" s="319">
        <f t="shared" si="436"/>
        <v>50.553000000000004</v>
      </c>
      <c r="S1285" s="398" t="str">
        <f t="shared" si="438"/>
        <v>kg</v>
      </c>
      <c r="T1285" s="320">
        <v>9</v>
      </c>
      <c r="U1285" s="424" t="s">
        <v>519</v>
      </c>
      <c r="V1285" s="291">
        <f t="shared" ca="1" si="435"/>
        <v>50.552999999999884</v>
      </c>
      <c r="W1285" s="256">
        <f t="shared" ca="1" si="418"/>
        <v>2</v>
      </c>
      <c r="X1285" s="256">
        <f t="shared" ca="1" si="439"/>
        <v>1</v>
      </c>
      <c r="Y1285" s="492"/>
      <c r="Z1285" s="492"/>
    </row>
    <row r="1286" spans="1:26" s="110" customFormat="1" ht="25.5" x14ac:dyDescent="0.2">
      <c r="A1286" s="403"/>
      <c r="B1286" s="322"/>
      <c r="C1286" s="382" t="s">
        <v>575</v>
      </c>
      <c r="D1286" s="417">
        <v>19</v>
      </c>
      <c r="E1286" s="314" t="s">
        <v>518</v>
      </c>
      <c r="F1286" s="418">
        <v>10</v>
      </c>
      <c r="G1286" s="419"/>
      <c r="H1286" s="316"/>
      <c r="I1286" s="420"/>
      <c r="J1286" s="509">
        <v>25</v>
      </c>
      <c r="K1286" s="423">
        <v>2.4660000000000002</v>
      </c>
      <c r="L1286" s="422">
        <v>12</v>
      </c>
      <c r="M1286" s="510">
        <f t="shared" si="437"/>
        <v>41</v>
      </c>
      <c r="N1286" s="422">
        <v>0.5</v>
      </c>
      <c r="O1286" s="537"/>
      <c r="P1286" s="423"/>
      <c r="Q1286" s="538"/>
      <c r="R1286" s="319">
        <f t="shared" si="436"/>
        <v>50.553000000000004</v>
      </c>
      <c r="S1286" s="398" t="str">
        <f t="shared" si="438"/>
        <v>kg</v>
      </c>
      <c r="T1286" s="320">
        <v>10</v>
      </c>
      <c r="U1286" s="424" t="s">
        <v>519</v>
      </c>
      <c r="V1286" s="291">
        <f t="shared" ca="1" si="435"/>
        <v>50.552999999999884</v>
      </c>
      <c r="W1286" s="256">
        <f t="shared" ca="1" si="418"/>
        <v>2</v>
      </c>
      <c r="X1286" s="256">
        <f ca="1">IF(COUNTA(OFFSET(A1284,1,0))-COUNTA(A1284)=-1,0,1)</f>
        <v>1</v>
      </c>
      <c r="Y1286" s="492"/>
      <c r="Z1286" s="492"/>
    </row>
    <row r="1287" spans="1:26" s="110" customFormat="1" ht="25.5" x14ac:dyDescent="0.2">
      <c r="A1287" s="403"/>
      <c r="B1287" s="322"/>
      <c r="C1287" s="382" t="s">
        <v>575</v>
      </c>
      <c r="D1287" s="417">
        <v>21</v>
      </c>
      <c r="E1287" s="314" t="s">
        <v>518</v>
      </c>
      <c r="F1287" s="418">
        <v>0</v>
      </c>
      <c r="G1287" s="419"/>
      <c r="H1287" s="316"/>
      <c r="I1287" s="420"/>
      <c r="J1287" s="509">
        <v>25</v>
      </c>
      <c r="K1287" s="423">
        <v>2.4660000000000002</v>
      </c>
      <c r="L1287" s="422">
        <v>12</v>
      </c>
      <c r="M1287" s="510">
        <f t="shared" si="437"/>
        <v>41</v>
      </c>
      <c r="N1287" s="422">
        <v>0.5</v>
      </c>
      <c r="O1287" s="537"/>
      <c r="P1287" s="423"/>
      <c r="Q1287" s="538"/>
      <c r="R1287" s="319">
        <f t="shared" si="436"/>
        <v>50.553000000000004</v>
      </c>
      <c r="S1287" s="398" t="str">
        <f t="shared" si="438"/>
        <v>kg</v>
      </c>
      <c r="T1287" s="320">
        <v>10</v>
      </c>
      <c r="U1287" s="424" t="s">
        <v>519</v>
      </c>
      <c r="V1287" s="291">
        <f t="shared" ca="1" si="435"/>
        <v>50.552999999999884</v>
      </c>
      <c r="W1287" s="256">
        <f t="shared" ca="1" si="418"/>
        <v>2</v>
      </c>
      <c r="X1287" s="256">
        <f ca="1">IF(COUNTA(OFFSET(A1285,1,0))-COUNTA(A1285)=-1,0,1)</f>
        <v>1</v>
      </c>
      <c r="Y1287" s="492"/>
      <c r="Z1287" s="492"/>
    </row>
    <row r="1288" spans="1:26" s="110" customFormat="1" ht="25.5" x14ac:dyDescent="0.2">
      <c r="A1288" s="403"/>
      <c r="B1288" s="322"/>
      <c r="C1288" s="382" t="s">
        <v>575</v>
      </c>
      <c r="D1288" s="417">
        <v>22</v>
      </c>
      <c r="E1288" s="314" t="s">
        <v>518</v>
      </c>
      <c r="F1288" s="418">
        <v>10</v>
      </c>
      <c r="G1288" s="419"/>
      <c r="H1288" s="316"/>
      <c r="I1288" s="420"/>
      <c r="J1288" s="509">
        <v>25</v>
      </c>
      <c r="K1288" s="423">
        <v>2.4660000000000002</v>
      </c>
      <c r="L1288" s="422">
        <v>12</v>
      </c>
      <c r="M1288" s="510">
        <f t="shared" si="437"/>
        <v>41</v>
      </c>
      <c r="N1288" s="422">
        <v>0.5</v>
      </c>
      <c r="O1288" s="537"/>
      <c r="P1288" s="423"/>
      <c r="Q1288" s="538"/>
      <c r="R1288" s="319">
        <f t="shared" si="436"/>
        <v>50.553000000000004</v>
      </c>
      <c r="S1288" s="398" t="str">
        <f t="shared" si="438"/>
        <v>kg</v>
      </c>
      <c r="T1288" s="320">
        <v>11</v>
      </c>
      <c r="U1288" s="424" t="s">
        <v>519</v>
      </c>
      <c r="V1288" s="291">
        <f t="shared" ca="1" si="435"/>
        <v>50.552999999999884</v>
      </c>
      <c r="W1288" s="256">
        <f t="shared" ca="1" si="418"/>
        <v>2</v>
      </c>
      <c r="X1288" s="256">
        <f ca="1">IF(COUNTA(OFFSET(A1285,1,0))-COUNTA(A1285)=-1,0,1)</f>
        <v>1</v>
      </c>
      <c r="Y1288" s="492"/>
      <c r="Z1288" s="492"/>
    </row>
    <row r="1289" spans="1:26" s="110" customFormat="1" ht="25.5" x14ac:dyDescent="0.2">
      <c r="A1289" s="403"/>
      <c r="B1289" s="322"/>
      <c r="C1289" s="382" t="s">
        <v>575</v>
      </c>
      <c r="D1289" s="417">
        <v>24</v>
      </c>
      <c r="E1289" s="314" t="s">
        <v>518</v>
      </c>
      <c r="F1289" s="418">
        <v>0</v>
      </c>
      <c r="G1289" s="419"/>
      <c r="H1289" s="316"/>
      <c r="I1289" s="420"/>
      <c r="J1289" s="509">
        <v>25</v>
      </c>
      <c r="K1289" s="423">
        <v>2.4660000000000002</v>
      </c>
      <c r="L1289" s="422">
        <v>12</v>
      </c>
      <c r="M1289" s="510">
        <f t="shared" si="437"/>
        <v>41</v>
      </c>
      <c r="N1289" s="422">
        <v>0.5</v>
      </c>
      <c r="O1289" s="537"/>
      <c r="P1289" s="423"/>
      <c r="Q1289" s="538"/>
      <c r="R1289" s="319">
        <f t="shared" si="436"/>
        <v>50.553000000000004</v>
      </c>
      <c r="S1289" s="398" t="str">
        <f t="shared" si="438"/>
        <v>kg</v>
      </c>
      <c r="T1289" s="320">
        <v>11</v>
      </c>
      <c r="U1289" s="424" t="s">
        <v>519</v>
      </c>
      <c r="V1289" s="291">
        <f t="shared" ca="1" si="435"/>
        <v>50.552999999999884</v>
      </c>
      <c r="W1289" s="256">
        <f t="shared" ca="1" si="418"/>
        <v>2</v>
      </c>
      <c r="X1289" s="256">
        <f ca="1">IF(COUNTA(OFFSET(A1286,1,0))-COUNTA(A1286)=-1,0,1)</f>
        <v>1</v>
      </c>
      <c r="Y1289" s="492"/>
      <c r="Z1289" s="492"/>
    </row>
    <row r="1290" spans="1:26" s="110" customFormat="1" ht="25.5" x14ac:dyDescent="0.2">
      <c r="A1290" s="403"/>
      <c r="B1290" s="322"/>
      <c r="C1290" s="382" t="s">
        <v>575</v>
      </c>
      <c r="D1290" s="417">
        <v>25</v>
      </c>
      <c r="E1290" s="314" t="s">
        <v>518</v>
      </c>
      <c r="F1290" s="418">
        <v>10</v>
      </c>
      <c r="G1290" s="419"/>
      <c r="H1290" s="316"/>
      <c r="I1290" s="420"/>
      <c r="J1290" s="509">
        <v>25</v>
      </c>
      <c r="K1290" s="423">
        <v>2.4660000000000002</v>
      </c>
      <c r="L1290" s="422">
        <v>12</v>
      </c>
      <c r="M1290" s="510">
        <f t="shared" si="437"/>
        <v>41</v>
      </c>
      <c r="N1290" s="422">
        <v>0.5</v>
      </c>
      <c r="O1290" s="537"/>
      <c r="P1290" s="423"/>
      <c r="Q1290" s="538"/>
      <c r="R1290" s="319">
        <f t="shared" si="436"/>
        <v>50.553000000000004</v>
      </c>
      <c r="S1290" s="398" t="str">
        <f t="shared" si="438"/>
        <v>kg</v>
      </c>
      <c r="T1290" s="320">
        <v>12</v>
      </c>
      <c r="U1290" s="424" t="s">
        <v>519</v>
      </c>
      <c r="V1290" s="291">
        <f t="shared" ca="1" si="435"/>
        <v>50.552999999999884</v>
      </c>
      <c r="W1290" s="256">
        <f t="shared" ca="1" si="418"/>
        <v>2</v>
      </c>
      <c r="X1290" s="256">
        <f t="shared" ref="X1290:X1302" ca="1" si="440">IF(COUNTA(OFFSET(A1285,1,0))-COUNTA(A1285)=-1,0,1)</f>
        <v>1</v>
      </c>
      <c r="Y1290" s="492"/>
      <c r="Z1290" s="492"/>
    </row>
    <row r="1291" spans="1:26" s="110" customFormat="1" ht="25.5" x14ac:dyDescent="0.2">
      <c r="A1291" s="403"/>
      <c r="B1291" s="322"/>
      <c r="C1291" s="382" t="s">
        <v>575</v>
      </c>
      <c r="D1291" s="417">
        <v>27</v>
      </c>
      <c r="E1291" s="314" t="s">
        <v>518</v>
      </c>
      <c r="F1291" s="418">
        <v>0</v>
      </c>
      <c r="G1291" s="419"/>
      <c r="H1291" s="316"/>
      <c r="I1291" s="420"/>
      <c r="J1291" s="509">
        <v>25</v>
      </c>
      <c r="K1291" s="423">
        <v>2.4660000000000002</v>
      </c>
      <c r="L1291" s="422">
        <v>12</v>
      </c>
      <c r="M1291" s="510">
        <f t="shared" si="437"/>
        <v>41</v>
      </c>
      <c r="N1291" s="422">
        <v>0.5</v>
      </c>
      <c r="O1291" s="537"/>
      <c r="P1291" s="423"/>
      <c r="Q1291" s="538"/>
      <c r="R1291" s="319">
        <f t="shared" si="436"/>
        <v>50.553000000000004</v>
      </c>
      <c r="S1291" s="398" t="str">
        <f t="shared" si="438"/>
        <v>kg</v>
      </c>
      <c r="T1291" s="320">
        <v>12</v>
      </c>
      <c r="U1291" s="424" t="s">
        <v>519</v>
      </c>
      <c r="V1291" s="291">
        <f t="shared" ca="1" si="435"/>
        <v>50.552999999999884</v>
      </c>
      <c r="W1291" s="256">
        <f t="shared" ca="1" si="418"/>
        <v>2</v>
      </c>
      <c r="X1291" s="256">
        <f t="shared" ca="1" si="440"/>
        <v>1</v>
      </c>
      <c r="Y1291" s="492"/>
      <c r="Z1291" s="492"/>
    </row>
    <row r="1292" spans="1:26" s="110" customFormat="1" ht="25.5" x14ac:dyDescent="0.2">
      <c r="A1292" s="403"/>
      <c r="B1292" s="322"/>
      <c r="C1292" s="382" t="s">
        <v>575</v>
      </c>
      <c r="D1292" s="417">
        <v>28</v>
      </c>
      <c r="E1292" s="314" t="s">
        <v>518</v>
      </c>
      <c r="F1292" s="418">
        <v>10</v>
      </c>
      <c r="G1292" s="419"/>
      <c r="H1292" s="316"/>
      <c r="I1292" s="420"/>
      <c r="J1292" s="509">
        <v>25</v>
      </c>
      <c r="K1292" s="423">
        <v>2.4660000000000002</v>
      </c>
      <c r="L1292" s="422">
        <v>12</v>
      </c>
      <c r="M1292" s="510">
        <f t="shared" si="437"/>
        <v>41</v>
      </c>
      <c r="N1292" s="422">
        <v>0.5</v>
      </c>
      <c r="O1292" s="537"/>
      <c r="P1292" s="423"/>
      <c r="Q1292" s="538"/>
      <c r="R1292" s="319">
        <f t="shared" si="436"/>
        <v>50.553000000000004</v>
      </c>
      <c r="S1292" s="398" t="str">
        <f t="shared" si="438"/>
        <v>kg</v>
      </c>
      <c r="T1292" s="320">
        <v>12</v>
      </c>
      <c r="U1292" s="424" t="s">
        <v>519</v>
      </c>
      <c r="V1292" s="291">
        <f t="shared" ca="1" si="435"/>
        <v>50.552999999999884</v>
      </c>
      <c r="W1292" s="256">
        <f t="shared" ca="1" si="418"/>
        <v>2</v>
      </c>
      <c r="X1292" s="256">
        <f t="shared" ca="1" si="440"/>
        <v>1</v>
      </c>
      <c r="Y1292" s="492"/>
      <c r="Z1292" s="492"/>
    </row>
    <row r="1293" spans="1:26" s="111" customFormat="1" ht="25.5" x14ac:dyDescent="0.2">
      <c r="A1293" s="399"/>
      <c r="B1293" s="322"/>
      <c r="C1293" s="382" t="s">
        <v>575</v>
      </c>
      <c r="D1293" s="417">
        <v>30</v>
      </c>
      <c r="E1293" s="314" t="s">
        <v>518</v>
      </c>
      <c r="F1293" s="418">
        <v>0</v>
      </c>
      <c r="G1293" s="419"/>
      <c r="H1293" s="316"/>
      <c r="I1293" s="420"/>
      <c r="J1293" s="509">
        <v>25</v>
      </c>
      <c r="K1293" s="423">
        <v>2.4660000000000002</v>
      </c>
      <c r="L1293" s="422">
        <v>12</v>
      </c>
      <c r="M1293" s="510">
        <f t="shared" si="437"/>
        <v>41</v>
      </c>
      <c r="N1293" s="422">
        <v>0.5</v>
      </c>
      <c r="O1293" s="537"/>
      <c r="P1293" s="423"/>
      <c r="Q1293" s="538"/>
      <c r="R1293" s="319">
        <f t="shared" si="436"/>
        <v>50.553000000000004</v>
      </c>
      <c r="S1293" s="398" t="str">
        <f t="shared" si="438"/>
        <v>kg</v>
      </c>
      <c r="T1293" s="320">
        <v>13</v>
      </c>
      <c r="U1293" s="424" t="s">
        <v>519</v>
      </c>
      <c r="V1293" s="435">
        <f t="shared" ca="1" si="435"/>
        <v>50.552999999999884</v>
      </c>
      <c r="W1293" s="256">
        <f t="shared" ca="1" si="418"/>
        <v>2</v>
      </c>
      <c r="X1293" s="256">
        <f t="shared" ca="1" si="440"/>
        <v>1</v>
      </c>
      <c r="Y1293" s="250"/>
      <c r="Z1293" s="250"/>
    </row>
    <row r="1294" spans="1:26" s="111" customFormat="1" ht="25.5" x14ac:dyDescent="0.2">
      <c r="A1294" s="399"/>
      <c r="B1294" s="494"/>
      <c r="C1294" s="550" t="s">
        <v>575</v>
      </c>
      <c r="D1294" s="551">
        <v>31</v>
      </c>
      <c r="E1294" s="552" t="s">
        <v>518</v>
      </c>
      <c r="F1294" s="553">
        <v>10</v>
      </c>
      <c r="G1294" s="496"/>
      <c r="H1294" s="497"/>
      <c r="I1294" s="498"/>
      <c r="J1294" s="766">
        <v>25</v>
      </c>
      <c r="K1294" s="767">
        <v>2.4660000000000002</v>
      </c>
      <c r="L1294" s="555">
        <v>12</v>
      </c>
      <c r="M1294" s="768">
        <f t="shared" si="437"/>
        <v>41</v>
      </c>
      <c r="N1294" s="555">
        <v>0.5</v>
      </c>
      <c r="O1294" s="741"/>
      <c r="P1294" s="767"/>
      <c r="Q1294" s="556"/>
      <c r="R1294" s="558">
        <f t="shared" si="436"/>
        <v>50.553000000000004</v>
      </c>
      <c r="S1294" s="398" t="str">
        <f t="shared" si="438"/>
        <v>kg</v>
      </c>
      <c r="T1294" s="506">
        <v>14</v>
      </c>
      <c r="U1294" s="507" t="s">
        <v>519</v>
      </c>
      <c r="V1294" s="435">
        <f t="shared" ca="1" si="435"/>
        <v>50.552999999999884</v>
      </c>
      <c r="W1294" s="256">
        <f t="shared" ca="1" si="418"/>
        <v>2</v>
      </c>
      <c r="X1294" s="256">
        <f t="shared" ca="1" si="440"/>
        <v>1</v>
      </c>
      <c r="Y1294" s="250"/>
      <c r="Z1294" s="250"/>
    </row>
    <row r="1295" spans="1:26" s="111" customFormat="1" ht="25.5" x14ac:dyDescent="0.2">
      <c r="A1295" s="399"/>
      <c r="B1295" s="494"/>
      <c r="C1295" s="550" t="s">
        <v>575</v>
      </c>
      <c r="D1295" s="551">
        <v>99</v>
      </c>
      <c r="E1295" s="552" t="s">
        <v>518</v>
      </c>
      <c r="F1295" s="553">
        <v>0</v>
      </c>
      <c r="G1295" s="496"/>
      <c r="H1295" s="497"/>
      <c r="I1295" s="498"/>
      <c r="J1295" s="766">
        <v>25</v>
      </c>
      <c r="K1295" s="767">
        <v>2.4660000000000002</v>
      </c>
      <c r="L1295" s="555">
        <v>12</v>
      </c>
      <c r="M1295" s="768">
        <f t="shared" ref="M1295:M1302" si="441">ROUNDUP((L1295-0.08)/0.3,0)+1</f>
        <v>41</v>
      </c>
      <c r="N1295" s="555">
        <v>0.5</v>
      </c>
      <c r="O1295" s="741"/>
      <c r="P1295" s="767"/>
      <c r="Q1295" s="556"/>
      <c r="R1295" s="558">
        <f t="shared" ref="R1295:R1302" si="442">M1295*N1295*K1295</f>
        <v>50.553000000000004</v>
      </c>
      <c r="S1295" s="398" t="str">
        <f t="shared" si="438"/>
        <v>kg</v>
      </c>
      <c r="T1295" s="506">
        <v>14</v>
      </c>
      <c r="U1295" s="507" t="s">
        <v>519</v>
      </c>
      <c r="V1295" s="435">
        <f t="shared" ca="1" si="435"/>
        <v>50.552999999999884</v>
      </c>
      <c r="W1295" s="256">
        <f t="shared" ref="W1295:W1302" ca="1" si="443">IF(LEFT(_xlfn.FORMULATEXT(V1295),3)="=SO",1,IF(COUNTA(A1295:U1295)=0,0,2))</f>
        <v>2</v>
      </c>
      <c r="X1295" s="256">
        <f t="shared" ca="1" si="440"/>
        <v>1</v>
      </c>
      <c r="Y1295" s="250"/>
      <c r="Z1295" s="250"/>
    </row>
    <row r="1296" spans="1:26" s="111" customFormat="1" ht="25.5" x14ac:dyDescent="0.2">
      <c r="A1296" s="399"/>
      <c r="B1296" s="494"/>
      <c r="C1296" s="550" t="s">
        <v>575</v>
      </c>
      <c r="D1296" s="551">
        <v>97</v>
      </c>
      <c r="E1296" s="552" t="s">
        <v>518</v>
      </c>
      <c r="F1296" s="553">
        <v>10</v>
      </c>
      <c r="G1296" s="496"/>
      <c r="H1296" s="497"/>
      <c r="I1296" s="498"/>
      <c r="J1296" s="766">
        <v>25</v>
      </c>
      <c r="K1296" s="767">
        <v>2.4660000000000002</v>
      </c>
      <c r="L1296" s="555">
        <v>12</v>
      </c>
      <c r="M1296" s="768">
        <f t="shared" si="441"/>
        <v>41</v>
      </c>
      <c r="N1296" s="555">
        <v>0.5</v>
      </c>
      <c r="O1296" s="741"/>
      <c r="P1296" s="767"/>
      <c r="Q1296" s="556"/>
      <c r="R1296" s="558">
        <f t="shared" si="442"/>
        <v>50.553000000000004</v>
      </c>
      <c r="S1296" s="398" t="str">
        <f t="shared" si="438"/>
        <v>kg</v>
      </c>
      <c r="T1296" s="506">
        <v>14</v>
      </c>
      <c r="U1296" s="507" t="s">
        <v>519</v>
      </c>
      <c r="V1296" s="435">
        <f t="shared" ca="1" si="435"/>
        <v>50.552999999999884</v>
      </c>
      <c r="W1296" s="256">
        <f t="shared" ca="1" si="443"/>
        <v>2</v>
      </c>
      <c r="X1296" s="256">
        <f t="shared" ca="1" si="440"/>
        <v>1</v>
      </c>
      <c r="Y1296" s="250"/>
      <c r="Z1296" s="250"/>
    </row>
    <row r="1297" spans="1:26" s="111" customFormat="1" ht="25.5" x14ac:dyDescent="0.2">
      <c r="A1297" s="399"/>
      <c r="B1297" s="494"/>
      <c r="C1297" s="550" t="s">
        <v>575</v>
      </c>
      <c r="D1297" s="551">
        <v>96</v>
      </c>
      <c r="E1297" s="552" t="s">
        <v>518</v>
      </c>
      <c r="F1297" s="553">
        <v>0</v>
      </c>
      <c r="G1297" s="496"/>
      <c r="H1297" s="497"/>
      <c r="I1297" s="498"/>
      <c r="J1297" s="766">
        <v>25</v>
      </c>
      <c r="K1297" s="767">
        <v>2.4660000000000002</v>
      </c>
      <c r="L1297" s="555">
        <v>12</v>
      </c>
      <c r="M1297" s="768">
        <f t="shared" si="441"/>
        <v>41</v>
      </c>
      <c r="N1297" s="555">
        <v>0.5</v>
      </c>
      <c r="O1297" s="741"/>
      <c r="P1297" s="767"/>
      <c r="Q1297" s="556"/>
      <c r="R1297" s="558">
        <f t="shared" si="442"/>
        <v>50.553000000000004</v>
      </c>
      <c r="S1297" s="398" t="str">
        <f t="shared" si="438"/>
        <v>kg</v>
      </c>
      <c r="T1297" s="506">
        <v>14</v>
      </c>
      <c r="U1297" s="507" t="s">
        <v>519</v>
      </c>
      <c r="V1297" s="435">
        <f t="shared" ca="1" si="435"/>
        <v>50.552999999999884</v>
      </c>
      <c r="W1297" s="256">
        <f t="shared" ca="1" si="443"/>
        <v>2</v>
      </c>
      <c r="X1297" s="256">
        <f t="shared" ca="1" si="440"/>
        <v>1</v>
      </c>
      <c r="Y1297" s="250"/>
      <c r="Z1297" s="250"/>
    </row>
    <row r="1298" spans="1:26" s="111" customFormat="1" ht="25.5" x14ac:dyDescent="0.2">
      <c r="A1298" s="399"/>
      <c r="B1298" s="494"/>
      <c r="C1298" s="550" t="s">
        <v>575</v>
      </c>
      <c r="D1298" s="551">
        <v>94</v>
      </c>
      <c r="E1298" s="552" t="s">
        <v>518</v>
      </c>
      <c r="F1298" s="553">
        <v>10</v>
      </c>
      <c r="G1298" s="496"/>
      <c r="H1298" s="497"/>
      <c r="I1298" s="498"/>
      <c r="J1298" s="766">
        <v>25</v>
      </c>
      <c r="K1298" s="767">
        <v>2.4660000000000002</v>
      </c>
      <c r="L1298" s="555">
        <v>12</v>
      </c>
      <c r="M1298" s="768">
        <f t="shared" si="441"/>
        <v>41</v>
      </c>
      <c r="N1298" s="555">
        <v>0.5</v>
      </c>
      <c r="O1298" s="741"/>
      <c r="P1298" s="767"/>
      <c r="Q1298" s="556"/>
      <c r="R1298" s="558">
        <f t="shared" si="442"/>
        <v>50.553000000000004</v>
      </c>
      <c r="S1298" s="398" t="str">
        <f t="shared" si="438"/>
        <v>kg</v>
      </c>
      <c r="T1298" s="506">
        <v>14</v>
      </c>
      <c r="U1298" s="507" t="s">
        <v>519</v>
      </c>
      <c r="V1298" s="435">
        <f t="shared" ca="1" si="435"/>
        <v>50.552999999999884</v>
      </c>
      <c r="W1298" s="256">
        <f t="shared" ca="1" si="443"/>
        <v>2</v>
      </c>
      <c r="X1298" s="256">
        <f t="shared" ca="1" si="440"/>
        <v>1</v>
      </c>
      <c r="Y1298" s="250"/>
      <c r="Z1298" s="250"/>
    </row>
    <row r="1299" spans="1:26" s="111" customFormat="1" ht="25.5" x14ac:dyDescent="0.2">
      <c r="A1299" s="399"/>
      <c r="B1299" s="494"/>
      <c r="C1299" s="550" t="s">
        <v>575</v>
      </c>
      <c r="D1299" s="551">
        <v>93</v>
      </c>
      <c r="E1299" s="552" t="s">
        <v>518</v>
      </c>
      <c r="F1299" s="553">
        <v>0</v>
      </c>
      <c r="G1299" s="496"/>
      <c r="H1299" s="497"/>
      <c r="I1299" s="498"/>
      <c r="J1299" s="766">
        <v>25</v>
      </c>
      <c r="K1299" s="767">
        <v>2.4660000000000002</v>
      </c>
      <c r="L1299" s="555">
        <v>12</v>
      </c>
      <c r="M1299" s="768">
        <f t="shared" si="441"/>
        <v>41</v>
      </c>
      <c r="N1299" s="555">
        <v>0.5</v>
      </c>
      <c r="O1299" s="741"/>
      <c r="P1299" s="767"/>
      <c r="Q1299" s="556"/>
      <c r="R1299" s="558">
        <f t="shared" si="442"/>
        <v>50.553000000000004</v>
      </c>
      <c r="S1299" s="398" t="str">
        <f t="shared" si="438"/>
        <v>kg</v>
      </c>
      <c r="T1299" s="506">
        <v>14</v>
      </c>
      <c r="U1299" s="507" t="s">
        <v>519</v>
      </c>
      <c r="V1299" s="435">
        <f t="shared" ca="1" si="435"/>
        <v>50.552999999999884</v>
      </c>
      <c r="W1299" s="256">
        <f t="shared" ca="1" si="443"/>
        <v>2</v>
      </c>
      <c r="X1299" s="256">
        <f t="shared" ca="1" si="440"/>
        <v>1</v>
      </c>
      <c r="Y1299" s="250"/>
      <c r="Z1299" s="250"/>
    </row>
    <row r="1300" spans="1:26" s="111" customFormat="1" ht="25.5" x14ac:dyDescent="0.2">
      <c r="A1300" s="399"/>
      <c r="B1300" s="494"/>
      <c r="C1300" s="550" t="s">
        <v>575</v>
      </c>
      <c r="D1300" s="551">
        <v>91</v>
      </c>
      <c r="E1300" s="552" t="s">
        <v>518</v>
      </c>
      <c r="F1300" s="553">
        <v>10</v>
      </c>
      <c r="G1300" s="496"/>
      <c r="H1300" s="497"/>
      <c r="I1300" s="498"/>
      <c r="J1300" s="766">
        <v>25</v>
      </c>
      <c r="K1300" s="767">
        <v>2.4660000000000002</v>
      </c>
      <c r="L1300" s="555">
        <v>12</v>
      </c>
      <c r="M1300" s="768">
        <f t="shared" si="441"/>
        <v>41</v>
      </c>
      <c r="N1300" s="555">
        <v>0.5</v>
      </c>
      <c r="O1300" s="741"/>
      <c r="P1300" s="767"/>
      <c r="Q1300" s="556"/>
      <c r="R1300" s="558">
        <f t="shared" si="442"/>
        <v>50.553000000000004</v>
      </c>
      <c r="S1300" s="398" t="str">
        <f t="shared" si="438"/>
        <v>kg</v>
      </c>
      <c r="T1300" s="506">
        <v>24</v>
      </c>
      <c r="U1300" s="507" t="s">
        <v>519</v>
      </c>
      <c r="V1300" s="435">
        <f t="shared" ca="1" si="435"/>
        <v>50.552999999999884</v>
      </c>
      <c r="W1300" s="256">
        <f t="shared" ca="1" si="443"/>
        <v>2</v>
      </c>
      <c r="X1300" s="256">
        <f t="shared" ca="1" si="440"/>
        <v>1</v>
      </c>
      <c r="Y1300" s="250"/>
      <c r="Z1300" s="250"/>
    </row>
    <row r="1301" spans="1:26" s="111" customFormat="1" ht="25.5" x14ac:dyDescent="0.2">
      <c r="A1301" s="399"/>
      <c r="B1301" s="494"/>
      <c r="C1301" s="550" t="s">
        <v>575</v>
      </c>
      <c r="D1301" s="551">
        <v>90</v>
      </c>
      <c r="E1301" s="552" t="s">
        <v>518</v>
      </c>
      <c r="F1301" s="553">
        <v>0</v>
      </c>
      <c r="G1301" s="496"/>
      <c r="H1301" s="497"/>
      <c r="I1301" s="498"/>
      <c r="J1301" s="766">
        <v>25</v>
      </c>
      <c r="K1301" s="767">
        <v>2.4660000000000002</v>
      </c>
      <c r="L1301" s="555">
        <v>12</v>
      </c>
      <c r="M1301" s="768">
        <f t="shared" si="441"/>
        <v>41</v>
      </c>
      <c r="N1301" s="555">
        <v>0.5</v>
      </c>
      <c r="O1301" s="741"/>
      <c r="P1301" s="767"/>
      <c r="Q1301" s="556"/>
      <c r="R1301" s="558">
        <f t="shared" si="442"/>
        <v>50.553000000000004</v>
      </c>
      <c r="S1301" s="398" t="str">
        <f t="shared" si="438"/>
        <v>kg</v>
      </c>
      <c r="T1301" s="506">
        <v>24</v>
      </c>
      <c r="U1301" s="507" t="s">
        <v>519</v>
      </c>
      <c r="V1301" s="435">
        <f t="shared" ca="1" si="435"/>
        <v>50.552999999999884</v>
      </c>
      <c r="W1301" s="256">
        <f t="shared" ca="1" si="443"/>
        <v>2</v>
      </c>
      <c r="X1301" s="256">
        <f t="shared" ca="1" si="440"/>
        <v>1</v>
      </c>
      <c r="Y1301" s="250"/>
      <c r="Z1301" s="250"/>
    </row>
    <row r="1302" spans="1:26" s="111" customFormat="1" ht="25.5" x14ac:dyDescent="0.2">
      <c r="A1302" s="399"/>
      <c r="B1302" s="494"/>
      <c r="C1302" s="550" t="s">
        <v>575</v>
      </c>
      <c r="D1302" s="551">
        <v>89</v>
      </c>
      <c r="E1302" s="552" t="s">
        <v>518</v>
      </c>
      <c r="F1302" s="553">
        <v>10</v>
      </c>
      <c r="G1302" s="496"/>
      <c r="H1302" s="497"/>
      <c r="I1302" s="498"/>
      <c r="J1302" s="766">
        <v>25</v>
      </c>
      <c r="K1302" s="767">
        <v>2.4660000000000002</v>
      </c>
      <c r="L1302" s="555">
        <v>12</v>
      </c>
      <c r="M1302" s="768">
        <f t="shared" si="441"/>
        <v>41</v>
      </c>
      <c r="N1302" s="555">
        <v>0.5</v>
      </c>
      <c r="O1302" s="741"/>
      <c r="P1302" s="767"/>
      <c r="Q1302" s="556"/>
      <c r="R1302" s="558">
        <f t="shared" si="442"/>
        <v>50.553000000000004</v>
      </c>
      <c r="S1302" s="398" t="str">
        <f t="shared" si="438"/>
        <v>kg</v>
      </c>
      <c r="T1302" s="506">
        <v>24</v>
      </c>
      <c r="U1302" s="507" t="s">
        <v>519</v>
      </c>
      <c r="V1302" s="435">
        <f t="shared" ca="1" si="435"/>
        <v>50.552999999999884</v>
      </c>
      <c r="W1302" s="256">
        <f t="shared" ca="1" si="443"/>
        <v>2</v>
      </c>
      <c r="X1302" s="256">
        <f t="shared" ca="1" si="440"/>
        <v>1</v>
      </c>
      <c r="Y1302" s="250"/>
      <c r="Z1302" s="250"/>
    </row>
    <row r="1303" spans="1:26" s="111" customFormat="1" ht="25.5" x14ac:dyDescent="0.2">
      <c r="A1303" s="399"/>
      <c r="B1303" s="494"/>
      <c r="C1303" s="550" t="s">
        <v>575</v>
      </c>
      <c r="D1303" s="551">
        <v>88</v>
      </c>
      <c r="E1303" s="552" t="s">
        <v>518</v>
      </c>
      <c r="F1303" s="553">
        <v>0</v>
      </c>
      <c r="G1303" s="496"/>
      <c r="H1303" s="497"/>
      <c r="I1303" s="498"/>
      <c r="J1303" s="766">
        <v>25</v>
      </c>
      <c r="K1303" s="767">
        <v>2.4660000000000002</v>
      </c>
      <c r="L1303" s="555">
        <v>12</v>
      </c>
      <c r="M1303" s="768">
        <f t="shared" ref="M1303:M1311" si="444">ROUNDUP((L1303-0.08)/0.3,0)+1</f>
        <v>41</v>
      </c>
      <c r="N1303" s="555">
        <v>0.5</v>
      </c>
      <c r="O1303" s="741"/>
      <c r="P1303" s="767"/>
      <c r="Q1303" s="556"/>
      <c r="R1303" s="558">
        <f t="shared" ref="R1303:R1311" si="445">M1303*N1303*K1303</f>
        <v>50.553000000000004</v>
      </c>
      <c r="S1303" s="398" t="str">
        <f t="shared" si="438"/>
        <v>kg</v>
      </c>
      <c r="T1303" s="506">
        <v>25</v>
      </c>
      <c r="U1303" s="507" t="s">
        <v>519</v>
      </c>
      <c r="V1303" s="435">
        <f t="shared" ca="1" si="435"/>
        <v>50.552999999999884</v>
      </c>
      <c r="W1303" s="256">
        <f t="shared" ref="W1303:W1311" ca="1" si="446">IF(LEFT(_xlfn.FORMULATEXT(V1303),3)="=SO",1,IF(COUNTA(A1303:U1303)=0,0,2))</f>
        <v>2</v>
      </c>
      <c r="X1303" s="256">
        <f t="shared" ref="X1303:X1311" ca="1" si="447">IF(COUNTA(OFFSET(A1298,1,0))-COUNTA(A1298)=-1,0,1)</f>
        <v>1</v>
      </c>
      <c r="Y1303" s="250"/>
      <c r="Z1303" s="250"/>
    </row>
    <row r="1304" spans="1:26" s="111" customFormat="1" ht="25.5" x14ac:dyDescent="0.2">
      <c r="A1304" s="399"/>
      <c r="B1304" s="494"/>
      <c r="C1304" s="550" t="s">
        <v>575</v>
      </c>
      <c r="D1304" s="551">
        <v>87</v>
      </c>
      <c r="E1304" s="552" t="s">
        <v>518</v>
      </c>
      <c r="F1304" s="553">
        <v>0</v>
      </c>
      <c r="G1304" s="496"/>
      <c r="H1304" s="497"/>
      <c r="I1304" s="498"/>
      <c r="J1304" s="766">
        <v>25</v>
      </c>
      <c r="K1304" s="767">
        <v>2.4660000000000002</v>
      </c>
      <c r="L1304" s="555">
        <v>12</v>
      </c>
      <c r="M1304" s="768">
        <f t="shared" si="444"/>
        <v>41</v>
      </c>
      <c r="N1304" s="555">
        <v>0.5</v>
      </c>
      <c r="O1304" s="741"/>
      <c r="P1304" s="767"/>
      <c r="Q1304" s="556"/>
      <c r="R1304" s="558">
        <f t="shared" si="445"/>
        <v>50.553000000000004</v>
      </c>
      <c r="S1304" s="398" t="str">
        <f t="shared" si="438"/>
        <v>kg</v>
      </c>
      <c r="T1304" s="506">
        <v>26</v>
      </c>
      <c r="U1304" s="507" t="s">
        <v>519</v>
      </c>
      <c r="V1304" s="435">
        <f t="shared" ca="1" si="435"/>
        <v>50.552999999999884</v>
      </c>
      <c r="W1304" s="256">
        <f t="shared" ca="1" si="446"/>
        <v>2</v>
      </c>
      <c r="X1304" s="256">
        <f t="shared" ca="1" si="447"/>
        <v>1</v>
      </c>
      <c r="Y1304" s="250"/>
      <c r="Z1304" s="250"/>
    </row>
    <row r="1305" spans="1:26" s="111" customFormat="1" ht="25.5" x14ac:dyDescent="0.2">
      <c r="A1305" s="399"/>
      <c r="B1305" s="494"/>
      <c r="C1305" s="550" t="s">
        <v>575</v>
      </c>
      <c r="D1305" s="551">
        <v>85</v>
      </c>
      <c r="E1305" s="552" t="s">
        <v>518</v>
      </c>
      <c r="F1305" s="553">
        <v>10</v>
      </c>
      <c r="G1305" s="496"/>
      <c r="H1305" s="497"/>
      <c r="I1305" s="498"/>
      <c r="J1305" s="766">
        <v>25</v>
      </c>
      <c r="K1305" s="767">
        <v>2.4660000000000002</v>
      </c>
      <c r="L1305" s="555">
        <v>12</v>
      </c>
      <c r="M1305" s="768">
        <f t="shared" si="444"/>
        <v>41</v>
      </c>
      <c r="N1305" s="555">
        <v>0.5</v>
      </c>
      <c r="O1305" s="741"/>
      <c r="P1305" s="767"/>
      <c r="Q1305" s="556"/>
      <c r="R1305" s="558">
        <f t="shared" si="445"/>
        <v>50.553000000000004</v>
      </c>
      <c r="S1305" s="398" t="str">
        <f t="shared" si="438"/>
        <v>kg</v>
      </c>
      <c r="T1305" s="506">
        <v>26</v>
      </c>
      <c r="U1305" s="507" t="s">
        <v>519</v>
      </c>
      <c r="V1305" s="435">
        <f t="shared" ca="1" si="435"/>
        <v>50.552999999999884</v>
      </c>
      <c r="W1305" s="256">
        <f t="shared" ca="1" si="446"/>
        <v>2</v>
      </c>
      <c r="X1305" s="256">
        <f t="shared" ca="1" si="447"/>
        <v>1</v>
      </c>
      <c r="Y1305" s="250"/>
      <c r="Z1305" s="250"/>
    </row>
    <row r="1306" spans="1:26" s="111" customFormat="1" ht="25.5" x14ac:dyDescent="0.2">
      <c r="A1306" s="399"/>
      <c r="B1306" s="494"/>
      <c r="C1306" s="550" t="s">
        <v>575</v>
      </c>
      <c r="D1306" s="551">
        <v>84</v>
      </c>
      <c r="E1306" s="552" t="s">
        <v>518</v>
      </c>
      <c r="F1306" s="553">
        <v>0</v>
      </c>
      <c r="G1306" s="496"/>
      <c r="H1306" s="497"/>
      <c r="I1306" s="498"/>
      <c r="J1306" s="766">
        <v>25</v>
      </c>
      <c r="K1306" s="767">
        <v>2.4660000000000002</v>
      </c>
      <c r="L1306" s="555">
        <v>12</v>
      </c>
      <c r="M1306" s="768">
        <f t="shared" si="444"/>
        <v>41</v>
      </c>
      <c r="N1306" s="555">
        <v>0.5</v>
      </c>
      <c r="O1306" s="741"/>
      <c r="P1306" s="767"/>
      <c r="Q1306" s="556"/>
      <c r="R1306" s="558">
        <f t="shared" si="445"/>
        <v>50.553000000000004</v>
      </c>
      <c r="S1306" s="398" t="str">
        <f t="shared" si="438"/>
        <v>kg</v>
      </c>
      <c r="T1306" s="506">
        <v>26</v>
      </c>
      <c r="U1306" s="507" t="s">
        <v>519</v>
      </c>
      <c r="V1306" s="435">
        <f t="shared" ca="1" si="435"/>
        <v>50.552999999999884</v>
      </c>
      <c r="W1306" s="256">
        <f t="shared" ca="1" si="446"/>
        <v>2</v>
      </c>
      <c r="X1306" s="256">
        <f t="shared" ca="1" si="447"/>
        <v>1</v>
      </c>
      <c r="Y1306" s="250"/>
      <c r="Z1306" s="250"/>
    </row>
    <row r="1307" spans="1:26" s="111" customFormat="1" ht="25.5" x14ac:dyDescent="0.2">
      <c r="A1307" s="399"/>
      <c r="B1307" s="494"/>
      <c r="C1307" s="550" t="s">
        <v>575</v>
      </c>
      <c r="D1307" s="551">
        <v>83</v>
      </c>
      <c r="E1307" s="552" t="s">
        <v>518</v>
      </c>
      <c r="F1307" s="553">
        <v>10</v>
      </c>
      <c r="G1307" s="496"/>
      <c r="H1307" s="497"/>
      <c r="I1307" s="498"/>
      <c r="J1307" s="766">
        <v>25</v>
      </c>
      <c r="K1307" s="767">
        <v>2.4660000000000002</v>
      </c>
      <c r="L1307" s="555">
        <v>12</v>
      </c>
      <c r="M1307" s="768">
        <f t="shared" si="444"/>
        <v>41</v>
      </c>
      <c r="N1307" s="555">
        <v>0.5</v>
      </c>
      <c r="O1307" s="741"/>
      <c r="P1307" s="767"/>
      <c r="Q1307" s="556"/>
      <c r="R1307" s="558">
        <f t="shared" si="445"/>
        <v>50.553000000000004</v>
      </c>
      <c r="S1307" s="398" t="str">
        <f t="shared" si="438"/>
        <v>kg</v>
      </c>
      <c r="T1307" s="506">
        <v>26</v>
      </c>
      <c r="U1307" s="507" t="s">
        <v>519</v>
      </c>
      <c r="V1307" s="435">
        <f t="shared" ca="1" si="435"/>
        <v>50.552999999999884</v>
      </c>
      <c r="W1307" s="256">
        <f t="shared" ca="1" si="446"/>
        <v>2</v>
      </c>
      <c r="X1307" s="256">
        <f t="shared" ca="1" si="447"/>
        <v>1</v>
      </c>
      <c r="Y1307" s="250"/>
      <c r="Z1307" s="250"/>
    </row>
    <row r="1308" spans="1:26" s="111" customFormat="1" ht="25.5" x14ac:dyDescent="0.2">
      <c r="A1308" s="399"/>
      <c r="B1308" s="494"/>
      <c r="C1308" s="550" t="s">
        <v>575</v>
      </c>
      <c r="D1308" s="551">
        <v>82</v>
      </c>
      <c r="E1308" s="552" t="s">
        <v>518</v>
      </c>
      <c r="F1308" s="553">
        <v>0</v>
      </c>
      <c r="G1308" s="496"/>
      <c r="H1308" s="497"/>
      <c r="I1308" s="498"/>
      <c r="J1308" s="766">
        <v>25</v>
      </c>
      <c r="K1308" s="767">
        <v>2.4660000000000002</v>
      </c>
      <c r="L1308" s="555">
        <v>12</v>
      </c>
      <c r="M1308" s="768">
        <f t="shared" si="444"/>
        <v>41</v>
      </c>
      <c r="N1308" s="555">
        <v>0.5</v>
      </c>
      <c r="O1308" s="741"/>
      <c r="P1308" s="767"/>
      <c r="Q1308" s="556"/>
      <c r="R1308" s="558">
        <f t="shared" si="445"/>
        <v>50.553000000000004</v>
      </c>
      <c r="S1308" s="398" t="str">
        <f t="shared" si="438"/>
        <v>kg</v>
      </c>
      <c r="T1308" s="506">
        <v>27</v>
      </c>
      <c r="U1308" s="507" t="s">
        <v>519</v>
      </c>
      <c r="V1308" s="435">
        <f t="shared" ca="1" si="435"/>
        <v>50.552999999999884</v>
      </c>
      <c r="W1308" s="256">
        <f t="shared" ca="1" si="446"/>
        <v>2</v>
      </c>
      <c r="X1308" s="256">
        <f t="shared" ca="1" si="447"/>
        <v>1</v>
      </c>
      <c r="Y1308" s="250"/>
      <c r="Z1308" s="250"/>
    </row>
    <row r="1309" spans="1:26" s="111" customFormat="1" ht="25.5" x14ac:dyDescent="0.2">
      <c r="A1309" s="399"/>
      <c r="B1309" s="494"/>
      <c r="C1309" s="550" t="s">
        <v>575</v>
      </c>
      <c r="D1309" s="419">
        <v>80</v>
      </c>
      <c r="E1309" s="316" t="s">
        <v>518</v>
      </c>
      <c r="F1309" s="420">
        <v>8</v>
      </c>
      <c r="G1309" s="496"/>
      <c r="H1309" s="497"/>
      <c r="I1309" s="498"/>
      <c r="J1309" s="766">
        <v>25</v>
      </c>
      <c r="K1309" s="767">
        <v>2.4660000000000002</v>
      </c>
      <c r="L1309" s="555">
        <v>12</v>
      </c>
      <c r="M1309" s="768">
        <f t="shared" si="444"/>
        <v>41</v>
      </c>
      <c r="N1309" s="555">
        <v>0.5</v>
      </c>
      <c r="O1309" s="741"/>
      <c r="P1309" s="767"/>
      <c r="Q1309" s="556"/>
      <c r="R1309" s="558">
        <f t="shared" si="445"/>
        <v>50.553000000000004</v>
      </c>
      <c r="S1309" s="398" t="str">
        <f t="shared" si="438"/>
        <v>kg</v>
      </c>
      <c r="T1309" s="506">
        <v>28</v>
      </c>
      <c r="U1309" s="507" t="s">
        <v>519</v>
      </c>
      <c r="V1309" s="435">
        <f t="shared" ca="1" si="435"/>
        <v>50.552999999999884</v>
      </c>
      <c r="W1309" s="256">
        <f t="shared" ca="1" si="446"/>
        <v>2</v>
      </c>
      <c r="X1309" s="256">
        <f t="shared" ca="1" si="447"/>
        <v>1</v>
      </c>
      <c r="Y1309" s="250"/>
      <c r="Z1309" s="250"/>
    </row>
    <row r="1310" spans="1:26" s="111" customFormat="1" ht="25.5" x14ac:dyDescent="0.2">
      <c r="A1310" s="399"/>
      <c r="B1310" s="494"/>
      <c r="C1310" s="550" t="s">
        <v>575</v>
      </c>
      <c r="D1310" s="419">
        <v>79</v>
      </c>
      <c r="E1310" s="316" t="s">
        <v>518</v>
      </c>
      <c r="F1310" s="420">
        <v>0</v>
      </c>
      <c r="G1310" s="496"/>
      <c r="H1310" s="497"/>
      <c r="I1310" s="498"/>
      <c r="J1310" s="766">
        <v>25</v>
      </c>
      <c r="K1310" s="767">
        <v>2.4660000000000002</v>
      </c>
      <c r="L1310" s="555">
        <v>12</v>
      </c>
      <c r="M1310" s="768">
        <f t="shared" si="444"/>
        <v>41</v>
      </c>
      <c r="N1310" s="555">
        <v>0.5</v>
      </c>
      <c r="O1310" s="741"/>
      <c r="P1310" s="767"/>
      <c r="Q1310" s="556"/>
      <c r="R1310" s="558">
        <f t="shared" si="445"/>
        <v>50.553000000000004</v>
      </c>
      <c r="S1310" s="398" t="str">
        <f t="shared" si="438"/>
        <v>kg</v>
      </c>
      <c r="T1310" s="506">
        <v>29</v>
      </c>
      <c r="U1310" s="507" t="s">
        <v>519</v>
      </c>
      <c r="V1310" s="435">
        <f t="shared" ca="1" si="435"/>
        <v>50.552999999999884</v>
      </c>
      <c r="W1310" s="256">
        <f t="shared" ca="1" si="446"/>
        <v>2</v>
      </c>
      <c r="X1310" s="256">
        <f t="shared" ca="1" si="447"/>
        <v>1</v>
      </c>
      <c r="Y1310" s="250"/>
      <c r="Z1310" s="250"/>
    </row>
    <row r="1311" spans="1:26" s="111" customFormat="1" ht="25.5" x14ac:dyDescent="0.2">
      <c r="A1311" s="399"/>
      <c r="B1311" s="494"/>
      <c r="C1311" s="550" t="s">
        <v>575</v>
      </c>
      <c r="D1311" s="419">
        <v>77</v>
      </c>
      <c r="E1311" s="316" t="s">
        <v>518</v>
      </c>
      <c r="F1311" s="420">
        <v>10</v>
      </c>
      <c r="G1311" s="496"/>
      <c r="H1311" s="497"/>
      <c r="I1311" s="498"/>
      <c r="J1311" s="766">
        <v>25</v>
      </c>
      <c r="K1311" s="767">
        <v>2.4660000000000002</v>
      </c>
      <c r="L1311" s="555">
        <v>12</v>
      </c>
      <c r="M1311" s="768">
        <f t="shared" si="444"/>
        <v>41</v>
      </c>
      <c r="N1311" s="555">
        <v>0.5</v>
      </c>
      <c r="O1311" s="741"/>
      <c r="P1311" s="767"/>
      <c r="Q1311" s="556"/>
      <c r="R1311" s="558">
        <f t="shared" si="445"/>
        <v>50.553000000000004</v>
      </c>
      <c r="S1311" s="398" t="str">
        <f t="shared" si="438"/>
        <v>kg</v>
      </c>
      <c r="T1311" s="506">
        <v>29</v>
      </c>
      <c r="U1311" s="507" t="s">
        <v>519</v>
      </c>
      <c r="V1311" s="435">
        <f t="shared" ca="1" si="435"/>
        <v>50.552999999999884</v>
      </c>
      <c r="W1311" s="256">
        <f t="shared" ca="1" si="446"/>
        <v>2</v>
      </c>
      <c r="X1311" s="256">
        <f t="shared" ca="1" si="447"/>
        <v>1</v>
      </c>
      <c r="Y1311" s="250"/>
      <c r="Z1311" s="250"/>
    </row>
    <row r="1312" spans="1:26" s="111" customFormat="1" ht="25.5" x14ac:dyDescent="0.2">
      <c r="A1312" s="399"/>
      <c r="B1312" s="494"/>
      <c r="C1312" s="550" t="s">
        <v>575</v>
      </c>
      <c r="D1312" s="419">
        <v>76</v>
      </c>
      <c r="E1312" s="316" t="s">
        <v>518</v>
      </c>
      <c r="F1312" s="420">
        <v>0</v>
      </c>
      <c r="G1312" s="496"/>
      <c r="H1312" s="497"/>
      <c r="I1312" s="498"/>
      <c r="J1312" s="766">
        <v>25</v>
      </c>
      <c r="K1312" s="767">
        <v>2.4660000000000002</v>
      </c>
      <c r="L1312" s="555">
        <v>12</v>
      </c>
      <c r="M1312" s="768">
        <f t="shared" ref="M1312:M1313" si="448">ROUNDUP((L1312-0.08)/0.3,0)+1</f>
        <v>41</v>
      </c>
      <c r="N1312" s="555">
        <v>0.5</v>
      </c>
      <c r="O1312" s="741"/>
      <c r="P1312" s="767"/>
      <c r="Q1312" s="556"/>
      <c r="R1312" s="558">
        <f t="shared" ref="R1312:R1313" si="449">M1312*N1312*K1312</f>
        <v>50.553000000000004</v>
      </c>
      <c r="S1312" s="398" t="str">
        <f t="shared" si="438"/>
        <v>kg</v>
      </c>
      <c r="T1312" s="506">
        <v>30</v>
      </c>
      <c r="U1312" s="507" t="s">
        <v>519</v>
      </c>
      <c r="V1312" s="435">
        <f t="shared" ca="1" si="435"/>
        <v>50.552999999999884</v>
      </c>
      <c r="W1312" s="256">
        <f t="shared" ref="W1312:W1313" ca="1" si="450">IF(LEFT(_xlfn.FORMULATEXT(V1312),3)="=SO",1,IF(COUNTA(A1312:U1312)=0,0,2))</f>
        <v>2</v>
      </c>
      <c r="X1312" s="256">
        <f t="shared" ref="X1312" ca="1" si="451">IF(COUNTA(OFFSET(A1307,1,0))-COUNTA(A1307)=-1,0,1)</f>
        <v>1</v>
      </c>
      <c r="Y1312" s="250"/>
      <c r="Z1312" s="250"/>
    </row>
    <row r="1313" spans="1:26" s="111" customFormat="1" ht="25.5" x14ac:dyDescent="0.2">
      <c r="A1313" s="399"/>
      <c r="B1313" s="494"/>
      <c r="C1313" s="550" t="s">
        <v>575</v>
      </c>
      <c r="D1313" s="419">
        <v>74</v>
      </c>
      <c r="E1313" s="316" t="s">
        <v>518</v>
      </c>
      <c r="F1313" s="420">
        <v>10</v>
      </c>
      <c r="G1313" s="496"/>
      <c r="H1313" s="497"/>
      <c r="I1313" s="498"/>
      <c r="J1313" s="766">
        <v>25</v>
      </c>
      <c r="K1313" s="767">
        <v>2.4660000000000002</v>
      </c>
      <c r="L1313" s="555">
        <v>12</v>
      </c>
      <c r="M1313" s="768">
        <f t="shared" si="448"/>
        <v>41</v>
      </c>
      <c r="N1313" s="555">
        <v>0.5</v>
      </c>
      <c r="O1313" s="741"/>
      <c r="P1313" s="767"/>
      <c r="Q1313" s="556"/>
      <c r="R1313" s="558">
        <f t="shared" si="449"/>
        <v>50.553000000000004</v>
      </c>
      <c r="S1313" s="398" t="str">
        <f t="shared" si="438"/>
        <v>kg</v>
      </c>
      <c r="T1313" s="506">
        <v>30</v>
      </c>
      <c r="U1313" s="507" t="s">
        <v>519</v>
      </c>
      <c r="V1313" s="435">
        <f t="shared" ca="1" si="435"/>
        <v>50.552999999999884</v>
      </c>
      <c r="W1313" s="256">
        <f t="shared" ca="1" si="450"/>
        <v>2</v>
      </c>
      <c r="X1313" s="256">
        <f t="shared" ref="X1313" ca="1" si="452">IF(COUNTA(OFFSET(A1307,1,0))-COUNTA(A1307)=-1,0,1)</f>
        <v>1</v>
      </c>
      <c r="Y1313" s="250"/>
      <c r="Z1313" s="250"/>
    </row>
    <row r="1314" spans="1:26" s="111" customFormat="1" ht="25.5" x14ac:dyDescent="0.2">
      <c r="A1314" s="399"/>
      <c r="B1314" s="494"/>
      <c r="C1314" s="550" t="s">
        <v>575</v>
      </c>
      <c r="D1314" s="419">
        <v>73</v>
      </c>
      <c r="E1314" s="316" t="s">
        <v>518</v>
      </c>
      <c r="F1314" s="420">
        <v>0</v>
      </c>
      <c r="G1314" s="496"/>
      <c r="H1314" s="497"/>
      <c r="I1314" s="498"/>
      <c r="J1314" s="766">
        <v>25</v>
      </c>
      <c r="K1314" s="767">
        <v>2.4660000000000002</v>
      </c>
      <c r="L1314" s="555">
        <v>12</v>
      </c>
      <c r="M1314" s="768">
        <f t="shared" ref="M1314" si="453">ROUNDUP((L1314-0.08)/0.3,0)+1</f>
        <v>41</v>
      </c>
      <c r="N1314" s="555">
        <v>0.5</v>
      </c>
      <c r="O1314" s="741"/>
      <c r="P1314" s="767"/>
      <c r="Q1314" s="556"/>
      <c r="R1314" s="558">
        <f t="shared" ref="R1314" si="454">M1314*N1314*K1314</f>
        <v>50.553000000000004</v>
      </c>
      <c r="S1314" s="398" t="str">
        <f t="shared" si="438"/>
        <v>kg</v>
      </c>
      <c r="T1314" s="506">
        <v>31</v>
      </c>
      <c r="U1314" s="507" t="s">
        <v>519</v>
      </c>
      <c r="V1314" s="435">
        <f t="shared" ca="1" si="435"/>
        <v>50.552999999999884</v>
      </c>
      <c r="W1314" s="256">
        <f t="shared" ref="W1314" ca="1" si="455">IF(LEFT(_xlfn.FORMULATEXT(V1314),3)="=SO",1,IF(COUNTA(A1314:U1314)=0,0,2))</f>
        <v>2</v>
      </c>
      <c r="X1314" s="256">
        <f t="shared" ref="X1314" ca="1" si="456">IF(COUNTA(OFFSET(A1308,1,0))-COUNTA(A1308)=-1,0,1)</f>
        <v>1</v>
      </c>
      <c r="Y1314" s="250"/>
      <c r="Z1314" s="250"/>
    </row>
    <row r="1315" spans="1:26" s="111" customFormat="1" ht="25.5" x14ac:dyDescent="0.2">
      <c r="A1315" s="399"/>
      <c r="B1315" s="494"/>
      <c r="C1315" s="550" t="s">
        <v>575</v>
      </c>
      <c r="D1315" s="419">
        <v>72</v>
      </c>
      <c r="E1315" s="316" t="s">
        <v>518</v>
      </c>
      <c r="F1315" s="420">
        <v>10</v>
      </c>
      <c r="G1315" s="496"/>
      <c r="H1315" s="497"/>
      <c r="I1315" s="498"/>
      <c r="J1315" s="766">
        <v>25</v>
      </c>
      <c r="K1315" s="767">
        <v>2.4660000000000002</v>
      </c>
      <c r="L1315" s="555">
        <v>12</v>
      </c>
      <c r="M1315" s="768">
        <f t="shared" ref="M1315" si="457">ROUNDUP((L1315-0.08)/0.3,0)+1</f>
        <v>41</v>
      </c>
      <c r="N1315" s="555">
        <v>0.5</v>
      </c>
      <c r="O1315" s="741"/>
      <c r="P1315" s="767"/>
      <c r="Q1315" s="556"/>
      <c r="R1315" s="558">
        <f t="shared" ref="R1315" si="458">M1315*N1315*K1315</f>
        <v>50.553000000000004</v>
      </c>
      <c r="S1315" s="398" t="str">
        <f t="shared" si="438"/>
        <v>kg</v>
      </c>
      <c r="T1315" s="506">
        <v>32</v>
      </c>
      <c r="U1315" s="507" t="s">
        <v>519</v>
      </c>
      <c r="V1315" s="435">
        <f t="shared" ca="1" si="435"/>
        <v>50.552999999999884</v>
      </c>
      <c r="W1315" s="256">
        <f t="shared" ref="W1315" ca="1" si="459">IF(LEFT(_xlfn.FORMULATEXT(V1315),3)="=SO",1,IF(COUNTA(A1315:U1315)=0,0,2))</f>
        <v>2</v>
      </c>
      <c r="X1315" s="256">
        <f t="shared" ref="X1315" ca="1" si="460">IF(COUNTA(OFFSET(A1309,1,0))-COUNTA(A1309)=-1,0,1)</f>
        <v>1</v>
      </c>
      <c r="Y1315" s="250"/>
      <c r="Z1315" s="250"/>
    </row>
    <row r="1316" spans="1:26" s="111" customFormat="1" ht="25.5" x14ac:dyDescent="0.2">
      <c r="A1316" s="399"/>
      <c r="B1316" s="494"/>
      <c r="C1316" s="550" t="s">
        <v>575</v>
      </c>
      <c r="D1316" s="419">
        <v>68</v>
      </c>
      <c r="E1316" s="316" t="s">
        <v>518</v>
      </c>
      <c r="F1316" s="420">
        <v>7</v>
      </c>
      <c r="G1316" s="496"/>
      <c r="H1316" s="497"/>
      <c r="I1316" s="498"/>
      <c r="J1316" s="766">
        <v>25</v>
      </c>
      <c r="K1316" s="767">
        <v>2.4660000000000002</v>
      </c>
      <c r="L1316" s="555">
        <v>12</v>
      </c>
      <c r="M1316" s="768">
        <f t="shared" ref="M1316:M1338" si="461">ROUNDUP((L1316-0.08)/0.3,0)+1</f>
        <v>41</v>
      </c>
      <c r="N1316" s="555">
        <v>0.5</v>
      </c>
      <c r="O1316" s="741"/>
      <c r="P1316" s="767"/>
      <c r="Q1316" s="556"/>
      <c r="R1316" s="558">
        <f t="shared" ref="R1316:R1338" si="462">M1316*N1316*K1316</f>
        <v>50.553000000000004</v>
      </c>
      <c r="S1316" s="398" t="str">
        <f t="shared" si="438"/>
        <v>kg</v>
      </c>
      <c r="T1316" s="506">
        <v>33</v>
      </c>
      <c r="U1316" s="507" t="s">
        <v>519</v>
      </c>
      <c r="V1316" s="435">
        <f t="shared" ca="1" si="435"/>
        <v>50.552999999999884</v>
      </c>
      <c r="W1316" s="256">
        <f t="shared" ref="W1316" ca="1" si="463">IF(LEFT(_xlfn.FORMULATEXT(V1316),3)="=SO",1,IF(COUNTA(A1316:U1316)=0,0,2))</f>
        <v>2</v>
      </c>
      <c r="X1316" s="256">
        <f t="shared" ref="X1316" ca="1" si="464">IF(COUNTA(OFFSET(A1310,1,0))-COUNTA(A1310)=-1,0,1)</f>
        <v>1</v>
      </c>
      <c r="Y1316" s="250"/>
      <c r="Z1316" s="250"/>
    </row>
    <row r="1317" spans="1:26" s="111" customFormat="1" ht="25.5" x14ac:dyDescent="0.2">
      <c r="A1317" s="399"/>
      <c r="B1317" s="494"/>
      <c r="C1317" s="550" t="s">
        <v>575</v>
      </c>
      <c r="D1317" s="419">
        <v>66</v>
      </c>
      <c r="E1317" s="316" t="s">
        <v>518</v>
      </c>
      <c r="F1317" s="420">
        <v>17</v>
      </c>
      <c r="G1317" s="496"/>
      <c r="H1317" s="497"/>
      <c r="I1317" s="498"/>
      <c r="J1317" s="766">
        <v>25</v>
      </c>
      <c r="K1317" s="767">
        <v>2.4660000000000002</v>
      </c>
      <c r="L1317" s="555">
        <v>12</v>
      </c>
      <c r="M1317" s="768">
        <f t="shared" si="461"/>
        <v>41</v>
      </c>
      <c r="N1317" s="555">
        <v>0.5</v>
      </c>
      <c r="O1317" s="741"/>
      <c r="P1317" s="767"/>
      <c r="Q1317" s="556"/>
      <c r="R1317" s="558">
        <f t="shared" si="462"/>
        <v>50.553000000000004</v>
      </c>
      <c r="S1317" s="398" t="str">
        <f t="shared" si="438"/>
        <v>kg</v>
      </c>
      <c r="T1317" s="506">
        <v>34</v>
      </c>
      <c r="U1317" s="507" t="s">
        <v>519</v>
      </c>
      <c r="V1317" s="435">
        <f t="shared" ca="1" si="435"/>
        <v>50.552999999999884</v>
      </c>
      <c r="W1317" s="256">
        <f t="shared" ref="W1317:W1321" ca="1" si="465">IF(LEFT(_xlfn.FORMULATEXT(V1317),3)="=SO",1,IF(COUNTA(A1317:U1317)=0,0,2))</f>
        <v>2</v>
      </c>
      <c r="X1317" s="256">
        <f t="shared" ref="X1317:X1321" ca="1" si="466">IF(COUNTA(OFFSET(A1311,1,0))-COUNTA(A1311)=-1,0,1)</f>
        <v>1</v>
      </c>
      <c r="Y1317" s="250"/>
      <c r="Z1317" s="250"/>
    </row>
    <row r="1318" spans="1:26" s="111" customFormat="1" ht="25.5" x14ac:dyDescent="0.2">
      <c r="A1318" s="399"/>
      <c r="B1318" s="494"/>
      <c r="C1318" s="550" t="s">
        <v>575</v>
      </c>
      <c r="D1318" s="419">
        <v>65</v>
      </c>
      <c r="E1318" s="316" t="s">
        <v>518</v>
      </c>
      <c r="F1318" s="420">
        <v>5</v>
      </c>
      <c r="G1318" s="496"/>
      <c r="H1318" s="497"/>
      <c r="I1318" s="498"/>
      <c r="J1318" s="766">
        <v>25</v>
      </c>
      <c r="K1318" s="767">
        <v>2.4660000000000002</v>
      </c>
      <c r="L1318" s="555">
        <v>12</v>
      </c>
      <c r="M1318" s="768">
        <f t="shared" si="461"/>
        <v>41</v>
      </c>
      <c r="N1318" s="555">
        <v>0.5</v>
      </c>
      <c r="O1318" s="741"/>
      <c r="P1318" s="767"/>
      <c r="Q1318" s="556"/>
      <c r="R1318" s="558">
        <f t="shared" si="462"/>
        <v>50.553000000000004</v>
      </c>
      <c r="S1318" s="398" t="str">
        <f t="shared" si="438"/>
        <v>kg</v>
      </c>
      <c r="T1318" s="506">
        <v>34</v>
      </c>
      <c r="U1318" s="507" t="s">
        <v>519</v>
      </c>
      <c r="V1318" s="435">
        <f t="shared" ca="1" si="435"/>
        <v>50.552999999999884</v>
      </c>
      <c r="W1318" s="256">
        <f t="shared" ca="1" si="465"/>
        <v>2</v>
      </c>
      <c r="X1318" s="256">
        <f t="shared" ca="1" si="466"/>
        <v>1</v>
      </c>
      <c r="Y1318" s="250"/>
      <c r="Z1318" s="250"/>
    </row>
    <row r="1319" spans="1:26" s="111" customFormat="1" ht="25.5" x14ac:dyDescent="0.2">
      <c r="A1319" s="399"/>
      <c r="B1319" s="494"/>
      <c r="C1319" s="550" t="s">
        <v>575</v>
      </c>
      <c r="D1319" s="419">
        <v>63</v>
      </c>
      <c r="E1319" s="316" t="s">
        <v>518</v>
      </c>
      <c r="F1319" s="420">
        <v>15</v>
      </c>
      <c r="G1319" s="496"/>
      <c r="H1319" s="497"/>
      <c r="I1319" s="498"/>
      <c r="J1319" s="766">
        <v>25</v>
      </c>
      <c r="K1319" s="767">
        <v>2.4660000000000002</v>
      </c>
      <c r="L1319" s="555">
        <v>12</v>
      </c>
      <c r="M1319" s="768">
        <f t="shared" si="461"/>
        <v>41</v>
      </c>
      <c r="N1319" s="555">
        <v>0.5</v>
      </c>
      <c r="O1319" s="741"/>
      <c r="P1319" s="767"/>
      <c r="Q1319" s="556"/>
      <c r="R1319" s="558">
        <f t="shared" si="462"/>
        <v>50.553000000000004</v>
      </c>
      <c r="S1319" s="398" t="str">
        <f t="shared" si="438"/>
        <v>kg</v>
      </c>
      <c r="T1319" s="506">
        <v>35</v>
      </c>
      <c r="U1319" s="507" t="s">
        <v>519</v>
      </c>
      <c r="V1319" s="435">
        <f t="shared" ca="1" si="435"/>
        <v>50.552999999999884</v>
      </c>
      <c r="W1319" s="256">
        <f t="shared" ca="1" si="465"/>
        <v>2</v>
      </c>
      <c r="X1319" s="256">
        <f t="shared" ca="1" si="466"/>
        <v>1</v>
      </c>
      <c r="Y1319" s="250"/>
      <c r="Z1319" s="250"/>
    </row>
    <row r="1320" spans="1:26" s="111" customFormat="1" ht="25.5" x14ac:dyDescent="0.2">
      <c r="A1320" s="399"/>
      <c r="B1320" s="494"/>
      <c r="C1320" s="550" t="s">
        <v>575</v>
      </c>
      <c r="D1320" s="419">
        <v>62</v>
      </c>
      <c r="E1320" s="316" t="s">
        <v>518</v>
      </c>
      <c r="F1320" s="420">
        <v>5</v>
      </c>
      <c r="G1320" s="496"/>
      <c r="H1320" s="497"/>
      <c r="I1320" s="498"/>
      <c r="J1320" s="766">
        <v>25</v>
      </c>
      <c r="K1320" s="767">
        <v>2.4660000000000002</v>
      </c>
      <c r="L1320" s="555">
        <v>12</v>
      </c>
      <c r="M1320" s="768">
        <f t="shared" si="461"/>
        <v>41</v>
      </c>
      <c r="N1320" s="555">
        <v>0.5</v>
      </c>
      <c r="O1320" s="741"/>
      <c r="P1320" s="767"/>
      <c r="Q1320" s="556"/>
      <c r="R1320" s="558">
        <f t="shared" si="462"/>
        <v>50.553000000000004</v>
      </c>
      <c r="S1320" s="398" t="str">
        <f t="shared" si="438"/>
        <v>kg</v>
      </c>
      <c r="T1320" s="506">
        <v>35</v>
      </c>
      <c r="U1320" s="507" t="s">
        <v>519</v>
      </c>
      <c r="V1320" s="435">
        <f t="shared" ca="1" si="435"/>
        <v>50.552999999999884</v>
      </c>
      <c r="W1320" s="256">
        <f t="shared" ca="1" si="465"/>
        <v>2</v>
      </c>
      <c r="X1320" s="256">
        <f t="shared" ca="1" si="466"/>
        <v>1</v>
      </c>
      <c r="Y1320" s="250"/>
      <c r="Z1320" s="250"/>
    </row>
    <row r="1321" spans="1:26" s="111" customFormat="1" ht="25.5" x14ac:dyDescent="0.2">
      <c r="A1321" s="399"/>
      <c r="B1321" s="494"/>
      <c r="C1321" s="550" t="s">
        <v>575</v>
      </c>
      <c r="D1321" s="496">
        <v>61</v>
      </c>
      <c r="E1321" s="497" t="s">
        <v>518</v>
      </c>
      <c r="F1321" s="498">
        <v>1</v>
      </c>
      <c r="G1321" s="496"/>
      <c r="H1321" s="497"/>
      <c r="I1321" s="498"/>
      <c r="J1321" s="766">
        <v>25</v>
      </c>
      <c r="K1321" s="767">
        <v>2.4660000000000002</v>
      </c>
      <c r="L1321" s="555">
        <v>12</v>
      </c>
      <c r="M1321" s="768">
        <f t="shared" si="461"/>
        <v>41</v>
      </c>
      <c r="N1321" s="555">
        <v>0.5</v>
      </c>
      <c r="O1321" s="746"/>
      <c r="P1321" s="767"/>
      <c r="Q1321" s="931"/>
      <c r="R1321" s="558">
        <f t="shared" si="462"/>
        <v>50.553000000000004</v>
      </c>
      <c r="S1321" s="398" t="str">
        <f t="shared" si="438"/>
        <v>kg</v>
      </c>
      <c r="T1321" s="506">
        <v>36</v>
      </c>
      <c r="U1321" s="507" t="s">
        <v>519</v>
      </c>
      <c r="V1321" s="435">
        <f t="shared" ca="1" si="435"/>
        <v>50.552999999999884</v>
      </c>
      <c r="W1321" s="256">
        <f t="shared" ca="1" si="465"/>
        <v>2</v>
      </c>
      <c r="X1321" s="256">
        <f t="shared" ca="1" si="466"/>
        <v>1</v>
      </c>
      <c r="Y1321" s="250"/>
      <c r="Z1321" s="250"/>
    </row>
    <row r="1322" spans="1:26" s="111" customFormat="1" ht="25.5" x14ac:dyDescent="0.2">
      <c r="A1322" s="399"/>
      <c r="B1322" s="494"/>
      <c r="C1322" s="550" t="s">
        <v>575</v>
      </c>
      <c r="D1322" s="496">
        <v>60</v>
      </c>
      <c r="E1322" s="497" t="s">
        <v>518</v>
      </c>
      <c r="F1322" s="498">
        <v>0</v>
      </c>
      <c r="G1322" s="496"/>
      <c r="H1322" s="497"/>
      <c r="I1322" s="498"/>
      <c r="J1322" s="766">
        <v>25</v>
      </c>
      <c r="K1322" s="767">
        <v>2.4660000000000002</v>
      </c>
      <c r="L1322" s="555">
        <v>12</v>
      </c>
      <c r="M1322" s="768">
        <f t="shared" si="461"/>
        <v>41</v>
      </c>
      <c r="N1322" s="555">
        <v>0.5</v>
      </c>
      <c r="O1322" s="746"/>
      <c r="P1322" s="767"/>
      <c r="Q1322" s="931"/>
      <c r="R1322" s="558">
        <f t="shared" si="462"/>
        <v>50.553000000000004</v>
      </c>
      <c r="S1322" s="398" t="str">
        <f t="shared" si="438"/>
        <v>kg</v>
      </c>
      <c r="T1322" s="506">
        <v>36</v>
      </c>
      <c r="U1322" s="507" t="s">
        <v>519</v>
      </c>
      <c r="V1322" s="435">
        <f t="shared" ca="1" si="435"/>
        <v>50.552999999999884</v>
      </c>
      <c r="W1322" s="256">
        <f t="shared" ref="W1322:W1323" ca="1" si="467">IF(LEFT(_xlfn.FORMULATEXT(V1322),3)="=SO",1,IF(COUNTA(A1322:U1322)=0,0,2))</f>
        <v>2</v>
      </c>
      <c r="X1322" s="256">
        <f t="shared" ref="X1322:X1323" ca="1" si="468">IF(COUNTA(OFFSET(A1316,1,0))-COUNTA(A1316)=-1,0,1)</f>
        <v>1</v>
      </c>
      <c r="Y1322" s="250"/>
      <c r="Z1322" s="250"/>
    </row>
    <row r="1323" spans="1:26" s="111" customFormat="1" ht="25.5" x14ac:dyDescent="0.2">
      <c r="A1323" s="399"/>
      <c r="B1323" s="494"/>
      <c r="C1323" s="550" t="s">
        <v>575</v>
      </c>
      <c r="D1323" s="419">
        <v>57</v>
      </c>
      <c r="E1323" s="316" t="s">
        <v>518</v>
      </c>
      <c r="F1323" s="420">
        <v>16</v>
      </c>
      <c r="G1323" s="496"/>
      <c r="H1323" s="497"/>
      <c r="I1323" s="498"/>
      <c r="J1323" s="766">
        <v>25</v>
      </c>
      <c r="K1323" s="767">
        <v>2.4660000000000002</v>
      </c>
      <c r="L1323" s="555">
        <v>12</v>
      </c>
      <c r="M1323" s="768">
        <f t="shared" si="461"/>
        <v>41</v>
      </c>
      <c r="N1323" s="555">
        <v>0.5</v>
      </c>
      <c r="O1323" s="746"/>
      <c r="P1323" s="767"/>
      <c r="Q1323" s="931"/>
      <c r="R1323" s="558">
        <f t="shared" si="462"/>
        <v>50.553000000000004</v>
      </c>
      <c r="S1323" s="398" t="str">
        <f t="shared" si="438"/>
        <v>kg</v>
      </c>
      <c r="T1323" s="506">
        <v>37</v>
      </c>
      <c r="U1323" s="507" t="s">
        <v>519</v>
      </c>
      <c r="V1323" s="435">
        <f t="shared" ca="1" si="435"/>
        <v>50.552999999999884</v>
      </c>
      <c r="W1323" s="256">
        <f t="shared" ca="1" si="467"/>
        <v>2</v>
      </c>
      <c r="X1323" s="256">
        <f t="shared" ca="1" si="468"/>
        <v>1</v>
      </c>
      <c r="Y1323" s="250"/>
      <c r="Z1323" s="250"/>
    </row>
    <row r="1324" spans="1:26" s="111" customFormat="1" ht="25.5" x14ac:dyDescent="0.2">
      <c r="A1324" s="399"/>
      <c r="B1324" s="494"/>
      <c r="C1324" s="550" t="s">
        <v>575</v>
      </c>
      <c r="D1324" s="419">
        <v>56</v>
      </c>
      <c r="E1324" s="316" t="s">
        <v>518</v>
      </c>
      <c r="F1324" s="420">
        <v>0</v>
      </c>
      <c r="G1324" s="496"/>
      <c r="H1324" s="497"/>
      <c r="I1324" s="498"/>
      <c r="J1324" s="766">
        <v>25</v>
      </c>
      <c r="K1324" s="767">
        <v>2.4660000000000002</v>
      </c>
      <c r="L1324" s="555">
        <v>12</v>
      </c>
      <c r="M1324" s="768">
        <f t="shared" si="461"/>
        <v>41</v>
      </c>
      <c r="N1324" s="555">
        <v>0.5</v>
      </c>
      <c r="O1324" s="746"/>
      <c r="P1324" s="767"/>
      <c r="Q1324" s="931"/>
      <c r="R1324" s="558">
        <f t="shared" si="462"/>
        <v>50.553000000000004</v>
      </c>
      <c r="S1324" s="398" t="str">
        <f t="shared" si="438"/>
        <v>kg</v>
      </c>
      <c r="T1324" s="506">
        <v>38</v>
      </c>
      <c r="U1324" s="507" t="s">
        <v>519</v>
      </c>
      <c r="V1324" s="435">
        <f t="shared" ca="1" si="435"/>
        <v>50.552999999999884</v>
      </c>
      <c r="W1324" s="256">
        <f t="shared" ref="W1324:W1327" ca="1" si="469">IF(LEFT(_xlfn.FORMULATEXT(V1324),3)="=SO",1,IF(COUNTA(A1324:U1324)=0,0,2))</f>
        <v>2</v>
      </c>
      <c r="X1324" s="256">
        <f t="shared" ref="X1324:X1327" ca="1" si="470">IF(COUNTA(OFFSET(A1318,1,0))-COUNTA(A1318)=-1,0,1)</f>
        <v>1</v>
      </c>
      <c r="Y1324" s="250"/>
      <c r="Z1324" s="250"/>
    </row>
    <row r="1325" spans="1:26" s="111" customFormat="1" ht="25.5" x14ac:dyDescent="0.2">
      <c r="A1325" s="399"/>
      <c r="B1325" s="494"/>
      <c r="C1325" s="550" t="s">
        <v>575</v>
      </c>
      <c r="D1325" s="417">
        <v>5</v>
      </c>
      <c r="E1325" s="314" t="s">
        <v>518</v>
      </c>
      <c r="F1325" s="418">
        <v>14.5</v>
      </c>
      <c r="G1325" s="496"/>
      <c r="H1325" s="497"/>
      <c r="I1325" s="498"/>
      <c r="J1325" s="766">
        <v>25</v>
      </c>
      <c r="K1325" s="767">
        <v>2.4660000000000002</v>
      </c>
      <c r="L1325" s="555">
        <v>6</v>
      </c>
      <c r="M1325" s="768">
        <f t="shared" si="461"/>
        <v>21</v>
      </c>
      <c r="N1325" s="555">
        <v>0.5</v>
      </c>
      <c r="O1325" s="746"/>
      <c r="P1325" s="767"/>
      <c r="Q1325" s="931"/>
      <c r="R1325" s="558">
        <f t="shared" si="462"/>
        <v>25.893000000000001</v>
      </c>
      <c r="S1325" s="398" t="str">
        <f t="shared" si="438"/>
        <v>kg</v>
      </c>
      <c r="T1325" s="506">
        <v>38</v>
      </c>
      <c r="U1325" s="507" t="s">
        <v>519</v>
      </c>
      <c r="V1325" s="435">
        <f t="shared" ca="1" si="435"/>
        <v>50.552999999999884</v>
      </c>
      <c r="W1325" s="256">
        <f t="shared" ca="1" si="469"/>
        <v>2</v>
      </c>
      <c r="X1325" s="256">
        <f t="shared" ca="1" si="470"/>
        <v>1</v>
      </c>
      <c r="Y1325" s="250"/>
      <c r="Z1325" s="250"/>
    </row>
    <row r="1326" spans="1:26" s="111" customFormat="1" ht="25.5" x14ac:dyDescent="0.2">
      <c r="A1326" s="399"/>
      <c r="B1326" s="494"/>
      <c r="C1326" s="1099" t="s">
        <v>575</v>
      </c>
      <c r="D1326" s="419">
        <v>53</v>
      </c>
      <c r="E1326" s="316" t="s">
        <v>518</v>
      </c>
      <c r="F1326" s="420">
        <v>10</v>
      </c>
      <c r="G1326" s="496"/>
      <c r="H1326" s="497"/>
      <c r="I1326" s="498"/>
      <c r="J1326" s="766">
        <v>25</v>
      </c>
      <c r="K1326" s="767">
        <v>2.4660000000000002</v>
      </c>
      <c r="L1326" s="555">
        <v>12</v>
      </c>
      <c r="M1326" s="768">
        <f t="shared" si="461"/>
        <v>41</v>
      </c>
      <c r="N1326" s="555">
        <v>0.5</v>
      </c>
      <c r="O1326" s="746"/>
      <c r="P1326" s="767"/>
      <c r="Q1326" s="931"/>
      <c r="R1326" s="558">
        <f t="shared" si="462"/>
        <v>50.553000000000004</v>
      </c>
      <c r="S1326" s="505" t="str">
        <f t="shared" ref="S1326:S1328" si="471">$S$1304</f>
        <v>kg</v>
      </c>
      <c r="T1326" s="506">
        <v>39</v>
      </c>
      <c r="U1326" s="507" t="s">
        <v>519</v>
      </c>
      <c r="V1326" s="435">
        <f t="shared" ca="1" si="435"/>
        <v>50.552999999999884</v>
      </c>
      <c r="W1326" s="256">
        <f t="shared" ca="1" si="469"/>
        <v>2</v>
      </c>
      <c r="X1326" s="256">
        <f t="shared" ca="1" si="470"/>
        <v>1</v>
      </c>
      <c r="Y1326" s="250"/>
      <c r="Z1326" s="250"/>
    </row>
    <row r="1327" spans="1:26" s="111" customFormat="1" ht="25.5" x14ac:dyDescent="0.2">
      <c r="A1327" s="399"/>
      <c r="B1327" s="494"/>
      <c r="C1327" s="1099" t="s">
        <v>575</v>
      </c>
      <c r="D1327" s="419">
        <v>54</v>
      </c>
      <c r="E1327" s="316" t="s">
        <v>518</v>
      </c>
      <c r="F1327" s="420">
        <v>0</v>
      </c>
      <c r="G1327" s="496"/>
      <c r="H1327" s="497"/>
      <c r="I1327" s="498"/>
      <c r="J1327" s="766">
        <v>25</v>
      </c>
      <c r="K1327" s="767">
        <v>2.4660000000000002</v>
      </c>
      <c r="L1327" s="555">
        <v>12</v>
      </c>
      <c r="M1327" s="768">
        <f t="shared" si="461"/>
        <v>41</v>
      </c>
      <c r="N1327" s="555">
        <v>0.5</v>
      </c>
      <c r="O1327" s="746"/>
      <c r="P1327" s="767"/>
      <c r="Q1327" s="931"/>
      <c r="R1327" s="558">
        <f t="shared" si="462"/>
        <v>50.553000000000004</v>
      </c>
      <c r="S1327" s="505" t="str">
        <f t="shared" si="471"/>
        <v>kg</v>
      </c>
      <c r="T1327" s="506">
        <v>39</v>
      </c>
      <c r="U1327" s="507" t="s">
        <v>519</v>
      </c>
      <c r="V1327" s="435">
        <f t="shared" ca="1" si="435"/>
        <v>50.552999999999884</v>
      </c>
      <c r="W1327" s="256">
        <f t="shared" ca="1" si="469"/>
        <v>2</v>
      </c>
      <c r="X1327" s="256">
        <f t="shared" ca="1" si="470"/>
        <v>1</v>
      </c>
      <c r="Y1327" s="250"/>
      <c r="Z1327" s="250"/>
    </row>
    <row r="1328" spans="1:26" s="111" customFormat="1" ht="25.5" x14ac:dyDescent="0.2">
      <c r="A1328" s="399"/>
      <c r="B1328" s="494"/>
      <c r="C1328" s="1099" t="s">
        <v>575</v>
      </c>
      <c r="D1328" s="419">
        <v>51</v>
      </c>
      <c r="E1328" s="316" t="s">
        <v>518</v>
      </c>
      <c r="F1328" s="420">
        <v>8</v>
      </c>
      <c r="G1328" s="496"/>
      <c r="H1328" s="497"/>
      <c r="I1328" s="498"/>
      <c r="J1328" s="766">
        <v>25</v>
      </c>
      <c r="K1328" s="767">
        <v>2.4660000000000002</v>
      </c>
      <c r="L1328" s="555">
        <v>12</v>
      </c>
      <c r="M1328" s="768">
        <f t="shared" si="461"/>
        <v>41</v>
      </c>
      <c r="N1328" s="555">
        <v>0.5</v>
      </c>
      <c r="O1328" s="746"/>
      <c r="P1328" s="767"/>
      <c r="Q1328" s="931"/>
      <c r="R1328" s="558">
        <f t="shared" si="462"/>
        <v>50.553000000000004</v>
      </c>
      <c r="S1328" s="505" t="str">
        <f t="shared" si="471"/>
        <v>kg</v>
      </c>
      <c r="T1328" s="506">
        <v>39</v>
      </c>
      <c r="U1328" s="507" t="s">
        <v>519</v>
      </c>
      <c r="V1328" s="435">
        <f t="shared" ca="1" si="435"/>
        <v>50.552999999999884</v>
      </c>
      <c r="W1328" s="256">
        <f t="shared" ref="W1328:W1329" ca="1" si="472">IF(LEFT(_xlfn.FORMULATEXT(V1328),3)="=SO",1,IF(COUNTA(A1328:U1328)=0,0,2))</f>
        <v>2</v>
      </c>
      <c r="X1328" s="256">
        <f t="shared" ref="X1328:X1329" ca="1" si="473">IF(COUNTA(OFFSET(A1322,1,0))-COUNTA(A1322)=-1,0,1)</f>
        <v>1</v>
      </c>
      <c r="Y1328" s="250"/>
      <c r="Z1328" s="250"/>
    </row>
    <row r="1329" spans="1:26" s="111" customFormat="1" ht="25.5" x14ac:dyDescent="0.2">
      <c r="A1329" s="399"/>
      <c r="B1329" s="494"/>
      <c r="C1329" s="1108" t="s">
        <v>575</v>
      </c>
      <c r="D1329" s="417">
        <v>4</v>
      </c>
      <c r="E1329" s="314" t="s">
        <v>518</v>
      </c>
      <c r="F1329" s="418">
        <v>4.5</v>
      </c>
      <c r="G1329" s="496"/>
      <c r="H1329" s="497"/>
      <c r="I1329" s="498"/>
      <c r="J1329" s="766">
        <v>25</v>
      </c>
      <c r="K1329" s="767">
        <v>2.4660000000000002</v>
      </c>
      <c r="L1329" s="555">
        <v>6</v>
      </c>
      <c r="M1329" s="768">
        <f t="shared" si="461"/>
        <v>21</v>
      </c>
      <c r="N1329" s="555">
        <v>0.5</v>
      </c>
      <c r="O1329" s="746"/>
      <c r="P1329" s="767"/>
      <c r="Q1329" s="931"/>
      <c r="R1329" s="558">
        <f t="shared" si="462"/>
        <v>25.893000000000001</v>
      </c>
      <c r="S1329" s="505" t="str">
        <f t="shared" ref="S1329:S1330" si="474">$S$1312</f>
        <v>kg</v>
      </c>
      <c r="T1329" s="506">
        <v>40</v>
      </c>
      <c r="U1329" s="507" t="s">
        <v>519</v>
      </c>
      <c r="V1329" s="435">
        <f t="shared" ca="1" si="435"/>
        <v>50.552999999999884</v>
      </c>
      <c r="W1329" s="256">
        <f t="shared" ca="1" si="472"/>
        <v>2</v>
      </c>
      <c r="X1329" s="256">
        <f t="shared" ca="1" si="473"/>
        <v>1</v>
      </c>
      <c r="Y1329" s="250"/>
      <c r="Z1329" s="250"/>
    </row>
    <row r="1330" spans="1:26" s="111" customFormat="1" ht="25.5" x14ac:dyDescent="0.2">
      <c r="A1330" s="399"/>
      <c r="B1330" s="494"/>
      <c r="C1330" s="1108" t="s">
        <v>575</v>
      </c>
      <c r="D1330" s="419">
        <v>49</v>
      </c>
      <c r="E1330" s="316" t="s">
        <v>518</v>
      </c>
      <c r="F1330" s="420">
        <v>9</v>
      </c>
      <c r="G1330" s="496"/>
      <c r="H1330" s="497"/>
      <c r="I1330" s="498"/>
      <c r="J1330" s="766">
        <v>25</v>
      </c>
      <c r="K1330" s="767">
        <v>2.4660000000000002</v>
      </c>
      <c r="L1330" s="555">
        <v>12</v>
      </c>
      <c r="M1330" s="768">
        <f t="shared" si="461"/>
        <v>41</v>
      </c>
      <c r="N1330" s="555">
        <v>0.5</v>
      </c>
      <c r="O1330" s="746"/>
      <c r="P1330" s="767"/>
      <c r="Q1330" s="931"/>
      <c r="R1330" s="558">
        <f t="shared" si="462"/>
        <v>50.553000000000004</v>
      </c>
      <c r="S1330" s="505" t="str">
        <f t="shared" si="474"/>
        <v>kg</v>
      </c>
      <c r="T1330" s="506">
        <v>40</v>
      </c>
      <c r="U1330" s="507" t="s">
        <v>519</v>
      </c>
      <c r="V1330" s="435">
        <f t="shared" ca="1" si="435"/>
        <v>50.552999999999884</v>
      </c>
      <c r="W1330" s="256">
        <f t="shared" ref="W1330" ca="1" si="475">IF(LEFT(_xlfn.FORMULATEXT(V1330),3)="=SO",1,IF(COUNTA(A1330:U1330)=0,0,2))</f>
        <v>2</v>
      </c>
      <c r="X1330" s="256">
        <f t="shared" ref="X1330" ca="1" si="476">IF(COUNTA(OFFSET(A1324,1,0))-COUNTA(A1324)=-1,0,1)</f>
        <v>1</v>
      </c>
      <c r="Y1330" s="250"/>
      <c r="Z1330" s="250"/>
    </row>
    <row r="1331" spans="1:26" s="111" customFormat="1" ht="25.5" x14ac:dyDescent="0.2">
      <c r="A1331" s="399"/>
      <c r="B1331" s="494"/>
      <c r="C1331" s="1108" t="s">
        <v>575</v>
      </c>
      <c r="D1331" s="417">
        <v>3</v>
      </c>
      <c r="E1331" s="314" t="s">
        <v>518</v>
      </c>
      <c r="F1331" s="418">
        <v>0</v>
      </c>
      <c r="G1331" s="496"/>
      <c r="H1331" s="497"/>
      <c r="I1331" s="498"/>
      <c r="J1331" s="766">
        <v>25</v>
      </c>
      <c r="K1331" s="767">
        <v>2.4660000000000002</v>
      </c>
      <c r="L1331" s="555">
        <v>6</v>
      </c>
      <c r="M1331" s="768">
        <f t="shared" si="461"/>
        <v>21</v>
      </c>
      <c r="N1331" s="555">
        <v>0.5</v>
      </c>
      <c r="O1331" s="746"/>
      <c r="P1331" s="767"/>
      <c r="Q1331" s="931"/>
      <c r="R1331" s="558">
        <f t="shared" si="462"/>
        <v>25.893000000000001</v>
      </c>
      <c r="S1331" s="505" t="str">
        <f t="shared" ref="S1331:S1333" si="477">$S$1316</f>
        <v>kg</v>
      </c>
      <c r="T1331" s="506">
        <v>41</v>
      </c>
      <c r="U1331" s="507" t="s">
        <v>519</v>
      </c>
      <c r="V1331" s="435">
        <f t="shared" ca="1" si="435"/>
        <v>50.552999999999884</v>
      </c>
      <c r="W1331" s="256">
        <f t="shared" ref="W1331:W1333" ca="1" si="478">IF(LEFT(_xlfn.FORMULATEXT(V1331),3)="=SO",1,IF(COUNTA(A1331:U1331)=0,0,2))</f>
        <v>2</v>
      </c>
      <c r="X1331" s="256">
        <f t="shared" ref="X1331:X1333" ca="1" si="479">IF(COUNTA(OFFSET(A1325,1,0))-COUNTA(A1325)=-1,0,1)</f>
        <v>1</v>
      </c>
      <c r="Y1331" s="250"/>
      <c r="Z1331" s="250"/>
    </row>
    <row r="1332" spans="1:26" s="111" customFormat="1" ht="25.5" x14ac:dyDescent="0.2">
      <c r="A1332" s="399"/>
      <c r="B1332" s="494"/>
      <c r="C1332" s="1108" t="s">
        <v>575</v>
      </c>
      <c r="D1332" s="417">
        <v>2</v>
      </c>
      <c r="E1332" s="314" t="s">
        <v>518</v>
      </c>
      <c r="F1332" s="418">
        <v>6</v>
      </c>
      <c r="G1332" s="496"/>
      <c r="H1332" s="497"/>
      <c r="I1332" s="498"/>
      <c r="J1332" s="766">
        <v>25</v>
      </c>
      <c r="K1332" s="767">
        <v>2.4660000000000002</v>
      </c>
      <c r="L1332" s="555">
        <v>6</v>
      </c>
      <c r="M1332" s="768">
        <f t="shared" si="461"/>
        <v>21</v>
      </c>
      <c r="N1332" s="555">
        <v>0.5</v>
      </c>
      <c r="O1332" s="746"/>
      <c r="P1332" s="767"/>
      <c r="Q1332" s="931"/>
      <c r="R1332" s="558">
        <f t="shared" si="462"/>
        <v>25.893000000000001</v>
      </c>
      <c r="S1332" s="505" t="str">
        <f t="shared" si="477"/>
        <v>kg</v>
      </c>
      <c r="T1332" s="506">
        <v>41</v>
      </c>
      <c r="U1332" s="507" t="s">
        <v>519</v>
      </c>
      <c r="V1332" s="435">
        <f t="shared" ca="1" si="435"/>
        <v>50.552999999999884</v>
      </c>
      <c r="W1332" s="256">
        <f t="shared" ca="1" si="478"/>
        <v>2</v>
      </c>
      <c r="X1332" s="256">
        <f t="shared" ca="1" si="479"/>
        <v>1</v>
      </c>
      <c r="Y1332" s="250"/>
      <c r="Z1332" s="250"/>
    </row>
    <row r="1333" spans="1:26" s="111" customFormat="1" ht="25.5" x14ac:dyDescent="0.2">
      <c r="A1333" s="399"/>
      <c r="B1333" s="494"/>
      <c r="C1333" s="1108" t="s">
        <v>575</v>
      </c>
      <c r="D1333" s="419">
        <v>48</v>
      </c>
      <c r="E1333" s="316" t="s">
        <v>518</v>
      </c>
      <c r="F1333" s="420">
        <v>8</v>
      </c>
      <c r="G1333" s="496"/>
      <c r="H1333" s="497"/>
      <c r="I1333" s="498"/>
      <c r="J1333" s="766">
        <v>25</v>
      </c>
      <c r="K1333" s="767">
        <v>2.4660000000000002</v>
      </c>
      <c r="L1333" s="555">
        <v>12</v>
      </c>
      <c r="M1333" s="768">
        <f t="shared" si="461"/>
        <v>41</v>
      </c>
      <c r="N1333" s="555">
        <v>0.5</v>
      </c>
      <c r="O1333" s="746"/>
      <c r="P1333" s="767"/>
      <c r="Q1333" s="931"/>
      <c r="R1333" s="558">
        <f t="shared" si="462"/>
        <v>50.553000000000004</v>
      </c>
      <c r="S1333" s="505" t="str">
        <f t="shared" si="477"/>
        <v>kg</v>
      </c>
      <c r="T1333" s="506">
        <v>41</v>
      </c>
      <c r="U1333" s="507" t="s">
        <v>519</v>
      </c>
      <c r="V1333" s="435">
        <f t="shared" ca="1" si="435"/>
        <v>50.552999999999884</v>
      </c>
      <c r="W1333" s="256">
        <f t="shared" ca="1" si="478"/>
        <v>2</v>
      </c>
      <c r="X1333" s="256">
        <f t="shared" ca="1" si="479"/>
        <v>1</v>
      </c>
      <c r="Y1333" s="250"/>
      <c r="Z1333" s="250"/>
    </row>
    <row r="1334" spans="1:26" s="111" customFormat="1" ht="25.5" x14ac:dyDescent="0.2">
      <c r="A1334" s="399"/>
      <c r="B1334" s="494"/>
      <c r="C1334" s="1108" t="s">
        <v>575</v>
      </c>
      <c r="D1334" s="419">
        <v>45</v>
      </c>
      <c r="E1334" s="316" t="s">
        <v>518</v>
      </c>
      <c r="F1334" s="420">
        <v>18</v>
      </c>
      <c r="G1334" s="496"/>
      <c r="H1334" s="497"/>
      <c r="I1334" s="498"/>
      <c r="J1334" s="766">
        <v>25</v>
      </c>
      <c r="K1334" s="767">
        <v>2.4660000000000002</v>
      </c>
      <c r="L1334" s="555">
        <v>12</v>
      </c>
      <c r="M1334" s="768">
        <f t="shared" si="461"/>
        <v>41</v>
      </c>
      <c r="N1334" s="555">
        <v>0.5</v>
      </c>
      <c r="O1334" s="746"/>
      <c r="P1334" s="767"/>
      <c r="Q1334" s="931"/>
      <c r="R1334" s="558">
        <f t="shared" si="462"/>
        <v>50.553000000000004</v>
      </c>
      <c r="S1334" s="505" t="str">
        <f t="shared" ref="S1334:S1335" si="480">$S$1319</f>
        <v>kg</v>
      </c>
      <c r="T1334" s="506">
        <v>42</v>
      </c>
      <c r="U1334" s="507" t="s">
        <v>519</v>
      </c>
      <c r="V1334" s="435">
        <f t="shared" ca="1" si="435"/>
        <v>50.552999999999884</v>
      </c>
      <c r="W1334" s="256">
        <f t="shared" ref="W1334:W1346" ca="1" si="481">IF(LEFT(_xlfn.FORMULATEXT(V1334),3)="=SO",1,IF(COUNTA(A1334:U1334)=0,0,2))</f>
        <v>2</v>
      </c>
      <c r="X1334" s="256">
        <f t="shared" ref="X1334:X1346" ca="1" si="482">IF(COUNTA(OFFSET(A1328,1,0))-COUNTA(A1328)=-1,0,1)</f>
        <v>1</v>
      </c>
      <c r="Y1334" s="250"/>
      <c r="Z1334" s="250"/>
    </row>
    <row r="1335" spans="1:26" s="111" customFormat="1" ht="25.5" x14ac:dyDescent="0.2">
      <c r="A1335" s="399"/>
      <c r="B1335" s="494"/>
      <c r="C1335" s="1108" t="s">
        <v>575</v>
      </c>
      <c r="D1335" s="419">
        <v>45</v>
      </c>
      <c r="E1335" s="316" t="s">
        <v>518</v>
      </c>
      <c r="F1335" s="420">
        <v>8</v>
      </c>
      <c r="G1335" s="496"/>
      <c r="H1335" s="497"/>
      <c r="I1335" s="498"/>
      <c r="J1335" s="766">
        <v>25</v>
      </c>
      <c r="K1335" s="767">
        <v>2.4660000000000002</v>
      </c>
      <c r="L1335" s="555">
        <v>12</v>
      </c>
      <c r="M1335" s="768">
        <f t="shared" si="461"/>
        <v>41</v>
      </c>
      <c r="N1335" s="555">
        <v>0.5</v>
      </c>
      <c r="O1335" s="746"/>
      <c r="P1335" s="767"/>
      <c r="Q1335" s="931"/>
      <c r="R1335" s="558">
        <f t="shared" si="462"/>
        <v>50.553000000000004</v>
      </c>
      <c r="S1335" s="505" t="str">
        <f t="shared" si="480"/>
        <v>kg</v>
      </c>
      <c r="T1335" s="506">
        <v>42</v>
      </c>
      <c r="U1335" s="507" t="s">
        <v>519</v>
      </c>
      <c r="V1335" s="435">
        <f t="shared" ca="1" si="435"/>
        <v>50.552999999999884</v>
      </c>
      <c r="W1335" s="256">
        <f t="shared" ca="1" si="481"/>
        <v>2</v>
      </c>
      <c r="X1335" s="256">
        <f t="shared" ca="1" si="482"/>
        <v>1</v>
      </c>
      <c r="Y1335" s="250"/>
      <c r="Z1335" s="250"/>
    </row>
    <row r="1336" spans="1:26" s="111" customFormat="1" ht="25.5" x14ac:dyDescent="0.2">
      <c r="A1336" s="399"/>
      <c r="B1336" s="494"/>
      <c r="C1336" s="1108" t="s">
        <v>575</v>
      </c>
      <c r="D1336" s="419">
        <v>43</v>
      </c>
      <c r="E1336" s="316" t="s">
        <v>518</v>
      </c>
      <c r="F1336" s="420">
        <v>18</v>
      </c>
      <c r="G1336" s="496"/>
      <c r="H1336" s="497"/>
      <c r="I1336" s="498"/>
      <c r="J1336" s="766">
        <v>25</v>
      </c>
      <c r="K1336" s="767">
        <v>2.4660000000000002</v>
      </c>
      <c r="L1336" s="555">
        <v>12</v>
      </c>
      <c r="M1336" s="768">
        <f t="shared" si="461"/>
        <v>41</v>
      </c>
      <c r="N1336" s="555">
        <v>0.5</v>
      </c>
      <c r="O1336" s="746"/>
      <c r="P1336" s="767"/>
      <c r="Q1336" s="931"/>
      <c r="R1336" s="558">
        <f t="shared" si="462"/>
        <v>50.553000000000004</v>
      </c>
      <c r="S1336" s="505" t="str">
        <f t="shared" ref="S1336:S1337" si="483">$S$1320</f>
        <v>kg</v>
      </c>
      <c r="T1336" s="506">
        <v>43</v>
      </c>
      <c r="U1336" s="507" t="s">
        <v>519</v>
      </c>
      <c r="V1336" s="435">
        <f t="shared" ca="1" si="435"/>
        <v>50.552999999999884</v>
      </c>
      <c r="W1336" s="256">
        <f t="shared" ca="1" si="481"/>
        <v>2</v>
      </c>
      <c r="X1336" s="256">
        <f t="shared" ca="1" si="482"/>
        <v>1</v>
      </c>
      <c r="Y1336" s="250"/>
      <c r="Z1336" s="250"/>
    </row>
    <row r="1337" spans="1:26" s="111" customFormat="1" ht="25.5" x14ac:dyDescent="0.2">
      <c r="A1337" s="399"/>
      <c r="B1337" s="494"/>
      <c r="C1337" s="1108" t="s">
        <v>575</v>
      </c>
      <c r="D1337" s="419">
        <v>42</v>
      </c>
      <c r="E1337" s="316" t="s">
        <v>518</v>
      </c>
      <c r="F1337" s="420">
        <v>8</v>
      </c>
      <c r="G1337" s="496"/>
      <c r="H1337" s="497"/>
      <c r="I1337" s="498"/>
      <c r="J1337" s="766">
        <v>25</v>
      </c>
      <c r="K1337" s="767">
        <v>2.4660000000000002</v>
      </c>
      <c r="L1337" s="555">
        <v>12</v>
      </c>
      <c r="M1337" s="768">
        <f t="shared" si="461"/>
        <v>41</v>
      </c>
      <c r="N1337" s="555">
        <v>0.5</v>
      </c>
      <c r="O1337" s="746"/>
      <c r="P1337" s="767"/>
      <c r="Q1337" s="931"/>
      <c r="R1337" s="558">
        <f t="shared" si="462"/>
        <v>50.553000000000004</v>
      </c>
      <c r="S1337" s="505" t="str">
        <f t="shared" si="483"/>
        <v>kg</v>
      </c>
      <c r="T1337" s="506">
        <v>43</v>
      </c>
      <c r="U1337" s="507" t="s">
        <v>519</v>
      </c>
      <c r="V1337" s="435">
        <f t="shared" ca="1" si="435"/>
        <v>50.552999999999884</v>
      </c>
      <c r="W1337" s="256">
        <f t="shared" ca="1" si="481"/>
        <v>2</v>
      </c>
      <c r="X1337" s="256">
        <f t="shared" ca="1" si="482"/>
        <v>1</v>
      </c>
      <c r="Y1337" s="250"/>
      <c r="Z1337" s="250"/>
    </row>
    <row r="1338" spans="1:26" s="111" customFormat="1" ht="25.5" x14ac:dyDescent="0.2">
      <c r="A1338" s="399"/>
      <c r="B1338" s="494"/>
      <c r="C1338" s="1108" t="s">
        <v>575</v>
      </c>
      <c r="D1338" s="419">
        <v>39</v>
      </c>
      <c r="E1338" s="316" t="s">
        <v>518</v>
      </c>
      <c r="F1338" s="420">
        <v>3</v>
      </c>
      <c r="G1338" s="496"/>
      <c r="H1338" s="497"/>
      <c r="I1338" s="498"/>
      <c r="J1338" s="766">
        <v>25</v>
      </c>
      <c r="K1338" s="767">
        <v>2.4660000000000002</v>
      </c>
      <c r="L1338" s="555">
        <v>12</v>
      </c>
      <c r="M1338" s="768">
        <f t="shared" si="461"/>
        <v>41</v>
      </c>
      <c r="N1338" s="555">
        <v>0.5</v>
      </c>
      <c r="O1338" s="746"/>
      <c r="P1338" s="767"/>
      <c r="Q1338" s="931"/>
      <c r="R1338" s="558">
        <f t="shared" si="462"/>
        <v>50.553000000000004</v>
      </c>
      <c r="S1338" s="505" t="str">
        <f t="shared" ref="S1338" si="484">$S$1315</f>
        <v>kg</v>
      </c>
      <c r="T1338" s="506">
        <v>44</v>
      </c>
      <c r="U1338" s="507" t="s">
        <v>519</v>
      </c>
      <c r="V1338" s="435">
        <f t="shared" ca="1" si="435"/>
        <v>50.552999999999884</v>
      </c>
      <c r="W1338" s="256">
        <f t="shared" ca="1" si="481"/>
        <v>2</v>
      </c>
      <c r="X1338" s="256">
        <f t="shared" ca="1" si="482"/>
        <v>1</v>
      </c>
      <c r="Y1338" s="250"/>
      <c r="Z1338" s="250"/>
    </row>
    <row r="1339" spans="1:26" s="111" customFormat="1" ht="15" x14ac:dyDescent="0.2">
      <c r="A1339" s="399"/>
      <c r="B1339" s="494"/>
      <c r="C1339" s="1108"/>
      <c r="D1339" s="496"/>
      <c r="E1339" s="497"/>
      <c r="F1339" s="498"/>
      <c r="G1339" s="496"/>
      <c r="H1339" s="497"/>
      <c r="I1339" s="498"/>
      <c r="J1339" s="766"/>
      <c r="K1339" s="767"/>
      <c r="L1339" s="743"/>
      <c r="M1339" s="768"/>
      <c r="N1339" s="555"/>
      <c r="O1339" s="746"/>
      <c r="P1339" s="767"/>
      <c r="Q1339" s="931"/>
      <c r="R1339" s="558"/>
      <c r="S1339" s="771"/>
      <c r="T1339" s="506"/>
      <c r="U1339" s="507"/>
      <c r="V1339" s="435">
        <f t="shared" ca="1" si="435"/>
        <v>50.552999999999884</v>
      </c>
      <c r="W1339" s="256">
        <f t="shared" ca="1" si="481"/>
        <v>0</v>
      </c>
      <c r="X1339" s="256">
        <f t="shared" ca="1" si="482"/>
        <v>1</v>
      </c>
      <c r="Y1339" s="250"/>
      <c r="Z1339" s="250"/>
    </row>
    <row r="1340" spans="1:26" s="111" customFormat="1" ht="15" x14ac:dyDescent="0.2">
      <c r="A1340" s="399"/>
      <c r="B1340" s="494"/>
      <c r="C1340" s="1108"/>
      <c r="D1340" s="496"/>
      <c r="E1340" s="497"/>
      <c r="F1340" s="498"/>
      <c r="G1340" s="496"/>
      <c r="H1340" s="497"/>
      <c r="I1340" s="498"/>
      <c r="J1340" s="766"/>
      <c r="K1340" s="767"/>
      <c r="L1340" s="743"/>
      <c r="M1340" s="768"/>
      <c r="N1340" s="555"/>
      <c r="O1340" s="746"/>
      <c r="P1340" s="767"/>
      <c r="Q1340" s="931"/>
      <c r="R1340" s="558"/>
      <c r="S1340" s="771"/>
      <c r="T1340" s="506"/>
      <c r="U1340" s="507"/>
      <c r="V1340" s="435">
        <f t="shared" ca="1" si="435"/>
        <v>50.552999999999884</v>
      </c>
      <c r="W1340" s="256">
        <f t="shared" ca="1" si="481"/>
        <v>0</v>
      </c>
      <c r="X1340" s="256">
        <f t="shared" ca="1" si="482"/>
        <v>1</v>
      </c>
      <c r="Y1340" s="250"/>
      <c r="Z1340" s="250"/>
    </row>
    <row r="1341" spans="1:26" s="111" customFormat="1" ht="15" x14ac:dyDescent="0.2">
      <c r="A1341" s="399"/>
      <c r="B1341" s="494"/>
      <c r="C1341" s="1108"/>
      <c r="D1341" s="496"/>
      <c r="E1341" s="497"/>
      <c r="F1341" s="498"/>
      <c r="G1341" s="496"/>
      <c r="H1341" s="497"/>
      <c r="I1341" s="498"/>
      <c r="J1341" s="766"/>
      <c r="K1341" s="767"/>
      <c r="L1341" s="743"/>
      <c r="M1341" s="768"/>
      <c r="N1341" s="555"/>
      <c r="O1341" s="746"/>
      <c r="P1341" s="767"/>
      <c r="Q1341" s="931"/>
      <c r="R1341" s="558"/>
      <c r="S1341" s="771"/>
      <c r="T1341" s="506"/>
      <c r="U1341" s="507"/>
      <c r="V1341" s="435">
        <f t="shared" ca="1" si="435"/>
        <v>50.552999999999884</v>
      </c>
      <c r="W1341" s="256">
        <f t="shared" ca="1" si="481"/>
        <v>0</v>
      </c>
      <c r="X1341" s="256">
        <f t="shared" ca="1" si="482"/>
        <v>1</v>
      </c>
      <c r="Y1341" s="250"/>
      <c r="Z1341" s="250"/>
    </row>
    <row r="1342" spans="1:26" s="111" customFormat="1" ht="15" x14ac:dyDescent="0.2">
      <c r="A1342" s="399"/>
      <c r="B1342" s="494"/>
      <c r="C1342" s="550"/>
      <c r="D1342" s="496"/>
      <c r="E1342" s="497"/>
      <c r="F1342" s="498"/>
      <c r="G1342" s="496"/>
      <c r="H1342" s="497"/>
      <c r="I1342" s="498"/>
      <c r="J1342" s="766"/>
      <c r="K1342" s="767"/>
      <c r="L1342" s="743"/>
      <c r="M1342" s="768"/>
      <c r="N1342" s="555"/>
      <c r="O1342" s="746"/>
      <c r="P1342" s="767"/>
      <c r="Q1342" s="931"/>
      <c r="R1342" s="558"/>
      <c r="S1342" s="505"/>
      <c r="T1342" s="506"/>
      <c r="U1342" s="507"/>
      <c r="V1342" s="435">
        <f t="shared" ca="1" si="435"/>
        <v>50.552999999999884</v>
      </c>
      <c r="W1342" s="256">
        <f t="shared" ca="1" si="481"/>
        <v>0</v>
      </c>
      <c r="X1342" s="256">
        <f t="shared" ca="1" si="482"/>
        <v>1</v>
      </c>
      <c r="Y1342" s="250"/>
      <c r="Z1342" s="250"/>
    </row>
    <row r="1343" spans="1:26" s="111" customFormat="1" ht="15" x14ac:dyDescent="0.2">
      <c r="A1343" s="288"/>
      <c r="B1343" s="338"/>
      <c r="C1343" s="339"/>
      <c r="D1343" s="340"/>
      <c r="E1343" s="341"/>
      <c r="F1343" s="342"/>
      <c r="G1343" s="340"/>
      <c r="H1343" s="341"/>
      <c r="I1343" s="342"/>
      <c r="J1343" s="518"/>
      <c r="K1343" s="345"/>
      <c r="L1343" s="344"/>
      <c r="M1343" s="994"/>
      <c r="N1343" s="345"/>
      <c r="O1343" s="348"/>
      <c r="P1343" s="345"/>
      <c r="Q1343" s="349"/>
      <c r="R1343" s="350"/>
      <c r="S1343" s="351"/>
      <c r="T1343" s="352"/>
      <c r="U1343" s="353"/>
      <c r="V1343" s="435">
        <f t="shared" ca="1" si="435"/>
        <v>50.552999999999884</v>
      </c>
      <c r="W1343" s="256">
        <f t="shared" ca="1" si="481"/>
        <v>0</v>
      </c>
      <c r="X1343" s="256">
        <f t="shared" ca="1" si="482"/>
        <v>1</v>
      </c>
      <c r="Y1343" s="250"/>
      <c r="Z1343" s="250"/>
    </row>
    <row r="1344" spans="1:26" s="111" customFormat="1" ht="15.75" x14ac:dyDescent="0.2">
      <c r="A1344" s="288"/>
      <c r="B1344" s="354"/>
      <c r="C1344" s="355"/>
      <c r="D1344" s="1354" t="s">
        <v>492</v>
      </c>
      <c r="E1344" s="1355"/>
      <c r="F1344" s="1355"/>
      <c r="G1344" s="1355"/>
      <c r="H1344" s="1355"/>
      <c r="I1344" s="1356"/>
      <c r="J1344" s="1357">
        <f>VLOOKUP(A1346,'11 - FINANCEIRO'!_xlnm.Print_Area,6,FALSE)</f>
        <v>3303.21</v>
      </c>
      <c r="K1344" s="1358"/>
      <c r="L1344" s="356" t="str">
        <f>VLOOKUP(A1346,'11 - FINANCEIRO'!_xlnm.Print_Area,4,FALSE)</f>
        <v>kg</v>
      </c>
      <c r="M1344" s="1359" t="s">
        <v>493</v>
      </c>
      <c r="N1344" s="1360"/>
      <c r="O1344" s="1360"/>
      <c r="P1344" s="1360"/>
      <c r="Q1344" s="1361"/>
      <c r="R1344" s="357">
        <f>TRUNC(SUM(R1278:R1343),3)</f>
        <v>2898.7829999999999</v>
      </c>
      <c r="S1344" s="358" t="str">
        <f>L1344</f>
        <v>kg</v>
      </c>
      <c r="T1344" s="1384"/>
      <c r="U1344" s="1385"/>
      <c r="V1344" s="435">
        <f t="shared" ca="1" si="435"/>
        <v>50.552999999999884</v>
      </c>
      <c r="W1344" s="256">
        <f t="shared" ca="1" si="481"/>
        <v>2</v>
      </c>
      <c r="X1344" s="256">
        <f t="shared" ca="1" si="482"/>
        <v>1</v>
      </c>
      <c r="Y1344" s="250"/>
      <c r="Z1344" s="250"/>
    </row>
    <row r="1345" spans="1:29" s="293" customFormat="1" ht="15.75" x14ac:dyDescent="0.2">
      <c r="A1345" s="288"/>
      <c r="B1345" s="354"/>
      <c r="C1345" s="361"/>
      <c r="D1345" s="1362" t="s">
        <v>494</v>
      </c>
      <c r="E1345" s="1363"/>
      <c r="F1345" s="1363"/>
      <c r="G1345" s="1363"/>
      <c r="H1345" s="1363"/>
      <c r="I1345" s="1364"/>
      <c r="J1345" s="1365">
        <f>R1344/J1344</f>
        <v>0.87756545905346617</v>
      </c>
      <c r="K1345" s="1366"/>
      <c r="L1345" s="1369"/>
      <c r="M1345" s="1371" t="s">
        <v>495</v>
      </c>
      <c r="N1345" s="1372"/>
      <c r="O1345" s="1372"/>
      <c r="P1345" s="1372"/>
      <c r="Q1345" s="1373"/>
      <c r="R1345" s="362">
        <f>VLOOKUP(A1346,'11 - FINANCEIRO'!_xlnm.Print_Area,8,FALSE)</f>
        <v>2848.23</v>
      </c>
      <c r="S1345" s="363" t="str">
        <f>L1344</f>
        <v>kg</v>
      </c>
      <c r="T1345" s="1386"/>
      <c r="U1345" s="1387"/>
      <c r="V1345" s="435">
        <f t="shared" ca="1" si="435"/>
        <v>50.552999999999884</v>
      </c>
      <c r="W1345" s="256">
        <f t="shared" ca="1" si="481"/>
        <v>2</v>
      </c>
      <c r="X1345" s="256">
        <f t="shared" ca="1" si="482"/>
        <v>1</v>
      </c>
      <c r="Y1345" s="256"/>
      <c r="Z1345" s="256"/>
      <c r="AA1345" s="292"/>
      <c r="AB1345" s="292"/>
      <c r="AC1345" s="292"/>
    </row>
    <row r="1346" spans="1:29" s="293" customFormat="1" ht="15.75" x14ac:dyDescent="0.2">
      <c r="A1346" s="288" t="s">
        <v>32</v>
      </c>
      <c r="B1346" s="364"/>
      <c r="C1346" s="365"/>
      <c r="D1346" s="1354"/>
      <c r="E1346" s="1355"/>
      <c r="F1346" s="1355"/>
      <c r="G1346" s="1355"/>
      <c r="H1346" s="1355"/>
      <c r="I1346" s="1356"/>
      <c r="J1346" s="1367"/>
      <c r="K1346" s="1368"/>
      <c r="L1346" s="1370"/>
      <c r="M1346" s="1371" t="s">
        <v>496</v>
      </c>
      <c r="N1346" s="1372"/>
      <c r="O1346" s="1372"/>
      <c r="P1346" s="1372"/>
      <c r="Q1346" s="1373"/>
      <c r="R1346" s="362">
        <f>R1344-R1345</f>
        <v>50.552999999999884</v>
      </c>
      <c r="S1346" s="363" t="str">
        <f>L1344</f>
        <v>kg</v>
      </c>
      <c r="T1346" s="1388"/>
      <c r="U1346" s="1389"/>
      <c r="V1346" s="435">
        <f t="shared" ca="1" si="435"/>
        <v>50.552999999999884</v>
      </c>
      <c r="W1346" s="256">
        <f t="shared" ca="1" si="481"/>
        <v>2</v>
      </c>
      <c r="X1346" s="256">
        <f t="shared" ca="1" si="482"/>
        <v>1</v>
      </c>
      <c r="Y1346" s="256"/>
      <c r="Z1346" s="256"/>
      <c r="AA1346" s="292"/>
      <c r="AB1346" s="292"/>
      <c r="AC1346" s="292"/>
    </row>
    <row r="1347" spans="1:29" s="111" customFormat="1" ht="15.75" x14ac:dyDescent="0.2">
      <c r="A1347" s="288"/>
      <c r="B1347" s="368"/>
      <c r="C1347" s="365"/>
      <c r="D1347" s="369"/>
      <c r="E1347" s="370"/>
      <c r="F1347" s="369"/>
      <c r="G1347" s="369"/>
      <c r="H1347" s="369"/>
      <c r="I1347" s="369"/>
      <c r="J1347" s="371"/>
      <c r="K1347" s="372"/>
      <c r="L1347" s="373"/>
      <c r="M1347" s="374"/>
      <c r="N1347" s="374"/>
      <c r="O1347" s="374"/>
      <c r="P1347" s="374"/>
      <c r="Q1347" s="374"/>
      <c r="R1347" s="375"/>
      <c r="S1347" s="376"/>
      <c r="T1347" s="377"/>
      <c r="U1347" s="378"/>
      <c r="V1347" s="379">
        <f ca="1">SUM(V1276:V1346)</f>
        <v>3589.2629999999917</v>
      </c>
      <c r="W1347" s="256">
        <f t="shared" ca="1" si="418"/>
        <v>1</v>
      </c>
      <c r="X1347" s="256">
        <f t="shared" ca="1" si="439"/>
        <v>0</v>
      </c>
      <c r="Y1347" s="250"/>
      <c r="Z1347" s="250"/>
    </row>
    <row r="1348" spans="1:29" s="293" customFormat="1" ht="15.75" customHeight="1" x14ac:dyDescent="0.2">
      <c r="A1348" s="288"/>
      <c r="B1348" s="1374" t="str">
        <f>VLOOKUP(A1386,'11 - FINANCEIRO'!_xlnm.Print_Area,1,FALSE)</f>
        <v>2.1.7</v>
      </c>
      <c r="C1348" s="1376" t="str">
        <f>VLOOKUP(A1386,'11 - FINANCEIRO'!_xlnm.Print_Area,3,FALSE)</f>
        <v>Concreto Magro - Confecção Em Betoneira E Lançamento Manual - Areia E Brita Comerciais</v>
      </c>
      <c r="D1348" s="1378" t="s">
        <v>477</v>
      </c>
      <c r="E1348" s="1379"/>
      <c r="F1348" s="1379"/>
      <c r="G1348" s="1379"/>
      <c r="H1348" s="1379"/>
      <c r="I1348" s="1380"/>
      <c r="J1348" s="1338" t="s">
        <v>478</v>
      </c>
      <c r="K1348" s="1338" t="s">
        <v>479</v>
      </c>
      <c r="L1348" s="1338" t="s">
        <v>480</v>
      </c>
      <c r="M1348" s="1338" t="s">
        <v>481</v>
      </c>
      <c r="N1348" s="1338" t="s">
        <v>482</v>
      </c>
      <c r="O1348" s="1338" t="s">
        <v>483</v>
      </c>
      <c r="P1348" s="1338" t="s">
        <v>484</v>
      </c>
      <c r="Q1348" s="1338" t="s">
        <v>485</v>
      </c>
      <c r="R1348" s="1336" t="s">
        <v>296</v>
      </c>
      <c r="S1348" s="1338" t="s">
        <v>486</v>
      </c>
      <c r="T1348" s="1338" t="s">
        <v>487</v>
      </c>
      <c r="U1348" s="1340" t="s">
        <v>488</v>
      </c>
      <c r="V1348" s="291">
        <f t="shared" ref="V1348:V1386" ca="1" si="485">IF(OFFSET(V1348,1,1)=1,OFFSET(V1348,0,-4),OFFSET(V1348,1,0))</f>
        <v>44.860000000000127</v>
      </c>
      <c r="W1348" s="256">
        <f t="shared" ca="1" si="418"/>
        <v>2</v>
      </c>
      <c r="X1348" s="256">
        <f t="shared" ca="1" si="439"/>
        <v>1</v>
      </c>
      <c r="Y1348" s="256"/>
      <c r="Z1348" s="256"/>
      <c r="AA1348" s="292"/>
      <c r="AB1348" s="292"/>
      <c r="AC1348" s="292"/>
    </row>
    <row r="1349" spans="1:29" s="337" customFormat="1" ht="15.75" x14ac:dyDescent="0.2">
      <c r="A1349" s="288"/>
      <c r="B1349" s="1375"/>
      <c r="C1349" s="1377"/>
      <c r="D1349" s="1342" t="s">
        <v>489</v>
      </c>
      <c r="E1349" s="1343"/>
      <c r="F1349" s="1344"/>
      <c r="G1349" s="1345" t="s">
        <v>490</v>
      </c>
      <c r="H1349" s="1346"/>
      <c r="I1349" s="1347"/>
      <c r="J1349" s="1339"/>
      <c r="K1349" s="1339"/>
      <c r="L1349" s="1339"/>
      <c r="M1349" s="1339"/>
      <c r="N1349" s="1339"/>
      <c r="O1349" s="1339"/>
      <c r="P1349" s="1339" t="s">
        <v>491</v>
      </c>
      <c r="Q1349" s="1339"/>
      <c r="R1349" s="1337"/>
      <c r="S1349" s="1339"/>
      <c r="T1349" s="1339"/>
      <c r="U1349" s="1341"/>
      <c r="V1349" s="291">
        <f t="shared" ca="1" si="485"/>
        <v>44.860000000000127</v>
      </c>
      <c r="W1349" s="256">
        <f t="shared" ca="1" si="418"/>
        <v>2</v>
      </c>
      <c r="X1349" s="256">
        <f t="shared" ca="1" si="439"/>
        <v>1</v>
      </c>
      <c r="Y1349" s="336"/>
      <c r="Z1349" s="336"/>
    </row>
    <row r="1350" spans="1:29" s="110" customFormat="1" ht="15" x14ac:dyDescent="0.2">
      <c r="A1350" s="403"/>
      <c r="B1350" s="479"/>
      <c r="C1350" s="539" t="s">
        <v>576</v>
      </c>
      <c r="D1350" s="412">
        <v>5</v>
      </c>
      <c r="E1350" s="299" t="s">
        <v>518</v>
      </c>
      <c r="F1350" s="413">
        <v>14.9</v>
      </c>
      <c r="G1350" s="414">
        <v>6</v>
      </c>
      <c r="H1350" s="302" t="s">
        <v>518</v>
      </c>
      <c r="I1350" s="415">
        <v>10</v>
      </c>
      <c r="J1350" s="304"/>
      <c r="K1350" s="481">
        <f t="shared" ref="K1350:K1364" si="486">ABS((G1350*20+I1350)-(D1350*20+F1350))</f>
        <v>15.099999999999994</v>
      </c>
      <c r="L1350" s="481">
        <f>6+0.2+0.2</f>
        <v>6.4</v>
      </c>
      <c r="M1350" s="481">
        <v>0.05</v>
      </c>
      <c r="N1350" s="481"/>
      <c r="O1350" s="540"/>
      <c r="P1350" s="481"/>
      <c r="Q1350" s="540"/>
      <c r="R1350" s="541">
        <f t="shared" ref="R1350:R1364" si="487">PRODUCT(J1350:Q1350)</f>
        <v>4.831999999999999</v>
      </c>
      <c r="S1350" s="483" t="str">
        <f>$L$1384</f>
        <v>m³</v>
      </c>
      <c r="T1350" s="309">
        <v>5</v>
      </c>
      <c r="U1350" s="383" t="s">
        <v>577</v>
      </c>
      <c r="V1350" s="291">
        <f t="shared" ca="1" si="485"/>
        <v>44.860000000000127</v>
      </c>
      <c r="W1350" s="256">
        <f t="shared" ca="1" si="418"/>
        <v>2</v>
      </c>
      <c r="X1350" s="256">
        <f t="shared" ca="1" si="439"/>
        <v>1</v>
      </c>
      <c r="Y1350" s="492"/>
      <c r="Z1350" s="492"/>
    </row>
    <row r="1351" spans="1:29" s="110" customFormat="1" ht="15" x14ac:dyDescent="0.2">
      <c r="A1351" s="403"/>
      <c r="B1351" s="1083"/>
      <c r="C1351" s="1099" t="s">
        <v>1240</v>
      </c>
      <c r="D1351" s="417">
        <v>4</v>
      </c>
      <c r="E1351" s="314" t="s">
        <v>518</v>
      </c>
      <c r="F1351" s="418">
        <v>16</v>
      </c>
      <c r="G1351" s="417">
        <v>5</v>
      </c>
      <c r="H1351" s="314" t="s">
        <v>518</v>
      </c>
      <c r="I1351" s="418">
        <v>14.5</v>
      </c>
      <c r="J1351" s="1095"/>
      <c r="K1351" s="555">
        <f t="shared" si="486"/>
        <v>18.5</v>
      </c>
      <c r="L1351" s="555">
        <v>6.4</v>
      </c>
      <c r="M1351" s="555">
        <v>0.05</v>
      </c>
      <c r="N1351" s="555"/>
      <c r="O1351" s="741"/>
      <c r="P1351" s="555"/>
      <c r="Q1351" s="741"/>
      <c r="R1351" s="742">
        <f t="shared" si="487"/>
        <v>5.9200000000000008</v>
      </c>
      <c r="S1351" s="334" t="str">
        <f>$L$1384</f>
        <v>m³</v>
      </c>
      <c r="T1351" s="506">
        <v>38</v>
      </c>
      <c r="U1351" s="574" t="s">
        <v>577</v>
      </c>
      <c r="V1351" s="291">
        <f t="shared" ca="1" si="485"/>
        <v>44.860000000000127</v>
      </c>
      <c r="W1351" s="256">
        <f t="shared" ref="W1351" ca="1" si="488">IF(LEFT(_xlfn.FORMULATEXT(V1351),3)="=SO",1,IF(COUNTA(A1351:U1351)=0,0,2))</f>
        <v>2</v>
      </c>
      <c r="X1351" s="256">
        <f t="shared" ref="X1351" ca="1" si="489">IF(COUNTA(OFFSET(A1350,1,0))-COUNTA(A1350)=-1,0,1)</f>
        <v>1</v>
      </c>
      <c r="Y1351" s="492"/>
      <c r="Z1351" s="492"/>
    </row>
    <row r="1352" spans="1:29" s="110" customFormat="1" ht="15" x14ac:dyDescent="0.2">
      <c r="A1352" s="403"/>
      <c r="B1352" s="1083"/>
      <c r="C1352" s="1099" t="s">
        <v>1240</v>
      </c>
      <c r="D1352" s="417">
        <v>4</v>
      </c>
      <c r="E1352" s="314" t="s">
        <v>518</v>
      </c>
      <c r="F1352" s="418">
        <v>0</v>
      </c>
      <c r="G1352" s="417">
        <v>4</v>
      </c>
      <c r="H1352" s="314" t="s">
        <v>518</v>
      </c>
      <c r="I1352" s="418">
        <v>16</v>
      </c>
      <c r="J1352" s="1095"/>
      <c r="K1352" s="555">
        <f t="shared" si="486"/>
        <v>16</v>
      </c>
      <c r="L1352" s="555">
        <v>6.4</v>
      </c>
      <c r="M1352" s="555">
        <v>0.05</v>
      </c>
      <c r="N1352" s="555"/>
      <c r="O1352" s="741"/>
      <c r="P1352" s="555"/>
      <c r="Q1352" s="741"/>
      <c r="R1352" s="742">
        <f t="shared" si="487"/>
        <v>5.120000000000001</v>
      </c>
      <c r="S1352" s="334" t="str">
        <f t="shared" ref="S1352:S1357" si="490">$L$1384</f>
        <v>m³</v>
      </c>
      <c r="T1352" s="506">
        <v>39</v>
      </c>
      <c r="U1352" s="574" t="s">
        <v>577</v>
      </c>
      <c r="V1352" s="291">
        <f t="shared" ca="1" si="485"/>
        <v>44.860000000000127</v>
      </c>
      <c r="W1352" s="256">
        <f t="shared" ref="W1352" ca="1" si="491">IF(LEFT(_xlfn.FORMULATEXT(V1352),3)="=SO",1,IF(COUNTA(A1352:U1352)=0,0,2))</f>
        <v>2</v>
      </c>
      <c r="X1352" s="256">
        <f t="shared" ref="X1352" ca="1" si="492">IF(COUNTA(OFFSET(A1351,1,0))-COUNTA(A1351)=-1,0,1)</f>
        <v>1</v>
      </c>
      <c r="Y1352" s="492"/>
      <c r="Z1352" s="492"/>
    </row>
    <row r="1353" spans="1:29" s="110" customFormat="1" ht="15" x14ac:dyDescent="0.2">
      <c r="A1353" s="403"/>
      <c r="B1353" s="1083"/>
      <c r="C1353" s="382" t="s">
        <v>1240</v>
      </c>
      <c r="D1353" s="417">
        <v>3</v>
      </c>
      <c r="E1353" s="314" t="s">
        <v>518</v>
      </c>
      <c r="F1353" s="418">
        <v>4</v>
      </c>
      <c r="G1353" s="419">
        <v>4</v>
      </c>
      <c r="H1353" s="316" t="s">
        <v>518</v>
      </c>
      <c r="I1353" s="420">
        <v>0</v>
      </c>
      <c r="J1353" s="317"/>
      <c r="K1353" s="422">
        <f t="shared" si="486"/>
        <v>16</v>
      </c>
      <c r="L1353" s="422">
        <v>6.4</v>
      </c>
      <c r="M1353" s="422">
        <v>0.05</v>
      </c>
      <c r="N1353" s="422"/>
      <c r="O1353" s="537"/>
      <c r="P1353" s="422"/>
      <c r="Q1353" s="537"/>
      <c r="R1353" s="542">
        <f t="shared" si="487"/>
        <v>5.120000000000001</v>
      </c>
      <c r="S1353" s="334" t="str">
        <f t="shared" si="490"/>
        <v>m³</v>
      </c>
      <c r="T1353" s="320">
        <v>40</v>
      </c>
      <c r="U1353" s="335" t="s">
        <v>577</v>
      </c>
      <c r="V1353" s="291">
        <f t="shared" ca="1" si="485"/>
        <v>44.860000000000127</v>
      </c>
      <c r="W1353" s="256">
        <f t="shared" ref="W1353:W1373" ca="1" si="493">IF(LEFT(_xlfn.FORMULATEXT(V1353),3)="=SO",1,IF(COUNTA(A1353:U1353)=0,0,2))</f>
        <v>2</v>
      </c>
      <c r="X1353" s="256">
        <f t="shared" ref="X1353:X1373" ca="1" si="494">IF(COUNTA(OFFSET(A1352,1,0))-COUNTA(A1352)=-1,0,1)</f>
        <v>1</v>
      </c>
      <c r="Y1353" s="492"/>
      <c r="Z1353" s="492"/>
    </row>
    <row r="1354" spans="1:29" s="110" customFormat="1" ht="15" x14ac:dyDescent="0.2">
      <c r="A1354" s="403"/>
      <c r="B1354" s="1083"/>
      <c r="C1354" s="1108" t="s">
        <v>1240</v>
      </c>
      <c r="D1354" s="417">
        <v>2</v>
      </c>
      <c r="E1354" s="314" t="s">
        <v>518</v>
      </c>
      <c r="F1354" s="418">
        <v>6</v>
      </c>
      <c r="G1354" s="417">
        <v>3</v>
      </c>
      <c r="H1354" s="314" t="s">
        <v>518</v>
      </c>
      <c r="I1354" s="418">
        <v>4</v>
      </c>
      <c r="J1354" s="1109"/>
      <c r="K1354" s="555">
        <f t="shared" si="486"/>
        <v>18</v>
      </c>
      <c r="L1354" s="555">
        <v>6.4</v>
      </c>
      <c r="M1354" s="555">
        <v>0.05</v>
      </c>
      <c r="N1354" s="555"/>
      <c r="O1354" s="741"/>
      <c r="P1354" s="555"/>
      <c r="Q1354" s="741"/>
      <c r="R1354" s="742">
        <f t="shared" si="487"/>
        <v>5.7600000000000007</v>
      </c>
      <c r="S1354" s="334" t="str">
        <f t="shared" si="490"/>
        <v>m³</v>
      </c>
      <c r="T1354" s="506">
        <v>41</v>
      </c>
      <c r="U1354" s="574" t="s">
        <v>577</v>
      </c>
      <c r="V1354" s="291">
        <f t="shared" ca="1" si="485"/>
        <v>44.860000000000127</v>
      </c>
      <c r="W1354" s="256">
        <f t="shared" ca="1" si="493"/>
        <v>2</v>
      </c>
      <c r="X1354" s="256">
        <f t="shared" ca="1" si="494"/>
        <v>1</v>
      </c>
      <c r="Y1354" s="492"/>
      <c r="Z1354" s="492"/>
    </row>
    <row r="1355" spans="1:29" s="110" customFormat="1" ht="15" x14ac:dyDescent="0.2">
      <c r="A1355" s="403"/>
      <c r="B1355" s="1083"/>
      <c r="C1355" s="1108" t="s">
        <v>1240</v>
      </c>
      <c r="D1355" s="417">
        <v>2</v>
      </c>
      <c r="E1355" s="314" t="s">
        <v>518</v>
      </c>
      <c r="F1355" s="418">
        <v>0</v>
      </c>
      <c r="G1355" s="417">
        <v>2</v>
      </c>
      <c r="H1355" s="314" t="s">
        <v>518</v>
      </c>
      <c r="I1355" s="418">
        <v>6</v>
      </c>
      <c r="J1355" s="1109"/>
      <c r="K1355" s="555">
        <f>ABS((G1355*20+I1355)-(D1355*20+F1355))</f>
        <v>6</v>
      </c>
      <c r="L1355" s="555">
        <v>6.4</v>
      </c>
      <c r="M1355" s="555">
        <v>0.05</v>
      </c>
      <c r="N1355" s="555"/>
      <c r="O1355" s="741"/>
      <c r="P1355" s="555"/>
      <c r="Q1355" s="741"/>
      <c r="R1355" s="742">
        <f t="shared" si="487"/>
        <v>1.9200000000000004</v>
      </c>
      <c r="S1355" s="334" t="str">
        <f t="shared" si="490"/>
        <v>m³</v>
      </c>
      <c r="T1355" s="506">
        <v>42</v>
      </c>
      <c r="U1355" s="574" t="s">
        <v>577</v>
      </c>
      <c r="V1355" s="291">
        <f t="shared" ca="1" si="485"/>
        <v>44.860000000000127</v>
      </c>
      <c r="W1355" s="256">
        <f t="shared" ref="W1355:W1367" ca="1" si="495">IF(LEFT(_xlfn.FORMULATEXT(V1355),3)="=SO",1,IF(COUNTA(A1355:U1355)=0,0,2))</f>
        <v>2</v>
      </c>
      <c r="X1355" s="256">
        <f t="shared" ref="X1355:X1367" ca="1" si="496">IF(COUNTA(OFFSET(A1354,1,0))-COUNTA(A1354)=-1,0,1)</f>
        <v>1</v>
      </c>
      <c r="Y1355" s="492"/>
      <c r="Z1355" s="492"/>
    </row>
    <row r="1356" spans="1:29" s="110" customFormat="1" ht="15" x14ac:dyDescent="0.2">
      <c r="A1356" s="403"/>
      <c r="B1356" s="1083"/>
      <c r="C1356" s="1108" t="s">
        <v>1326</v>
      </c>
      <c r="D1356" s="417">
        <v>1</v>
      </c>
      <c r="E1356" s="314" t="s">
        <v>518</v>
      </c>
      <c r="F1356" s="418">
        <v>8</v>
      </c>
      <c r="G1356" s="417">
        <v>2</v>
      </c>
      <c r="H1356" s="314" t="s">
        <v>518</v>
      </c>
      <c r="I1356" s="418">
        <v>0</v>
      </c>
      <c r="J1356" s="1109"/>
      <c r="K1356" s="555">
        <f t="shared" ref="K1356:K1357" si="497">ABS((G1356*20+I1356)-(D1356*20+F1356))</f>
        <v>12</v>
      </c>
      <c r="L1356" s="555">
        <v>6.4</v>
      </c>
      <c r="M1356" s="555">
        <v>0.05</v>
      </c>
      <c r="N1356" s="555"/>
      <c r="O1356" s="741"/>
      <c r="P1356" s="555"/>
      <c r="Q1356" s="741"/>
      <c r="R1356" s="742">
        <f t="shared" si="487"/>
        <v>3.8400000000000007</v>
      </c>
      <c r="S1356" s="334" t="str">
        <f t="shared" si="490"/>
        <v>m³</v>
      </c>
      <c r="T1356" s="506">
        <v>43</v>
      </c>
      <c r="U1356" s="574" t="s">
        <v>577</v>
      </c>
      <c r="V1356" s="291">
        <f t="shared" ca="1" si="485"/>
        <v>44.860000000000127</v>
      </c>
      <c r="W1356" s="256">
        <f t="shared" ca="1" si="495"/>
        <v>2</v>
      </c>
      <c r="X1356" s="256">
        <f t="shared" ca="1" si="496"/>
        <v>1</v>
      </c>
      <c r="Y1356" s="492"/>
      <c r="Z1356" s="492"/>
    </row>
    <row r="1357" spans="1:29" s="110" customFormat="1" ht="15" x14ac:dyDescent="0.2">
      <c r="A1357" s="403"/>
      <c r="B1357" s="1083"/>
      <c r="C1357" s="1108" t="s">
        <v>1326</v>
      </c>
      <c r="D1357" s="417">
        <v>0</v>
      </c>
      <c r="E1357" s="314" t="s">
        <v>518</v>
      </c>
      <c r="F1357" s="418">
        <v>6</v>
      </c>
      <c r="G1357" s="417">
        <v>1</v>
      </c>
      <c r="H1357" s="314" t="s">
        <v>518</v>
      </c>
      <c r="I1357" s="418">
        <v>8</v>
      </c>
      <c r="J1357" s="1109"/>
      <c r="K1357" s="555">
        <f t="shared" si="497"/>
        <v>22</v>
      </c>
      <c r="L1357" s="555">
        <v>6.4</v>
      </c>
      <c r="M1357" s="555">
        <v>0.05</v>
      </c>
      <c r="N1357" s="555"/>
      <c r="O1357" s="741"/>
      <c r="P1357" s="555"/>
      <c r="Q1357" s="741"/>
      <c r="R1357" s="742">
        <f t="shared" si="487"/>
        <v>7.0400000000000009</v>
      </c>
      <c r="S1357" s="334" t="str">
        <f t="shared" si="490"/>
        <v>m³</v>
      </c>
      <c r="T1357" s="506">
        <v>44</v>
      </c>
      <c r="U1357" s="574" t="s">
        <v>577</v>
      </c>
      <c r="V1357" s="291">
        <f t="shared" ca="1" si="485"/>
        <v>44.860000000000127</v>
      </c>
      <c r="W1357" s="256">
        <f t="shared" ca="1" si="495"/>
        <v>2</v>
      </c>
      <c r="X1357" s="256">
        <f t="shared" ca="1" si="496"/>
        <v>1</v>
      </c>
      <c r="Y1357" s="492"/>
      <c r="Z1357" s="492"/>
    </row>
    <row r="1358" spans="1:29" s="110" customFormat="1" ht="15" x14ac:dyDescent="0.2">
      <c r="A1358" s="403"/>
      <c r="B1358" s="1083"/>
      <c r="C1358" s="382"/>
      <c r="D1358" s="417"/>
      <c r="E1358" s="314"/>
      <c r="F1358" s="418"/>
      <c r="G1358" s="419"/>
      <c r="H1358" s="316"/>
      <c r="I1358" s="420"/>
      <c r="J1358" s="317"/>
      <c r="K1358" s="422"/>
      <c r="L1358" s="422"/>
      <c r="M1358" s="422"/>
      <c r="N1358" s="422"/>
      <c r="O1358" s="537"/>
      <c r="P1358" s="422"/>
      <c r="Q1358" s="537"/>
      <c r="R1358" s="542"/>
      <c r="S1358" s="334"/>
      <c r="T1358" s="320"/>
      <c r="U1358" s="335"/>
      <c r="V1358" s="291">
        <f t="shared" ca="1" si="485"/>
        <v>44.860000000000127</v>
      </c>
      <c r="W1358" s="256">
        <f t="shared" ca="1" si="495"/>
        <v>0</v>
      </c>
      <c r="X1358" s="256">
        <f t="shared" ca="1" si="496"/>
        <v>1</v>
      </c>
      <c r="Y1358" s="492"/>
      <c r="Z1358" s="492"/>
    </row>
    <row r="1359" spans="1:29" s="110" customFormat="1" ht="15" x14ac:dyDescent="0.2">
      <c r="A1359" s="403"/>
      <c r="B1359" s="1083"/>
      <c r="C1359" s="382"/>
      <c r="D1359" s="417"/>
      <c r="E1359" s="314"/>
      <c r="F1359" s="418"/>
      <c r="G1359" s="419"/>
      <c r="H1359" s="316"/>
      <c r="I1359" s="420"/>
      <c r="J1359" s="317"/>
      <c r="K1359" s="422"/>
      <c r="L1359" s="422"/>
      <c r="M1359" s="422"/>
      <c r="N1359" s="422"/>
      <c r="O1359" s="537"/>
      <c r="P1359" s="422"/>
      <c r="Q1359" s="537"/>
      <c r="R1359" s="542"/>
      <c r="S1359" s="334"/>
      <c r="T1359" s="320"/>
      <c r="U1359" s="335"/>
      <c r="V1359" s="291">
        <f t="shared" ca="1" si="485"/>
        <v>44.860000000000127</v>
      </c>
      <c r="W1359" s="256">
        <f t="shared" ca="1" si="495"/>
        <v>0</v>
      </c>
      <c r="X1359" s="256">
        <f t="shared" ca="1" si="496"/>
        <v>1</v>
      </c>
      <c r="Y1359" s="492"/>
      <c r="Z1359" s="492"/>
    </row>
    <row r="1360" spans="1:29" s="110" customFormat="1" ht="15" x14ac:dyDescent="0.2">
      <c r="A1360" s="403"/>
      <c r="B1360" s="322"/>
      <c r="C1360" s="382" t="s">
        <v>578</v>
      </c>
      <c r="D1360" s="417">
        <v>6</v>
      </c>
      <c r="E1360" s="314" t="s">
        <v>518</v>
      </c>
      <c r="F1360" s="418">
        <v>10</v>
      </c>
      <c r="G1360" s="419">
        <v>12</v>
      </c>
      <c r="H1360" s="316" t="s">
        <v>518</v>
      </c>
      <c r="I1360" s="420">
        <v>6.42</v>
      </c>
      <c r="J1360" s="317"/>
      <c r="K1360" s="422">
        <f t="shared" si="486"/>
        <v>116.41999999999999</v>
      </c>
      <c r="L1360" s="422">
        <f>8+0.2+0.2</f>
        <v>8.3999999999999986</v>
      </c>
      <c r="M1360" s="422">
        <v>0.05</v>
      </c>
      <c r="N1360" s="422"/>
      <c r="O1360" s="537"/>
      <c r="P1360" s="422"/>
      <c r="Q1360" s="537"/>
      <c r="R1360" s="542">
        <f t="shared" si="487"/>
        <v>48.896399999999993</v>
      </c>
      <c r="S1360" s="334" t="str">
        <f t="shared" ref="S1360:S1379" si="498">$L$1384</f>
        <v>m³</v>
      </c>
      <c r="T1360" s="320">
        <v>7</v>
      </c>
      <c r="U1360" s="335" t="s">
        <v>577</v>
      </c>
      <c r="V1360" s="291">
        <f t="shared" ca="1" si="485"/>
        <v>44.860000000000127</v>
      </c>
      <c r="W1360" s="256">
        <f t="shared" ca="1" si="495"/>
        <v>2</v>
      </c>
      <c r="X1360" s="256">
        <f t="shared" ca="1" si="496"/>
        <v>1</v>
      </c>
      <c r="Y1360" s="492"/>
      <c r="Z1360" s="492"/>
    </row>
    <row r="1361" spans="1:26" s="111" customFormat="1" ht="15" x14ac:dyDescent="0.2">
      <c r="A1361" s="288"/>
      <c r="B1361" s="322"/>
      <c r="C1361" s="382" t="s">
        <v>579</v>
      </c>
      <c r="D1361" s="417">
        <v>12</v>
      </c>
      <c r="E1361" s="314" t="s">
        <v>518</v>
      </c>
      <c r="F1361" s="418">
        <v>6.42</v>
      </c>
      <c r="G1361" s="419">
        <v>17</v>
      </c>
      <c r="H1361" s="316" t="s">
        <v>518</v>
      </c>
      <c r="I1361" s="420">
        <v>4.42</v>
      </c>
      <c r="J1361" s="317"/>
      <c r="K1361" s="422">
        <f t="shared" si="486"/>
        <v>98.000000000000028</v>
      </c>
      <c r="L1361" s="422">
        <f>10+0.2+0.2</f>
        <v>10.399999999999999</v>
      </c>
      <c r="M1361" s="422">
        <v>0.05</v>
      </c>
      <c r="N1361" s="422"/>
      <c r="O1361" s="537"/>
      <c r="P1361" s="422"/>
      <c r="Q1361" s="537"/>
      <c r="R1361" s="542">
        <f t="shared" si="487"/>
        <v>50.960000000000008</v>
      </c>
      <c r="S1361" s="334" t="str">
        <f t="shared" si="498"/>
        <v>m³</v>
      </c>
      <c r="T1361" s="320">
        <v>9</v>
      </c>
      <c r="U1361" s="335" t="s">
        <v>577</v>
      </c>
      <c r="V1361" s="291">
        <f t="shared" ca="1" si="485"/>
        <v>44.860000000000127</v>
      </c>
      <c r="W1361" s="256">
        <f t="shared" ca="1" si="495"/>
        <v>2</v>
      </c>
      <c r="X1361" s="256">
        <f t="shared" ca="1" si="496"/>
        <v>1</v>
      </c>
      <c r="Y1361" s="250"/>
      <c r="Z1361" s="250"/>
    </row>
    <row r="1362" spans="1:26" s="111" customFormat="1" ht="15" x14ac:dyDescent="0.2">
      <c r="A1362" s="288"/>
      <c r="B1362" s="322"/>
      <c r="C1362" s="382" t="s">
        <v>580</v>
      </c>
      <c r="D1362" s="419">
        <v>17</v>
      </c>
      <c r="E1362" s="316" t="s">
        <v>518</v>
      </c>
      <c r="F1362" s="420">
        <v>4.42</v>
      </c>
      <c r="G1362" s="417">
        <v>25</v>
      </c>
      <c r="H1362" s="314" t="s">
        <v>518</v>
      </c>
      <c r="I1362" s="418">
        <v>4.42</v>
      </c>
      <c r="J1362" s="317"/>
      <c r="K1362" s="422">
        <f t="shared" si="486"/>
        <v>160</v>
      </c>
      <c r="L1362" s="422">
        <f t="shared" ref="L1362:L1379" si="499">12+0.2+0.2</f>
        <v>12.399999999999999</v>
      </c>
      <c r="M1362" s="422">
        <v>0.05</v>
      </c>
      <c r="N1362" s="422"/>
      <c r="O1362" s="537"/>
      <c r="P1362" s="422"/>
      <c r="Q1362" s="537"/>
      <c r="R1362" s="542">
        <f t="shared" si="487"/>
        <v>99.199999999999989</v>
      </c>
      <c r="S1362" s="334" t="str">
        <f t="shared" si="498"/>
        <v>m³</v>
      </c>
      <c r="T1362" s="320">
        <v>11</v>
      </c>
      <c r="U1362" s="335" t="s">
        <v>577</v>
      </c>
      <c r="V1362" s="291">
        <f t="shared" ca="1" si="485"/>
        <v>44.860000000000127</v>
      </c>
      <c r="W1362" s="256">
        <f t="shared" ca="1" si="495"/>
        <v>2</v>
      </c>
      <c r="X1362" s="256">
        <f t="shared" ca="1" si="496"/>
        <v>1</v>
      </c>
      <c r="Y1362" s="250"/>
      <c r="Z1362" s="250"/>
    </row>
    <row r="1363" spans="1:26" s="111" customFormat="1" ht="15" x14ac:dyDescent="0.2">
      <c r="A1363" s="399"/>
      <c r="B1363" s="494"/>
      <c r="C1363" s="550" t="s">
        <v>581</v>
      </c>
      <c r="D1363" s="496">
        <v>25</v>
      </c>
      <c r="E1363" s="497" t="s">
        <v>518</v>
      </c>
      <c r="F1363" s="498">
        <v>4.42</v>
      </c>
      <c r="G1363" s="551">
        <v>31</v>
      </c>
      <c r="H1363" s="552" t="s">
        <v>518</v>
      </c>
      <c r="I1363" s="553">
        <v>10</v>
      </c>
      <c r="J1363" s="560"/>
      <c r="K1363" s="555">
        <f t="shared" si="486"/>
        <v>125.57999999999998</v>
      </c>
      <c r="L1363" s="555">
        <f t="shared" si="499"/>
        <v>12.399999999999999</v>
      </c>
      <c r="M1363" s="555">
        <v>0.05</v>
      </c>
      <c r="N1363" s="555"/>
      <c r="O1363" s="741"/>
      <c r="P1363" s="555"/>
      <c r="Q1363" s="741"/>
      <c r="R1363" s="742">
        <f t="shared" si="487"/>
        <v>77.859599999999986</v>
      </c>
      <c r="S1363" s="334" t="str">
        <f t="shared" si="498"/>
        <v>m³</v>
      </c>
      <c r="T1363" s="506">
        <v>14</v>
      </c>
      <c r="U1363" s="574" t="s">
        <v>577</v>
      </c>
      <c r="V1363" s="291">
        <f t="shared" ca="1" si="485"/>
        <v>44.860000000000127</v>
      </c>
      <c r="W1363" s="256">
        <f t="shared" ca="1" si="495"/>
        <v>2</v>
      </c>
      <c r="X1363" s="256">
        <f t="shared" ca="1" si="496"/>
        <v>1</v>
      </c>
      <c r="Y1363" s="250"/>
      <c r="Z1363" s="250"/>
    </row>
    <row r="1364" spans="1:26" s="111" customFormat="1" ht="15" x14ac:dyDescent="0.2">
      <c r="A1364" s="399"/>
      <c r="B1364" s="494"/>
      <c r="C1364" s="550" t="s">
        <v>765</v>
      </c>
      <c r="D1364" s="419">
        <v>80</v>
      </c>
      <c r="E1364" s="316" t="s">
        <v>518</v>
      </c>
      <c r="F1364" s="420">
        <v>8</v>
      </c>
      <c r="G1364" s="419">
        <v>99</v>
      </c>
      <c r="H1364" s="316" t="s">
        <v>518</v>
      </c>
      <c r="I1364" s="420">
        <v>6.4</v>
      </c>
      <c r="J1364" s="560"/>
      <c r="K1364" s="555">
        <f t="shared" si="486"/>
        <v>378.40000000000009</v>
      </c>
      <c r="L1364" s="555">
        <f t="shared" si="499"/>
        <v>12.399999999999999</v>
      </c>
      <c r="M1364" s="555">
        <v>0.05</v>
      </c>
      <c r="N1364" s="555"/>
      <c r="O1364" s="741"/>
      <c r="P1364" s="555"/>
      <c r="Q1364" s="741"/>
      <c r="R1364" s="742">
        <f t="shared" si="487"/>
        <v>234.60800000000006</v>
      </c>
      <c r="S1364" s="334" t="str">
        <f t="shared" si="498"/>
        <v>m³</v>
      </c>
      <c r="T1364" s="506">
        <v>28</v>
      </c>
      <c r="U1364" s="574" t="s">
        <v>577</v>
      </c>
      <c r="V1364" s="291">
        <f t="shared" ca="1" si="485"/>
        <v>44.860000000000127</v>
      </c>
      <c r="W1364" s="256">
        <f t="shared" ca="1" si="495"/>
        <v>2</v>
      </c>
      <c r="X1364" s="256">
        <f t="shared" ca="1" si="496"/>
        <v>1</v>
      </c>
      <c r="Y1364" s="250"/>
      <c r="Z1364" s="250"/>
    </row>
    <row r="1365" spans="1:26" s="111" customFormat="1" ht="15" x14ac:dyDescent="0.2">
      <c r="A1365" s="399"/>
      <c r="B1365" s="494"/>
      <c r="C1365" s="550" t="s">
        <v>1039</v>
      </c>
      <c r="D1365" s="419">
        <v>72</v>
      </c>
      <c r="E1365" s="316" t="s">
        <v>518</v>
      </c>
      <c r="F1365" s="420">
        <v>17</v>
      </c>
      <c r="G1365" s="419">
        <v>79</v>
      </c>
      <c r="H1365" s="316" t="s">
        <v>518</v>
      </c>
      <c r="I1365" s="420">
        <v>16</v>
      </c>
      <c r="J1365" s="560"/>
      <c r="K1365" s="555">
        <f>ABS((G1365*20+I1365)-(D1365*20+F1365))</f>
        <v>139</v>
      </c>
      <c r="L1365" s="555">
        <f t="shared" si="499"/>
        <v>12.399999999999999</v>
      </c>
      <c r="M1365" s="555">
        <v>0.05</v>
      </c>
      <c r="N1365" s="555"/>
      <c r="O1365" s="741"/>
      <c r="P1365" s="555"/>
      <c r="Q1365" s="741"/>
      <c r="R1365" s="742">
        <f>PRODUCT(J1365:Q1365)</f>
        <v>86.18</v>
      </c>
      <c r="S1365" s="334" t="str">
        <f t="shared" si="498"/>
        <v>m³</v>
      </c>
      <c r="T1365" s="506">
        <v>31</v>
      </c>
      <c r="U1365" s="574" t="s">
        <v>577</v>
      </c>
      <c r="V1365" s="291">
        <f t="shared" ca="1" si="485"/>
        <v>44.860000000000127</v>
      </c>
      <c r="W1365" s="256">
        <f t="shared" ca="1" si="495"/>
        <v>2</v>
      </c>
      <c r="X1365" s="256">
        <f t="shared" ca="1" si="496"/>
        <v>1</v>
      </c>
      <c r="Y1365" s="250"/>
      <c r="Z1365" s="250"/>
    </row>
    <row r="1366" spans="1:26" s="111" customFormat="1" ht="15" x14ac:dyDescent="0.2">
      <c r="A1366" s="399"/>
      <c r="B1366" s="494"/>
      <c r="C1366" s="550" t="s">
        <v>1039</v>
      </c>
      <c r="D1366" s="419">
        <v>71</v>
      </c>
      <c r="E1366" s="316" t="s">
        <v>518</v>
      </c>
      <c r="F1366" s="420">
        <v>7</v>
      </c>
      <c r="G1366" s="419">
        <v>72</v>
      </c>
      <c r="H1366" s="316" t="s">
        <v>518</v>
      </c>
      <c r="I1366" s="420">
        <v>17</v>
      </c>
      <c r="J1366" s="560"/>
      <c r="K1366" s="555">
        <f>ABS((G1366*20+I1366)-(D1366*20+F1366))</f>
        <v>30</v>
      </c>
      <c r="L1366" s="555">
        <f t="shared" si="499"/>
        <v>12.399999999999999</v>
      </c>
      <c r="M1366" s="555">
        <v>0.05</v>
      </c>
      <c r="N1366" s="555"/>
      <c r="O1366" s="741"/>
      <c r="P1366" s="555"/>
      <c r="Q1366" s="741"/>
      <c r="R1366" s="742">
        <f>PRODUCT(J1366:Q1366)</f>
        <v>18.599999999999998</v>
      </c>
      <c r="S1366" s="334" t="str">
        <f t="shared" si="498"/>
        <v>m³</v>
      </c>
      <c r="T1366" s="506">
        <v>32</v>
      </c>
      <c r="U1366" s="574" t="s">
        <v>577</v>
      </c>
      <c r="V1366" s="291">
        <f t="shared" ca="1" si="485"/>
        <v>44.860000000000127</v>
      </c>
      <c r="W1366" s="256">
        <f t="shared" ca="1" si="495"/>
        <v>2</v>
      </c>
      <c r="X1366" s="256">
        <f t="shared" ca="1" si="496"/>
        <v>1</v>
      </c>
      <c r="Y1366" s="250"/>
      <c r="Z1366" s="250"/>
    </row>
    <row r="1367" spans="1:26" s="111" customFormat="1" ht="15" x14ac:dyDescent="0.2">
      <c r="A1367" s="399"/>
      <c r="B1367" s="494"/>
      <c r="C1367" s="550" t="s">
        <v>1039</v>
      </c>
      <c r="D1367" s="419">
        <v>68</v>
      </c>
      <c r="E1367" s="316" t="s">
        <v>518</v>
      </c>
      <c r="F1367" s="420">
        <v>7</v>
      </c>
      <c r="G1367" s="419">
        <v>71</v>
      </c>
      <c r="H1367" s="316" t="s">
        <v>518</v>
      </c>
      <c r="I1367" s="420">
        <v>7</v>
      </c>
      <c r="J1367" s="560"/>
      <c r="K1367" s="555">
        <f>ABS((G1367*20+I1367)-(D1367*20+F1367))</f>
        <v>60</v>
      </c>
      <c r="L1367" s="555">
        <f t="shared" si="499"/>
        <v>12.399999999999999</v>
      </c>
      <c r="M1367" s="555">
        <v>0.05</v>
      </c>
      <c r="N1367" s="555"/>
      <c r="O1367" s="741"/>
      <c r="P1367" s="555"/>
      <c r="Q1367" s="741"/>
      <c r="R1367" s="742">
        <f>PRODUCT(J1367:Q1367)</f>
        <v>37.199999999999996</v>
      </c>
      <c r="S1367" s="334" t="str">
        <f t="shared" si="498"/>
        <v>m³</v>
      </c>
      <c r="T1367" s="506">
        <v>33</v>
      </c>
      <c r="U1367" s="574" t="s">
        <v>577</v>
      </c>
      <c r="V1367" s="291">
        <f t="shared" ca="1" si="485"/>
        <v>44.860000000000127</v>
      </c>
      <c r="W1367" s="256">
        <f t="shared" ca="1" si="495"/>
        <v>2</v>
      </c>
      <c r="X1367" s="256">
        <f t="shared" ca="1" si="496"/>
        <v>1</v>
      </c>
      <c r="Y1367" s="250"/>
      <c r="Z1367" s="250"/>
    </row>
    <row r="1368" spans="1:26" s="111" customFormat="1" ht="15" x14ac:dyDescent="0.2">
      <c r="A1368" s="399"/>
      <c r="B1368" s="494"/>
      <c r="C1368" s="550" t="s">
        <v>1039</v>
      </c>
      <c r="D1368" s="419">
        <v>66</v>
      </c>
      <c r="E1368" s="316" t="s">
        <v>518</v>
      </c>
      <c r="F1368" s="420">
        <v>17</v>
      </c>
      <c r="G1368" s="419">
        <v>68</v>
      </c>
      <c r="H1368" s="316" t="s">
        <v>518</v>
      </c>
      <c r="I1368" s="420">
        <v>7</v>
      </c>
      <c r="J1368" s="560"/>
      <c r="K1368" s="555">
        <f>ABS((G1368*20+I1368)-(D1368*20+F1368))</f>
        <v>30</v>
      </c>
      <c r="L1368" s="555">
        <f t="shared" si="499"/>
        <v>12.399999999999999</v>
      </c>
      <c r="M1368" s="555">
        <v>0.05</v>
      </c>
      <c r="N1368" s="555"/>
      <c r="O1368" s="741"/>
      <c r="P1368" s="555"/>
      <c r="Q1368" s="741"/>
      <c r="R1368" s="742">
        <f>PRODUCT(J1368:Q1368)</f>
        <v>18.599999999999998</v>
      </c>
      <c r="S1368" s="334" t="str">
        <f t="shared" si="498"/>
        <v>m³</v>
      </c>
      <c r="T1368" s="506">
        <v>33</v>
      </c>
      <c r="U1368" s="574" t="s">
        <v>577</v>
      </c>
      <c r="V1368" s="291">
        <f t="shared" ca="1" si="485"/>
        <v>44.860000000000127</v>
      </c>
      <c r="W1368" s="256">
        <f t="shared" ca="1" si="493"/>
        <v>2</v>
      </c>
      <c r="X1368" s="256">
        <f t="shared" ca="1" si="494"/>
        <v>1</v>
      </c>
      <c r="Y1368" s="250"/>
      <c r="Z1368" s="250"/>
    </row>
    <row r="1369" spans="1:26" s="111" customFormat="1" ht="15" x14ac:dyDescent="0.2">
      <c r="A1369" s="399"/>
      <c r="B1369" s="494"/>
      <c r="C1369" s="550" t="s">
        <v>1039</v>
      </c>
      <c r="D1369" s="419">
        <v>65</v>
      </c>
      <c r="E1369" s="316" t="s">
        <v>518</v>
      </c>
      <c r="F1369" s="420">
        <v>5</v>
      </c>
      <c r="G1369" s="419">
        <v>66</v>
      </c>
      <c r="H1369" s="316" t="s">
        <v>518</v>
      </c>
      <c r="I1369" s="420">
        <v>17</v>
      </c>
      <c r="J1369" s="560"/>
      <c r="K1369" s="555">
        <f>ABS((G1369*20+I1369)-(D1369*20+F1369))</f>
        <v>32</v>
      </c>
      <c r="L1369" s="555">
        <f t="shared" si="499"/>
        <v>12.399999999999999</v>
      </c>
      <c r="M1369" s="555">
        <v>0.05</v>
      </c>
      <c r="N1369" s="555"/>
      <c r="O1369" s="741"/>
      <c r="P1369" s="555"/>
      <c r="Q1369" s="741"/>
      <c r="R1369" s="742">
        <f>PRODUCT(J1369:Q1369)</f>
        <v>19.84</v>
      </c>
      <c r="S1369" s="334" t="str">
        <f t="shared" si="498"/>
        <v>m³</v>
      </c>
      <c r="T1369" s="506">
        <v>34</v>
      </c>
      <c r="U1369" s="574" t="s">
        <v>577</v>
      </c>
      <c r="V1369" s="291">
        <f t="shared" ca="1" si="485"/>
        <v>44.860000000000127</v>
      </c>
      <c r="W1369" s="256">
        <f t="shared" ca="1" si="493"/>
        <v>2</v>
      </c>
      <c r="X1369" s="256">
        <f t="shared" ca="1" si="494"/>
        <v>1</v>
      </c>
      <c r="Y1369" s="250"/>
      <c r="Z1369" s="250"/>
    </row>
    <row r="1370" spans="1:26" s="111" customFormat="1" ht="15" x14ac:dyDescent="0.2">
      <c r="A1370" s="399"/>
      <c r="B1370" s="494"/>
      <c r="C1370" s="550" t="s">
        <v>1039</v>
      </c>
      <c r="D1370" s="419">
        <v>62</v>
      </c>
      <c r="E1370" s="316" t="s">
        <v>518</v>
      </c>
      <c r="F1370" s="420">
        <v>5</v>
      </c>
      <c r="G1370" s="419">
        <v>65</v>
      </c>
      <c r="H1370" s="316" t="s">
        <v>518</v>
      </c>
      <c r="I1370" s="420">
        <v>5</v>
      </c>
      <c r="J1370" s="560"/>
      <c r="K1370" s="555">
        <f t="shared" ref="K1370:K1379" si="500">ABS((G1370*20+I1370)-(D1370*20+F1370))</f>
        <v>60</v>
      </c>
      <c r="L1370" s="555">
        <f t="shared" si="499"/>
        <v>12.399999999999999</v>
      </c>
      <c r="M1370" s="555">
        <v>0.05</v>
      </c>
      <c r="N1370" s="555"/>
      <c r="O1370" s="741"/>
      <c r="P1370" s="555"/>
      <c r="Q1370" s="741"/>
      <c r="R1370" s="742">
        <f t="shared" ref="R1370:R1379" si="501">PRODUCT(J1370:Q1370)</f>
        <v>37.199999999999996</v>
      </c>
      <c r="S1370" s="334" t="str">
        <f t="shared" si="498"/>
        <v>m³</v>
      </c>
      <c r="T1370" s="506">
        <v>35</v>
      </c>
      <c r="U1370" s="574" t="s">
        <v>577</v>
      </c>
      <c r="V1370" s="291">
        <f t="shared" ca="1" si="485"/>
        <v>44.860000000000127</v>
      </c>
      <c r="W1370" s="256">
        <f t="shared" ca="1" si="493"/>
        <v>2</v>
      </c>
      <c r="X1370" s="256">
        <f t="shared" ca="1" si="494"/>
        <v>1</v>
      </c>
      <c r="Y1370" s="250"/>
      <c r="Z1370" s="250"/>
    </row>
    <row r="1371" spans="1:26" s="111" customFormat="1" ht="15" x14ac:dyDescent="0.2">
      <c r="A1371" s="399"/>
      <c r="B1371" s="494"/>
      <c r="C1371" s="550" t="s">
        <v>1039</v>
      </c>
      <c r="D1371" s="419">
        <v>60</v>
      </c>
      <c r="E1371" s="316" t="s">
        <v>518</v>
      </c>
      <c r="F1371" s="420">
        <v>0</v>
      </c>
      <c r="G1371" s="419">
        <v>62</v>
      </c>
      <c r="H1371" s="316" t="s">
        <v>518</v>
      </c>
      <c r="I1371" s="420">
        <v>5</v>
      </c>
      <c r="J1371" s="560"/>
      <c r="K1371" s="555">
        <f t="shared" si="500"/>
        <v>45</v>
      </c>
      <c r="L1371" s="555">
        <f t="shared" si="499"/>
        <v>12.399999999999999</v>
      </c>
      <c r="M1371" s="555">
        <v>0.05</v>
      </c>
      <c r="N1371" s="555"/>
      <c r="O1371" s="741"/>
      <c r="P1371" s="555"/>
      <c r="Q1371" s="741"/>
      <c r="R1371" s="742">
        <f t="shared" si="501"/>
        <v>27.899999999999995</v>
      </c>
      <c r="S1371" s="334" t="str">
        <f t="shared" si="498"/>
        <v>m³</v>
      </c>
      <c r="T1371" s="506">
        <v>36</v>
      </c>
      <c r="U1371" s="574" t="s">
        <v>577</v>
      </c>
      <c r="V1371" s="291">
        <f t="shared" ca="1" si="485"/>
        <v>44.860000000000127</v>
      </c>
      <c r="W1371" s="256">
        <f t="shared" ca="1" si="493"/>
        <v>2</v>
      </c>
      <c r="X1371" s="256">
        <f t="shared" ca="1" si="494"/>
        <v>1</v>
      </c>
      <c r="Y1371" s="250"/>
      <c r="Z1371" s="250"/>
    </row>
    <row r="1372" spans="1:26" s="111" customFormat="1" ht="15" x14ac:dyDescent="0.2">
      <c r="A1372" s="399"/>
      <c r="B1372" s="494"/>
      <c r="C1372" s="550" t="s">
        <v>1039</v>
      </c>
      <c r="D1372" s="419">
        <v>57</v>
      </c>
      <c r="E1372" s="316" t="s">
        <v>518</v>
      </c>
      <c r="F1372" s="420">
        <v>16</v>
      </c>
      <c r="G1372" s="419">
        <v>60</v>
      </c>
      <c r="H1372" s="316" t="s">
        <v>518</v>
      </c>
      <c r="I1372" s="420">
        <v>0</v>
      </c>
      <c r="J1372" s="560"/>
      <c r="K1372" s="555">
        <f t="shared" si="500"/>
        <v>44</v>
      </c>
      <c r="L1372" s="555">
        <f t="shared" si="499"/>
        <v>12.399999999999999</v>
      </c>
      <c r="M1372" s="555">
        <v>0.05</v>
      </c>
      <c r="N1372" s="555"/>
      <c r="O1372" s="741"/>
      <c r="P1372" s="555"/>
      <c r="Q1372" s="741"/>
      <c r="R1372" s="742">
        <f t="shared" si="501"/>
        <v>27.279999999999998</v>
      </c>
      <c r="S1372" s="334" t="str">
        <f t="shared" si="498"/>
        <v>m³</v>
      </c>
      <c r="T1372" s="506">
        <v>37</v>
      </c>
      <c r="U1372" s="574" t="s">
        <v>577</v>
      </c>
      <c r="V1372" s="291">
        <f t="shared" ca="1" si="485"/>
        <v>44.860000000000127</v>
      </c>
      <c r="W1372" s="256">
        <f t="shared" ca="1" si="493"/>
        <v>2</v>
      </c>
      <c r="X1372" s="256">
        <f t="shared" ca="1" si="494"/>
        <v>1</v>
      </c>
      <c r="Y1372" s="250"/>
      <c r="Z1372" s="250"/>
    </row>
    <row r="1373" spans="1:26" s="111" customFormat="1" ht="15" x14ac:dyDescent="0.2">
      <c r="A1373" s="399"/>
      <c r="B1373" s="494"/>
      <c r="C1373" s="550" t="s">
        <v>1039</v>
      </c>
      <c r="D1373" s="419">
        <v>55</v>
      </c>
      <c r="E1373" s="316" t="s">
        <v>518</v>
      </c>
      <c r="F1373" s="420">
        <v>10</v>
      </c>
      <c r="G1373" s="419">
        <v>57</v>
      </c>
      <c r="H1373" s="316" t="s">
        <v>518</v>
      </c>
      <c r="I1373" s="420">
        <v>16</v>
      </c>
      <c r="J1373" s="560"/>
      <c r="K1373" s="555">
        <f t="shared" si="500"/>
        <v>46</v>
      </c>
      <c r="L1373" s="555">
        <f t="shared" si="499"/>
        <v>12.399999999999999</v>
      </c>
      <c r="M1373" s="555">
        <v>0.05</v>
      </c>
      <c r="N1373" s="555"/>
      <c r="O1373" s="741"/>
      <c r="P1373" s="555"/>
      <c r="Q1373" s="741"/>
      <c r="R1373" s="742">
        <f t="shared" si="501"/>
        <v>28.52</v>
      </c>
      <c r="S1373" s="334" t="str">
        <f t="shared" si="498"/>
        <v>m³</v>
      </c>
      <c r="T1373" s="506">
        <v>38</v>
      </c>
      <c r="U1373" s="574" t="s">
        <v>577</v>
      </c>
      <c r="V1373" s="291">
        <f t="shared" ca="1" si="485"/>
        <v>44.860000000000127</v>
      </c>
      <c r="W1373" s="256">
        <f t="shared" ca="1" si="493"/>
        <v>2</v>
      </c>
      <c r="X1373" s="256">
        <f t="shared" ca="1" si="494"/>
        <v>1</v>
      </c>
      <c r="Y1373" s="250"/>
      <c r="Z1373" s="250"/>
    </row>
    <row r="1374" spans="1:26" s="111" customFormat="1" ht="15" x14ac:dyDescent="0.2">
      <c r="A1374" s="399"/>
      <c r="B1374" s="494"/>
      <c r="C1374" s="1099" t="s">
        <v>1039</v>
      </c>
      <c r="D1374" s="419">
        <v>51</v>
      </c>
      <c r="E1374" s="316" t="s">
        <v>518</v>
      </c>
      <c r="F1374" s="420">
        <v>8</v>
      </c>
      <c r="G1374" s="419">
        <v>55</v>
      </c>
      <c r="H1374" s="316" t="s">
        <v>518</v>
      </c>
      <c r="I1374" s="420">
        <v>10</v>
      </c>
      <c r="J1374" s="1095"/>
      <c r="K1374" s="555">
        <f t="shared" si="500"/>
        <v>82</v>
      </c>
      <c r="L1374" s="555">
        <f t="shared" si="499"/>
        <v>12.399999999999999</v>
      </c>
      <c r="M1374" s="555">
        <v>0.05</v>
      </c>
      <c r="N1374" s="555"/>
      <c r="O1374" s="741"/>
      <c r="P1374" s="555"/>
      <c r="Q1374" s="741"/>
      <c r="R1374" s="742">
        <f t="shared" si="501"/>
        <v>50.839999999999996</v>
      </c>
      <c r="S1374" s="334" t="str">
        <f t="shared" si="498"/>
        <v>m³</v>
      </c>
      <c r="T1374" s="506">
        <v>39</v>
      </c>
      <c r="U1374" s="574" t="s">
        <v>577</v>
      </c>
      <c r="V1374" s="291">
        <f t="shared" ca="1" si="485"/>
        <v>44.860000000000127</v>
      </c>
      <c r="W1374" s="256">
        <f t="shared" ref="W1374:W1383" ca="1" si="502">IF(LEFT(_xlfn.FORMULATEXT(V1374),3)="=SO",1,IF(COUNTA(A1374:U1374)=0,0,2))</f>
        <v>2</v>
      </c>
      <c r="X1374" s="256">
        <f t="shared" ref="X1374:X1383" ca="1" si="503">IF(COUNTA(OFFSET(A1373,1,0))-COUNTA(A1373)=-1,0,1)</f>
        <v>1</v>
      </c>
      <c r="Y1374" s="250"/>
      <c r="Z1374" s="250"/>
    </row>
    <row r="1375" spans="1:26" s="111" customFormat="1" ht="15" x14ac:dyDescent="0.2">
      <c r="A1375" s="399"/>
      <c r="B1375" s="494"/>
      <c r="C1375" s="1108" t="s">
        <v>1039</v>
      </c>
      <c r="D1375" s="419">
        <v>49</v>
      </c>
      <c r="E1375" s="316" t="s">
        <v>518</v>
      </c>
      <c r="F1375" s="420">
        <v>13</v>
      </c>
      <c r="G1375" s="419">
        <v>51</v>
      </c>
      <c r="H1375" s="316" t="s">
        <v>518</v>
      </c>
      <c r="I1375" s="420">
        <v>8</v>
      </c>
      <c r="J1375" s="1109"/>
      <c r="K1375" s="555">
        <f t="shared" si="500"/>
        <v>35</v>
      </c>
      <c r="L1375" s="555">
        <f t="shared" si="499"/>
        <v>12.399999999999999</v>
      </c>
      <c r="M1375" s="555">
        <v>0.05</v>
      </c>
      <c r="N1375" s="555"/>
      <c r="O1375" s="741"/>
      <c r="P1375" s="555"/>
      <c r="Q1375" s="741"/>
      <c r="R1375" s="742">
        <f t="shared" si="501"/>
        <v>21.7</v>
      </c>
      <c r="S1375" s="334" t="str">
        <f t="shared" si="498"/>
        <v>m³</v>
      </c>
      <c r="T1375" s="506">
        <v>40</v>
      </c>
      <c r="U1375" s="574" t="s">
        <v>577</v>
      </c>
      <c r="V1375" s="291">
        <f t="shared" ca="1" si="485"/>
        <v>44.860000000000127</v>
      </c>
      <c r="W1375" s="256">
        <f t="shared" ca="1" si="502"/>
        <v>2</v>
      </c>
      <c r="X1375" s="256">
        <f t="shared" ca="1" si="503"/>
        <v>1</v>
      </c>
      <c r="Y1375" s="250"/>
      <c r="Z1375" s="250"/>
    </row>
    <row r="1376" spans="1:26" s="111" customFormat="1" ht="15" x14ac:dyDescent="0.2">
      <c r="A1376" s="399"/>
      <c r="B1376" s="494"/>
      <c r="C1376" s="1108" t="s">
        <v>1039</v>
      </c>
      <c r="D1376" s="419">
        <v>48</v>
      </c>
      <c r="E1376" s="316" t="s">
        <v>518</v>
      </c>
      <c r="F1376" s="420">
        <v>8</v>
      </c>
      <c r="G1376" s="419">
        <v>49</v>
      </c>
      <c r="H1376" s="316" t="s">
        <v>518</v>
      </c>
      <c r="I1376" s="420">
        <v>13</v>
      </c>
      <c r="J1376" s="1109"/>
      <c r="K1376" s="555">
        <f t="shared" si="500"/>
        <v>25</v>
      </c>
      <c r="L1376" s="555">
        <f t="shared" si="499"/>
        <v>12.399999999999999</v>
      </c>
      <c r="M1376" s="555">
        <v>0.05</v>
      </c>
      <c r="N1376" s="555"/>
      <c r="O1376" s="741"/>
      <c r="P1376" s="555"/>
      <c r="Q1376" s="741"/>
      <c r="R1376" s="742">
        <f t="shared" si="501"/>
        <v>15.499999999999998</v>
      </c>
      <c r="S1376" s="334" t="str">
        <f t="shared" si="498"/>
        <v>m³</v>
      </c>
      <c r="T1376" s="506">
        <v>41</v>
      </c>
      <c r="U1376" s="574" t="s">
        <v>577</v>
      </c>
      <c r="V1376" s="291">
        <f t="shared" ca="1" si="485"/>
        <v>44.860000000000127</v>
      </c>
      <c r="W1376" s="256">
        <f t="shared" ca="1" si="502"/>
        <v>2</v>
      </c>
      <c r="X1376" s="256">
        <f t="shared" ca="1" si="503"/>
        <v>1</v>
      </c>
      <c r="Y1376" s="250"/>
      <c r="Z1376" s="250"/>
    </row>
    <row r="1377" spans="1:29" s="111" customFormat="1" ht="15" x14ac:dyDescent="0.2">
      <c r="A1377" s="399"/>
      <c r="B1377" s="494"/>
      <c r="C1377" s="1108" t="s">
        <v>1039</v>
      </c>
      <c r="D1377" s="419">
        <v>45</v>
      </c>
      <c r="E1377" s="316" t="s">
        <v>518</v>
      </c>
      <c r="F1377" s="420">
        <v>6</v>
      </c>
      <c r="G1377" s="419">
        <v>48</v>
      </c>
      <c r="H1377" s="316" t="s">
        <v>518</v>
      </c>
      <c r="I1377" s="420">
        <v>8</v>
      </c>
      <c r="J1377" s="1109"/>
      <c r="K1377" s="555">
        <f t="shared" si="500"/>
        <v>62</v>
      </c>
      <c r="L1377" s="555">
        <f t="shared" si="499"/>
        <v>12.399999999999999</v>
      </c>
      <c r="M1377" s="555">
        <v>0.05</v>
      </c>
      <c r="N1377" s="555"/>
      <c r="O1377" s="741"/>
      <c r="P1377" s="555"/>
      <c r="Q1377" s="741"/>
      <c r="R1377" s="742">
        <f t="shared" si="501"/>
        <v>38.44</v>
      </c>
      <c r="S1377" s="334" t="str">
        <f t="shared" si="498"/>
        <v>m³</v>
      </c>
      <c r="T1377" s="506">
        <v>42</v>
      </c>
      <c r="U1377" s="574" t="s">
        <v>577</v>
      </c>
      <c r="V1377" s="291">
        <f t="shared" ca="1" si="485"/>
        <v>44.860000000000127</v>
      </c>
      <c r="W1377" s="256">
        <f t="shared" ca="1" si="502"/>
        <v>2</v>
      </c>
      <c r="X1377" s="256">
        <f t="shared" ca="1" si="503"/>
        <v>1</v>
      </c>
      <c r="Y1377" s="250"/>
      <c r="Z1377" s="250"/>
    </row>
    <row r="1378" spans="1:29" s="111" customFormat="1" ht="15" x14ac:dyDescent="0.2">
      <c r="A1378" s="399"/>
      <c r="B1378" s="494"/>
      <c r="C1378" s="1108" t="s">
        <v>1039</v>
      </c>
      <c r="D1378" s="419">
        <v>42</v>
      </c>
      <c r="E1378" s="316" t="s">
        <v>518</v>
      </c>
      <c r="F1378" s="420">
        <v>3</v>
      </c>
      <c r="G1378" s="419">
        <v>45</v>
      </c>
      <c r="H1378" s="316" t="s">
        <v>518</v>
      </c>
      <c r="I1378" s="420">
        <v>6</v>
      </c>
      <c r="J1378" s="1109"/>
      <c r="K1378" s="555">
        <f t="shared" si="500"/>
        <v>63</v>
      </c>
      <c r="L1378" s="555">
        <f t="shared" si="499"/>
        <v>12.399999999999999</v>
      </c>
      <c r="M1378" s="555">
        <v>0.05</v>
      </c>
      <c r="N1378" s="555"/>
      <c r="O1378" s="741"/>
      <c r="P1378" s="555"/>
      <c r="Q1378" s="741"/>
      <c r="R1378" s="742">
        <f t="shared" si="501"/>
        <v>39.06</v>
      </c>
      <c r="S1378" s="334" t="str">
        <f t="shared" si="498"/>
        <v>m³</v>
      </c>
      <c r="T1378" s="506">
        <v>43</v>
      </c>
      <c r="U1378" s="574" t="s">
        <v>577</v>
      </c>
      <c r="V1378" s="291">
        <f t="shared" ca="1" si="485"/>
        <v>44.860000000000127</v>
      </c>
      <c r="W1378" s="256">
        <f t="shared" ca="1" si="502"/>
        <v>2</v>
      </c>
      <c r="X1378" s="256">
        <f t="shared" ca="1" si="503"/>
        <v>1</v>
      </c>
      <c r="Y1378" s="250"/>
      <c r="Z1378" s="250"/>
    </row>
    <row r="1379" spans="1:29" s="111" customFormat="1" ht="15" x14ac:dyDescent="0.2">
      <c r="A1379" s="399"/>
      <c r="B1379" s="494"/>
      <c r="C1379" s="1108" t="s">
        <v>1039</v>
      </c>
      <c r="D1379" s="419">
        <v>39</v>
      </c>
      <c r="E1379" s="316" t="s">
        <v>518</v>
      </c>
      <c r="F1379" s="420">
        <v>2</v>
      </c>
      <c r="G1379" s="419">
        <v>42</v>
      </c>
      <c r="H1379" s="316" t="s">
        <v>518</v>
      </c>
      <c r="I1379" s="420">
        <v>3</v>
      </c>
      <c r="J1379" s="1109"/>
      <c r="K1379" s="555">
        <f t="shared" si="500"/>
        <v>61</v>
      </c>
      <c r="L1379" s="555">
        <f t="shared" si="499"/>
        <v>12.399999999999999</v>
      </c>
      <c r="M1379" s="555">
        <v>0.05</v>
      </c>
      <c r="N1379" s="555"/>
      <c r="O1379" s="741"/>
      <c r="P1379" s="555"/>
      <c r="Q1379" s="741"/>
      <c r="R1379" s="742">
        <f t="shared" si="501"/>
        <v>37.819999999999993</v>
      </c>
      <c r="S1379" s="334" t="str">
        <f t="shared" si="498"/>
        <v>m³</v>
      </c>
      <c r="T1379" s="506">
        <v>44</v>
      </c>
      <c r="U1379" s="574" t="s">
        <v>577</v>
      </c>
      <c r="V1379" s="291">
        <f t="shared" ca="1" si="485"/>
        <v>44.860000000000127</v>
      </c>
      <c r="W1379" s="256">
        <f t="shared" ca="1" si="502"/>
        <v>2</v>
      </c>
      <c r="X1379" s="256">
        <f t="shared" ca="1" si="503"/>
        <v>1</v>
      </c>
      <c r="Y1379" s="250"/>
      <c r="Z1379" s="250"/>
    </row>
    <row r="1380" spans="1:29" s="111" customFormat="1" ht="15" x14ac:dyDescent="0.2">
      <c r="A1380" s="399"/>
      <c r="B1380" s="494"/>
      <c r="C1380" s="1108"/>
      <c r="D1380" s="496"/>
      <c r="E1380" s="497"/>
      <c r="F1380" s="498"/>
      <c r="G1380" s="496"/>
      <c r="H1380" s="497"/>
      <c r="I1380" s="498"/>
      <c r="J1380" s="1109"/>
      <c r="K1380" s="743"/>
      <c r="L1380" s="555"/>
      <c r="M1380" s="744"/>
      <c r="N1380" s="745"/>
      <c r="O1380" s="746"/>
      <c r="P1380" s="555"/>
      <c r="Q1380" s="776"/>
      <c r="R1380" s="742"/>
      <c r="S1380" s="505"/>
      <c r="T1380" s="506"/>
      <c r="U1380" s="574"/>
      <c r="V1380" s="291">
        <f t="shared" ca="1" si="485"/>
        <v>44.860000000000127</v>
      </c>
      <c r="W1380" s="256">
        <f t="shared" ca="1" si="502"/>
        <v>0</v>
      </c>
      <c r="X1380" s="256">
        <f t="shared" ca="1" si="503"/>
        <v>1</v>
      </c>
      <c r="Y1380" s="250"/>
      <c r="Z1380" s="250"/>
    </row>
    <row r="1381" spans="1:29" s="111" customFormat="1" ht="15" x14ac:dyDescent="0.2">
      <c r="A1381" s="399"/>
      <c r="B1381" s="494"/>
      <c r="C1381" s="1108"/>
      <c r="D1381" s="496"/>
      <c r="E1381" s="497"/>
      <c r="F1381" s="498"/>
      <c r="G1381" s="496"/>
      <c r="H1381" s="497"/>
      <c r="I1381" s="498"/>
      <c r="J1381" s="1109"/>
      <c r="K1381" s="743"/>
      <c r="L1381" s="555"/>
      <c r="M1381" s="744"/>
      <c r="N1381" s="745"/>
      <c r="O1381" s="746"/>
      <c r="P1381" s="555"/>
      <c r="Q1381" s="776"/>
      <c r="R1381" s="742"/>
      <c r="S1381" s="505"/>
      <c r="T1381" s="506"/>
      <c r="U1381" s="574"/>
      <c r="V1381" s="291">
        <f t="shared" ca="1" si="485"/>
        <v>44.860000000000127</v>
      </c>
      <c r="W1381" s="256">
        <f t="shared" ca="1" si="502"/>
        <v>0</v>
      </c>
      <c r="X1381" s="256">
        <f t="shared" ca="1" si="503"/>
        <v>1</v>
      </c>
      <c r="Y1381" s="250"/>
      <c r="Z1381" s="250"/>
    </row>
    <row r="1382" spans="1:29" s="111" customFormat="1" ht="15" x14ac:dyDescent="0.2">
      <c r="A1382" s="399"/>
      <c r="B1382" s="494"/>
      <c r="C1382" s="550"/>
      <c r="D1382" s="496"/>
      <c r="E1382" s="497"/>
      <c r="F1382" s="498"/>
      <c r="G1382" s="496"/>
      <c r="H1382" s="497"/>
      <c r="I1382" s="498"/>
      <c r="J1382" s="560"/>
      <c r="K1382" s="743"/>
      <c r="L1382" s="555"/>
      <c r="M1382" s="744"/>
      <c r="N1382" s="745"/>
      <c r="O1382" s="746"/>
      <c r="P1382" s="555"/>
      <c r="Q1382" s="776"/>
      <c r="R1382" s="742"/>
      <c r="S1382" s="505"/>
      <c r="T1382" s="506"/>
      <c r="U1382" s="574"/>
      <c r="V1382" s="291">
        <f t="shared" ca="1" si="485"/>
        <v>44.860000000000127</v>
      </c>
      <c r="W1382" s="256">
        <f t="shared" ca="1" si="502"/>
        <v>0</v>
      </c>
      <c r="X1382" s="256">
        <f t="shared" ca="1" si="503"/>
        <v>1</v>
      </c>
      <c r="Y1382" s="250"/>
      <c r="Z1382" s="250"/>
    </row>
    <row r="1383" spans="1:29" s="111" customFormat="1" ht="15" x14ac:dyDescent="0.2">
      <c r="A1383" s="399"/>
      <c r="B1383" s="494"/>
      <c r="C1383" s="550"/>
      <c r="D1383" s="496"/>
      <c r="E1383" s="497"/>
      <c r="F1383" s="498"/>
      <c r="G1383" s="496"/>
      <c r="H1383" s="497"/>
      <c r="I1383" s="498"/>
      <c r="J1383" s="560"/>
      <c r="K1383" s="743"/>
      <c r="L1383" s="555"/>
      <c r="M1383" s="744"/>
      <c r="N1383" s="745"/>
      <c r="O1383" s="746"/>
      <c r="P1383" s="555"/>
      <c r="Q1383" s="776"/>
      <c r="R1383" s="742"/>
      <c r="S1383" s="505"/>
      <c r="T1383" s="506"/>
      <c r="U1383" s="574"/>
      <c r="V1383" s="291">
        <f t="shared" ca="1" si="485"/>
        <v>44.860000000000127</v>
      </c>
      <c r="W1383" s="256">
        <f t="shared" ca="1" si="502"/>
        <v>0</v>
      </c>
      <c r="X1383" s="256">
        <f t="shared" ca="1" si="503"/>
        <v>1</v>
      </c>
      <c r="Y1383" s="250"/>
      <c r="Z1383" s="250"/>
    </row>
    <row r="1384" spans="1:29" s="111" customFormat="1" ht="15.75" x14ac:dyDescent="0.2">
      <c r="A1384" s="288"/>
      <c r="B1384" s="354"/>
      <c r="C1384" s="355"/>
      <c r="D1384" s="1354" t="s">
        <v>492</v>
      </c>
      <c r="E1384" s="1355"/>
      <c r="F1384" s="1355"/>
      <c r="G1384" s="1355"/>
      <c r="H1384" s="1355"/>
      <c r="I1384" s="1356"/>
      <c r="J1384" s="1357">
        <f>VLOOKUP(A1386,'11 - FINANCEIRO'!_xlnm.Print_Area,6,FALSE)</f>
        <v>1159.42</v>
      </c>
      <c r="K1384" s="1358"/>
      <c r="L1384" s="356" t="str">
        <f>VLOOKUP(A1386,'11 - FINANCEIRO'!_xlnm.Print_Area,4,FALSE)</f>
        <v>m³</v>
      </c>
      <c r="M1384" s="1359" t="s">
        <v>493</v>
      </c>
      <c r="N1384" s="1360"/>
      <c r="O1384" s="1360"/>
      <c r="P1384" s="1360"/>
      <c r="Q1384" s="1361"/>
      <c r="R1384" s="357">
        <f>TRUNC(SUM(R1350:R1383),3)</f>
        <v>1055.7560000000001</v>
      </c>
      <c r="S1384" s="358" t="str">
        <f>L1384</f>
        <v>m³</v>
      </c>
      <c r="T1384" s="359"/>
      <c r="U1384" s="360"/>
      <c r="V1384" s="435">
        <f t="shared" ca="1" si="485"/>
        <v>44.860000000000127</v>
      </c>
      <c r="W1384" s="256">
        <f t="shared" ref="W1384:W1385" ca="1" si="504">IF(LEFT(_xlfn.FORMULATEXT(V1384),3)="=SO",1,IF(COUNTA(A1384:U1384)=0,0,2))</f>
        <v>2</v>
      </c>
      <c r="X1384" s="256">
        <f ca="1">IF(COUNTA(OFFSET(A1377,1,0))-COUNTA(A1377)=-1,0,1)</f>
        <v>1</v>
      </c>
      <c r="Y1384" s="250"/>
      <c r="Z1384" s="250"/>
    </row>
    <row r="1385" spans="1:29" s="293" customFormat="1" ht="15.75" x14ac:dyDescent="0.2">
      <c r="A1385" s="288"/>
      <c r="B1385" s="354"/>
      <c r="C1385" s="361"/>
      <c r="D1385" s="1362" t="s">
        <v>494</v>
      </c>
      <c r="E1385" s="1363"/>
      <c r="F1385" s="1363"/>
      <c r="G1385" s="1363"/>
      <c r="H1385" s="1363"/>
      <c r="I1385" s="1364"/>
      <c r="J1385" s="1365">
        <f>R1384/J1384</f>
        <v>0.91058977764744442</v>
      </c>
      <c r="K1385" s="1366"/>
      <c r="L1385" s="1369"/>
      <c r="M1385" s="1371" t="s">
        <v>495</v>
      </c>
      <c r="N1385" s="1372"/>
      <c r="O1385" s="1372"/>
      <c r="P1385" s="1372"/>
      <c r="Q1385" s="1373"/>
      <c r="R1385" s="362">
        <f>VLOOKUP(A1386,'11 - FINANCEIRO'!_xlnm.Print_Area,8,FALSE)</f>
        <v>1010.896</v>
      </c>
      <c r="S1385" s="363" t="str">
        <f>L1384</f>
        <v>m³</v>
      </c>
      <c r="T1385" s="359"/>
      <c r="U1385" s="360"/>
      <c r="V1385" s="435">
        <f t="shared" ca="1" si="485"/>
        <v>44.860000000000127</v>
      </c>
      <c r="W1385" s="256">
        <f t="shared" ca="1" si="504"/>
        <v>2</v>
      </c>
      <c r="X1385" s="256">
        <f t="shared" ref="X1385" ca="1" si="505">IF(COUNTA(OFFSET(A1382,1,0))-COUNTA(A1382)=-1,0,1)</f>
        <v>1</v>
      </c>
      <c r="Y1385" s="256"/>
      <c r="Z1385" s="256"/>
      <c r="AA1385" s="292"/>
      <c r="AB1385" s="292"/>
      <c r="AC1385" s="292"/>
    </row>
    <row r="1386" spans="1:29" s="293" customFormat="1" ht="15.75" x14ac:dyDescent="0.2">
      <c r="A1386" s="288" t="s">
        <v>33</v>
      </c>
      <c r="B1386" s="364"/>
      <c r="C1386" s="365"/>
      <c r="D1386" s="1354"/>
      <c r="E1386" s="1355"/>
      <c r="F1386" s="1355"/>
      <c r="G1386" s="1355"/>
      <c r="H1386" s="1355"/>
      <c r="I1386" s="1356"/>
      <c r="J1386" s="1367"/>
      <c r="K1386" s="1368"/>
      <c r="L1386" s="1370"/>
      <c r="M1386" s="1371" t="s">
        <v>496</v>
      </c>
      <c r="N1386" s="1372"/>
      <c r="O1386" s="1372"/>
      <c r="P1386" s="1372"/>
      <c r="Q1386" s="1373"/>
      <c r="R1386" s="362">
        <f>R1384-R1385</f>
        <v>44.860000000000127</v>
      </c>
      <c r="S1386" s="363" t="str">
        <f>L1384</f>
        <v>m³</v>
      </c>
      <c r="T1386" s="366"/>
      <c r="U1386" s="367"/>
      <c r="V1386" s="291">
        <f t="shared" ca="1" si="485"/>
        <v>44.860000000000127</v>
      </c>
      <c r="W1386" s="256">
        <f t="shared" ca="1" si="418"/>
        <v>2</v>
      </c>
      <c r="X1386" s="256">
        <f t="shared" ca="1" si="439"/>
        <v>1</v>
      </c>
      <c r="Y1386" s="256"/>
      <c r="Z1386" s="256"/>
      <c r="AA1386" s="292"/>
      <c r="AB1386" s="292"/>
      <c r="AC1386" s="292"/>
    </row>
    <row r="1387" spans="1:29" s="111" customFormat="1" ht="15.75" x14ac:dyDescent="0.2">
      <c r="A1387" s="288"/>
      <c r="B1387" s="368"/>
      <c r="C1387" s="365"/>
      <c r="D1387" s="369"/>
      <c r="E1387" s="370"/>
      <c r="F1387" s="369"/>
      <c r="G1387" s="369"/>
      <c r="H1387" s="369"/>
      <c r="I1387" s="369"/>
      <c r="J1387" s="371"/>
      <c r="K1387" s="372"/>
      <c r="L1387" s="373"/>
      <c r="M1387" s="374"/>
      <c r="N1387" s="374"/>
      <c r="O1387" s="374"/>
      <c r="P1387" s="374"/>
      <c r="Q1387" s="374"/>
      <c r="R1387" s="375"/>
      <c r="S1387" s="376"/>
      <c r="T1387" s="377"/>
      <c r="U1387" s="378"/>
      <c r="V1387" s="379">
        <f ca="1">SUM(V1348:V1386)</f>
        <v>1749.540000000005</v>
      </c>
      <c r="W1387" s="256">
        <f t="shared" ca="1" si="418"/>
        <v>1</v>
      </c>
      <c r="X1387" s="256">
        <f t="shared" ca="1" si="439"/>
        <v>0</v>
      </c>
      <c r="Y1387" s="250"/>
      <c r="Z1387" s="250"/>
    </row>
    <row r="1388" spans="1:29" s="293" customFormat="1" ht="15.75" customHeight="1" x14ac:dyDescent="0.25">
      <c r="A1388" s="288"/>
      <c r="B1388" s="1374" t="str">
        <f>VLOOKUP(A1434,'11 - FINANCEIRO'!_xlnm.Print_Area,1,FALSE)</f>
        <v>2.1.8</v>
      </c>
      <c r="C1388" s="1376" t="str">
        <f>VLOOKUP(A1434,'11 - FINANCEIRO'!_xlnm.Print_Area,3,FALSE)</f>
        <v>Lastro Com Material Granular (Pedra Britada N.3), Aplicado Em Pisos Ou Lajes Sobre Solo, Espessura De *10 Cm*. Af_07/2019</v>
      </c>
      <c r="D1388" s="1378" t="s">
        <v>477</v>
      </c>
      <c r="E1388" s="1379"/>
      <c r="F1388" s="1379"/>
      <c r="G1388" s="1379"/>
      <c r="H1388" s="1379"/>
      <c r="I1388" s="1380"/>
      <c r="J1388" s="1338" t="s">
        <v>478</v>
      </c>
      <c r="K1388" s="1338" t="s">
        <v>479</v>
      </c>
      <c r="L1388" s="1338" t="s">
        <v>480</v>
      </c>
      <c r="M1388" s="1338" t="s">
        <v>481</v>
      </c>
      <c r="N1388" s="1338" t="s">
        <v>482</v>
      </c>
      <c r="O1388" s="1338" t="s">
        <v>483</v>
      </c>
      <c r="P1388" s="290" t="s">
        <v>484</v>
      </c>
      <c r="Q1388" s="1338" t="s">
        <v>485</v>
      </c>
      <c r="R1388" s="1336" t="s">
        <v>296</v>
      </c>
      <c r="S1388" s="1338" t="s">
        <v>486</v>
      </c>
      <c r="T1388" s="1338" t="s">
        <v>487</v>
      </c>
      <c r="U1388" s="1340" t="s">
        <v>488</v>
      </c>
      <c r="V1388" s="291">
        <f t="shared" ref="V1388:V1434" ca="1" si="506">IF(OFFSET(V1388,1,1)=1,OFFSET(V1388,0,-4),OFFSET(V1388,1,0))</f>
        <v>269.15999999999985</v>
      </c>
      <c r="W1388" s="256">
        <f t="shared" ca="1" si="418"/>
        <v>2</v>
      </c>
      <c r="X1388" s="256">
        <f t="shared" ca="1" si="439"/>
        <v>1</v>
      </c>
      <c r="Y1388" s="256"/>
      <c r="Z1388" s="256"/>
      <c r="AA1388" s="292"/>
      <c r="AB1388" s="292"/>
      <c r="AC1388" s="292"/>
    </row>
    <row r="1389" spans="1:29" s="337" customFormat="1" ht="15.75" x14ac:dyDescent="0.2">
      <c r="A1389" s="288"/>
      <c r="B1389" s="1375"/>
      <c r="C1389" s="1377"/>
      <c r="D1389" s="1342" t="s">
        <v>489</v>
      </c>
      <c r="E1389" s="1343"/>
      <c r="F1389" s="1344"/>
      <c r="G1389" s="1345" t="s">
        <v>490</v>
      </c>
      <c r="H1389" s="1346"/>
      <c r="I1389" s="1347"/>
      <c r="J1389" s="1339"/>
      <c r="K1389" s="1339"/>
      <c r="L1389" s="1339"/>
      <c r="M1389" s="1339"/>
      <c r="N1389" s="1339"/>
      <c r="O1389" s="1339"/>
      <c r="P1389" s="295" t="s">
        <v>491</v>
      </c>
      <c r="Q1389" s="1339"/>
      <c r="R1389" s="1337"/>
      <c r="S1389" s="1339"/>
      <c r="T1389" s="1339"/>
      <c r="U1389" s="1341"/>
      <c r="V1389" s="291">
        <f t="shared" ca="1" si="506"/>
        <v>269.15999999999985</v>
      </c>
      <c r="W1389" s="256">
        <f t="shared" ref="W1389:W1393" ca="1" si="507">IF(LEFT(_xlfn.FORMULATEXT(V1389),3)="=SO",1,IF(COUNTA(A1389:U1389)=0,0,2))</f>
        <v>2</v>
      </c>
      <c r="X1389" s="256">
        <f t="shared" ref="X1389:X1393" ca="1" si="508">IF(COUNTA(OFFSET(A1388,1,0))-COUNTA(A1388)=-1,0,1)</f>
        <v>1</v>
      </c>
      <c r="Y1389" s="256"/>
      <c r="Z1389" s="336"/>
    </row>
    <row r="1390" spans="1:29" s="110" customFormat="1" ht="15" x14ac:dyDescent="0.2">
      <c r="A1390" s="403"/>
      <c r="B1390" s="479"/>
      <c r="C1390" s="539" t="s">
        <v>576</v>
      </c>
      <c r="D1390" s="412">
        <v>5</v>
      </c>
      <c r="E1390" s="299" t="s">
        <v>518</v>
      </c>
      <c r="F1390" s="413">
        <v>14.9</v>
      </c>
      <c r="G1390" s="414">
        <v>6</v>
      </c>
      <c r="H1390" s="302" t="s">
        <v>518</v>
      </c>
      <c r="I1390" s="415">
        <v>10</v>
      </c>
      <c r="J1390" s="304"/>
      <c r="K1390" s="481">
        <f>ABS((G1390*20+I1390)-(D1390*20+F1390))</f>
        <v>15.099999999999994</v>
      </c>
      <c r="L1390" s="481">
        <f>L1350</f>
        <v>6.4</v>
      </c>
      <c r="M1390" s="481">
        <v>0.3</v>
      </c>
      <c r="N1390" s="481"/>
      <c r="O1390" s="540"/>
      <c r="P1390" s="481"/>
      <c r="Q1390" s="540"/>
      <c r="R1390" s="541">
        <f>PRODUCT(J1390:Q1390)</f>
        <v>28.99199999999999</v>
      </c>
      <c r="S1390" s="334" t="str">
        <f>$L$1432</f>
        <v>m³</v>
      </c>
      <c r="T1390" s="309">
        <v>5</v>
      </c>
      <c r="U1390" s="383" t="s">
        <v>577</v>
      </c>
      <c r="V1390" s="291">
        <f t="shared" ca="1" si="506"/>
        <v>269.15999999999985</v>
      </c>
      <c r="W1390" s="256">
        <f t="shared" ca="1" si="507"/>
        <v>2</v>
      </c>
      <c r="X1390" s="256">
        <f t="shared" ca="1" si="508"/>
        <v>1</v>
      </c>
      <c r="Y1390" s="256"/>
      <c r="Z1390" s="492"/>
    </row>
    <row r="1391" spans="1:29" s="110" customFormat="1" ht="15" x14ac:dyDescent="0.2">
      <c r="A1391" s="403"/>
      <c r="B1391" s="1083"/>
      <c r="C1391" s="382" t="s">
        <v>576</v>
      </c>
      <c r="D1391" s="417">
        <v>4</v>
      </c>
      <c r="E1391" s="314" t="s">
        <v>518</v>
      </c>
      <c r="F1391" s="418">
        <v>16</v>
      </c>
      <c r="G1391" s="417">
        <v>5</v>
      </c>
      <c r="H1391" s="314" t="s">
        <v>518</v>
      </c>
      <c r="I1391" s="418">
        <v>14.5</v>
      </c>
      <c r="J1391" s="317"/>
      <c r="K1391" s="422">
        <f>ABS((G1391*20+I1391)-(D1391*20+F1391))</f>
        <v>18.5</v>
      </c>
      <c r="L1391" s="422">
        <v>6.4</v>
      </c>
      <c r="M1391" s="422">
        <v>0.3</v>
      </c>
      <c r="N1391" s="422"/>
      <c r="O1391" s="537"/>
      <c r="P1391" s="422"/>
      <c r="Q1391" s="537"/>
      <c r="R1391" s="542">
        <f>PRODUCT(J1391:Q1391)</f>
        <v>35.520000000000003</v>
      </c>
      <c r="S1391" s="334" t="str">
        <f>$L$1432</f>
        <v>m³</v>
      </c>
      <c r="T1391" s="320">
        <v>38</v>
      </c>
      <c r="U1391" s="335" t="s">
        <v>577</v>
      </c>
      <c r="V1391" s="291">
        <f t="shared" ca="1" si="506"/>
        <v>269.15999999999985</v>
      </c>
      <c r="W1391" s="256">
        <f t="shared" ca="1" si="507"/>
        <v>2</v>
      </c>
      <c r="X1391" s="256">
        <f t="shared" ca="1" si="508"/>
        <v>1</v>
      </c>
      <c r="Y1391" s="256"/>
      <c r="Z1391" s="492"/>
    </row>
    <row r="1392" spans="1:29" s="110" customFormat="1" ht="15" x14ac:dyDescent="0.2">
      <c r="A1392" s="403"/>
      <c r="B1392" s="1083"/>
      <c r="C1392" s="382" t="s">
        <v>576</v>
      </c>
      <c r="D1392" s="417">
        <v>4</v>
      </c>
      <c r="E1392" s="314" t="s">
        <v>518</v>
      </c>
      <c r="F1392" s="418">
        <v>0</v>
      </c>
      <c r="G1392" s="417">
        <v>4</v>
      </c>
      <c r="H1392" s="314" t="s">
        <v>518</v>
      </c>
      <c r="I1392" s="418">
        <v>16</v>
      </c>
      <c r="J1392" s="317"/>
      <c r="K1392" s="422">
        <f>ABS((G1392*20+I1392)-(D1392*20+F1392))</f>
        <v>16</v>
      </c>
      <c r="L1392" s="422">
        <v>6.4</v>
      </c>
      <c r="M1392" s="422">
        <v>0.3</v>
      </c>
      <c r="N1392" s="422"/>
      <c r="O1392" s="537"/>
      <c r="P1392" s="422"/>
      <c r="Q1392" s="537"/>
      <c r="R1392" s="542">
        <f>PRODUCT(J1392:Q1392)</f>
        <v>30.72</v>
      </c>
      <c r="S1392" s="334" t="str">
        <f t="shared" ref="S1392:S1397" si="509">$L$1432</f>
        <v>m³</v>
      </c>
      <c r="T1392" s="320">
        <v>39</v>
      </c>
      <c r="U1392" s="335" t="s">
        <v>577</v>
      </c>
      <c r="V1392" s="291">
        <f t="shared" ca="1" si="506"/>
        <v>269.15999999999985</v>
      </c>
      <c r="W1392" s="256">
        <f t="shared" ca="1" si="507"/>
        <v>2</v>
      </c>
      <c r="X1392" s="256">
        <f t="shared" ca="1" si="508"/>
        <v>1</v>
      </c>
      <c r="Y1392" s="256"/>
      <c r="Z1392" s="492"/>
    </row>
    <row r="1393" spans="1:26" s="110" customFormat="1" ht="15" x14ac:dyDescent="0.2">
      <c r="A1393" s="403"/>
      <c r="B1393" s="1083"/>
      <c r="C1393" s="382" t="s">
        <v>576</v>
      </c>
      <c r="D1393" s="417">
        <v>3</v>
      </c>
      <c r="E1393" s="314" t="s">
        <v>518</v>
      </c>
      <c r="F1393" s="418">
        <v>4</v>
      </c>
      <c r="G1393" s="417">
        <v>4</v>
      </c>
      <c r="H1393" s="314" t="s">
        <v>518</v>
      </c>
      <c r="I1393" s="418">
        <v>0</v>
      </c>
      <c r="J1393" s="317"/>
      <c r="K1393" s="422">
        <f>ABS((G1393*20+I1393)-(D1393*20+F1393))</f>
        <v>16</v>
      </c>
      <c r="L1393" s="422">
        <v>6.4</v>
      </c>
      <c r="M1393" s="422">
        <v>0.3</v>
      </c>
      <c r="N1393" s="422"/>
      <c r="O1393" s="537"/>
      <c r="P1393" s="422"/>
      <c r="Q1393" s="537"/>
      <c r="R1393" s="542">
        <f>PRODUCT(J1393:Q1393)</f>
        <v>30.72</v>
      </c>
      <c r="S1393" s="334" t="str">
        <f t="shared" si="509"/>
        <v>m³</v>
      </c>
      <c r="T1393" s="320">
        <v>40</v>
      </c>
      <c r="U1393" s="335" t="s">
        <v>577</v>
      </c>
      <c r="V1393" s="291">
        <f t="shared" ca="1" si="506"/>
        <v>269.15999999999985</v>
      </c>
      <c r="W1393" s="256">
        <f t="shared" ca="1" si="507"/>
        <v>2</v>
      </c>
      <c r="X1393" s="256">
        <f t="shared" ca="1" si="508"/>
        <v>1</v>
      </c>
      <c r="Y1393" s="256"/>
      <c r="Z1393" s="492"/>
    </row>
    <row r="1394" spans="1:26" s="110" customFormat="1" ht="15" x14ac:dyDescent="0.2">
      <c r="A1394" s="403"/>
      <c r="B1394" s="1083"/>
      <c r="C1394" s="382" t="s">
        <v>576</v>
      </c>
      <c r="D1394" s="417">
        <v>2</v>
      </c>
      <c r="E1394" s="314" t="s">
        <v>518</v>
      </c>
      <c r="F1394" s="418">
        <v>6</v>
      </c>
      <c r="G1394" s="417">
        <v>3</v>
      </c>
      <c r="H1394" s="314" t="s">
        <v>518</v>
      </c>
      <c r="I1394" s="418">
        <v>4</v>
      </c>
      <c r="J1394" s="317"/>
      <c r="K1394" s="422">
        <f>ABS((G1394*20+I1394)-(D1394*20+F1394))</f>
        <v>18</v>
      </c>
      <c r="L1394" s="422">
        <v>6.4</v>
      </c>
      <c r="M1394" s="422">
        <v>0.3</v>
      </c>
      <c r="N1394" s="422"/>
      <c r="O1394" s="537"/>
      <c r="P1394" s="422"/>
      <c r="Q1394" s="537"/>
      <c r="R1394" s="542">
        <f>PRODUCT(J1394:Q1394)</f>
        <v>34.56</v>
      </c>
      <c r="S1394" s="334" t="str">
        <f t="shared" si="509"/>
        <v>m³</v>
      </c>
      <c r="T1394" s="320">
        <v>41</v>
      </c>
      <c r="U1394" s="335" t="s">
        <v>577</v>
      </c>
      <c r="V1394" s="291">
        <f t="shared" ca="1" si="506"/>
        <v>269.15999999999985</v>
      </c>
      <c r="W1394" s="256">
        <f t="shared" ref="W1394:W1400" ca="1" si="510">IF(LEFT(_xlfn.FORMULATEXT(V1394),3)="=SO",1,IF(COUNTA(A1394:U1394)=0,0,2))</f>
        <v>2</v>
      </c>
      <c r="X1394" s="256">
        <f t="shared" ref="X1394:X1400" ca="1" si="511">IF(COUNTA(OFFSET(A1393,1,0))-COUNTA(A1393)=-1,0,1)</f>
        <v>1</v>
      </c>
      <c r="Y1394" s="256"/>
      <c r="Z1394" s="492"/>
    </row>
    <row r="1395" spans="1:26" s="110" customFormat="1" ht="15" x14ac:dyDescent="0.2">
      <c r="A1395" s="403"/>
      <c r="B1395" s="1083"/>
      <c r="C1395" s="382" t="s">
        <v>576</v>
      </c>
      <c r="D1395" s="417">
        <v>2</v>
      </c>
      <c r="E1395" s="314" t="s">
        <v>518</v>
      </c>
      <c r="F1395" s="418">
        <v>0</v>
      </c>
      <c r="G1395" s="417">
        <v>2</v>
      </c>
      <c r="H1395" s="314" t="s">
        <v>518</v>
      </c>
      <c r="I1395" s="418">
        <v>6</v>
      </c>
      <c r="J1395" s="317"/>
      <c r="K1395" s="422">
        <f t="shared" ref="K1395:K1397" si="512">ABS((G1395*20+I1395)-(D1395*20+F1395))</f>
        <v>6</v>
      </c>
      <c r="L1395" s="422">
        <v>6.4</v>
      </c>
      <c r="M1395" s="422">
        <v>0.3</v>
      </c>
      <c r="N1395" s="422"/>
      <c r="O1395" s="537"/>
      <c r="P1395" s="422"/>
      <c r="Q1395" s="537"/>
      <c r="R1395" s="542">
        <f t="shared" ref="R1395:R1397" si="513">PRODUCT(J1395:Q1395)</f>
        <v>11.520000000000001</v>
      </c>
      <c r="S1395" s="334" t="str">
        <f t="shared" si="509"/>
        <v>m³</v>
      </c>
      <c r="T1395" s="320">
        <v>42</v>
      </c>
      <c r="U1395" s="335" t="s">
        <v>577</v>
      </c>
      <c r="V1395" s="291">
        <f t="shared" ca="1" si="506"/>
        <v>269.15999999999985</v>
      </c>
      <c r="W1395" s="256">
        <f t="shared" ca="1" si="510"/>
        <v>2</v>
      </c>
      <c r="X1395" s="256">
        <f t="shared" ca="1" si="511"/>
        <v>1</v>
      </c>
      <c r="Y1395" s="256"/>
      <c r="Z1395" s="492"/>
    </row>
    <row r="1396" spans="1:26" s="110" customFormat="1" ht="15" x14ac:dyDescent="0.2">
      <c r="A1396" s="403"/>
      <c r="B1396" s="1083"/>
      <c r="C1396" s="382" t="s">
        <v>576</v>
      </c>
      <c r="D1396" s="417">
        <v>1</v>
      </c>
      <c r="E1396" s="314" t="s">
        <v>518</v>
      </c>
      <c r="F1396" s="418">
        <v>8</v>
      </c>
      <c r="G1396" s="417">
        <v>2</v>
      </c>
      <c r="H1396" s="314" t="s">
        <v>518</v>
      </c>
      <c r="I1396" s="418">
        <v>0</v>
      </c>
      <c r="J1396" s="317"/>
      <c r="K1396" s="422">
        <f t="shared" si="512"/>
        <v>12</v>
      </c>
      <c r="L1396" s="422">
        <v>6.4</v>
      </c>
      <c r="M1396" s="422">
        <v>0.3</v>
      </c>
      <c r="N1396" s="422"/>
      <c r="O1396" s="537"/>
      <c r="P1396" s="422"/>
      <c r="Q1396" s="537"/>
      <c r="R1396" s="542">
        <f t="shared" si="513"/>
        <v>23.040000000000003</v>
      </c>
      <c r="S1396" s="334" t="str">
        <f t="shared" si="509"/>
        <v>m³</v>
      </c>
      <c r="T1396" s="320">
        <v>43</v>
      </c>
      <c r="U1396" s="335" t="s">
        <v>577</v>
      </c>
      <c r="V1396" s="291">
        <f t="shared" ca="1" si="506"/>
        <v>269.15999999999985</v>
      </c>
      <c r="W1396" s="256">
        <f t="shared" ca="1" si="510"/>
        <v>2</v>
      </c>
      <c r="X1396" s="256">
        <f t="shared" ca="1" si="511"/>
        <v>1</v>
      </c>
      <c r="Y1396" s="256"/>
      <c r="Z1396" s="492"/>
    </row>
    <row r="1397" spans="1:26" s="110" customFormat="1" ht="15" x14ac:dyDescent="0.2">
      <c r="A1397" s="403"/>
      <c r="B1397" s="1083"/>
      <c r="C1397" s="382" t="s">
        <v>576</v>
      </c>
      <c r="D1397" s="417">
        <v>0</v>
      </c>
      <c r="E1397" s="314" t="s">
        <v>518</v>
      </c>
      <c r="F1397" s="418">
        <v>6</v>
      </c>
      <c r="G1397" s="417">
        <v>1</v>
      </c>
      <c r="H1397" s="314" t="s">
        <v>518</v>
      </c>
      <c r="I1397" s="418">
        <v>8</v>
      </c>
      <c r="J1397" s="317"/>
      <c r="K1397" s="422">
        <f t="shared" si="512"/>
        <v>22</v>
      </c>
      <c r="L1397" s="422">
        <v>6.4</v>
      </c>
      <c r="M1397" s="422">
        <v>0.3</v>
      </c>
      <c r="N1397" s="422"/>
      <c r="O1397" s="537"/>
      <c r="P1397" s="422"/>
      <c r="Q1397" s="537"/>
      <c r="R1397" s="542">
        <f t="shared" si="513"/>
        <v>42.24</v>
      </c>
      <c r="S1397" s="334" t="str">
        <f t="shared" si="509"/>
        <v>m³</v>
      </c>
      <c r="T1397" s="320">
        <v>44</v>
      </c>
      <c r="U1397" s="335" t="s">
        <v>577</v>
      </c>
      <c r="V1397" s="291">
        <f t="shared" ca="1" si="506"/>
        <v>269.15999999999985</v>
      </c>
      <c r="W1397" s="256">
        <f t="shared" ca="1" si="510"/>
        <v>2</v>
      </c>
      <c r="X1397" s="256">
        <f t="shared" ca="1" si="511"/>
        <v>1</v>
      </c>
      <c r="Y1397" s="256"/>
      <c r="Z1397" s="492"/>
    </row>
    <row r="1398" spans="1:26" s="110" customFormat="1" ht="15" x14ac:dyDescent="0.2">
      <c r="A1398" s="403"/>
      <c r="B1398" s="1083"/>
      <c r="C1398" s="1084"/>
      <c r="D1398" s="846"/>
      <c r="E1398" s="520"/>
      <c r="F1398" s="847"/>
      <c r="G1398" s="1085"/>
      <c r="H1398" s="522"/>
      <c r="I1398" s="1086"/>
      <c r="J1398" s="427"/>
      <c r="K1398" s="1087"/>
      <c r="L1398" s="1087"/>
      <c r="M1398" s="1087"/>
      <c r="N1398" s="1087"/>
      <c r="O1398" s="1088"/>
      <c r="P1398" s="1087"/>
      <c r="Q1398" s="1088"/>
      <c r="R1398" s="1089"/>
      <c r="S1398" s="1090"/>
      <c r="T1398" s="514"/>
      <c r="U1398" s="525"/>
      <c r="V1398" s="291">
        <f t="shared" ca="1" si="506"/>
        <v>269.15999999999985</v>
      </c>
      <c r="W1398" s="256">
        <f t="shared" ca="1" si="510"/>
        <v>0</v>
      </c>
      <c r="X1398" s="256">
        <f t="shared" ca="1" si="511"/>
        <v>1</v>
      </c>
      <c r="Y1398" s="492"/>
      <c r="Z1398" s="492"/>
    </row>
    <row r="1399" spans="1:26" s="110" customFormat="1" ht="15" x14ac:dyDescent="0.2">
      <c r="A1399" s="403"/>
      <c r="B1399" s="322"/>
      <c r="C1399" s="382" t="s">
        <v>578</v>
      </c>
      <c r="D1399" s="417">
        <v>6</v>
      </c>
      <c r="E1399" s="314" t="s">
        <v>518</v>
      </c>
      <c r="F1399" s="418">
        <v>10</v>
      </c>
      <c r="G1399" s="419">
        <v>12</v>
      </c>
      <c r="H1399" s="316" t="s">
        <v>518</v>
      </c>
      <c r="I1399" s="420">
        <v>6.42</v>
      </c>
      <c r="J1399" s="317"/>
      <c r="K1399" s="422">
        <f>ABS((G1399*20+I1399)-(D1399*20+F1399))</f>
        <v>116.41999999999999</v>
      </c>
      <c r="L1399" s="422">
        <f>L1360</f>
        <v>8.3999999999999986</v>
      </c>
      <c r="M1399" s="422">
        <v>0.3</v>
      </c>
      <c r="N1399" s="422"/>
      <c r="O1399" s="537"/>
      <c r="P1399" s="422"/>
      <c r="Q1399" s="537"/>
      <c r="R1399" s="542">
        <f>PRODUCT(J1399:Q1399)</f>
        <v>293.37839999999994</v>
      </c>
      <c r="S1399" s="334" t="str">
        <f t="shared" ref="S1399:S1429" si="514">$L$1432</f>
        <v>m³</v>
      </c>
      <c r="T1399" s="320">
        <v>7</v>
      </c>
      <c r="U1399" s="335" t="s">
        <v>577</v>
      </c>
      <c r="V1399" s="291">
        <f t="shared" ca="1" si="506"/>
        <v>269.15999999999985</v>
      </c>
      <c r="W1399" s="256">
        <f t="shared" ca="1" si="510"/>
        <v>2</v>
      </c>
      <c r="X1399" s="256">
        <f t="shared" ca="1" si="511"/>
        <v>1</v>
      </c>
      <c r="Y1399" s="492"/>
      <c r="Z1399" s="492"/>
    </row>
    <row r="1400" spans="1:26" s="111" customFormat="1" ht="15" x14ac:dyDescent="0.2">
      <c r="A1400" s="288"/>
      <c r="B1400" s="322"/>
      <c r="C1400" s="382" t="s">
        <v>579</v>
      </c>
      <c r="D1400" s="417">
        <v>12</v>
      </c>
      <c r="E1400" s="314" t="s">
        <v>518</v>
      </c>
      <c r="F1400" s="418">
        <v>6.42</v>
      </c>
      <c r="G1400" s="419">
        <v>17</v>
      </c>
      <c r="H1400" s="316" t="s">
        <v>518</v>
      </c>
      <c r="I1400" s="420">
        <v>4.42</v>
      </c>
      <c r="J1400" s="317"/>
      <c r="K1400" s="422">
        <f>ABS((G1400*20+I1400)-(D1400*20+F1400))</f>
        <v>98.000000000000028</v>
      </c>
      <c r="L1400" s="422">
        <f>L1361</f>
        <v>10.399999999999999</v>
      </c>
      <c r="M1400" s="422">
        <v>0.3</v>
      </c>
      <c r="N1400" s="422"/>
      <c r="O1400" s="537"/>
      <c r="P1400" s="422"/>
      <c r="Q1400" s="537"/>
      <c r="R1400" s="542">
        <f>PRODUCT(J1400:Q1400)</f>
        <v>305.76000000000005</v>
      </c>
      <c r="S1400" s="334" t="str">
        <f t="shared" si="514"/>
        <v>m³</v>
      </c>
      <c r="T1400" s="320">
        <v>9</v>
      </c>
      <c r="U1400" s="335" t="s">
        <v>577</v>
      </c>
      <c r="V1400" s="291">
        <f t="shared" ca="1" si="506"/>
        <v>269.15999999999985</v>
      </c>
      <c r="W1400" s="256">
        <f t="shared" ca="1" si="510"/>
        <v>2</v>
      </c>
      <c r="X1400" s="256">
        <f t="shared" ca="1" si="511"/>
        <v>1</v>
      </c>
      <c r="Y1400" s="250"/>
      <c r="Z1400" s="250"/>
    </row>
    <row r="1401" spans="1:26" s="111" customFormat="1" ht="15" x14ac:dyDescent="0.2">
      <c r="A1401" s="288"/>
      <c r="B1401" s="322"/>
      <c r="C1401" s="382" t="s">
        <v>580</v>
      </c>
      <c r="D1401" s="419">
        <v>17</v>
      </c>
      <c r="E1401" s="316" t="s">
        <v>518</v>
      </c>
      <c r="F1401" s="420">
        <v>4.42</v>
      </c>
      <c r="G1401" s="417">
        <v>25</v>
      </c>
      <c r="H1401" s="314" t="s">
        <v>518</v>
      </c>
      <c r="I1401" s="418">
        <v>4.42</v>
      </c>
      <c r="J1401" s="317"/>
      <c r="K1401" s="422">
        <f>ABS((G1401*20+I1401)-(D1401*20+F1401))</f>
        <v>160</v>
      </c>
      <c r="L1401" s="422">
        <f>L1362</f>
        <v>12.399999999999999</v>
      </c>
      <c r="M1401" s="422">
        <v>0.3</v>
      </c>
      <c r="N1401" s="422"/>
      <c r="O1401" s="537"/>
      <c r="P1401" s="422"/>
      <c r="Q1401" s="537"/>
      <c r="R1401" s="542">
        <f>PRODUCT(J1401:Q1401)</f>
        <v>595.19999999999993</v>
      </c>
      <c r="S1401" s="334" t="str">
        <f t="shared" si="514"/>
        <v>m³</v>
      </c>
      <c r="T1401" s="320">
        <v>11</v>
      </c>
      <c r="U1401" s="335" t="s">
        <v>577</v>
      </c>
      <c r="V1401" s="291">
        <f t="shared" ca="1" si="506"/>
        <v>269.15999999999985</v>
      </c>
      <c r="W1401" s="256">
        <f t="shared" ref="W1401:W1414" ca="1" si="515">IF(LEFT(_xlfn.FORMULATEXT(V1401),3)="=SO",1,IF(COUNTA(A1401:U1401)=0,0,2))</f>
        <v>2</v>
      </c>
      <c r="X1401" s="256">
        <f t="shared" ref="X1401:X1414" ca="1" si="516">IF(COUNTA(OFFSET(A1400,1,0))-COUNTA(A1400)=-1,0,1)</f>
        <v>1</v>
      </c>
      <c r="Y1401" s="250"/>
      <c r="Z1401" s="250"/>
    </row>
    <row r="1402" spans="1:26" s="111" customFormat="1" ht="15" x14ac:dyDescent="0.2">
      <c r="A1402" s="399"/>
      <c r="B1402" s="494"/>
      <c r="C1402" s="550" t="s">
        <v>581</v>
      </c>
      <c r="D1402" s="496">
        <v>25</v>
      </c>
      <c r="E1402" s="497" t="s">
        <v>518</v>
      </c>
      <c r="F1402" s="498">
        <v>4.42</v>
      </c>
      <c r="G1402" s="551">
        <v>31</v>
      </c>
      <c r="H1402" s="552" t="s">
        <v>518</v>
      </c>
      <c r="I1402" s="553">
        <v>10</v>
      </c>
      <c r="J1402" s="560"/>
      <c r="K1402" s="555">
        <f>ABS((G1402*20+I1402)-(D1402*20+F1402))</f>
        <v>125.57999999999998</v>
      </c>
      <c r="L1402" s="555">
        <f>L1363</f>
        <v>12.399999999999999</v>
      </c>
      <c r="M1402" s="555">
        <v>0.3</v>
      </c>
      <c r="N1402" s="555"/>
      <c r="O1402" s="741"/>
      <c r="P1402" s="555"/>
      <c r="Q1402" s="741"/>
      <c r="R1402" s="742">
        <f>PRODUCT(J1402:Q1402)</f>
        <v>467.15759999999983</v>
      </c>
      <c r="S1402" s="334" t="str">
        <f t="shared" si="514"/>
        <v>m³</v>
      </c>
      <c r="T1402" s="506">
        <v>14</v>
      </c>
      <c r="U1402" s="574" t="s">
        <v>577</v>
      </c>
      <c r="V1402" s="291">
        <f t="shared" ca="1" si="506"/>
        <v>269.15999999999985</v>
      </c>
      <c r="W1402" s="256">
        <f t="shared" ca="1" si="515"/>
        <v>2</v>
      </c>
      <c r="X1402" s="256">
        <f t="shared" ca="1" si="516"/>
        <v>1</v>
      </c>
      <c r="Y1402" s="250"/>
      <c r="Z1402" s="250"/>
    </row>
    <row r="1403" spans="1:26" s="111" customFormat="1" ht="15" x14ac:dyDescent="0.2">
      <c r="A1403" s="288"/>
      <c r="B1403" s="322"/>
      <c r="C1403" s="382"/>
      <c r="D1403" s="324"/>
      <c r="E1403" s="325"/>
      <c r="F1403" s="326"/>
      <c r="G1403" s="324"/>
      <c r="H1403" s="325"/>
      <c r="I1403" s="326"/>
      <c r="J1403" s="317"/>
      <c r="K1403" s="328"/>
      <c r="L1403" s="328"/>
      <c r="M1403" s="328"/>
      <c r="N1403" s="328"/>
      <c r="O1403" s="334"/>
      <c r="P1403" s="328"/>
      <c r="Q1403" s="334"/>
      <c r="R1403" s="333"/>
      <c r="S1403" s="334" t="str">
        <f t="shared" si="514"/>
        <v>m³</v>
      </c>
      <c r="T1403" s="320"/>
      <c r="U1403" s="335"/>
      <c r="V1403" s="291">
        <f t="shared" ca="1" si="506"/>
        <v>269.15999999999985</v>
      </c>
      <c r="W1403" s="256">
        <f t="shared" ca="1" si="515"/>
        <v>2</v>
      </c>
      <c r="X1403" s="256">
        <f t="shared" ca="1" si="516"/>
        <v>1</v>
      </c>
      <c r="Y1403" s="250"/>
      <c r="Z1403" s="250"/>
    </row>
    <row r="1404" spans="1:26" s="111" customFormat="1" ht="60" customHeight="1" x14ac:dyDescent="0.2">
      <c r="A1404" s="288"/>
      <c r="B1404" s="322"/>
      <c r="C1404" s="382" t="s">
        <v>682</v>
      </c>
      <c r="D1404" s="419">
        <v>99</v>
      </c>
      <c r="E1404" s="316" t="s">
        <v>518</v>
      </c>
      <c r="F1404" s="420">
        <v>10</v>
      </c>
      <c r="G1404" s="419">
        <v>99</v>
      </c>
      <c r="H1404" s="316" t="s">
        <v>518</v>
      </c>
      <c r="I1404" s="420">
        <v>10</v>
      </c>
      <c r="J1404" s="317"/>
      <c r="K1404" s="422">
        <v>11</v>
      </c>
      <c r="L1404" s="422">
        <v>13.8</v>
      </c>
      <c r="M1404" s="422">
        <v>1.4</v>
      </c>
      <c r="N1404" s="422"/>
      <c r="O1404" s="537"/>
      <c r="P1404" s="422"/>
      <c r="Q1404" s="537"/>
      <c r="R1404" s="542">
        <f>K1404*L1404*M1404</f>
        <v>212.52</v>
      </c>
      <c r="S1404" s="334" t="str">
        <f t="shared" si="514"/>
        <v>m³</v>
      </c>
      <c r="T1404" s="320">
        <v>18</v>
      </c>
      <c r="U1404" s="335" t="s">
        <v>684</v>
      </c>
      <c r="V1404" s="291">
        <f t="shared" ca="1" si="506"/>
        <v>269.15999999999985</v>
      </c>
      <c r="W1404" s="256">
        <f t="shared" ca="1" si="515"/>
        <v>2</v>
      </c>
      <c r="X1404" s="256">
        <f t="shared" ca="1" si="516"/>
        <v>1</v>
      </c>
      <c r="Y1404" s="250"/>
      <c r="Z1404" s="250"/>
    </row>
    <row r="1405" spans="1:26" s="111" customFormat="1" ht="15" x14ac:dyDescent="0.2">
      <c r="A1405" s="288"/>
      <c r="B1405" s="322"/>
      <c r="C1405" s="382" t="s">
        <v>683</v>
      </c>
      <c r="D1405" s="419">
        <v>96</v>
      </c>
      <c r="E1405" s="316" t="s">
        <v>518</v>
      </c>
      <c r="F1405" s="420">
        <v>0</v>
      </c>
      <c r="G1405" s="419">
        <v>96</v>
      </c>
      <c r="H1405" s="316" t="s">
        <v>518</v>
      </c>
      <c r="I1405" s="420">
        <v>0</v>
      </c>
      <c r="J1405" s="317"/>
      <c r="K1405" s="422">
        <v>11</v>
      </c>
      <c r="L1405" s="422">
        <v>13.8</v>
      </c>
      <c r="M1405" s="422">
        <v>1.4</v>
      </c>
      <c r="N1405" s="422"/>
      <c r="O1405" s="537"/>
      <c r="P1405" s="422"/>
      <c r="Q1405" s="537"/>
      <c r="R1405" s="542">
        <f>K1405*L1405*M1405</f>
        <v>212.52</v>
      </c>
      <c r="S1405" s="334" t="str">
        <f t="shared" si="514"/>
        <v>m³</v>
      </c>
      <c r="T1405" s="320">
        <v>18</v>
      </c>
      <c r="U1405" s="335"/>
      <c r="V1405" s="291">
        <f t="shared" ca="1" si="506"/>
        <v>269.15999999999985</v>
      </c>
      <c r="W1405" s="256">
        <f t="shared" ca="1" si="515"/>
        <v>2</v>
      </c>
      <c r="X1405" s="256">
        <f t="shared" ca="1" si="516"/>
        <v>1</v>
      </c>
      <c r="Y1405" s="250"/>
      <c r="Z1405" s="250"/>
    </row>
    <row r="1406" spans="1:26" s="111" customFormat="1" ht="15" x14ac:dyDescent="0.2">
      <c r="A1406" s="399"/>
      <c r="B1406" s="494"/>
      <c r="C1406" s="550" t="s">
        <v>844</v>
      </c>
      <c r="D1406" s="419">
        <v>12</v>
      </c>
      <c r="E1406" s="316" t="s">
        <v>518</v>
      </c>
      <c r="F1406" s="420">
        <v>0</v>
      </c>
      <c r="G1406" s="551">
        <v>13</v>
      </c>
      <c r="H1406" s="552" t="s">
        <v>518</v>
      </c>
      <c r="I1406" s="553">
        <v>10</v>
      </c>
      <c r="J1406" s="560"/>
      <c r="K1406" s="743">
        <v>10</v>
      </c>
      <c r="L1406" s="555">
        <v>12</v>
      </c>
      <c r="M1406" s="744">
        <v>0.5</v>
      </c>
      <c r="N1406" s="745"/>
      <c r="O1406" s="746"/>
      <c r="P1406" s="555"/>
      <c r="Q1406" s="776"/>
      <c r="R1406" s="742">
        <f t="shared" ref="R1406:R1412" si="517">PRODUCT(J1406:Q1406)</f>
        <v>60</v>
      </c>
      <c r="S1406" s="334" t="str">
        <f t="shared" si="514"/>
        <v>m³</v>
      </c>
      <c r="T1406" s="506">
        <v>19</v>
      </c>
      <c r="U1406" s="574"/>
      <c r="V1406" s="291">
        <f t="shared" ca="1" si="506"/>
        <v>269.15999999999985</v>
      </c>
      <c r="W1406" s="256">
        <f t="shared" ca="1" si="515"/>
        <v>2</v>
      </c>
      <c r="X1406" s="256">
        <f t="shared" ca="1" si="516"/>
        <v>1</v>
      </c>
      <c r="Y1406" s="250"/>
      <c r="Z1406" s="250"/>
    </row>
    <row r="1407" spans="1:26" s="111" customFormat="1" ht="15" x14ac:dyDescent="0.2">
      <c r="A1407" s="399"/>
      <c r="B1407" s="494"/>
      <c r="C1407" s="550" t="s">
        <v>844</v>
      </c>
      <c r="D1407" s="551">
        <v>13</v>
      </c>
      <c r="E1407" s="552" t="s">
        <v>518</v>
      </c>
      <c r="F1407" s="553">
        <v>10</v>
      </c>
      <c r="G1407" s="551">
        <v>15</v>
      </c>
      <c r="H1407" s="552" t="s">
        <v>518</v>
      </c>
      <c r="I1407" s="553">
        <v>0</v>
      </c>
      <c r="J1407" s="560"/>
      <c r="K1407" s="743">
        <v>10</v>
      </c>
      <c r="L1407" s="555">
        <v>12</v>
      </c>
      <c r="M1407" s="744">
        <v>0.5</v>
      </c>
      <c r="N1407" s="745"/>
      <c r="O1407" s="746"/>
      <c r="P1407" s="555"/>
      <c r="Q1407" s="776"/>
      <c r="R1407" s="742">
        <f t="shared" si="517"/>
        <v>60</v>
      </c>
      <c r="S1407" s="334" t="str">
        <f t="shared" si="514"/>
        <v>m³</v>
      </c>
      <c r="T1407" s="506">
        <v>19</v>
      </c>
      <c r="U1407" s="574"/>
      <c r="V1407" s="291">
        <f t="shared" ca="1" si="506"/>
        <v>269.15999999999985</v>
      </c>
      <c r="W1407" s="256">
        <f t="shared" ca="1" si="515"/>
        <v>2</v>
      </c>
      <c r="X1407" s="256">
        <f t="shared" ca="1" si="516"/>
        <v>1</v>
      </c>
      <c r="Y1407" s="250"/>
      <c r="Z1407" s="250"/>
    </row>
    <row r="1408" spans="1:26" s="111" customFormat="1" ht="15" x14ac:dyDescent="0.2">
      <c r="A1408" s="399"/>
      <c r="B1408" s="494"/>
      <c r="C1408" s="550" t="s">
        <v>844</v>
      </c>
      <c r="D1408" s="551">
        <v>15</v>
      </c>
      <c r="E1408" s="552" t="s">
        <v>518</v>
      </c>
      <c r="F1408" s="553">
        <v>0</v>
      </c>
      <c r="G1408" s="551">
        <v>16</v>
      </c>
      <c r="H1408" s="552" t="s">
        <v>518</v>
      </c>
      <c r="I1408" s="553">
        <v>10</v>
      </c>
      <c r="J1408" s="560"/>
      <c r="K1408" s="743">
        <v>10</v>
      </c>
      <c r="L1408" s="555">
        <v>12</v>
      </c>
      <c r="M1408" s="744">
        <v>0.5</v>
      </c>
      <c r="N1408" s="745"/>
      <c r="O1408" s="746"/>
      <c r="P1408" s="555"/>
      <c r="Q1408" s="776"/>
      <c r="R1408" s="742">
        <f t="shared" si="517"/>
        <v>60</v>
      </c>
      <c r="S1408" s="334" t="str">
        <f t="shared" si="514"/>
        <v>m³</v>
      </c>
      <c r="T1408" s="506">
        <v>19</v>
      </c>
      <c r="U1408" s="574"/>
      <c r="V1408" s="291">
        <f t="shared" ca="1" si="506"/>
        <v>269.15999999999985</v>
      </c>
      <c r="W1408" s="256">
        <f t="shared" ca="1" si="515"/>
        <v>2</v>
      </c>
      <c r="X1408" s="256">
        <f t="shared" ca="1" si="516"/>
        <v>1</v>
      </c>
      <c r="Y1408" s="250"/>
      <c r="Z1408" s="250"/>
    </row>
    <row r="1409" spans="1:26" s="111" customFormat="1" ht="15" x14ac:dyDescent="0.2">
      <c r="A1409" s="399"/>
      <c r="B1409" s="494"/>
      <c r="C1409" s="550" t="s">
        <v>844</v>
      </c>
      <c r="D1409" s="551">
        <v>16</v>
      </c>
      <c r="E1409" s="552" t="s">
        <v>518</v>
      </c>
      <c r="F1409" s="553">
        <v>10</v>
      </c>
      <c r="G1409" s="551">
        <v>18</v>
      </c>
      <c r="H1409" s="552" t="s">
        <v>518</v>
      </c>
      <c r="I1409" s="553">
        <v>0</v>
      </c>
      <c r="J1409" s="560"/>
      <c r="K1409" s="743">
        <v>10</v>
      </c>
      <c r="L1409" s="555">
        <v>12</v>
      </c>
      <c r="M1409" s="744">
        <v>0.5</v>
      </c>
      <c r="N1409" s="745"/>
      <c r="O1409" s="746"/>
      <c r="P1409" s="555"/>
      <c r="Q1409" s="776"/>
      <c r="R1409" s="742">
        <f t="shared" si="517"/>
        <v>60</v>
      </c>
      <c r="S1409" s="334" t="str">
        <f t="shared" si="514"/>
        <v>m³</v>
      </c>
      <c r="T1409" s="506">
        <v>19</v>
      </c>
      <c r="U1409" s="574"/>
      <c r="V1409" s="291">
        <f t="shared" ca="1" si="506"/>
        <v>269.15999999999985</v>
      </c>
      <c r="W1409" s="256">
        <f t="shared" ca="1" si="515"/>
        <v>2</v>
      </c>
      <c r="X1409" s="256">
        <f t="shared" ca="1" si="516"/>
        <v>1</v>
      </c>
      <c r="Y1409" s="250"/>
      <c r="Z1409" s="250"/>
    </row>
    <row r="1410" spans="1:26" s="111" customFormat="1" ht="15" x14ac:dyDescent="0.2">
      <c r="A1410" s="399"/>
      <c r="B1410" s="494"/>
      <c r="C1410" s="550" t="s">
        <v>844</v>
      </c>
      <c r="D1410" s="551">
        <v>19</v>
      </c>
      <c r="E1410" s="552" t="s">
        <v>518</v>
      </c>
      <c r="F1410" s="553">
        <v>10</v>
      </c>
      <c r="G1410" s="551">
        <v>21</v>
      </c>
      <c r="H1410" s="552" t="s">
        <v>518</v>
      </c>
      <c r="I1410" s="553">
        <v>0</v>
      </c>
      <c r="J1410" s="560"/>
      <c r="K1410" s="743">
        <v>10</v>
      </c>
      <c r="L1410" s="555">
        <v>12</v>
      </c>
      <c r="M1410" s="744">
        <v>0.5</v>
      </c>
      <c r="N1410" s="745"/>
      <c r="O1410" s="746"/>
      <c r="P1410" s="555"/>
      <c r="Q1410" s="776"/>
      <c r="R1410" s="742">
        <f t="shared" si="517"/>
        <v>60</v>
      </c>
      <c r="S1410" s="334" t="str">
        <f t="shared" si="514"/>
        <v>m³</v>
      </c>
      <c r="T1410" s="506">
        <v>19</v>
      </c>
      <c r="U1410" s="574"/>
      <c r="V1410" s="291">
        <f t="shared" ca="1" si="506"/>
        <v>269.15999999999985</v>
      </c>
      <c r="W1410" s="256">
        <f t="shared" ca="1" si="515"/>
        <v>2</v>
      </c>
      <c r="X1410" s="256">
        <f t="shared" ca="1" si="516"/>
        <v>1</v>
      </c>
      <c r="Y1410" s="250"/>
      <c r="Z1410" s="250"/>
    </row>
    <row r="1411" spans="1:26" s="111" customFormat="1" ht="15" x14ac:dyDescent="0.2">
      <c r="A1411" s="399"/>
      <c r="B1411" s="494"/>
      <c r="C1411" s="550" t="s">
        <v>844</v>
      </c>
      <c r="D1411" s="551">
        <v>21</v>
      </c>
      <c r="E1411" s="552" t="s">
        <v>518</v>
      </c>
      <c r="F1411" s="553">
        <v>0</v>
      </c>
      <c r="G1411" s="551">
        <v>22</v>
      </c>
      <c r="H1411" s="552" t="s">
        <v>518</v>
      </c>
      <c r="I1411" s="553">
        <v>10</v>
      </c>
      <c r="J1411" s="560"/>
      <c r="K1411" s="743">
        <v>10</v>
      </c>
      <c r="L1411" s="555">
        <v>12</v>
      </c>
      <c r="M1411" s="744">
        <v>0.5</v>
      </c>
      <c r="N1411" s="745"/>
      <c r="O1411" s="746"/>
      <c r="P1411" s="555"/>
      <c r="Q1411" s="776"/>
      <c r="R1411" s="742">
        <f t="shared" si="517"/>
        <v>60</v>
      </c>
      <c r="S1411" s="334" t="str">
        <f t="shared" si="514"/>
        <v>m³</v>
      </c>
      <c r="T1411" s="506">
        <v>19</v>
      </c>
      <c r="U1411" s="574"/>
      <c r="V1411" s="291">
        <f t="shared" ca="1" si="506"/>
        <v>269.15999999999985</v>
      </c>
      <c r="W1411" s="256">
        <f t="shared" ca="1" si="515"/>
        <v>2</v>
      </c>
      <c r="X1411" s="256">
        <f t="shared" ca="1" si="516"/>
        <v>1</v>
      </c>
      <c r="Y1411" s="250"/>
      <c r="Z1411" s="250"/>
    </row>
    <row r="1412" spans="1:26" s="111" customFormat="1" ht="15" x14ac:dyDescent="0.2">
      <c r="A1412" s="399"/>
      <c r="B1412" s="494"/>
      <c r="C1412" s="550" t="s">
        <v>844</v>
      </c>
      <c r="D1412" s="551">
        <v>22</v>
      </c>
      <c r="E1412" s="552" t="s">
        <v>518</v>
      </c>
      <c r="F1412" s="553">
        <v>10</v>
      </c>
      <c r="G1412" s="551">
        <v>24</v>
      </c>
      <c r="H1412" s="552" t="s">
        <v>518</v>
      </c>
      <c r="I1412" s="553">
        <v>0</v>
      </c>
      <c r="J1412" s="560"/>
      <c r="K1412" s="743">
        <v>10</v>
      </c>
      <c r="L1412" s="555">
        <v>12</v>
      </c>
      <c r="M1412" s="744">
        <v>0.5</v>
      </c>
      <c r="N1412" s="745"/>
      <c r="O1412" s="746"/>
      <c r="P1412" s="555"/>
      <c r="Q1412" s="776"/>
      <c r="R1412" s="742">
        <f t="shared" si="517"/>
        <v>60</v>
      </c>
      <c r="S1412" s="334" t="str">
        <f t="shared" si="514"/>
        <v>m³</v>
      </c>
      <c r="T1412" s="506">
        <v>19</v>
      </c>
      <c r="U1412" s="574"/>
      <c r="V1412" s="291">
        <f t="shared" ca="1" si="506"/>
        <v>269.15999999999985</v>
      </c>
      <c r="W1412" s="256">
        <f t="shared" ca="1" si="515"/>
        <v>2</v>
      </c>
      <c r="X1412" s="256">
        <f t="shared" ca="1" si="516"/>
        <v>1</v>
      </c>
      <c r="Y1412" s="250"/>
      <c r="Z1412" s="250"/>
    </row>
    <row r="1413" spans="1:26" s="111" customFormat="1" ht="15" x14ac:dyDescent="0.2">
      <c r="A1413" s="399"/>
      <c r="B1413" s="494"/>
      <c r="C1413" s="550"/>
      <c r="D1413" s="551"/>
      <c r="E1413" s="552"/>
      <c r="F1413" s="553"/>
      <c r="G1413" s="551"/>
      <c r="H1413" s="552"/>
      <c r="I1413" s="553"/>
      <c r="J1413" s="560"/>
      <c r="K1413" s="743"/>
      <c r="L1413" s="555"/>
      <c r="M1413" s="744"/>
      <c r="N1413" s="745"/>
      <c r="O1413" s="746"/>
      <c r="P1413" s="555"/>
      <c r="Q1413" s="776"/>
      <c r="R1413" s="742"/>
      <c r="S1413" s="334" t="str">
        <f t="shared" si="514"/>
        <v>m³</v>
      </c>
      <c r="T1413" s="506"/>
      <c r="U1413" s="574"/>
      <c r="V1413" s="291">
        <f t="shared" ca="1" si="506"/>
        <v>269.15999999999985</v>
      </c>
      <c r="W1413" s="256">
        <f t="shared" ca="1" si="515"/>
        <v>2</v>
      </c>
      <c r="X1413" s="256">
        <f t="shared" ca="1" si="516"/>
        <v>1</v>
      </c>
      <c r="Y1413" s="250"/>
      <c r="Z1413" s="250"/>
    </row>
    <row r="1414" spans="1:26" s="111" customFormat="1" ht="15" x14ac:dyDescent="0.2">
      <c r="A1414" s="399"/>
      <c r="B1414" s="494"/>
      <c r="C1414" s="550" t="s">
        <v>581</v>
      </c>
      <c r="D1414" s="419">
        <v>80</v>
      </c>
      <c r="E1414" s="316" t="s">
        <v>518</v>
      </c>
      <c r="F1414" s="420">
        <v>8</v>
      </c>
      <c r="G1414" s="419">
        <v>99</v>
      </c>
      <c r="H1414" s="316" t="s">
        <v>518</v>
      </c>
      <c r="I1414" s="420">
        <v>6.4</v>
      </c>
      <c r="J1414" s="560"/>
      <c r="K1414" s="555">
        <f>ABS((G1414*20+I1414)-(D1414*20+F1414))</f>
        <v>378.40000000000009</v>
      </c>
      <c r="L1414" s="555">
        <v>12.4</v>
      </c>
      <c r="M1414" s="555">
        <v>0.3</v>
      </c>
      <c r="N1414" s="555"/>
      <c r="O1414" s="741"/>
      <c r="P1414" s="555"/>
      <c r="Q1414" s="741"/>
      <c r="R1414" s="742">
        <f>PRODUCT(J1414:Q1414)</f>
        <v>1407.6480000000004</v>
      </c>
      <c r="S1414" s="334" t="str">
        <f t="shared" si="514"/>
        <v>m³</v>
      </c>
      <c r="T1414" s="506">
        <v>28</v>
      </c>
      <c r="U1414" s="574" t="s">
        <v>577</v>
      </c>
      <c r="V1414" s="291">
        <f t="shared" ca="1" si="506"/>
        <v>269.15999999999985</v>
      </c>
      <c r="W1414" s="256">
        <f t="shared" ca="1" si="515"/>
        <v>2</v>
      </c>
      <c r="X1414" s="256">
        <f t="shared" ca="1" si="516"/>
        <v>1</v>
      </c>
      <c r="Y1414" s="250"/>
      <c r="Z1414" s="250"/>
    </row>
    <row r="1415" spans="1:26" s="111" customFormat="1" ht="15" x14ac:dyDescent="0.2">
      <c r="A1415" s="399"/>
      <c r="B1415" s="494"/>
      <c r="C1415" s="550" t="s">
        <v>581</v>
      </c>
      <c r="D1415" s="419">
        <v>72</v>
      </c>
      <c r="E1415" s="316" t="s">
        <v>518</v>
      </c>
      <c r="F1415" s="420">
        <v>17</v>
      </c>
      <c r="G1415" s="419">
        <v>79</v>
      </c>
      <c r="H1415" s="316" t="s">
        <v>518</v>
      </c>
      <c r="I1415" s="420">
        <v>16</v>
      </c>
      <c r="J1415" s="560"/>
      <c r="K1415" s="555">
        <f>ABS((G1415*20+I1415)-(D1415*20+F1415))</f>
        <v>139</v>
      </c>
      <c r="L1415" s="555">
        <v>12.4</v>
      </c>
      <c r="M1415" s="555">
        <v>0.3</v>
      </c>
      <c r="N1415" s="555"/>
      <c r="O1415" s="741"/>
      <c r="P1415" s="555"/>
      <c r="Q1415" s="741"/>
      <c r="R1415" s="742">
        <f>PRODUCT(J1415:Q1415)</f>
        <v>517.08000000000004</v>
      </c>
      <c r="S1415" s="334" t="str">
        <f t="shared" si="514"/>
        <v>m³</v>
      </c>
      <c r="T1415" s="506">
        <v>31</v>
      </c>
      <c r="U1415" s="574" t="s">
        <v>1091</v>
      </c>
      <c r="V1415" s="291">
        <f t="shared" ca="1" si="506"/>
        <v>269.15999999999985</v>
      </c>
      <c r="W1415" s="256">
        <f t="shared" ref="W1415:W1421" ca="1" si="518">IF(LEFT(_xlfn.FORMULATEXT(V1415),3)="=SO",1,IF(COUNTA(A1415:U1415)=0,0,2))</f>
        <v>2</v>
      </c>
      <c r="X1415" s="256">
        <f t="shared" ref="X1415:X1421" ca="1" si="519">IF(COUNTA(OFFSET(A1414,1,0))-COUNTA(A1414)=-1,0,1)</f>
        <v>1</v>
      </c>
      <c r="Y1415" s="250"/>
      <c r="Z1415" s="250"/>
    </row>
    <row r="1416" spans="1:26" s="111" customFormat="1" ht="15" x14ac:dyDescent="0.2">
      <c r="A1416" s="288"/>
      <c r="B1416" s="494"/>
      <c r="C1416" s="382" t="s">
        <v>581</v>
      </c>
      <c r="D1416" s="496">
        <v>71</v>
      </c>
      <c r="E1416" s="497" t="s">
        <v>518</v>
      </c>
      <c r="F1416" s="498">
        <v>7</v>
      </c>
      <c r="G1416" s="496">
        <v>72</v>
      </c>
      <c r="H1416" s="497" t="s">
        <v>518</v>
      </c>
      <c r="I1416" s="498">
        <v>17</v>
      </c>
      <c r="J1416" s="560"/>
      <c r="K1416" s="555">
        <v>30</v>
      </c>
      <c r="L1416" s="555">
        <v>12.4</v>
      </c>
      <c r="M1416" s="555">
        <v>0.3</v>
      </c>
      <c r="N1416" s="761"/>
      <c r="O1416" s="505"/>
      <c r="P1416" s="501"/>
      <c r="Q1416" s="739"/>
      <c r="R1416" s="742">
        <f>PRODUCT(J1416:Q1416)</f>
        <v>111.6</v>
      </c>
      <c r="S1416" s="334" t="str">
        <f t="shared" si="514"/>
        <v>m³</v>
      </c>
      <c r="T1416" s="506">
        <v>32</v>
      </c>
      <c r="U1416" s="574" t="s">
        <v>577</v>
      </c>
      <c r="V1416" s="291">
        <f t="shared" ca="1" si="506"/>
        <v>269.15999999999985</v>
      </c>
      <c r="W1416" s="256">
        <f t="shared" ca="1" si="518"/>
        <v>2</v>
      </c>
      <c r="X1416" s="256">
        <f t="shared" ca="1" si="519"/>
        <v>1</v>
      </c>
      <c r="Y1416" s="250"/>
      <c r="Z1416" s="250"/>
    </row>
    <row r="1417" spans="1:26" s="111" customFormat="1" ht="15" x14ac:dyDescent="0.2">
      <c r="A1417" s="399"/>
      <c r="B1417" s="322"/>
      <c r="C1417" s="382" t="s">
        <v>581</v>
      </c>
      <c r="D1417" s="419">
        <v>68</v>
      </c>
      <c r="E1417" s="316" t="s">
        <v>518</v>
      </c>
      <c r="F1417" s="420">
        <v>7</v>
      </c>
      <c r="G1417" s="419">
        <v>71</v>
      </c>
      <c r="H1417" s="316" t="s">
        <v>518</v>
      </c>
      <c r="I1417" s="420">
        <v>7</v>
      </c>
      <c r="J1417" s="317"/>
      <c r="K1417" s="422">
        <f>ABS((G1417*20+I1417)-(D1417*20+F1417))</f>
        <v>60</v>
      </c>
      <c r="L1417" s="422">
        <v>12.4</v>
      </c>
      <c r="M1417" s="422">
        <v>0.3</v>
      </c>
      <c r="N1417" s="422"/>
      <c r="O1417" s="537"/>
      <c r="P1417" s="422"/>
      <c r="Q1417" s="537"/>
      <c r="R1417" s="742">
        <f>PRODUCT(J1417:Q1417)</f>
        <v>223.2</v>
      </c>
      <c r="S1417" s="334" t="str">
        <f t="shared" si="514"/>
        <v>m³</v>
      </c>
      <c r="T1417" s="320">
        <v>33</v>
      </c>
      <c r="U1417" s="335" t="s">
        <v>577</v>
      </c>
      <c r="V1417" s="291">
        <f t="shared" ca="1" si="506"/>
        <v>269.15999999999985</v>
      </c>
      <c r="W1417" s="256">
        <f t="shared" ca="1" si="518"/>
        <v>2</v>
      </c>
      <c r="X1417" s="256">
        <f t="shared" ca="1" si="519"/>
        <v>1</v>
      </c>
      <c r="Y1417" s="250"/>
      <c r="Z1417" s="250"/>
    </row>
    <row r="1418" spans="1:26" s="111" customFormat="1" ht="15" x14ac:dyDescent="0.2">
      <c r="A1418" s="399"/>
      <c r="B1418" s="494"/>
      <c r="C1418" s="382" t="s">
        <v>581</v>
      </c>
      <c r="D1418" s="419">
        <v>66</v>
      </c>
      <c r="E1418" s="316" t="s">
        <v>518</v>
      </c>
      <c r="F1418" s="420">
        <v>17</v>
      </c>
      <c r="G1418" s="419">
        <v>68</v>
      </c>
      <c r="H1418" s="316" t="s">
        <v>518</v>
      </c>
      <c r="I1418" s="420">
        <v>7</v>
      </c>
      <c r="J1418" s="317"/>
      <c r="K1418" s="422">
        <f>ABS((G1418*20+I1418)-(D1418*20+F1418))</f>
        <v>30</v>
      </c>
      <c r="L1418" s="422">
        <v>12.4</v>
      </c>
      <c r="M1418" s="422">
        <v>0.3</v>
      </c>
      <c r="N1418" s="422"/>
      <c r="O1418" s="537"/>
      <c r="P1418" s="422"/>
      <c r="Q1418" s="537"/>
      <c r="R1418" s="742">
        <f>PRODUCT(J1418:Q1418)</f>
        <v>111.6</v>
      </c>
      <c r="S1418" s="334" t="str">
        <f t="shared" si="514"/>
        <v>m³</v>
      </c>
      <c r="T1418" s="320">
        <v>33</v>
      </c>
      <c r="U1418" s="335" t="s">
        <v>577</v>
      </c>
      <c r="V1418" s="291">
        <f t="shared" ca="1" si="506"/>
        <v>269.15999999999985</v>
      </c>
      <c r="W1418" s="256">
        <f t="shared" ca="1" si="518"/>
        <v>2</v>
      </c>
      <c r="X1418" s="256">
        <f t="shared" ca="1" si="519"/>
        <v>1</v>
      </c>
      <c r="Y1418" s="250"/>
      <c r="Z1418" s="250"/>
    </row>
    <row r="1419" spans="1:26" s="111" customFormat="1" ht="15" x14ac:dyDescent="0.2">
      <c r="A1419" s="399"/>
      <c r="B1419" s="494"/>
      <c r="C1419" s="382" t="s">
        <v>581</v>
      </c>
      <c r="D1419" s="419">
        <v>65</v>
      </c>
      <c r="E1419" s="316" t="s">
        <v>518</v>
      </c>
      <c r="F1419" s="420">
        <v>5</v>
      </c>
      <c r="G1419" s="419">
        <v>66</v>
      </c>
      <c r="H1419" s="316" t="s">
        <v>518</v>
      </c>
      <c r="I1419" s="420">
        <v>17</v>
      </c>
      <c r="J1419" s="317"/>
      <c r="K1419" s="422">
        <f>ABS((G1419*20+I1419)-(D1419*20+F1419))</f>
        <v>32</v>
      </c>
      <c r="L1419" s="422">
        <v>12.4</v>
      </c>
      <c r="M1419" s="422">
        <v>0.3</v>
      </c>
      <c r="N1419" s="422"/>
      <c r="O1419" s="537"/>
      <c r="P1419" s="422"/>
      <c r="Q1419" s="537"/>
      <c r="R1419" s="742">
        <f t="shared" ref="R1419:R1420" si="520">PRODUCT(J1419:Q1419)</f>
        <v>119.03999999999999</v>
      </c>
      <c r="S1419" s="334" t="str">
        <f t="shared" si="514"/>
        <v>m³</v>
      </c>
      <c r="T1419" s="320">
        <v>34</v>
      </c>
      <c r="U1419" s="335" t="s">
        <v>577</v>
      </c>
      <c r="V1419" s="291">
        <f t="shared" ca="1" si="506"/>
        <v>269.15999999999985</v>
      </c>
      <c r="W1419" s="256">
        <f t="shared" ca="1" si="518"/>
        <v>2</v>
      </c>
      <c r="X1419" s="256">
        <f t="shared" ca="1" si="519"/>
        <v>1</v>
      </c>
      <c r="Y1419" s="250"/>
      <c r="Z1419" s="250"/>
    </row>
    <row r="1420" spans="1:26" s="111" customFormat="1" ht="15" x14ac:dyDescent="0.2">
      <c r="A1420" s="399"/>
      <c r="B1420" s="494"/>
      <c r="C1420" s="382" t="s">
        <v>581</v>
      </c>
      <c r="D1420" s="419">
        <v>62</v>
      </c>
      <c r="E1420" s="316" t="s">
        <v>518</v>
      </c>
      <c r="F1420" s="420">
        <v>5</v>
      </c>
      <c r="G1420" s="419">
        <v>65</v>
      </c>
      <c r="H1420" s="316" t="s">
        <v>518</v>
      </c>
      <c r="I1420" s="420">
        <v>5</v>
      </c>
      <c r="J1420" s="317"/>
      <c r="K1420" s="422">
        <f>ABS((G1420*20+I1420)-(D1420*20+F1420))</f>
        <v>60</v>
      </c>
      <c r="L1420" s="422">
        <v>12.4</v>
      </c>
      <c r="M1420" s="422">
        <v>0.3</v>
      </c>
      <c r="N1420" s="422"/>
      <c r="O1420" s="537"/>
      <c r="P1420" s="422"/>
      <c r="Q1420" s="537"/>
      <c r="R1420" s="742">
        <f t="shared" si="520"/>
        <v>223.2</v>
      </c>
      <c r="S1420" s="334" t="str">
        <f t="shared" si="514"/>
        <v>m³</v>
      </c>
      <c r="T1420" s="320">
        <v>35</v>
      </c>
      <c r="U1420" s="335" t="s">
        <v>577</v>
      </c>
      <c r="V1420" s="291">
        <f t="shared" ca="1" si="506"/>
        <v>269.15999999999985</v>
      </c>
      <c r="W1420" s="256">
        <f t="shared" ca="1" si="518"/>
        <v>2</v>
      </c>
      <c r="X1420" s="256">
        <f t="shared" ca="1" si="519"/>
        <v>1</v>
      </c>
      <c r="Y1420" s="250"/>
      <c r="Z1420" s="250"/>
    </row>
    <row r="1421" spans="1:26" s="111" customFormat="1" ht="15" x14ac:dyDescent="0.2">
      <c r="A1421" s="399"/>
      <c r="B1421" s="494"/>
      <c r="C1421" s="382" t="s">
        <v>581</v>
      </c>
      <c r="D1421" s="419">
        <v>60</v>
      </c>
      <c r="E1421" s="316" t="s">
        <v>518</v>
      </c>
      <c r="F1421" s="420">
        <v>0</v>
      </c>
      <c r="G1421" s="419">
        <v>62</v>
      </c>
      <c r="H1421" s="316" t="s">
        <v>518</v>
      </c>
      <c r="I1421" s="420">
        <v>5</v>
      </c>
      <c r="J1421" s="317"/>
      <c r="K1421" s="422">
        <f>ABS((G1421*20+I1421)-(D1421*20+F1421))</f>
        <v>45</v>
      </c>
      <c r="L1421" s="422">
        <v>12.4</v>
      </c>
      <c r="M1421" s="422">
        <v>0.3</v>
      </c>
      <c r="N1421" s="422"/>
      <c r="O1421" s="537"/>
      <c r="P1421" s="422"/>
      <c r="Q1421" s="537"/>
      <c r="R1421" s="742">
        <f>PRODUCT(J1421:Q1421)</f>
        <v>167.4</v>
      </c>
      <c r="S1421" s="334" t="str">
        <f t="shared" si="514"/>
        <v>m³</v>
      </c>
      <c r="T1421" s="320">
        <v>36</v>
      </c>
      <c r="U1421" s="335" t="s">
        <v>577</v>
      </c>
      <c r="V1421" s="291">
        <f t="shared" ca="1" si="506"/>
        <v>269.15999999999985</v>
      </c>
      <c r="W1421" s="256">
        <f t="shared" ca="1" si="518"/>
        <v>2</v>
      </c>
      <c r="X1421" s="256">
        <f t="shared" ca="1" si="519"/>
        <v>1</v>
      </c>
      <c r="Y1421" s="250"/>
      <c r="Z1421" s="250"/>
    </row>
    <row r="1422" spans="1:26" s="111" customFormat="1" ht="15" x14ac:dyDescent="0.2">
      <c r="A1422" s="399"/>
      <c r="B1422" s="494"/>
      <c r="C1422" s="382" t="s">
        <v>581</v>
      </c>
      <c r="D1422" s="419">
        <v>57</v>
      </c>
      <c r="E1422" s="316" t="s">
        <v>518</v>
      </c>
      <c r="F1422" s="420">
        <v>16</v>
      </c>
      <c r="G1422" s="419">
        <v>60</v>
      </c>
      <c r="H1422" s="316" t="s">
        <v>518</v>
      </c>
      <c r="I1422" s="420">
        <v>0</v>
      </c>
      <c r="J1422" s="317"/>
      <c r="K1422" s="422">
        <f t="shared" ref="K1422:K1429" si="521">ABS((G1422*20+I1422)-(D1422*20+F1422))</f>
        <v>44</v>
      </c>
      <c r="L1422" s="422">
        <v>12.4</v>
      </c>
      <c r="M1422" s="422">
        <v>0.3</v>
      </c>
      <c r="N1422" s="422"/>
      <c r="O1422" s="537"/>
      <c r="P1422" s="422"/>
      <c r="Q1422" s="537"/>
      <c r="R1422" s="742">
        <f>PRODUCT(J1422:Q1422)</f>
        <v>163.68</v>
      </c>
      <c r="S1422" s="334" t="str">
        <f t="shared" si="514"/>
        <v>m³</v>
      </c>
      <c r="T1422" s="320">
        <v>37</v>
      </c>
      <c r="U1422" s="335" t="s">
        <v>577</v>
      </c>
      <c r="V1422" s="291">
        <f t="shared" ca="1" si="506"/>
        <v>269.15999999999985</v>
      </c>
      <c r="W1422" s="256">
        <f t="shared" ref="W1422:W1424" ca="1" si="522">IF(LEFT(_xlfn.FORMULATEXT(V1422),3)="=SO",1,IF(COUNTA(A1422:U1422)=0,0,2))</f>
        <v>2</v>
      </c>
      <c r="X1422" s="256">
        <f t="shared" ref="X1422:X1424" ca="1" si="523">IF(COUNTA(OFFSET(A1421,1,0))-COUNTA(A1421)=-1,0,1)</f>
        <v>1</v>
      </c>
      <c r="Y1422" s="250"/>
      <c r="Z1422" s="250"/>
    </row>
    <row r="1423" spans="1:26" s="111" customFormat="1" ht="15" x14ac:dyDescent="0.2">
      <c r="A1423" s="399"/>
      <c r="B1423" s="494"/>
      <c r="C1423" s="550" t="s">
        <v>581</v>
      </c>
      <c r="D1423" s="496">
        <v>55</v>
      </c>
      <c r="E1423" s="497" t="s">
        <v>518</v>
      </c>
      <c r="F1423" s="498">
        <v>10</v>
      </c>
      <c r="G1423" s="419">
        <v>57</v>
      </c>
      <c r="H1423" s="316" t="s">
        <v>518</v>
      </c>
      <c r="I1423" s="420">
        <v>16</v>
      </c>
      <c r="J1423" s="560"/>
      <c r="K1423" s="555">
        <f t="shared" si="521"/>
        <v>46</v>
      </c>
      <c r="L1423" s="555">
        <v>12.4</v>
      </c>
      <c r="M1423" s="555">
        <v>0.3</v>
      </c>
      <c r="N1423" s="555"/>
      <c r="O1423" s="741"/>
      <c r="P1423" s="555"/>
      <c r="Q1423" s="741"/>
      <c r="R1423" s="742">
        <f>PRODUCT(J1423:Q1423)</f>
        <v>171.11999999999998</v>
      </c>
      <c r="S1423" s="334" t="str">
        <f t="shared" si="514"/>
        <v>m³</v>
      </c>
      <c r="T1423" s="506">
        <v>38</v>
      </c>
      <c r="U1423" s="574" t="s">
        <v>577</v>
      </c>
      <c r="V1423" s="291">
        <f t="shared" ca="1" si="506"/>
        <v>269.15999999999985</v>
      </c>
      <c r="W1423" s="256">
        <f t="shared" ca="1" si="522"/>
        <v>2</v>
      </c>
      <c r="X1423" s="256">
        <f t="shared" ca="1" si="523"/>
        <v>1</v>
      </c>
      <c r="Y1423" s="250"/>
      <c r="Z1423" s="250"/>
    </row>
    <row r="1424" spans="1:26" s="111" customFormat="1" ht="15" x14ac:dyDescent="0.2">
      <c r="A1424" s="399"/>
      <c r="B1424" s="494"/>
      <c r="C1424" s="1101" t="s">
        <v>581</v>
      </c>
      <c r="D1424" s="496">
        <v>51</v>
      </c>
      <c r="E1424" s="497" t="s">
        <v>518</v>
      </c>
      <c r="F1424" s="498">
        <v>8</v>
      </c>
      <c r="G1424" s="496">
        <v>55</v>
      </c>
      <c r="H1424" s="497" t="s">
        <v>518</v>
      </c>
      <c r="I1424" s="498">
        <v>10</v>
      </c>
      <c r="J1424" s="1102"/>
      <c r="K1424" s="555">
        <f t="shared" si="521"/>
        <v>82</v>
      </c>
      <c r="L1424" s="555">
        <v>12.4</v>
      </c>
      <c r="M1424" s="555">
        <v>0.3</v>
      </c>
      <c r="N1424" s="555"/>
      <c r="O1424" s="741"/>
      <c r="P1424" s="555"/>
      <c r="Q1424" s="741"/>
      <c r="R1424" s="742">
        <f>PRODUCT(J1424:Q1424)</f>
        <v>305.04000000000002</v>
      </c>
      <c r="S1424" s="334" t="str">
        <f t="shared" si="514"/>
        <v>m³</v>
      </c>
      <c r="T1424" s="506">
        <v>39</v>
      </c>
      <c r="U1424" s="574" t="s">
        <v>577</v>
      </c>
      <c r="V1424" s="291">
        <f t="shared" ca="1" si="506"/>
        <v>269.15999999999985</v>
      </c>
      <c r="W1424" s="256">
        <f t="shared" ca="1" si="522"/>
        <v>2</v>
      </c>
      <c r="X1424" s="256">
        <f t="shared" ca="1" si="523"/>
        <v>1</v>
      </c>
      <c r="Y1424" s="250"/>
      <c r="Z1424" s="250"/>
    </row>
    <row r="1425" spans="1:29" s="111" customFormat="1" ht="15" x14ac:dyDescent="0.2">
      <c r="A1425" s="399"/>
      <c r="B1425" s="494"/>
      <c r="C1425" s="1108" t="s">
        <v>581</v>
      </c>
      <c r="D1425" s="496">
        <v>49</v>
      </c>
      <c r="E1425" s="497" t="s">
        <v>518</v>
      </c>
      <c r="F1425" s="498">
        <v>13</v>
      </c>
      <c r="G1425" s="496">
        <v>51</v>
      </c>
      <c r="H1425" s="497" t="s">
        <v>518</v>
      </c>
      <c r="I1425" s="498">
        <v>8</v>
      </c>
      <c r="J1425" s="1109"/>
      <c r="K1425" s="555">
        <f t="shared" si="521"/>
        <v>35</v>
      </c>
      <c r="L1425" s="555">
        <v>12.4</v>
      </c>
      <c r="M1425" s="555">
        <v>0.3</v>
      </c>
      <c r="N1425" s="555"/>
      <c r="O1425" s="741"/>
      <c r="P1425" s="555"/>
      <c r="Q1425" s="741"/>
      <c r="R1425" s="742">
        <f>PRODUCT(J1425:Q1425)</f>
        <v>130.19999999999999</v>
      </c>
      <c r="S1425" s="334" t="str">
        <f t="shared" si="514"/>
        <v>m³</v>
      </c>
      <c r="T1425" s="506">
        <v>40</v>
      </c>
      <c r="U1425" s="574" t="s">
        <v>577</v>
      </c>
      <c r="V1425" s="291">
        <f t="shared" ca="1" si="506"/>
        <v>269.15999999999985</v>
      </c>
      <c r="W1425" s="256">
        <f t="shared" ref="W1425:W1433" ca="1" si="524">IF(LEFT(_xlfn.FORMULATEXT(V1425),3)="=SO",1,IF(COUNTA(A1425:U1425)=0,0,2))</f>
        <v>2</v>
      </c>
      <c r="X1425" s="256">
        <f t="shared" ref="X1425:X1433" ca="1" si="525">IF(COUNTA(OFFSET(A1424,1,0))-COUNTA(A1424)=-1,0,1)</f>
        <v>1</v>
      </c>
      <c r="Y1425" s="250"/>
      <c r="Z1425" s="250"/>
    </row>
    <row r="1426" spans="1:29" s="111" customFormat="1" ht="15" x14ac:dyDescent="0.2">
      <c r="A1426" s="399"/>
      <c r="B1426" s="494"/>
      <c r="C1426" s="1108" t="s">
        <v>581</v>
      </c>
      <c r="D1426" s="496">
        <v>48</v>
      </c>
      <c r="E1426" s="497" t="s">
        <v>518</v>
      </c>
      <c r="F1426" s="498">
        <v>8</v>
      </c>
      <c r="G1426" s="496">
        <v>49</v>
      </c>
      <c r="H1426" s="497" t="s">
        <v>518</v>
      </c>
      <c r="I1426" s="498">
        <v>13</v>
      </c>
      <c r="J1426" s="1109"/>
      <c r="K1426" s="555">
        <f t="shared" si="521"/>
        <v>25</v>
      </c>
      <c r="L1426" s="555">
        <v>12.4</v>
      </c>
      <c r="M1426" s="555">
        <v>0.3</v>
      </c>
      <c r="N1426" s="555"/>
      <c r="O1426" s="741"/>
      <c r="P1426" s="555"/>
      <c r="Q1426" s="741"/>
      <c r="R1426" s="742">
        <f t="shared" ref="R1426:R1429" si="526">PRODUCT(J1426:Q1426)</f>
        <v>93</v>
      </c>
      <c r="S1426" s="334" t="str">
        <f t="shared" si="514"/>
        <v>m³</v>
      </c>
      <c r="T1426" s="506">
        <v>41</v>
      </c>
      <c r="U1426" s="574" t="s">
        <v>577</v>
      </c>
      <c r="V1426" s="291">
        <f t="shared" ca="1" si="506"/>
        <v>269.15999999999985</v>
      </c>
      <c r="W1426" s="256">
        <f t="shared" ca="1" si="524"/>
        <v>2</v>
      </c>
      <c r="X1426" s="256">
        <f t="shared" ca="1" si="525"/>
        <v>1</v>
      </c>
      <c r="Y1426" s="250"/>
      <c r="Z1426" s="250"/>
    </row>
    <row r="1427" spans="1:29" s="111" customFormat="1" ht="15" x14ac:dyDescent="0.2">
      <c r="A1427" s="399"/>
      <c r="B1427" s="494"/>
      <c r="C1427" s="1108" t="s">
        <v>581</v>
      </c>
      <c r="D1427" s="496">
        <v>45</v>
      </c>
      <c r="E1427" s="497" t="s">
        <v>518</v>
      </c>
      <c r="F1427" s="498">
        <v>6</v>
      </c>
      <c r="G1427" s="496">
        <v>48</v>
      </c>
      <c r="H1427" s="497" t="s">
        <v>518</v>
      </c>
      <c r="I1427" s="498">
        <v>8</v>
      </c>
      <c r="J1427" s="1109"/>
      <c r="K1427" s="555">
        <f t="shared" si="521"/>
        <v>62</v>
      </c>
      <c r="L1427" s="555">
        <v>12.4</v>
      </c>
      <c r="M1427" s="555">
        <v>0.3</v>
      </c>
      <c r="N1427" s="555"/>
      <c r="O1427" s="741"/>
      <c r="P1427" s="555"/>
      <c r="Q1427" s="741"/>
      <c r="R1427" s="742">
        <f t="shared" si="526"/>
        <v>230.64000000000001</v>
      </c>
      <c r="S1427" s="334" t="str">
        <f t="shared" si="514"/>
        <v>m³</v>
      </c>
      <c r="T1427" s="506">
        <v>42</v>
      </c>
      <c r="U1427" s="574" t="s">
        <v>577</v>
      </c>
      <c r="V1427" s="291">
        <f t="shared" ca="1" si="506"/>
        <v>269.15999999999985</v>
      </c>
      <c r="W1427" s="256">
        <f t="shared" ca="1" si="524"/>
        <v>2</v>
      </c>
      <c r="X1427" s="256">
        <f t="shared" ca="1" si="525"/>
        <v>1</v>
      </c>
      <c r="Y1427" s="250"/>
      <c r="Z1427" s="250"/>
    </row>
    <row r="1428" spans="1:29" s="111" customFormat="1" ht="15" x14ac:dyDescent="0.2">
      <c r="A1428" s="399"/>
      <c r="B1428" s="494"/>
      <c r="C1428" s="1108" t="s">
        <v>581</v>
      </c>
      <c r="D1428" s="496">
        <v>42</v>
      </c>
      <c r="E1428" s="497" t="s">
        <v>518</v>
      </c>
      <c r="F1428" s="498">
        <v>3</v>
      </c>
      <c r="G1428" s="496">
        <v>45</v>
      </c>
      <c r="H1428" s="497" t="s">
        <v>518</v>
      </c>
      <c r="I1428" s="498">
        <v>6</v>
      </c>
      <c r="J1428" s="1109"/>
      <c r="K1428" s="555">
        <f t="shared" si="521"/>
        <v>63</v>
      </c>
      <c r="L1428" s="555">
        <v>12.4</v>
      </c>
      <c r="M1428" s="555">
        <v>0.3</v>
      </c>
      <c r="N1428" s="555"/>
      <c r="O1428" s="741"/>
      <c r="P1428" s="555"/>
      <c r="Q1428" s="741"/>
      <c r="R1428" s="742">
        <f t="shared" si="526"/>
        <v>234.36</v>
      </c>
      <c r="S1428" s="334" t="str">
        <f t="shared" si="514"/>
        <v>m³</v>
      </c>
      <c r="T1428" s="506">
        <v>43</v>
      </c>
      <c r="U1428" s="574" t="s">
        <v>577</v>
      </c>
      <c r="V1428" s="291">
        <f t="shared" ca="1" si="506"/>
        <v>269.15999999999985</v>
      </c>
      <c r="W1428" s="256">
        <f t="shared" ca="1" si="524"/>
        <v>2</v>
      </c>
      <c r="X1428" s="256">
        <f t="shared" ca="1" si="525"/>
        <v>1</v>
      </c>
      <c r="Y1428" s="250"/>
      <c r="Z1428" s="250"/>
    </row>
    <row r="1429" spans="1:29" s="111" customFormat="1" ht="15" x14ac:dyDescent="0.2">
      <c r="A1429" s="399"/>
      <c r="B1429" s="494"/>
      <c r="C1429" s="1108" t="s">
        <v>581</v>
      </c>
      <c r="D1429" s="496">
        <v>39</v>
      </c>
      <c r="E1429" s="497" t="s">
        <v>518</v>
      </c>
      <c r="F1429" s="498">
        <v>2</v>
      </c>
      <c r="G1429" s="496">
        <v>42</v>
      </c>
      <c r="H1429" s="497" t="s">
        <v>518</v>
      </c>
      <c r="I1429" s="498">
        <v>3</v>
      </c>
      <c r="J1429" s="1109"/>
      <c r="K1429" s="555">
        <f t="shared" si="521"/>
        <v>61</v>
      </c>
      <c r="L1429" s="555">
        <v>12.4</v>
      </c>
      <c r="M1429" s="555">
        <v>0.3</v>
      </c>
      <c r="N1429" s="555"/>
      <c r="O1429" s="741"/>
      <c r="P1429" s="555"/>
      <c r="Q1429" s="741"/>
      <c r="R1429" s="742">
        <f t="shared" si="526"/>
        <v>226.92</v>
      </c>
      <c r="S1429" s="334" t="str">
        <f t="shared" si="514"/>
        <v>m³</v>
      </c>
      <c r="T1429" s="506">
        <v>44</v>
      </c>
      <c r="U1429" s="574" t="s">
        <v>577</v>
      </c>
      <c r="V1429" s="291">
        <f t="shared" ca="1" si="506"/>
        <v>269.15999999999985</v>
      </c>
      <c r="W1429" s="256">
        <f t="shared" ca="1" si="524"/>
        <v>2</v>
      </c>
      <c r="X1429" s="256">
        <f t="shared" ca="1" si="525"/>
        <v>1</v>
      </c>
      <c r="Y1429" s="250"/>
      <c r="Z1429" s="250"/>
    </row>
    <row r="1430" spans="1:29" s="111" customFormat="1" ht="15" x14ac:dyDescent="0.2">
      <c r="A1430" s="399"/>
      <c r="B1430" s="494"/>
      <c r="C1430" s="1108"/>
      <c r="D1430" s="496"/>
      <c r="E1430" s="497"/>
      <c r="F1430" s="498"/>
      <c r="G1430" s="496"/>
      <c r="H1430" s="497"/>
      <c r="I1430" s="498"/>
      <c r="J1430" s="1109"/>
      <c r="K1430" s="743"/>
      <c r="L1430" s="555"/>
      <c r="M1430" s="744"/>
      <c r="N1430" s="745"/>
      <c r="O1430" s="746"/>
      <c r="P1430" s="555"/>
      <c r="Q1430" s="776"/>
      <c r="R1430" s="742"/>
      <c r="S1430" s="1098"/>
      <c r="T1430" s="506"/>
      <c r="U1430" s="574"/>
      <c r="V1430" s="291">
        <f t="shared" ca="1" si="506"/>
        <v>269.15999999999985</v>
      </c>
      <c r="W1430" s="256">
        <f t="shared" ca="1" si="524"/>
        <v>0</v>
      </c>
      <c r="X1430" s="256">
        <f t="shared" ca="1" si="525"/>
        <v>1</v>
      </c>
      <c r="Y1430" s="250"/>
      <c r="Z1430" s="250"/>
    </row>
    <row r="1431" spans="1:29" s="111" customFormat="1" ht="15" x14ac:dyDescent="0.2">
      <c r="A1431" s="288"/>
      <c r="B1431" s="338"/>
      <c r="C1431" s="339"/>
      <c r="D1431" s="340"/>
      <c r="E1431" s="341"/>
      <c r="F1431" s="342"/>
      <c r="G1431" s="340"/>
      <c r="H1431" s="341"/>
      <c r="I1431" s="342"/>
      <c r="J1431" s="343"/>
      <c r="K1431" s="344"/>
      <c r="L1431" s="345"/>
      <c r="M1431" s="346" t="s">
        <v>943</v>
      </c>
      <c r="N1431" s="347"/>
      <c r="O1431" s="348"/>
      <c r="P1431" s="345"/>
      <c r="Q1431" s="349"/>
      <c r="R1431" s="350"/>
      <c r="S1431" s="351"/>
      <c r="T1431" s="352"/>
      <c r="U1431" s="353"/>
      <c r="V1431" s="291">
        <f t="shared" ca="1" si="506"/>
        <v>269.15999999999985</v>
      </c>
      <c r="W1431" s="256">
        <f t="shared" ca="1" si="524"/>
        <v>2</v>
      </c>
      <c r="X1431" s="256">
        <f t="shared" ca="1" si="525"/>
        <v>1</v>
      </c>
      <c r="Y1431" s="250"/>
      <c r="Z1431" s="250"/>
    </row>
    <row r="1432" spans="1:29" s="111" customFormat="1" ht="15.75" x14ac:dyDescent="0.2">
      <c r="A1432" s="288"/>
      <c r="B1432" s="354"/>
      <c r="C1432" s="355"/>
      <c r="D1432" s="1354" t="s">
        <v>492</v>
      </c>
      <c r="E1432" s="1355"/>
      <c r="F1432" s="1355"/>
      <c r="G1432" s="1355"/>
      <c r="H1432" s="1355"/>
      <c r="I1432" s="1356"/>
      <c r="J1432" s="1357">
        <f>VLOOKUP(A1434,'11 - FINANCEIRO'!_xlnm.Print_Area,6,FALSE)</f>
        <v>7801.94</v>
      </c>
      <c r="K1432" s="1358"/>
      <c r="L1432" s="356" t="str">
        <f>VLOOKUP(A1434,'11 - FINANCEIRO'!_xlnm.Print_Area,4,FALSE)</f>
        <v>m³</v>
      </c>
      <c r="M1432" s="1359" t="s">
        <v>493</v>
      </c>
      <c r="N1432" s="1360"/>
      <c r="O1432" s="1360"/>
      <c r="P1432" s="1360"/>
      <c r="Q1432" s="1361"/>
      <c r="R1432" s="357">
        <f>TRUNC(SUM(R1390:R1431),3)</f>
        <v>7179.576</v>
      </c>
      <c r="S1432" s="358" t="str">
        <f>L1432</f>
        <v>m³</v>
      </c>
      <c r="T1432" s="1384"/>
      <c r="U1432" s="1385"/>
      <c r="V1432" s="291">
        <f t="shared" ca="1" si="506"/>
        <v>269.15999999999985</v>
      </c>
      <c r="W1432" s="256">
        <f t="shared" ca="1" si="524"/>
        <v>2</v>
      </c>
      <c r="X1432" s="256">
        <f t="shared" ca="1" si="525"/>
        <v>1</v>
      </c>
      <c r="Y1432" s="250"/>
      <c r="Z1432" s="250"/>
    </row>
    <row r="1433" spans="1:29" s="293" customFormat="1" ht="15.75" x14ac:dyDescent="0.2">
      <c r="A1433" s="288"/>
      <c r="B1433" s="354"/>
      <c r="C1433" s="361"/>
      <c r="D1433" s="1362" t="s">
        <v>494</v>
      </c>
      <c r="E1433" s="1363"/>
      <c r="F1433" s="1363"/>
      <c r="G1433" s="1363"/>
      <c r="H1433" s="1363"/>
      <c r="I1433" s="1364"/>
      <c r="J1433" s="1365">
        <f>R1432/J1432</f>
        <v>0.92022958392399845</v>
      </c>
      <c r="K1433" s="1366"/>
      <c r="L1433" s="1369"/>
      <c r="M1433" s="1371" t="s">
        <v>495</v>
      </c>
      <c r="N1433" s="1372"/>
      <c r="O1433" s="1372"/>
      <c r="P1433" s="1372"/>
      <c r="Q1433" s="1373"/>
      <c r="R1433" s="362">
        <f>VLOOKUP(A1434,'11 - FINANCEIRO'!_xlnm.Print_Area,8,FALSE)</f>
        <v>6910.4160000000002</v>
      </c>
      <c r="S1433" s="363" t="str">
        <f>L1432</f>
        <v>m³</v>
      </c>
      <c r="T1433" s="1396"/>
      <c r="U1433" s="1387"/>
      <c r="V1433" s="291">
        <f t="shared" ca="1" si="506"/>
        <v>269.15999999999985</v>
      </c>
      <c r="W1433" s="256">
        <f t="shared" ca="1" si="524"/>
        <v>2</v>
      </c>
      <c r="X1433" s="256">
        <f t="shared" ca="1" si="525"/>
        <v>1</v>
      </c>
      <c r="Y1433" s="256"/>
      <c r="Z1433" s="256"/>
      <c r="AA1433" s="292"/>
      <c r="AB1433" s="292"/>
      <c r="AC1433" s="292"/>
    </row>
    <row r="1434" spans="1:29" s="293" customFormat="1" ht="15.75" x14ac:dyDescent="0.2">
      <c r="A1434" s="288" t="s">
        <v>34</v>
      </c>
      <c r="B1434" s="364"/>
      <c r="C1434" s="365"/>
      <c r="D1434" s="1354"/>
      <c r="E1434" s="1355"/>
      <c r="F1434" s="1355"/>
      <c r="G1434" s="1355"/>
      <c r="H1434" s="1355"/>
      <c r="I1434" s="1356"/>
      <c r="J1434" s="1367"/>
      <c r="K1434" s="1368"/>
      <c r="L1434" s="1370"/>
      <c r="M1434" s="1371" t="s">
        <v>496</v>
      </c>
      <c r="N1434" s="1372"/>
      <c r="O1434" s="1372"/>
      <c r="P1434" s="1372"/>
      <c r="Q1434" s="1373"/>
      <c r="R1434" s="362">
        <f>R1432-R1433</f>
        <v>269.15999999999985</v>
      </c>
      <c r="S1434" s="363" t="str">
        <f>L1432</f>
        <v>m³</v>
      </c>
      <c r="T1434" s="1388"/>
      <c r="U1434" s="1389"/>
      <c r="V1434" s="291">
        <f t="shared" ca="1" si="506"/>
        <v>269.15999999999985</v>
      </c>
      <c r="W1434" s="256">
        <f t="shared" ref="W1434:W1555" ca="1" si="527">IF(LEFT(_xlfn.FORMULATEXT(V1434),3)="=SO",1,IF(COUNTA(A1434:U1434)=0,0,2))</f>
        <v>2</v>
      </c>
      <c r="X1434" s="256">
        <f t="shared" ca="1" si="439"/>
        <v>1</v>
      </c>
      <c r="Y1434" s="256"/>
      <c r="Z1434" s="256"/>
      <c r="AA1434" s="292"/>
      <c r="AB1434" s="292"/>
      <c r="AC1434" s="292"/>
    </row>
    <row r="1435" spans="1:29" s="111" customFormat="1" ht="15.75" x14ac:dyDescent="0.2">
      <c r="A1435" s="288"/>
      <c r="B1435" s="368"/>
      <c r="C1435" s="365"/>
      <c r="D1435" s="369"/>
      <c r="E1435" s="370"/>
      <c r="F1435" s="369"/>
      <c r="G1435" s="369"/>
      <c r="H1435" s="369"/>
      <c r="I1435" s="369"/>
      <c r="J1435" s="371"/>
      <c r="K1435" s="372"/>
      <c r="L1435" s="373"/>
      <c r="M1435" s="374"/>
      <c r="N1435" s="374"/>
      <c r="O1435" s="374"/>
      <c r="P1435" s="374"/>
      <c r="Q1435" s="374"/>
      <c r="R1435" s="375"/>
      <c r="S1435" s="376"/>
      <c r="T1435" s="377"/>
      <c r="U1435" s="378"/>
      <c r="V1435" s="379">
        <f ca="1">SUM(V1388:V1434)</f>
        <v>12650.519999999993</v>
      </c>
      <c r="W1435" s="256">
        <f t="shared" ca="1" si="527"/>
        <v>1</v>
      </c>
      <c r="X1435" s="256">
        <f t="shared" ca="1" si="439"/>
        <v>0</v>
      </c>
      <c r="Y1435" s="250"/>
      <c r="Z1435" s="250"/>
    </row>
    <row r="1436" spans="1:29" s="293" customFormat="1" ht="15.75" customHeight="1" x14ac:dyDescent="0.25">
      <c r="A1436" s="288"/>
      <c r="B1436" s="1374" t="str">
        <f>VLOOKUP(A1471,'11 - FINANCEIRO'!_xlnm.Print_Area,1,FALSE)</f>
        <v>2.1.9</v>
      </c>
      <c r="C1436" s="1376" t="str">
        <f>VLOOKUP(A1471,'11 - FINANCEIRO'!_xlnm.Print_Area,3,FALSE)</f>
        <v>Lona Plástica Preta Para Isolamento De Concretagem Sobre Solo, Fornecimento E Colocação</v>
      </c>
      <c r="D1436" s="1378" t="s">
        <v>477</v>
      </c>
      <c r="E1436" s="1379"/>
      <c r="F1436" s="1379"/>
      <c r="G1436" s="1379"/>
      <c r="H1436" s="1379"/>
      <c r="I1436" s="1380"/>
      <c r="J1436" s="1338" t="s">
        <v>478</v>
      </c>
      <c r="K1436" s="1338" t="s">
        <v>479</v>
      </c>
      <c r="L1436" s="1338" t="s">
        <v>480</v>
      </c>
      <c r="M1436" s="1338" t="s">
        <v>481</v>
      </c>
      <c r="N1436" s="1338" t="s">
        <v>482</v>
      </c>
      <c r="O1436" s="1338" t="s">
        <v>483</v>
      </c>
      <c r="P1436" s="290" t="s">
        <v>484</v>
      </c>
      <c r="Q1436" s="1338" t="s">
        <v>485</v>
      </c>
      <c r="R1436" s="1336" t="s">
        <v>296</v>
      </c>
      <c r="S1436" s="1338" t="s">
        <v>486</v>
      </c>
      <c r="T1436" s="1338" t="s">
        <v>487</v>
      </c>
      <c r="U1436" s="1340" t="s">
        <v>488</v>
      </c>
      <c r="V1436" s="435">
        <f t="shared" ref="V1436:V1471" ca="1" si="528">IF(OFFSET(V1436,1,1)=1,OFFSET(V1436,0,-4),OFFSET(V1436,1,0))</f>
        <v>897.20000000000073</v>
      </c>
      <c r="W1436" s="256">
        <f t="shared" ca="1" si="527"/>
        <v>2</v>
      </c>
      <c r="X1436" s="256">
        <f t="shared" ref="X1436:X1438" ca="1" si="529">IF(COUNTA(OFFSET(A1432,1,0))-COUNTA(A1432)=-1,0,1)</f>
        <v>1</v>
      </c>
      <c r="Y1436" s="256"/>
      <c r="Z1436" s="256"/>
      <c r="AA1436" s="292"/>
      <c r="AB1436" s="292"/>
      <c r="AC1436" s="292"/>
    </row>
    <row r="1437" spans="1:29" s="337" customFormat="1" ht="15.75" x14ac:dyDescent="0.2">
      <c r="A1437" s="288"/>
      <c r="B1437" s="1375"/>
      <c r="C1437" s="1377"/>
      <c r="D1437" s="1342" t="s">
        <v>489</v>
      </c>
      <c r="E1437" s="1343"/>
      <c r="F1437" s="1344"/>
      <c r="G1437" s="1345" t="s">
        <v>490</v>
      </c>
      <c r="H1437" s="1346"/>
      <c r="I1437" s="1347"/>
      <c r="J1437" s="1339"/>
      <c r="K1437" s="1339"/>
      <c r="L1437" s="1339"/>
      <c r="M1437" s="1339"/>
      <c r="N1437" s="1339"/>
      <c r="O1437" s="1339"/>
      <c r="P1437" s="295" t="s">
        <v>491</v>
      </c>
      <c r="Q1437" s="1339"/>
      <c r="R1437" s="1337"/>
      <c r="S1437" s="1339"/>
      <c r="T1437" s="1339"/>
      <c r="U1437" s="1341"/>
      <c r="V1437" s="435">
        <f t="shared" ca="1" si="528"/>
        <v>897.20000000000073</v>
      </c>
      <c r="W1437" s="256">
        <f t="shared" ca="1" si="527"/>
        <v>2</v>
      </c>
      <c r="X1437" s="256">
        <f t="shared" ca="1" si="529"/>
        <v>1</v>
      </c>
      <c r="Y1437" s="336"/>
      <c r="Z1437" s="336"/>
    </row>
    <row r="1438" spans="1:29" s="110" customFormat="1" ht="15" x14ac:dyDescent="0.2">
      <c r="A1438" s="403"/>
      <c r="B1438" s="479"/>
      <c r="C1438" s="539" t="s">
        <v>576</v>
      </c>
      <c r="D1438" s="412">
        <v>5</v>
      </c>
      <c r="E1438" s="299" t="s">
        <v>518</v>
      </c>
      <c r="F1438" s="413">
        <v>14.9</v>
      </c>
      <c r="G1438" s="414">
        <v>6</v>
      </c>
      <c r="H1438" s="302" t="s">
        <v>518</v>
      </c>
      <c r="I1438" s="415">
        <v>10</v>
      </c>
      <c r="J1438" s="304"/>
      <c r="K1438" s="481">
        <f t="shared" ref="K1438:K1451" si="530">ABS((G1438*20+I1438)-(D1438*20+F1438))</f>
        <v>15.099999999999994</v>
      </c>
      <c r="L1438" s="481">
        <f>L1350</f>
        <v>6.4</v>
      </c>
      <c r="M1438" s="481"/>
      <c r="N1438" s="481"/>
      <c r="O1438" s="540"/>
      <c r="P1438" s="481"/>
      <c r="Q1438" s="540"/>
      <c r="R1438" s="541">
        <f t="shared" ref="R1438:R1451" si="531">PRODUCT(J1438:Q1438)</f>
        <v>96.639999999999972</v>
      </c>
      <c r="S1438" s="331" t="str">
        <f>$L$1469</f>
        <v>m²</v>
      </c>
      <c r="T1438" s="309">
        <v>5</v>
      </c>
      <c r="U1438" s="383" t="s">
        <v>577</v>
      </c>
      <c r="V1438" s="435">
        <f t="shared" ca="1" si="528"/>
        <v>897.20000000000073</v>
      </c>
      <c r="W1438" s="256">
        <f t="shared" ca="1" si="527"/>
        <v>2</v>
      </c>
      <c r="X1438" s="256">
        <f t="shared" ca="1" si="529"/>
        <v>0</v>
      </c>
      <c r="Y1438" s="492"/>
      <c r="Z1438" s="492"/>
    </row>
    <row r="1439" spans="1:29" s="110" customFormat="1" ht="15" x14ac:dyDescent="0.2">
      <c r="A1439" s="403"/>
      <c r="B1439" s="1083"/>
      <c r="C1439" s="382" t="s">
        <v>576</v>
      </c>
      <c r="D1439" s="417">
        <v>4</v>
      </c>
      <c r="E1439" s="314" t="s">
        <v>518</v>
      </c>
      <c r="F1439" s="418">
        <v>16</v>
      </c>
      <c r="G1439" s="417">
        <v>5</v>
      </c>
      <c r="H1439" s="314" t="s">
        <v>518</v>
      </c>
      <c r="I1439" s="418">
        <v>14.5</v>
      </c>
      <c r="J1439" s="317"/>
      <c r="K1439" s="422">
        <f>ABS((G1439*20+I1439)-(D1439*20+F1439))</f>
        <v>18.5</v>
      </c>
      <c r="L1439" s="422">
        <v>6.4</v>
      </c>
      <c r="M1439" s="422"/>
      <c r="N1439" s="422"/>
      <c r="O1439" s="537"/>
      <c r="P1439" s="422"/>
      <c r="Q1439" s="537"/>
      <c r="R1439" s="542">
        <f>PRODUCT(J1439:Q1439)</f>
        <v>118.4</v>
      </c>
      <c r="S1439" s="331" t="str">
        <f>$L$1469</f>
        <v>m²</v>
      </c>
      <c r="T1439" s="320">
        <v>38</v>
      </c>
      <c r="U1439" s="335" t="s">
        <v>577</v>
      </c>
      <c r="V1439" s="435">
        <f t="shared" ca="1" si="528"/>
        <v>897.20000000000073</v>
      </c>
      <c r="W1439" s="256">
        <f t="shared" ref="W1439" ca="1" si="532">IF(LEFT(_xlfn.FORMULATEXT(V1439),3)="=SO",1,IF(COUNTA(A1439:U1439)=0,0,2))</f>
        <v>2</v>
      </c>
      <c r="X1439" s="256">
        <f t="shared" ref="X1439" ca="1" si="533">IF(COUNTA(OFFSET(A1435,1,0))-COUNTA(A1435)=-1,0,1)</f>
        <v>1</v>
      </c>
      <c r="Y1439" s="492"/>
      <c r="Z1439" s="492"/>
    </row>
    <row r="1440" spans="1:29" s="110" customFormat="1" ht="15" x14ac:dyDescent="0.2">
      <c r="A1440" s="403"/>
      <c r="B1440" s="1083"/>
      <c r="C1440" s="382" t="s">
        <v>576</v>
      </c>
      <c r="D1440" s="417">
        <v>4</v>
      </c>
      <c r="E1440" s="314" t="s">
        <v>518</v>
      </c>
      <c r="F1440" s="418">
        <v>0</v>
      </c>
      <c r="G1440" s="417">
        <v>4</v>
      </c>
      <c r="H1440" s="314" t="s">
        <v>518</v>
      </c>
      <c r="I1440" s="418">
        <v>16</v>
      </c>
      <c r="J1440" s="317"/>
      <c r="K1440" s="422">
        <f>ABS((G1440*20+I1440)-(D1440*20+F1440))</f>
        <v>16</v>
      </c>
      <c r="L1440" s="422">
        <v>6.4</v>
      </c>
      <c r="M1440" s="422"/>
      <c r="N1440" s="422"/>
      <c r="O1440" s="537"/>
      <c r="P1440" s="422"/>
      <c r="Q1440" s="537"/>
      <c r="R1440" s="542">
        <f>PRODUCT(J1440:Q1440)</f>
        <v>102.4</v>
      </c>
      <c r="S1440" s="331" t="str">
        <f>$L$1469</f>
        <v>m²</v>
      </c>
      <c r="T1440" s="320">
        <v>39</v>
      </c>
      <c r="U1440" s="335" t="s">
        <v>577</v>
      </c>
      <c r="V1440" s="435">
        <f t="shared" ca="1" si="528"/>
        <v>897.20000000000073</v>
      </c>
      <c r="W1440" s="256">
        <f t="shared" ref="W1440" ca="1" si="534">IF(LEFT(_xlfn.FORMULATEXT(V1440),3)="=SO",1,IF(COUNTA(A1440:U1440)=0,0,2))</f>
        <v>2</v>
      </c>
      <c r="X1440" s="256">
        <f t="shared" ref="X1440" ca="1" si="535">IF(COUNTA(OFFSET(A1436,1,0))-COUNTA(A1436)=-1,0,1)</f>
        <v>1</v>
      </c>
      <c r="Y1440" s="492"/>
      <c r="Z1440" s="492"/>
    </row>
    <row r="1441" spans="1:26" s="110" customFormat="1" ht="15" x14ac:dyDescent="0.2">
      <c r="A1441" s="403"/>
      <c r="B1441" s="1083"/>
      <c r="C1441" s="382" t="s">
        <v>576</v>
      </c>
      <c r="D1441" s="417">
        <v>3</v>
      </c>
      <c r="E1441" s="314" t="s">
        <v>518</v>
      </c>
      <c r="F1441" s="418">
        <v>4</v>
      </c>
      <c r="G1441" s="417">
        <v>4</v>
      </c>
      <c r="H1441" s="314" t="s">
        <v>518</v>
      </c>
      <c r="I1441" s="418">
        <v>0</v>
      </c>
      <c r="J1441" s="317"/>
      <c r="K1441" s="422">
        <f>ABS((G1441*20+I1441)-(D1441*20+F1441))</f>
        <v>16</v>
      </c>
      <c r="L1441" s="422">
        <v>6.4</v>
      </c>
      <c r="M1441" s="422"/>
      <c r="N1441" s="422"/>
      <c r="O1441" s="537"/>
      <c r="P1441" s="422"/>
      <c r="Q1441" s="537"/>
      <c r="R1441" s="542">
        <f>PRODUCT(J1441:Q1441)</f>
        <v>102.4</v>
      </c>
      <c r="S1441" s="331" t="str">
        <f>$L$1469</f>
        <v>m²</v>
      </c>
      <c r="T1441" s="320">
        <v>40</v>
      </c>
      <c r="U1441" s="335" t="s">
        <v>577</v>
      </c>
      <c r="V1441" s="435">
        <f t="shared" ca="1" si="528"/>
        <v>897.20000000000073</v>
      </c>
      <c r="W1441" s="256">
        <f t="shared" ref="W1441" ca="1" si="536">IF(LEFT(_xlfn.FORMULATEXT(V1441),3)="=SO",1,IF(COUNTA(A1441:U1441)=0,0,2))</f>
        <v>2</v>
      </c>
      <c r="X1441" s="256">
        <f t="shared" ref="X1441" ca="1" si="537">IF(COUNTA(OFFSET(A1437,1,0))-COUNTA(A1437)=-1,0,1)</f>
        <v>1</v>
      </c>
      <c r="Y1441" s="492"/>
      <c r="Z1441" s="492"/>
    </row>
    <row r="1442" spans="1:26" s="110" customFormat="1" ht="15" x14ac:dyDescent="0.2">
      <c r="A1442" s="403"/>
      <c r="B1442" s="1083"/>
      <c r="C1442" s="382" t="s">
        <v>576</v>
      </c>
      <c r="D1442" s="417">
        <v>2</v>
      </c>
      <c r="E1442" s="314" t="s">
        <v>518</v>
      </c>
      <c r="F1442" s="418">
        <v>6</v>
      </c>
      <c r="G1442" s="417">
        <v>3</v>
      </c>
      <c r="H1442" s="314" t="s">
        <v>518</v>
      </c>
      <c r="I1442" s="418">
        <v>4</v>
      </c>
      <c r="J1442" s="317"/>
      <c r="K1442" s="422">
        <f>ABS((G1442*20+I1442)-(D1442*20+F1442))</f>
        <v>18</v>
      </c>
      <c r="L1442" s="422">
        <v>6.4</v>
      </c>
      <c r="M1442" s="422"/>
      <c r="N1442" s="422"/>
      <c r="O1442" s="537"/>
      <c r="P1442" s="422"/>
      <c r="Q1442" s="537"/>
      <c r="R1442" s="542">
        <f>PRODUCT(J1442:Q1442)</f>
        <v>115.2</v>
      </c>
      <c r="S1442" s="331" t="str">
        <f>$L$1469</f>
        <v>m²</v>
      </c>
      <c r="T1442" s="320">
        <v>41</v>
      </c>
      <c r="U1442" s="335" t="s">
        <v>577</v>
      </c>
      <c r="V1442" s="435">
        <f t="shared" ca="1" si="528"/>
        <v>897.20000000000073</v>
      </c>
      <c r="W1442" s="256">
        <f t="shared" ref="W1442:W1469" ca="1" si="538">IF(LEFT(_xlfn.FORMULATEXT(V1442),3)="=SO",1,IF(COUNTA(A1442:U1442)=0,0,2))</f>
        <v>2</v>
      </c>
      <c r="X1442" s="256">
        <f t="shared" ref="X1442:X1469" ca="1" si="539">IF(COUNTA(OFFSET(A1438,1,0))-COUNTA(A1438)=-1,0,1)</f>
        <v>1</v>
      </c>
      <c r="Y1442" s="492"/>
      <c r="Z1442" s="492"/>
    </row>
    <row r="1443" spans="1:26" s="110" customFormat="1" ht="15" x14ac:dyDescent="0.2">
      <c r="A1443" s="403"/>
      <c r="B1443" s="1083"/>
      <c r="C1443" s="382" t="s">
        <v>576</v>
      </c>
      <c r="D1443" s="417">
        <v>2</v>
      </c>
      <c r="E1443" s="314" t="s">
        <v>518</v>
      </c>
      <c r="F1443" s="418">
        <v>0</v>
      </c>
      <c r="G1443" s="417">
        <v>2</v>
      </c>
      <c r="H1443" s="314" t="s">
        <v>518</v>
      </c>
      <c r="I1443" s="418">
        <v>6</v>
      </c>
      <c r="J1443" s="317"/>
      <c r="K1443" s="422">
        <f>ABS((G1443*20+I1443)-(D1443*20+F1443))</f>
        <v>6</v>
      </c>
      <c r="L1443" s="422">
        <v>6.4</v>
      </c>
      <c r="M1443" s="422"/>
      <c r="N1443" s="422"/>
      <c r="O1443" s="537"/>
      <c r="P1443" s="422"/>
      <c r="Q1443" s="537"/>
      <c r="R1443" s="542">
        <f>PRODUCT(J1443:Q1443)</f>
        <v>38.400000000000006</v>
      </c>
      <c r="S1443" s="331" t="str">
        <f t="shared" ref="S1443:S1445" si="540">$L$1469</f>
        <v>m²</v>
      </c>
      <c r="T1443" s="320">
        <v>42</v>
      </c>
      <c r="U1443" s="335" t="s">
        <v>577</v>
      </c>
      <c r="V1443" s="435">
        <f t="shared" ca="1" si="528"/>
        <v>897.20000000000073</v>
      </c>
      <c r="W1443" s="256">
        <f t="shared" ca="1" si="538"/>
        <v>2</v>
      </c>
      <c r="X1443" s="256">
        <f t="shared" ca="1" si="539"/>
        <v>1</v>
      </c>
      <c r="Y1443" s="492"/>
      <c r="Z1443" s="492"/>
    </row>
    <row r="1444" spans="1:26" s="110" customFormat="1" ht="15" x14ac:dyDescent="0.2">
      <c r="A1444" s="403"/>
      <c r="B1444" s="1083"/>
      <c r="C1444" s="382" t="s">
        <v>576</v>
      </c>
      <c r="D1444" s="417">
        <v>1</v>
      </c>
      <c r="E1444" s="314" t="s">
        <v>518</v>
      </c>
      <c r="F1444" s="418">
        <v>8</v>
      </c>
      <c r="G1444" s="417">
        <v>2</v>
      </c>
      <c r="H1444" s="314" t="s">
        <v>518</v>
      </c>
      <c r="I1444" s="418">
        <v>0</v>
      </c>
      <c r="J1444" s="317"/>
      <c r="K1444" s="422">
        <f t="shared" ref="K1444:K1445" si="541">ABS((G1444*20+I1444)-(D1444*20+F1444))</f>
        <v>12</v>
      </c>
      <c r="L1444" s="422">
        <v>6.4</v>
      </c>
      <c r="M1444" s="422"/>
      <c r="N1444" s="422"/>
      <c r="O1444" s="537"/>
      <c r="P1444" s="422"/>
      <c r="Q1444" s="537"/>
      <c r="R1444" s="542">
        <f t="shared" ref="R1444:R1445" si="542">PRODUCT(J1444:Q1444)</f>
        <v>76.800000000000011</v>
      </c>
      <c r="S1444" s="331" t="str">
        <f t="shared" si="540"/>
        <v>m²</v>
      </c>
      <c r="T1444" s="320">
        <v>43</v>
      </c>
      <c r="U1444" s="335" t="s">
        <v>577</v>
      </c>
      <c r="V1444" s="435">
        <f t="shared" ca="1" si="528"/>
        <v>897.20000000000073</v>
      </c>
      <c r="W1444" s="256">
        <f t="shared" ca="1" si="538"/>
        <v>2</v>
      </c>
      <c r="X1444" s="256">
        <f t="shared" ca="1" si="539"/>
        <v>1</v>
      </c>
      <c r="Y1444" s="492"/>
      <c r="Z1444" s="492"/>
    </row>
    <row r="1445" spans="1:26" s="110" customFormat="1" ht="15" x14ac:dyDescent="0.2">
      <c r="A1445" s="403"/>
      <c r="B1445" s="1083"/>
      <c r="C1445" s="382" t="s">
        <v>576</v>
      </c>
      <c r="D1445" s="417">
        <v>0</v>
      </c>
      <c r="E1445" s="314" t="s">
        <v>518</v>
      </c>
      <c r="F1445" s="418">
        <v>6</v>
      </c>
      <c r="G1445" s="417">
        <v>1</v>
      </c>
      <c r="H1445" s="314" t="s">
        <v>518</v>
      </c>
      <c r="I1445" s="418">
        <v>8</v>
      </c>
      <c r="J1445" s="317"/>
      <c r="K1445" s="422">
        <f t="shared" si="541"/>
        <v>22</v>
      </c>
      <c r="L1445" s="422">
        <v>6.4</v>
      </c>
      <c r="M1445" s="422"/>
      <c r="N1445" s="422"/>
      <c r="O1445" s="537"/>
      <c r="P1445" s="422"/>
      <c r="Q1445" s="537"/>
      <c r="R1445" s="542">
        <f t="shared" si="542"/>
        <v>140.80000000000001</v>
      </c>
      <c r="S1445" s="331" t="str">
        <f t="shared" si="540"/>
        <v>m²</v>
      </c>
      <c r="T1445" s="320">
        <v>44</v>
      </c>
      <c r="U1445" s="335" t="s">
        <v>577</v>
      </c>
      <c r="V1445" s="435">
        <f t="shared" ca="1" si="528"/>
        <v>897.20000000000073</v>
      </c>
      <c r="W1445" s="256">
        <f t="shared" ca="1" si="538"/>
        <v>2</v>
      </c>
      <c r="X1445" s="256">
        <f t="shared" ca="1" si="539"/>
        <v>1</v>
      </c>
      <c r="Y1445" s="492"/>
      <c r="Z1445" s="492"/>
    </row>
    <row r="1446" spans="1:26" s="110" customFormat="1" ht="15" x14ac:dyDescent="0.2">
      <c r="A1446" s="403"/>
      <c r="B1446" s="1083"/>
      <c r="C1446" s="1084"/>
      <c r="D1446" s="846"/>
      <c r="E1446" s="520"/>
      <c r="F1446" s="847"/>
      <c r="G1446" s="1085"/>
      <c r="H1446" s="522"/>
      <c r="I1446" s="1086"/>
      <c r="J1446" s="427"/>
      <c r="K1446" s="1087"/>
      <c r="L1446" s="1087"/>
      <c r="M1446" s="1087"/>
      <c r="N1446" s="1087"/>
      <c r="O1446" s="1088"/>
      <c r="P1446" s="1087"/>
      <c r="Q1446" s="1088"/>
      <c r="R1446" s="1089"/>
      <c r="S1446" s="929"/>
      <c r="T1446" s="514"/>
      <c r="U1446" s="525"/>
      <c r="V1446" s="435">
        <f t="shared" ca="1" si="528"/>
        <v>897.20000000000073</v>
      </c>
      <c r="W1446" s="256">
        <f t="shared" ca="1" si="538"/>
        <v>0</v>
      </c>
      <c r="X1446" s="256">
        <f t="shared" ca="1" si="539"/>
        <v>1</v>
      </c>
      <c r="Y1446" s="492"/>
      <c r="Z1446" s="492"/>
    </row>
    <row r="1447" spans="1:26" s="110" customFormat="1" ht="15" x14ac:dyDescent="0.2">
      <c r="A1447" s="403"/>
      <c r="B1447" s="322"/>
      <c r="C1447" s="382" t="s">
        <v>578</v>
      </c>
      <c r="D1447" s="417">
        <v>6</v>
      </c>
      <c r="E1447" s="314" t="s">
        <v>518</v>
      </c>
      <c r="F1447" s="418">
        <v>10</v>
      </c>
      <c r="G1447" s="419">
        <v>12</v>
      </c>
      <c r="H1447" s="316" t="s">
        <v>518</v>
      </c>
      <c r="I1447" s="420">
        <v>6.42</v>
      </c>
      <c r="J1447" s="317"/>
      <c r="K1447" s="422">
        <f t="shared" si="530"/>
        <v>116.41999999999999</v>
      </c>
      <c r="L1447" s="422">
        <f>L1360</f>
        <v>8.3999999999999986</v>
      </c>
      <c r="M1447" s="422"/>
      <c r="N1447" s="422"/>
      <c r="O1447" s="537"/>
      <c r="P1447" s="422"/>
      <c r="Q1447" s="537"/>
      <c r="R1447" s="542">
        <f t="shared" si="531"/>
        <v>977.92799999999977</v>
      </c>
      <c r="S1447" s="331" t="str">
        <f>$L$1469</f>
        <v>m²</v>
      </c>
      <c r="T1447" s="320">
        <v>7</v>
      </c>
      <c r="U1447" s="335" t="s">
        <v>577</v>
      </c>
      <c r="V1447" s="435">
        <f t="shared" ca="1" si="528"/>
        <v>897.20000000000073</v>
      </c>
      <c r="W1447" s="256">
        <f t="shared" ca="1" si="538"/>
        <v>2</v>
      </c>
      <c r="X1447" s="256">
        <f t="shared" ca="1" si="539"/>
        <v>1</v>
      </c>
      <c r="Y1447" s="492"/>
      <c r="Z1447" s="492"/>
    </row>
    <row r="1448" spans="1:26" s="111" customFormat="1" ht="15" x14ac:dyDescent="0.2">
      <c r="A1448" s="288"/>
      <c r="B1448" s="322"/>
      <c r="C1448" s="382" t="s">
        <v>579</v>
      </c>
      <c r="D1448" s="417">
        <v>12</v>
      </c>
      <c r="E1448" s="314" t="s">
        <v>518</v>
      </c>
      <c r="F1448" s="418">
        <v>6.42</v>
      </c>
      <c r="G1448" s="419">
        <v>17</v>
      </c>
      <c r="H1448" s="316" t="s">
        <v>518</v>
      </c>
      <c r="I1448" s="420">
        <v>4.42</v>
      </c>
      <c r="J1448" s="317"/>
      <c r="K1448" s="422">
        <f t="shared" si="530"/>
        <v>98.000000000000028</v>
      </c>
      <c r="L1448" s="422">
        <f>L1361</f>
        <v>10.399999999999999</v>
      </c>
      <c r="M1448" s="422"/>
      <c r="N1448" s="422"/>
      <c r="O1448" s="537"/>
      <c r="P1448" s="422"/>
      <c r="Q1448" s="537"/>
      <c r="R1448" s="542">
        <f t="shared" si="531"/>
        <v>1019.2000000000002</v>
      </c>
      <c r="S1448" s="331" t="str">
        <f t="shared" ref="S1448:S1467" si="543">$L$1469</f>
        <v>m²</v>
      </c>
      <c r="T1448" s="320">
        <v>9</v>
      </c>
      <c r="U1448" s="335" t="s">
        <v>577</v>
      </c>
      <c r="V1448" s="435">
        <f t="shared" ca="1" si="528"/>
        <v>897.20000000000073</v>
      </c>
      <c r="W1448" s="256">
        <f t="shared" ca="1" si="538"/>
        <v>2</v>
      </c>
      <c r="X1448" s="256">
        <f t="shared" ca="1" si="539"/>
        <v>1</v>
      </c>
      <c r="Y1448" s="250"/>
      <c r="Z1448" s="250"/>
    </row>
    <row r="1449" spans="1:26" s="111" customFormat="1" ht="15" x14ac:dyDescent="0.2">
      <c r="A1449" s="288"/>
      <c r="B1449" s="322"/>
      <c r="C1449" s="382" t="s">
        <v>580</v>
      </c>
      <c r="D1449" s="419">
        <v>17</v>
      </c>
      <c r="E1449" s="316" t="s">
        <v>518</v>
      </c>
      <c r="F1449" s="420">
        <v>4.42</v>
      </c>
      <c r="G1449" s="417">
        <v>25</v>
      </c>
      <c r="H1449" s="314" t="s">
        <v>518</v>
      </c>
      <c r="I1449" s="418">
        <v>4.42</v>
      </c>
      <c r="J1449" s="317"/>
      <c r="K1449" s="422">
        <f t="shared" si="530"/>
        <v>160</v>
      </c>
      <c r="L1449" s="422">
        <f>L1362</f>
        <v>12.399999999999999</v>
      </c>
      <c r="M1449" s="422"/>
      <c r="N1449" s="422"/>
      <c r="O1449" s="537"/>
      <c r="P1449" s="422"/>
      <c r="Q1449" s="537"/>
      <c r="R1449" s="542">
        <f t="shared" si="531"/>
        <v>1983.9999999999998</v>
      </c>
      <c r="S1449" s="331" t="str">
        <f t="shared" si="543"/>
        <v>m²</v>
      </c>
      <c r="T1449" s="320">
        <v>11</v>
      </c>
      <c r="U1449" s="335" t="s">
        <v>577</v>
      </c>
      <c r="V1449" s="435">
        <f t="shared" ca="1" si="528"/>
        <v>897.20000000000073</v>
      </c>
      <c r="W1449" s="256">
        <f t="shared" ca="1" si="538"/>
        <v>2</v>
      </c>
      <c r="X1449" s="256">
        <f t="shared" ca="1" si="539"/>
        <v>1</v>
      </c>
      <c r="Y1449" s="250"/>
      <c r="Z1449" s="250"/>
    </row>
    <row r="1450" spans="1:26" s="111" customFormat="1" ht="15" x14ac:dyDescent="0.2">
      <c r="A1450" s="399"/>
      <c r="B1450" s="494"/>
      <c r="C1450" s="550" t="s">
        <v>581</v>
      </c>
      <c r="D1450" s="496">
        <v>25</v>
      </c>
      <c r="E1450" s="497" t="s">
        <v>518</v>
      </c>
      <c r="F1450" s="498">
        <v>4.42</v>
      </c>
      <c r="G1450" s="551">
        <v>31</v>
      </c>
      <c r="H1450" s="552" t="s">
        <v>518</v>
      </c>
      <c r="I1450" s="553">
        <v>10</v>
      </c>
      <c r="J1450" s="560"/>
      <c r="K1450" s="555">
        <f t="shared" si="530"/>
        <v>125.57999999999998</v>
      </c>
      <c r="L1450" s="555">
        <f>L1363</f>
        <v>12.399999999999999</v>
      </c>
      <c r="M1450" s="555"/>
      <c r="N1450" s="555"/>
      <c r="O1450" s="741"/>
      <c r="P1450" s="555"/>
      <c r="Q1450" s="741"/>
      <c r="R1450" s="742">
        <f t="shared" si="531"/>
        <v>1557.1919999999996</v>
      </c>
      <c r="S1450" s="331" t="str">
        <f t="shared" si="543"/>
        <v>m²</v>
      </c>
      <c r="T1450" s="506">
        <v>14</v>
      </c>
      <c r="U1450" s="574" t="s">
        <v>577</v>
      </c>
      <c r="V1450" s="435">
        <f t="shared" ca="1" si="528"/>
        <v>897.20000000000073</v>
      </c>
      <c r="W1450" s="256">
        <f t="shared" ca="1" si="538"/>
        <v>2</v>
      </c>
      <c r="X1450" s="256">
        <f t="shared" ca="1" si="539"/>
        <v>1</v>
      </c>
      <c r="Y1450" s="250"/>
      <c r="Z1450" s="250"/>
    </row>
    <row r="1451" spans="1:26" s="111" customFormat="1" ht="15" x14ac:dyDescent="0.2">
      <c r="A1451" s="399"/>
      <c r="B1451" s="494"/>
      <c r="C1451" s="550" t="s">
        <v>581</v>
      </c>
      <c r="D1451" s="419">
        <v>80</v>
      </c>
      <c r="E1451" s="316" t="s">
        <v>518</v>
      </c>
      <c r="F1451" s="420">
        <v>8</v>
      </c>
      <c r="G1451" s="551">
        <v>99</v>
      </c>
      <c r="H1451" s="552" t="s">
        <v>518</v>
      </c>
      <c r="I1451" s="553">
        <v>6.4</v>
      </c>
      <c r="J1451" s="560"/>
      <c r="K1451" s="555">
        <f t="shared" si="530"/>
        <v>378.40000000000009</v>
      </c>
      <c r="L1451" s="555">
        <f>L1364</f>
        <v>12.399999999999999</v>
      </c>
      <c r="M1451" s="555"/>
      <c r="N1451" s="555"/>
      <c r="O1451" s="741"/>
      <c r="P1451" s="555"/>
      <c r="Q1451" s="741"/>
      <c r="R1451" s="742">
        <f t="shared" si="531"/>
        <v>4692.1600000000008</v>
      </c>
      <c r="S1451" s="331" t="str">
        <f t="shared" si="543"/>
        <v>m²</v>
      </c>
      <c r="T1451" s="506">
        <v>28</v>
      </c>
      <c r="U1451" s="574" t="s">
        <v>577</v>
      </c>
      <c r="V1451" s="435">
        <f t="shared" ca="1" si="528"/>
        <v>897.20000000000073</v>
      </c>
      <c r="W1451" s="256">
        <f t="shared" ca="1" si="538"/>
        <v>2</v>
      </c>
      <c r="X1451" s="256">
        <f t="shared" ca="1" si="539"/>
        <v>1</v>
      </c>
      <c r="Y1451" s="250"/>
      <c r="Z1451" s="250"/>
    </row>
    <row r="1452" spans="1:26" s="111" customFormat="1" ht="15" x14ac:dyDescent="0.2">
      <c r="A1452" s="399"/>
      <c r="B1452" s="494"/>
      <c r="C1452" s="550" t="s">
        <v>1064</v>
      </c>
      <c r="D1452" s="419">
        <v>79</v>
      </c>
      <c r="E1452" s="316" t="s">
        <v>518</v>
      </c>
      <c r="F1452" s="420">
        <v>16</v>
      </c>
      <c r="G1452" s="419">
        <v>80</v>
      </c>
      <c r="H1452" s="316" t="s">
        <v>518</v>
      </c>
      <c r="I1452" s="420">
        <v>8</v>
      </c>
      <c r="J1452" s="560"/>
      <c r="K1452" s="555">
        <f>ABS((G1452*20+I1452)-(D1452*20+F1452))</f>
        <v>12</v>
      </c>
      <c r="L1452" s="555">
        <v>14</v>
      </c>
      <c r="M1452" s="555"/>
      <c r="N1452" s="555"/>
      <c r="O1452" s="741"/>
      <c r="P1452" s="555"/>
      <c r="Q1452" s="741"/>
      <c r="R1452" s="742">
        <f>PRODUCT(J1452:Q1452)</f>
        <v>168</v>
      </c>
      <c r="S1452" s="331" t="str">
        <f t="shared" si="543"/>
        <v>m²</v>
      </c>
      <c r="T1452" s="506">
        <v>31</v>
      </c>
      <c r="U1452" s="574" t="s">
        <v>577</v>
      </c>
      <c r="V1452" s="435">
        <f t="shared" ca="1" si="528"/>
        <v>897.20000000000073</v>
      </c>
      <c r="W1452" s="256">
        <f t="shared" ca="1" si="538"/>
        <v>2</v>
      </c>
      <c r="X1452" s="256">
        <f t="shared" ca="1" si="539"/>
        <v>1</v>
      </c>
      <c r="Y1452" s="250"/>
      <c r="Z1452" s="250"/>
    </row>
    <row r="1453" spans="1:26" s="111" customFormat="1" ht="15" x14ac:dyDescent="0.2">
      <c r="A1453" s="399"/>
      <c r="B1453" s="494"/>
      <c r="C1453" s="550" t="s">
        <v>581</v>
      </c>
      <c r="D1453" s="419">
        <v>72</v>
      </c>
      <c r="E1453" s="316" t="s">
        <v>518</v>
      </c>
      <c r="F1453" s="420">
        <v>17</v>
      </c>
      <c r="G1453" s="419">
        <v>79</v>
      </c>
      <c r="H1453" s="316" t="s">
        <v>518</v>
      </c>
      <c r="I1453" s="420">
        <v>16</v>
      </c>
      <c r="J1453" s="560"/>
      <c r="K1453" s="555">
        <f>ABS((G1453*20+I1453)-(D1453*20+F1453))</f>
        <v>139</v>
      </c>
      <c r="L1453" s="555">
        <v>12.4</v>
      </c>
      <c r="M1453" s="555"/>
      <c r="N1453" s="555"/>
      <c r="O1453" s="741"/>
      <c r="P1453" s="555"/>
      <c r="Q1453" s="741"/>
      <c r="R1453" s="742">
        <f>PRODUCT(J1453:Q1453)</f>
        <v>1723.6000000000001</v>
      </c>
      <c r="S1453" s="331" t="str">
        <f t="shared" si="543"/>
        <v>m²</v>
      </c>
      <c r="T1453" s="506">
        <v>31</v>
      </c>
      <c r="U1453" s="574" t="s">
        <v>577</v>
      </c>
      <c r="V1453" s="435">
        <f t="shared" ca="1" si="528"/>
        <v>897.20000000000073</v>
      </c>
      <c r="W1453" s="256">
        <f t="shared" ca="1" si="538"/>
        <v>2</v>
      </c>
      <c r="X1453" s="256">
        <f t="shared" ca="1" si="539"/>
        <v>1</v>
      </c>
      <c r="Y1453" s="250"/>
      <c r="Z1453" s="250"/>
    </row>
    <row r="1454" spans="1:26" s="111" customFormat="1" ht="15" x14ac:dyDescent="0.2">
      <c r="A1454" s="399"/>
      <c r="B1454" s="494"/>
      <c r="C1454" s="550" t="s">
        <v>581</v>
      </c>
      <c r="D1454" s="419">
        <v>71</v>
      </c>
      <c r="E1454" s="316" t="s">
        <v>518</v>
      </c>
      <c r="F1454" s="420">
        <v>7</v>
      </c>
      <c r="G1454" s="419">
        <v>72</v>
      </c>
      <c r="H1454" s="316" t="s">
        <v>518</v>
      </c>
      <c r="I1454" s="420">
        <v>17</v>
      </c>
      <c r="J1454" s="560"/>
      <c r="K1454" s="555">
        <f>ABS((G1454*20+I1454)-(D1454*20+F1454))</f>
        <v>30</v>
      </c>
      <c r="L1454" s="555">
        <v>12.4</v>
      </c>
      <c r="M1454" s="555"/>
      <c r="N1454" s="555"/>
      <c r="O1454" s="741"/>
      <c r="P1454" s="555"/>
      <c r="Q1454" s="741"/>
      <c r="R1454" s="742">
        <f>PRODUCT(J1454:Q1454)</f>
        <v>372</v>
      </c>
      <c r="S1454" s="331" t="str">
        <f t="shared" si="543"/>
        <v>m²</v>
      </c>
      <c r="T1454" s="506">
        <v>32</v>
      </c>
      <c r="U1454" s="574" t="s">
        <v>577</v>
      </c>
      <c r="V1454" s="435">
        <f t="shared" ca="1" si="528"/>
        <v>897.20000000000073</v>
      </c>
      <c r="W1454" s="256">
        <f t="shared" ca="1" si="538"/>
        <v>2</v>
      </c>
      <c r="X1454" s="256">
        <f t="shared" ca="1" si="539"/>
        <v>1</v>
      </c>
      <c r="Y1454" s="250"/>
      <c r="Z1454" s="250"/>
    </row>
    <row r="1455" spans="1:26" s="111" customFormat="1" ht="15" x14ac:dyDescent="0.2">
      <c r="A1455" s="399"/>
      <c r="B1455" s="494"/>
      <c r="C1455" s="550" t="s">
        <v>581</v>
      </c>
      <c r="D1455" s="419">
        <v>68</v>
      </c>
      <c r="E1455" s="316" t="s">
        <v>518</v>
      </c>
      <c r="F1455" s="420">
        <v>7</v>
      </c>
      <c r="G1455" s="419">
        <v>71</v>
      </c>
      <c r="H1455" s="316" t="s">
        <v>518</v>
      </c>
      <c r="I1455" s="420">
        <v>7</v>
      </c>
      <c r="J1455" s="560"/>
      <c r="K1455" s="555">
        <f>ABS((G1455*20+I1455)-(D1455*20+F1455))</f>
        <v>60</v>
      </c>
      <c r="L1455" s="555">
        <f>L1367</f>
        <v>12.399999999999999</v>
      </c>
      <c r="M1455" s="555"/>
      <c r="N1455" s="555"/>
      <c r="O1455" s="741"/>
      <c r="P1455" s="555"/>
      <c r="Q1455" s="741"/>
      <c r="R1455" s="742">
        <f>PRODUCT(J1455:Q1455)</f>
        <v>743.99999999999989</v>
      </c>
      <c r="S1455" s="331" t="str">
        <f t="shared" si="543"/>
        <v>m²</v>
      </c>
      <c r="T1455" s="506">
        <v>33</v>
      </c>
      <c r="U1455" s="574" t="s">
        <v>577</v>
      </c>
      <c r="V1455" s="435">
        <f t="shared" ca="1" si="528"/>
        <v>897.20000000000073</v>
      </c>
      <c r="W1455" s="256">
        <f t="shared" ca="1" si="538"/>
        <v>2</v>
      </c>
      <c r="X1455" s="256">
        <f t="shared" ca="1" si="539"/>
        <v>1</v>
      </c>
      <c r="Y1455" s="250"/>
      <c r="Z1455" s="250"/>
    </row>
    <row r="1456" spans="1:26" s="111" customFormat="1" ht="15" x14ac:dyDescent="0.2">
      <c r="A1456" s="399"/>
      <c r="B1456" s="494"/>
      <c r="C1456" s="932" t="s">
        <v>581</v>
      </c>
      <c r="D1456" s="933">
        <v>66</v>
      </c>
      <c r="E1456" s="934" t="s">
        <v>518</v>
      </c>
      <c r="F1456" s="935">
        <v>17</v>
      </c>
      <c r="G1456" s="933">
        <v>68</v>
      </c>
      <c r="H1456" s="934" t="s">
        <v>518</v>
      </c>
      <c r="I1456" s="935">
        <v>7</v>
      </c>
      <c r="J1456" s="936"/>
      <c r="K1456" s="555">
        <f>ABS((G1456*20+I1456)-(D1456*20+F1456))</f>
        <v>30</v>
      </c>
      <c r="L1456" s="555">
        <v>12.4</v>
      </c>
      <c r="M1456" s="555"/>
      <c r="N1456" s="555"/>
      <c r="O1456" s="741"/>
      <c r="P1456" s="555"/>
      <c r="Q1456" s="741"/>
      <c r="R1456" s="742">
        <f>PRODUCT(J1456:Q1456)</f>
        <v>372</v>
      </c>
      <c r="S1456" s="331" t="str">
        <f t="shared" si="543"/>
        <v>m²</v>
      </c>
      <c r="T1456" s="937">
        <v>33</v>
      </c>
      <c r="U1456" s="938" t="s">
        <v>577</v>
      </c>
      <c r="V1456" s="435">
        <f t="shared" ca="1" si="528"/>
        <v>897.20000000000073</v>
      </c>
      <c r="W1456" s="256">
        <f t="shared" ca="1" si="538"/>
        <v>2</v>
      </c>
      <c r="X1456" s="256">
        <f t="shared" ca="1" si="539"/>
        <v>1</v>
      </c>
      <c r="Y1456" s="250"/>
      <c r="Z1456" s="250"/>
    </row>
    <row r="1457" spans="1:29" s="111" customFormat="1" ht="15" x14ac:dyDescent="0.2">
      <c r="A1457" s="399"/>
      <c r="B1457" s="494"/>
      <c r="C1457" s="550" t="s">
        <v>581</v>
      </c>
      <c r="D1457" s="419">
        <v>65</v>
      </c>
      <c r="E1457" s="316" t="s">
        <v>518</v>
      </c>
      <c r="F1457" s="420">
        <v>5</v>
      </c>
      <c r="G1457" s="419">
        <v>66</v>
      </c>
      <c r="H1457" s="316" t="s">
        <v>518</v>
      </c>
      <c r="I1457" s="420">
        <v>17</v>
      </c>
      <c r="J1457" s="560"/>
      <c r="K1457" s="555">
        <f t="shared" ref="K1457:K1467" si="544">ABS((G1457*20+I1457)-(D1457*20+F1457))</f>
        <v>32</v>
      </c>
      <c r="L1457" s="555">
        <v>12.4</v>
      </c>
      <c r="M1457" s="555"/>
      <c r="N1457" s="555"/>
      <c r="O1457" s="741"/>
      <c r="P1457" s="555"/>
      <c r="Q1457" s="741"/>
      <c r="R1457" s="742">
        <f t="shared" ref="R1457:R1460" si="545">PRODUCT(J1457:Q1457)</f>
        <v>396.8</v>
      </c>
      <c r="S1457" s="331" t="str">
        <f t="shared" si="543"/>
        <v>m²</v>
      </c>
      <c r="T1457" s="506">
        <v>34</v>
      </c>
      <c r="U1457" s="574" t="s">
        <v>577</v>
      </c>
      <c r="V1457" s="435">
        <f t="shared" ca="1" si="528"/>
        <v>897.20000000000073</v>
      </c>
      <c r="W1457" s="256">
        <f t="shared" ca="1" si="538"/>
        <v>2</v>
      </c>
      <c r="X1457" s="256">
        <f t="shared" ca="1" si="539"/>
        <v>1</v>
      </c>
      <c r="Y1457" s="250"/>
      <c r="Z1457" s="250"/>
    </row>
    <row r="1458" spans="1:29" s="111" customFormat="1" ht="15" x14ac:dyDescent="0.2">
      <c r="A1458" s="399"/>
      <c r="B1458" s="494"/>
      <c r="C1458" s="550" t="s">
        <v>581</v>
      </c>
      <c r="D1458" s="419">
        <v>62</v>
      </c>
      <c r="E1458" s="316" t="s">
        <v>518</v>
      </c>
      <c r="F1458" s="420">
        <v>5</v>
      </c>
      <c r="G1458" s="419">
        <v>65</v>
      </c>
      <c r="H1458" s="316" t="s">
        <v>518</v>
      </c>
      <c r="I1458" s="420">
        <v>5</v>
      </c>
      <c r="J1458" s="560"/>
      <c r="K1458" s="555">
        <f t="shared" si="544"/>
        <v>60</v>
      </c>
      <c r="L1458" s="555">
        <v>12.4</v>
      </c>
      <c r="M1458" s="555"/>
      <c r="N1458" s="555"/>
      <c r="O1458" s="741"/>
      <c r="P1458" s="555"/>
      <c r="Q1458" s="741"/>
      <c r="R1458" s="742">
        <f t="shared" si="545"/>
        <v>744</v>
      </c>
      <c r="S1458" s="331" t="str">
        <f t="shared" si="543"/>
        <v>m²</v>
      </c>
      <c r="T1458" s="506">
        <v>35</v>
      </c>
      <c r="U1458" s="574" t="s">
        <v>577</v>
      </c>
      <c r="V1458" s="435">
        <f t="shared" ca="1" si="528"/>
        <v>897.20000000000073</v>
      </c>
      <c r="W1458" s="256">
        <f t="shared" ca="1" si="538"/>
        <v>2</v>
      </c>
      <c r="X1458" s="256">
        <f t="shared" ca="1" si="539"/>
        <v>1</v>
      </c>
      <c r="Y1458" s="250"/>
      <c r="Z1458" s="250"/>
    </row>
    <row r="1459" spans="1:29" s="111" customFormat="1" ht="15" x14ac:dyDescent="0.2">
      <c r="A1459" s="399"/>
      <c r="B1459" s="494"/>
      <c r="C1459" s="550" t="s">
        <v>581</v>
      </c>
      <c r="D1459" s="419">
        <v>60</v>
      </c>
      <c r="E1459" s="316" t="s">
        <v>518</v>
      </c>
      <c r="F1459" s="420">
        <v>0</v>
      </c>
      <c r="G1459" s="419">
        <v>62</v>
      </c>
      <c r="H1459" s="316" t="s">
        <v>518</v>
      </c>
      <c r="I1459" s="420">
        <v>5</v>
      </c>
      <c r="J1459" s="560"/>
      <c r="K1459" s="555">
        <f t="shared" si="544"/>
        <v>45</v>
      </c>
      <c r="L1459" s="555">
        <v>12.4</v>
      </c>
      <c r="M1459" s="555"/>
      <c r="N1459" s="555"/>
      <c r="O1459" s="741"/>
      <c r="P1459" s="555"/>
      <c r="Q1459" s="741"/>
      <c r="R1459" s="742">
        <f t="shared" si="545"/>
        <v>558</v>
      </c>
      <c r="S1459" s="331" t="str">
        <f t="shared" si="543"/>
        <v>m²</v>
      </c>
      <c r="T1459" s="506">
        <v>36</v>
      </c>
      <c r="U1459" s="574" t="s">
        <v>577</v>
      </c>
      <c r="V1459" s="435">
        <f t="shared" ca="1" si="528"/>
        <v>897.20000000000073</v>
      </c>
      <c r="W1459" s="256">
        <f t="shared" ca="1" si="538"/>
        <v>2</v>
      </c>
      <c r="X1459" s="256">
        <f t="shared" ca="1" si="539"/>
        <v>1</v>
      </c>
      <c r="Y1459" s="250"/>
      <c r="Z1459" s="250"/>
    </row>
    <row r="1460" spans="1:29" s="111" customFormat="1" ht="15" x14ac:dyDescent="0.2">
      <c r="A1460" s="399"/>
      <c r="B1460" s="494"/>
      <c r="C1460" s="550" t="s">
        <v>581</v>
      </c>
      <c r="D1460" s="419">
        <v>57</v>
      </c>
      <c r="E1460" s="316" t="s">
        <v>518</v>
      </c>
      <c r="F1460" s="420">
        <v>16</v>
      </c>
      <c r="G1460" s="419">
        <v>60</v>
      </c>
      <c r="H1460" s="316" t="s">
        <v>518</v>
      </c>
      <c r="I1460" s="420">
        <v>0</v>
      </c>
      <c r="J1460" s="560"/>
      <c r="K1460" s="555">
        <f t="shared" si="544"/>
        <v>44</v>
      </c>
      <c r="L1460" s="555">
        <v>12.4</v>
      </c>
      <c r="M1460" s="555"/>
      <c r="N1460" s="555"/>
      <c r="O1460" s="741"/>
      <c r="P1460" s="555"/>
      <c r="Q1460" s="741"/>
      <c r="R1460" s="742">
        <f t="shared" si="545"/>
        <v>545.6</v>
      </c>
      <c r="S1460" s="331" t="str">
        <f t="shared" si="543"/>
        <v>m²</v>
      </c>
      <c r="T1460" s="506">
        <v>37</v>
      </c>
      <c r="U1460" s="574" t="s">
        <v>577</v>
      </c>
      <c r="V1460" s="435">
        <f t="shared" ca="1" si="528"/>
        <v>897.20000000000073</v>
      </c>
      <c r="W1460" s="256">
        <f t="shared" ca="1" si="538"/>
        <v>2</v>
      </c>
      <c r="X1460" s="256">
        <f t="shared" ca="1" si="539"/>
        <v>1</v>
      </c>
      <c r="Y1460" s="250"/>
      <c r="Z1460" s="250"/>
    </row>
    <row r="1461" spans="1:29" s="111" customFormat="1" ht="15" x14ac:dyDescent="0.2">
      <c r="A1461" s="399"/>
      <c r="B1461" s="494"/>
      <c r="C1461" s="550" t="s">
        <v>581</v>
      </c>
      <c r="D1461" s="496">
        <v>55</v>
      </c>
      <c r="E1461" s="497" t="s">
        <v>518</v>
      </c>
      <c r="F1461" s="498">
        <v>10</v>
      </c>
      <c r="G1461" s="419">
        <v>57</v>
      </c>
      <c r="H1461" s="316" t="s">
        <v>518</v>
      </c>
      <c r="I1461" s="420">
        <v>16</v>
      </c>
      <c r="J1461" s="560"/>
      <c r="K1461" s="555">
        <f t="shared" si="544"/>
        <v>46</v>
      </c>
      <c r="L1461" s="555">
        <v>12.4</v>
      </c>
      <c r="M1461" s="555"/>
      <c r="N1461" s="555"/>
      <c r="O1461" s="741"/>
      <c r="P1461" s="555"/>
      <c r="Q1461" s="741"/>
      <c r="R1461" s="742">
        <f>PRODUCT(J1461:Q1461)</f>
        <v>570.4</v>
      </c>
      <c r="S1461" s="331" t="str">
        <f t="shared" si="543"/>
        <v>m²</v>
      </c>
      <c r="T1461" s="506">
        <v>38</v>
      </c>
      <c r="U1461" s="574" t="s">
        <v>577</v>
      </c>
      <c r="V1461" s="435">
        <f t="shared" ca="1" si="528"/>
        <v>897.20000000000073</v>
      </c>
      <c r="W1461" s="256">
        <f t="shared" ca="1" si="538"/>
        <v>2</v>
      </c>
      <c r="X1461" s="256">
        <f t="shared" ca="1" si="539"/>
        <v>1</v>
      </c>
      <c r="Y1461" s="250"/>
      <c r="Z1461" s="250"/>
    </row>
    <row r="1462" spans="1:29" s="111" customFormat="1" ht="15" x14ac:dyDescent="0.2">
      <c r="A1462" s="399"/>
      <c r="B1462" s="494"/>
      <c r="C1462" s="1101" t="s">
        <v>581</v>
      </c>
      <c r="D1462" s="496">
        <v>51</v>
      </c>
      <c r="E1462" s="497" t="s">
        <v>518</v>
      </c>
      <c r="F1462" s="498">
        <v>8</v>
      </c>
      <c r="G1462" s="496">
        <v>55</v>
      </c>
      <c r="H1462" s="497" t="s">
        <v>518</v>
      </c>
      <c r="I1462" s="498">
        <v>10</v>
      </c>
      <c r="J1462" s="1102"/>
      <c r="K1462" s="555">
        <f t="shared" si="544"/>
        <v>82</v>
      </c>
      <c r="L1462" s="555">
        <v>12.4</v>
      </c>
      <c r="M1462" s="555"/>
      <c r="N1462" s="555"/>
      <c r="O1462" s="741"/>
      <c r="P1462" s="555"/>
      <c r="Q1462" s="741"/>
      <c r="R1462" s="742">
        <f>PRODUCT(J1462:Q1462)</f>
        <v>1016.8000000000001</v>
      </c>
      <c r="S1462" s="331" t="str">
        <f t="shared" si="543"/>
        <v>m²</v>
      </c>
      <c r="T1462" s="506">
        <v>39</v>
      </c>
      <c r="U1462" s="574" t="s">
        <v>577</v>
      </c>
      <c r="V1462" s="435">
        <f t="shared" ca="1" si="528"/>
        <v>897.20000000000073</v>
      </c>
      <c r="W1462" s="256">
        <f t="shared" ca="1" si="538"/>
        <v>2</v>
      </c>
      <c r="X1462" s="256">
        <f t="shared" ca="1" si="539"/>
        <v>1</v>
      </c>
      <c r="Y1462" s="250"/>
      <c r="Z1462" s="250"/>
    </row>
    <row r="1463" spans="1:29" s="111" customFormat="1" ht="15" x14ac:dyDescent="0.2">
      <c r="A1463" s="399"/>
      <c r="B1463" s="494"/>
      <c r="C1463" s="1108" t="s">
        <v>581</v>
      </c>
      <c r="D1463" s="496">
        <v>49</v>
      </c>
      <c r="E1463" s="497" t="s">
        <v>518</v>
      </c>
      <c r="F1463" s="498">
        <v>13</v>
      </c>
      <c r="G1463" s="496">
        <v>51</v>
      </c>
      <c r="H1463" s="497" t="s">
        <v>518</v>
      </c>
      <c r="I1463" s="498">
        <v>8</v>
      </c>
      <c r="J1463" s="1109"/>
      <c r="K1463" s="555">
        <f t="shared" si="544"/>
        <v>35</v>
      </c>
      <c r="L1463" s="555">
        <v>12.4</v>
      </c>
      <c r="M1463" s="555"/>
      <c r="N1463" s="555"/>
      <c r="O1463" s="741"/>
      <c r="P1463" s="555"/>
      <c r="Q1463" s="741"/>
      <c r="R1463" s="742">
        <f>PRODUCT(J1463:Q1463)</f>
        <v>434</v>
      </c>
      <c r="S1463" s="331" t="str">
        <f t="shared" si="543"/>
        <v>m²</v>
      </c>
      <c r="T1463" s="506">
        <v>40</v>
      </c>
      <c r="U1463" s="574" t="s">
        <v>577</v>
      </c>
      <c r="V1463" s="435">
        <f t="shared" ca="1" si="528"/>
        <v>897.20000000000073</v>
      </c>
      <c r="W1463" s="256">
        <f t="shared" ca="1" si="538"/>
        <v>2</v>
      </c>
      <c r="X1463" s="256">
        <f t="shared" ca="1" si="539"/>
        <v>1</v>
      </c>
      <c r="Y1463" s="250"/>
      <c r="Z1463" s="250"/>
    </row>
    <row r="1464" spans="1:29" s="111" customFormat="1" ht="15" x14ac:dyDescent="0.2">
      <c r="A1464" s="399"/>
      <c r="B1464" s="494"/>
      <c r="C1464" s="1108" t="s">
        <v>581</v>
      </c>
      <c r="D1464" s="496">
        <v>48</v>
      </c>
      <c r="E1464" s="497" t="s">
        <v>518</v>
      </c>
      <c r="F1464" s="498">
        <v>8</v>
      </c>
      <c r="G1464" s="496">
        <v>49</v>
      </c>
      <c r="H1464" s="497" t="s">
        <v>518</v>
      </c>
      <c r="I1464" s="498">
        <v>13</v>
      </c>
      <c r="J1464" s="1109"/>
      <c r="K1464" s="555">
        <f t="shared" si="544"/>
        <v>25</v>
      </c>
      <c r="L1464" s="555">
        <v>12.4</v>
      </c>
      <c r="M1464" s="555"/>
      <c r="N1464" s="555"/>
      <c r="O1464" s="741"/>
      <c r="P1464" s="555"/>
      <c r="Q1464" s="741"/>
      <c r="R1464" s="742">
        <f>PRODUCT(J1464:Q1464)</f>
        <v>310</v>
      </c>
      <c r="S1464" s="331" t="str">
        <f t="shared" si="543"/>
        <v>m²</v>
      </c>
      <c r="T1464" s="506">
        <v>41</v>
      </c>
      <c r="U1464" s="574" t="s">
        <v>577</v>
      </c>
      <c r="V1464" s="435">
        <f t="shared" ca="1" si="528"/>
        <v>897.20000000000073</v>
      </c>
      <c r="W1464" s="256">
        <f t="shared" ca="1" si="538"/>
        <v>2</v>
      </c>
      <c r="X1464" s="256">
        <f t="shared" ca="1" si="539"/>
        <v>1</v>
      </c>
      <c r="Y1464" s="250"/>
      <c r="Z1464" s="250"/>
    </row>
    <row r="1465" spans="1:29" s="111" customFormat="1" ht="15" x14ac:dyDescent="0.2">
      <c r="A1465" s="399"/>
      <c r="B1465" s="494"/>
      <c r="C1465" s="1108" t="s">
        <v>581</v>
      </c>
      <c r="D1465" s="496">
        <v>45</v>
      </c>
      <c r="E1465" s="497" t="s">
        <v>518</v>
      </c>
      <c r="F1465" s="498">
        <v>6</v>
      </c>
      <c r="G1465" s="496">
        <v>48</v>
      </c>
      <c r="H1465" s="497" t="s">
        <v>518</v>
      </c>
      <c r="I1465" s="498">
        <v>8</v>
      </c>
      <c r="J1465" s="1109"/>
      <c r="K1465" s="555">
        <f t="shared" si="544"/>
        <v>62</v>
      </c>
      <c r="L1465" s="555">
        <v>12.4</v>
      </c>
      <c r="M1465" s="555"/>
      <c r="N1465" s="555"/>
      <c r="O1465" s="741"/>
      <c r="P1465" s="555"/>
      <c r="Q1465" s="741"/>
      <c r="R1465" s="742">
        <f>PRODUCT(J1465:Q1465)</f>
        <v>768.80000000000007</v>
      </c>
      <c r="S1465" s="331" t="str">
        <f t="shared" si="543"/>
        <v>m²</v>
      </c>
      <c r="T1465" s="506">
        <v>42</v>
      </c>
      <c r="U1465" s="574" t="s">
        <v>577</v>
      </c>
      <c r="V1465" s="435">
        <f t="shared" ca="1" si="528"/>
        <v>897.20000000000073</v>
      </c>
      <c r="W1465" s="256">
        <f t="shared" ca="1" si="538"/>
        <v>2</v>
      </c>
      <c r="X1465" s="256">
        <f t="shared" ca="1" si="539"/>
        <v>1</v>
      </c>
      <c r="Y1465" s="250"/>
      <c r="Z1465" s="250"/>
    </row>
    <row r="1466" spans="1:29" s="111" customFormat="1" ht="15" x14ac:dyDescent="0.2">
      <c r="A1466" s="399"/>
      <c r="B1466" s="494"/>
      <c r="C1466" s="1108" t="s">
        <v>581</v>
      </c>
      <c r="D1466" s="496">
        <v>42</v>
      </c>
      <c r="E1466" s="497" t="s">
        <v>518</v>
      </c>
      <c r="F1466" s="498">
        <v>3</v>
      </c>
      <c r="G1466" s="496">
        <v>45</v>
      </c>
      <c r="H1466" s="497" t="s">
        <v>518</v>
      </c>
      <c r="I1466" s="498">
        <v>6</v>
      </c>
      <c r="J1466" s="1109"/>
      <c r="K1466" s="555">
        <f t="shared" si="544"/>
        <v>63</v>
      </c>
      <c r="L1466" s="555">
        <v>12.4</v>
      </c>
      <c r="M1466" s="555"/>
      <c r="N1466" s="555"/>
      <c r="O1466" s="741"/>
      <c r="P1466" s="555"/>
      <c r="Q1466" s="741"/>
      <c r="R1466" s="742">
        <f t="shared" ref="R1466:R1467" si="546">PRODUCT(J1466:Q1466)</f>
        <v>781.2</v>
      </c>
      <c r="S1466" s="331" t="str">
        <f t="shared" si="543"/>
        <v>m²</v>
      </c>
      <c r="T1466" s="506">
        <v>43</v>
      </c>
      <c r="U1466" s="574" t="s">
        <v>577</v>
      </c>
      <c r="V1466" s="435">
        <f t="shared" ca="1" si="528"/>
        <v>897.20000000000073</v>
      </c>
      <c r="W1466" s="256">
        <f t="shared" ca="1" si="538"/>
        <v>2</v>
      </c>
      <c r="X1466" s="256">
        <f t="shared" ca="1" si="539"/>
        <v>1</v>
      </c>
      <c r="Y1466" s="250"/>
      <c r="Z1466" s="250"/>
    </row>
    <row r="1467" spans="1:29" s="111" customFormat="1" ht="15" x14ac:dyDescent="0.2">
      <c r="A1467" s="399"/>
      <c r="B1467" s="494"/>
      <c r="C1467" s="1108" t="s">
        <v>581</v>
      </c>
      <c r="D1467" s="496">
        <v>39</v>
      </c>
      <c r="E1467" s="497" t="s">
        <v>518</v>
      </c>
      <c r="F1467" s="498">
        <v>2</v>
      </c>
      <c r="G1467" s="496">
        <v>42</v>
      </c>
      <c r="H1467" s="497" t="s">
        <v>518</v>
      </c>
      <c r="I1467" s="498">
        <v>3</v>
      </c>
      <c r="J1467" s="1109"/>
      <c r="K1467" s="555">
        <f t="shared" si="544"/>
        <v>61</v>
      </c>
      <c r="L1467" s="555">
        <v>12.4</v>
      </c>
      <c r="M1467" s="555"/>
      <c r="N1467" s="555"/>
      <c r="O1467" s="741"/>
      <c r="P1467" s="555"/>
      <c r="Q1467" s="741"/>
      <c r="R1467" s="742">
        <f t="shared" si="546"/>
        <v>756.4</v>
      </c>
      <c r="S1467" s="331" t="str">
        <f t="shared" si="543"/>
        <v>m²</v>
      </c>
      <c r="T1467" s="506">
        <v>44</v>
      </c>
      <c r="U1467" s="574" t="s">
        <v>577</v>
      </c>
      <c r="V1467" s="435">
        <f t="shared" ca="1" si="528"/>
        <v>897.20000000000073</v>
      </c>
      <c r="W1467" s="256">
        <f t="shared" ca="1" si="538"/>
        <v>2</v>
      </c>
      <c r="X1467" s="256">
        <f t="shared" ca="1" si="539"/>
        <v>1</v>
      </c>
      <c r="Y1467" s="250"/>
      <c r="Z1467" s="250"/>
    </row>
    <row r="1468" spans="1:29" s="111" customFormat="1" ht="15" x14ac:dyDescent="0.2">
      <c r="A1468" s="288"/>
      <c r="B1468" s="338"/>
      <c r="C1468" s="339"/>
      <c r="D1468" s="340"/>
      <c r="E1468" s="341"/>
      <c r="F1468" s="342"/>
      <c r="G1468" s="340"/>
      <c r="H1468" s="341"/>
      <c r="I1468" s="342"/>
      <c r="J1468" s="343"/>
      <c r="K1468" s="344"/>
      <c r="L1468" s="345"/>
      <c r="M1468" s="346"/>
      <c r="N1468" s="347"/>
      <c r="O1468" s="348"/>
      <c r="P1468" s="345"/>
      <c r="Q1468" s="349"/>
      <c r="R1468" s="350"/>
      <c r="S1468" s="351"/>
      <c r="T1468" s="352"/>
      <c r="U1468" s="353"/>
      <c r="V1468" s="435">
        <f t="shared" ca="1" si="528"/>
        <v>897.20000000000073</v>
      </c>
      <c r="W1468" s="256">
        <f t="shared" ca="1" si="538"/>
        <v>0</v>
      </c>
      <c r="X1468" s="256">
        <f t="shared" ca="1" si="539"/>
        <v>1</v>
      </c>
      <c r="Y1468" s="250"/>
      <c r="Z1468" s="250"/>
    </row>
    <row r="1469" spans="1:29" s="111" customFormat="1" ht="15.75" x14ac:dyDescent="0.2">
      <c r="A1469" s="288"/>
      <c r="B1469" s="354"/>
      <c r="C1469" s="355"/>
      <c r="D1469" s="1354" t="s">
        <v>492</v>
      </c>
      <c r="E1469" s="1355"/>
      <c r="F1469" s="1355"/>
      <c r="G1469" s="1355"/>
      <c r="H1469" s="1355"/>
      <c r="I1469" s="1356"/>
      <c r="J1469" s="1357">
        <f>VLOOKUP(A1471,'11 - FINANCEIRO'!_xlnm.Print_Area,6,FALSE)</f>
        <v>23188.400000000001</v>
      </c>
      <c r="K1469" s="1358"/>
      <c r="L1469" s="356" t="str">
        <f>VLOOKUP(A1471,'11 - FINANCEIRO'!_xlnm.Print_Area,4,FALSE)</f>
        <v>m²</v>
      </c>
      <c r="M1469" s="1359" t="s">
        <v>493</v>
      </c>
      <c r="N1469" s="1360"/>
      <c r="O1469" s="1360"/>
      <c r="P1469" s="1360"/>
      <c r="Q1469" s="1361"/>
      <c r="R1469" s="357">
        <f>TRUNC(SUM(R1438:R1468),3)</f>
        <v>21283.119999999999</v>
      </c>
      <c r="S1469" s="358" t="str">
        <f>L1469</f>
        <v>m²</v>
      </c>
      <c r="T1469" s="359"/>
      <c r="U1469" s="360"/>
      <c r="V1469" s="435">
        <f t="shared" ca="1" si="528"/>
        <v>897.20000000000073</v>
      </c>
      <c r="W1469" s="256">
        <f t="shared" ca="1" si="538"/>
        <v>2</v>
      </c>
      <c r="X1469" s="256">
        <f t="shared" ca="1" si="539"/>
        <v>1</v>
      </c>
      <c r="Y1469" s="250"/>
      <c r="Z1469" s="250"/>
    </row>
    <row r="1470" spans="1:29" s="293" customFormat="1" ht="15.75" x14ac:dyDescent="0.2">
      <c r="A1470" s="288"/>
      <c r="B1470" s="354"/>
      <c r="C1470" s="361"/>
      <c r="D1470" s="1362" t="s">
        <v>494</v>
      </c>
      <c r="E1470" s="1363"/>
      <c r="F1470" s="1363"/>
      <c r="G1470" s="1363"/>
      <c r="H1470" s="1363"/>
      <c r="I1470" s="1364"/>
      <c r="J1470" s="1365">
        <f>R1469/J1469</f>
        <v>0.91783477945869474</v>
      </c>
      <c r="K1470" s="1366"/>
      <c r="L1470" s="1369"/>
      <c r="M1470" s="1371" t="s">
        <v>495</v>
      </c>
      <c r="N1470" s="1372"/>
      <c r="O1470" s="1372"/>
      <c r="P1470" s="1372"/>
      <c r="Q1470" s="1373"/>
      <c r="R1470" s="362">
        <f>VLOOKUP(A1471,'11 - FINANCEIRO'!_xlnm.Print_Area,8,FALSE)</f>
        <v>20385.919999999998</v>
      </c>
      <c r="S1470" s="363" t="str">
        <f>L1469</f>
        <v>m²</v>
      </c>
      <c r="T1470" s="359"/>
      <c r="U1470" s="360"/>
      <c r="V1470" s="435">
        <f t="shared" ca="1" si="528"/>
        <v>897.20000000000073</v>
      </c>
      <c r="W1470" s="256">
        <f t="shared" ref="W1470" ca="1" si="547">IF(LEFT(_xlfn.FORMULATEXT(V1470),3)="=SO",1,IF(COUNTA(A1470:U1470)=0,0,2))</f>
        <v>2</v>
      </c>
      <c r="X1470" s="256">
        <f ca="1">IF(COUNTA(OFFSET(A1465,1,0))-COUNTA(A1465)=-1,0,1)</f>
        <v>1</v>
      </c>
      <c r="Y1470" s="256"/>
      <c r="Z1470" s="256"/>
      <c r="AA1470" s="292"/>
      <c r="AB1470" s="292"/>
      <c r="AC1470" s="292"/>
    </row>
    <row r="1471" spans="1:29" s="293" customFormat="1" ht="15.75" x14ac:dyDescent="0.2">
      <c r="A1471" s="288" t="s">
        <v>35</v>
      </c>
      <c r="B1471" s="364"/>
      <c r="C1471" s="365"/>
      <c r="D1471" s="1354"/>
      <c r="E1471" s="1355"/>
      <c r="F1471" s="1355"/>
      <c r="G1471" s="1355"/>
      <c r="H1471" s="1355"/>
      <c r="I1471" s="1356"/>
      <c r="J1471" s="1367"/>
      <c r="K1471" s="1368"/>
      <c r="L1471" s="1370"/>
      <c r="M1471" s="1371" t="s">
        <v>496</v>
      </c>
      <c r="N1471" s="1372"/>
      <c r="O1471" s="1372"/>
      <c r="P1471" s="1372"/>
      <c r="Q1471" s="1373"/>
      <c r="R1471" s="362">
        <f>R1469-R1470</f>
        <v>897.20000000000073</v>
      </c>
      <c r="S1471" s="363" t="str">
        <f>L1469</f>
        <v>m²</v>
      </c>
      <c r="T1471" s="366"/>
      <c r="U1471" s="367"/>
      <c r="V1471" s="291">
        <f t="shared" ca="1" si="528"/>
        <v>897.20000000000073</v>
      </c>
      <c r="W1471" s="256">
        <f t="shared" ca="1" si="527"/>
        <v>2</v>
      </c>
      <c r="X1471" s="256">
        <f t="shared" ca="1" si="439"/>
        <v>1</v>
      </c>
      <c r="Y1471" s="256"/>
      <c r="Z1471" s="256"/>
      <c r="AA1471" s="292"/>
      <c r="AB1471" s="292"/>
      <c r="AC1471" s="292"/>
    </row>
    <row r="1472" spans="1:29" s="111" customFormat="1" ht="15.75" x14ac:dyDescent="0.2">
      <c r="A1472" s="288"/>
      <c r="B1472" s="368"/>
      <c r="C1472" s="365"/>
      <c r="D1472" s="369"/>
      <c r="E1472" s="370"/>
      <c r="F1472" s="369"/>
      <c r="G1472" s="369"/>
      <c r="H1472" s="369"/>
      <c r="I1472" s="369"/>
      <c r="J1472" s="371"/>
      <c r="K1472" s="372"/>
      <c r="L1472" s="373"/>
      <c r="M1472" s="374"/>
      <c r="N1472" s="374"/>
      <c r="O1472" s="374"/>
      <c r="P1472" s="374"/>
      <c r="Q1472" s="374"/>
      <c r="R1472" s="375"/>
      <c r="S1472" s="376"/>
      <c r="T1472" s="377"/>
      <c r="U1472" s="378"/>
      <c r="V1472" s="379">
        <f ca="1">SUM(V1436:V1471)</f>
        <v>32299.200000000026</v>
      </c>
      <c r="W1472" s="256">
        <f t="shared" ca="1" si="527"/>
        <v>1</v>
      </c>
      <c r="X1472" s="256">
        <f t="shared" ca="1" si="439"/>
        <v>0</v>
      </c>
      <c r="Y1472" s="250"/>
      <c r="Z1472" s="250"/>
    </row>
    <row r="1473" spans="1:29" s="293" customFormat="1" ht="15.75" customHeight="1" x14ac:dyDescent="0.25">
      <c r="A1473" s="288"/>
      <c r="B1473" s="1374" t="str">
        <f>VLOOKUP(A1509,'11 - FINANCEIRO'!_xlnm.Print_Area,1,FALSE)</f>
        <v>2.1.10</v>
      </c>
      <c r="C1473" s="1376" t="str">
        <f>VLOOKUP(A1509,'11 - FINANCEIRO'!_xlnm.Print_Area,3,FALSE)</f>
        <v>Escoramento Cavas Com Prancha Metalica</v>
      </c>
      <c r="D1473" s="1378" t="s">
        <v>477</v>
      </c>
      <c r="E1473" s="1379"/>
      <c r="F1473" s="1379"/>
      <c r="G1473" s="1379"/>
      <c r="H1473" s="1379"/>
      <c r="I1473" s="1380"/>
      <c r="J1473" s="1338" t="s">
        <v>478</v>
      </c>
      <c r="K1473" s="1338" t="s">
        <v>479</v>
      </c>
      <c r="L1473" s="1338" t="s">
        <v>480</v>
      </c>
      <c r="M1473" s="1338" t="s">
        <v>481</v>
      </c>
      <c r="N1473" s="1338" t="s">
        <v>482</v>
      </c>
      <c r="O1473" s="1338" t="s">
        <v>483</v>
      </c>
      <c r="P1473" s="290" t="s">
        <v>484</v>
      </c>
      <c r="Q1473" s="1338" t="s">
        <v>582</v>
      </c>
      <c r="R1473" s="1336" t="s">
        <v>296</v>
      </c>
      <c r="S1473" s="1338" t="s">
        <v>486</v>
      </c>
      <c r="T1473" s="1338" t="s">
        <v>487</v>
      </c>
      <c r="U1473" s="1340" t="s">
        <v>488</v>
      </c>
      <c r="V1473" s="291">
        <f t="shared" ref="V1473:V1509" ca="1" si="548">IF(OFFSET(V1473,1,1)=1,OFFSET(V1473,0,-4),OFFSET(V1473,1,0))</f>
        <v>581</v>
      </c>
      <c r="W1473" s="256">
        <f t="shared" ca="1" si="527"/>
        <v>2</v>
      </c>
      <c r="X1473" s="256">
        <f t="shared" ca="1" si="439"/>
        <v>1</v>
      </c>
      <c r="Y1473" s="256"/>
      <c r="Z1473" s="256"/>
      <c r="AA1473" s="292"/>
      <c r="AB1473" s="292"/>
      <c r="AC1473" s="292"/>
    </row>
    <row r="1474" spans="1:29" s="337" customFormat="1" ht="15.75" x14ac:dyDescent="0.2">
      <c r="A1474" s="288"/>
      <c r="B1474" s="1375"/>
      <c r="C1474" s="1377"/>
      <c r="D1474" s="1342" t="s">
        <v>489</v>
      </c>
      <c r="E1474" s="1343"/>
      <c r="F1474" s="1344"/>
      <c r="G1474" s="1345" t="s">
        <v>490</v>
      </c>
      <c r="H1474" s="1346"/>
      <c r="I1474" s="1347"/>
      <c r="J1474" s="1339"/>
      <c r="K1474" s="1339"/>
      <c r="L1474" s="1339"/>
      <c r="M1474" s="1339"/>
      <c r="N1474" s="1339"/>
      <c r="O1474" s="1339"/>
      <c r="P1474" s="295" t="s">
        <v>491</v>
      </c>
      <c r="Q1474" s="1339"/>
      <c r="R1474" s="1337"/>
      <c r="S1474" s="1339"/>
      <c r="T1474" s="1339"/>
      <c r="U1474" s="1341"/>
      <c r="V1474" s="291">
        <f t="shared" ca="1" si="548"/>
        <v>581</v>
      </c>
      <c r="W1474" s="256">
        <f t="shared" ref="W1474:W1509" ca="1" si="549">IF(LEFT(_xlfn.FORMULATEXT(V1474),3)="=SO",1,IF(COUNTA(A1474:U1474)=0,0,2))</f>
        <v>2</v>
      </c>
      <c r="X1474" s="256">
        <f t="shared" ref="X1474:X1509" ca="1" si="550">IF(COUNTA(OFFSET(A1473,1,0))-COUNTA(A1473)=-1,0,1)</f>
        <v>1</v>
      </c>
      <c r="Y1474" s="336"/>
      <c r="Z1474" s="336"/>
    </row>
    <row r="1475" spans="1:29" s="110" customFormat="1" ht="15" x14ac:dyDescent="0.2">
      <c r="A1475" s="403"/>
      <c r="B1475" s="479"/>
      <c r="C1475" s="539" t="s">
        <v>583</v>
      </c>
      <c r="D1475" s="412">
        <v>5</v>
      </c>
      <c r="E1475" s="299" t="s">
        <v>518</v>
      </c>
      <c r="F1475" s="413">
        <v>7</v>
      </c>
      <c r="G1475" s="414">
        <v>24</v>
      </c>
      <c r="H1475" s="302" t="s">
        <v>518</v>
      </c>
      <c r="I1475" s="415">
        <v>0</v>
      </c>
      <c r="J1475" s="304"/>
      <c r="K1475" s="480">
        <f>ABS((G1475*20+I1475)-(D1475*20+F1475))</f>
        <v>373</v>
      </c>
      <c r="L1475" s="481"/>
      <c r="M1475" s="481">
        <v>3.5</v>
      </c>
      <c r="N1475" s="481"/>
      <c r="O1475" s="540"/>
      <c r="P1475" s="481"/>
      <c r="Q1475" s="545">
        <v>2</v>
      </c>
      <c r="R1475" s="546">
        <f>PRODUCT(J1475:Q1475)</f>
        <v>2611</v>
      </c>
      <c r="S1475" s="484" t="s">
        <v>308</v>
      </c>
      <c r="T1475" s="309">
        <v>11</v>
      </c>
      <c r="U1475" s="534"/>
      <c r="V1475" s="291">
        <f t="shared" ca="1" si="548"/>
        <v>581</v>
      </c>
      <c r="W1475" s="256">
        <f t="shared" ca="1" si="549"/>
        <v>2</v>
      </c>
      <c r="X1475" s="256">
        <f t="shared" ca="1" si="550"/>
        <v>1</v>
      </c>
      <c r="Y1475" s="492"/>
      <c r="Z1475" s="492"/>
    </row>
    <row r="1476" spans="1:29" s="111" customFormat="1" ht="15" x14ac:dyDescent="0.2">
      <c r="A1476" s="288"/>
      <c r="B1476" s="322"/>
      <c r="C1476" s="382" t="s">
        <v>583</v>
      </c>
      <c r="D1476" s="419">
        <v>80</v>
      </c>
      <c r="E1476" s="316" t="s">
        <v>518</v>
      </c>
      <c r="F1476" s="420">
        <v>8</v>
      </c>
      <c r="G1476" s="419">
        <v>99</v>
      </c>
      <c r="H1476" s="316" t="s">
        <v>518</v>
      </c>
      <c r="I1476" s="420">
        <v>6.4</v>
      </c>
      <c r="J1476" s="317"/>
      <c r="K1476" s="422">
        <f>ABS((G1476*20+I1476)-(D1476*20+F1476))</f>
        <v>378.40000000000009</v>
      </c>
      <c r="L1476" s="422"/>
      <c r="M1476" s="422">
        <v>3.5</v>
      </c>
      <c r="N1476" s="422"/>
      <c r="O1476" s="537"/>
      <c r="P1476" s="422"/>
      <c r="Q1476" s="740">
        <v>2</v>
      </c>
      <c r="R1476" s="333">
        <f>PRODUCT(J1476:Q1476)</f>
        <v>2648.8000000000006</v>
      </c>
      <c r="S1476" s="331" t="str">
        <f>$L$1507</f>
        <v>m²</v>
      </c>
      <c r="T1476" s="320">
        <v>28</v>
      </c>
      <c r="U1476" s="335"/>
      <c r="V1476" s="291">
        <f t="shared" ca="1" si="548"/>
        <v>581</v>
      </c>
      <c r="W1476" s="256">
        <f t="shared" ca="1" si="549"/>
        <v>2</v>
      </c>
      <c r="X1476" s="256">
        <f t="shared" ca="1" si="550"/>
        <v>1</v>
      </c>
      <c r="Y1476" s="250"/>
      <c r="Z1476" s="250"/>
    </row>
    <row r="1477" spans="1:29" s="111" customFormat="1" ht="15" x14ac:dyDescent="0.2">
      <c r="A1477" s="288"/>
      <c r="B1477" s="322"/>
      <c r="C1477" s="382" t="s">
        <v>939</v>
      </c>
      <c r="D1477" s="419">
        <v>94</v>
      </c>
      <c r="E1477" s="316" t="s">
        <v>518</v>
      </c>
      <c r="F1477" s="420">
        <v>1</v>
      </c>
      <c r="G1477" s="419">
        <v>97</v>
      </c>
      <c r="H1477" s="316" t="s">
        <v>518</v>
      </c>
      <c r="I1477" s="420">
        <v>0</v>
      </c>
      <c r="J1477" s="317"/>
      <c r="K1477" s="422">
        <v>0</v>
      </c>
      <c r="L1477" s="422"/>
      <c r="M1477" s="422">
        <v>3.5</v>
      </c>
      <c r="N1477" s="422"/>
      <c r="O1477" s="537"/>
      <c r="P1477" s="422"/>
      <c r="Q1477" s="740">
        <v>1</v>
      </c>
      <c r="R1477" s="333">
        <v>3.5</v>
      </c>
      <c r="S1477" s="331" t="str">
        <f t="shared" ref="S1477:S1495" si="551">$L$1507</f>
        <v>m²</v>
      </c>
      <c r="T1477" s="320">
        <v>22</v>
      </c>
      <c r="U1477" s="335"/>
      <c r="V1477" s="291">
        <f t="shared" ca="1" si="548"/>
        <v>581</v>
      </c>
      <c r="W1477" s="256">
        <f t="shared" ca="1" si="549"/>
        <v>2</v>
      </c>
      <c r="X1477" s="256">
        <f t="shared" ca="1" si="550"/>
        <v>1</v>
      </c>
      <c r="Y1477" s="250"/>
      <c r="Z1477" s="250"/>
    </row>
    <row r="1478" spans="1:29" s="111" customFormat="1" ht="15" x14ac:dyDescent="0.2">
      <c r="A1478" s="288"/>
      <c r="B1478" s="494"/>
      <c r="C1478" s="550" t="s">
        <v>673</v>
      </c>
      <c r="D1478" s="419">
        <v>96</v>
      </c>
      <c r="E1478" s="316" t="s">
        <v>518</v>
      </c>
      <c r="F1478" s="420">
        <v>0</v>
      </c>
      <c r="G1478" s="419">
        <v>96</v>
      </c>
      <c r="H1478" s="316" t="s">
        <v>518</v>
      </c>
      <c r="I1478" s="420">
        <v>0</v>
      </c>
      <c r="J1478" s="560"/>
      <c r="K1478" s="743">
        <v>17</v>
      </c>
      <c r="L1478" s="555"/>
      <c r="M1478" s="744">
        <v>3.5</v>
      </c>
      <c r="N1478" s="745"/>
      <c r="O1478" s="746"/>
      <c r="P1478" s="555"/>
      <c r="Q1478" s="740">
        <v>2</v>
      </c>
      <c r="R1478" s="504">
        <f t="shared" ref="R1478:R1483" si="552">PRODUCT(J1478:Q1478)</f>
        <v>119</v>
      </c>
      <c r="S1478" s="331" t="str">
        <f t="shared" si="551"/>
        <v>m²</v>
      </c>
      <c r="T1478" s="506">
        <v>18</v>
      </c>
      <c r="U1478" s="574"/>
      <c r="V1478" s="291">
        <f t="shared" ca="1" si="548"/>
        <v>581</v>
      </c>
      <c r="W1478" s="256">
        <f t="shared" ca="1" si="549"/>
        <v>2</v>
      </c>
      <c r="X1478" s="256">
        <f t="shared" ca="1" si="550"/>
        <v>1</v>
      </c>
      <c r="Y1478" s="250"/>
      <c r="Z1478" s="250"/>
    </row>
    <row r="1479" spans="1:29" s="111" customFormat="1" ht="15" x14ac:dyDescent="0.2">
      <c r="A1479" s="288"/>
      <c r="B1479" s="494"/>
      <c r="C1479" s="382" t="s">
        <v>842</v>
      </c>
      <c r="D1479" s="417">
        <v>96</v>
      </c>
      <c r="E1479" s="316" t="s">
        <v>518</v>
      </c>
      <c r="F1479" s="418">
        <v>0</v>
      </c>
      <c r="G1479" s="419">
        <v>99</v>
      </c>
      <c r="H1479" s="316" t="s">
        <v>518</v>
      </c>
      <c r="I1479" s="420">
        <v>6.4</v>
      </c>
      <c r="J1479" s="560"/>
      <c r="K1479" s="422">
        <f>ABS((G1479*20+I1479)-(D1479*20+F1479))</f>
        <v>66.400000000000091</v>
      </c>
      <c r="L1479" s="555"/>
      <c r="M1479" s="744">
        <v>3.5</v>
      </c>
      <c r="N1479" s="745"/>
      <c r="O1479" s="746"/>
      <c r="P1479" s="555"/>
      <c r="Q1479" s="740">
        <v>2</v>
      </c>
      <c r="R1479" s="504">
        <f t="shared" si="552"/>
        <v>464.80000000000064</v>
      </c>
      <c r="S1479" s="331" t="str">
        <f t="shared" si="551"/>
        <v>m²</v>
      </c>
      <c r="T1479" s="506">
        <v>19</v>
      </c>
      <c r="U1479" s="574"/>
      <c r="V1479" s="291">
        <f t="shared" ca="1" si="548"/>
        <v>581</v>
      </c>
      <c r="W1479" s="256">
        <f t="shared" ca="1" si="549"/>
        <v>2</v>
      </c>
      <c r="X1479" s="256">
        <f t="shared" ca="1" si="550"/>
        <v>1</v>
      </c>
      <c r="Y1479" s="250"/>
      <c r="Z1479" s="250"/>
    </row>
    <row r="1480" spans="1:29" s="111" customFormat="1" ht="15" x14ac:dyDescent="0.2">
      <c r="A1480" s="399"/>
      <c r="B1480" s="494"/>
      <c r="C1480" s="382" t="s">
        <v>583</v>
      </c>
      <c r="D1480" s="419">
        <v>72</v>
      </c>
      <c r="E1480" s="316" t="s">
        <v>518</v>
      </c>
      <c r="F1480" s="420">
        <v>10</v>
      </c>
      <c r="G1480" s="419">
        <v>79</v>
      </c>
      <c r="H1480" s="316" t="s">
        <v>518</v>
      </c>
      <c r="I1480" s="420">
        <v>16</v>
      </c>
      <c r="J1480" s="560"/>
      <c r="K1480" s="422">
        <f>ABS((G1480*20+I1480)-(D1480*20+F1480))</f>
        <v>146</v>
      </c>
      <c r="L1480" s="555"/>
      <c r="M1480" s="744">
        <v>3.5</v>
      </c>
      <c r="N1480" s="745"/>
      <c r="O1480" s="746"/>
      <c r="P1480" s="555"/>
      <c r="Q1480" s="740">
        <v>2</v>
      </c>
      <c r="R1480" s="504">
        <f t="shared" si="552"/>
        <v>1022</v>
      </c>
      <c r="S1480" s="331" t="str">
        <f t="shared" si="551"/>
        <v>m²</v>
      </c>
      <c r="T1480" s="506">
        <v>31</v>
      </c>
      <c r="U1480" s="574" t="s">
        <v>577</v>
      </c>
      <c r="V1480" s="291">
        <f t="shared" ca="1" si="548"/>
        <v>581</v>
      </c>
      <c r="W1480" s="256">
        <f t="shared" ca="1" si="549"/>
        <v>2</v>
      </c>
      <c r="X1480" s="256">
        <f t="shared" ca="1" si="550"/>
        <v>1</v>
      </c>
      <c r="Y1480" s="250"/>
      <c r="Z1480" s="250"/>
    </row>
    <row r="1481" spans="1:29" s="111" customFormat="1" ht="15" x14ac:dyDescent="0.2">
      <c r="A1481" s="399"/>
      <c r="B1481" s="494"/>
      <c r="C1481" s="382" t="s">
        <v>583</v>
      </c>
      <c r="D1481" s="419">
        <v>70</v>
      </c>
      <c r="E1481" s="316" t="s">
        <v>518</v>
      </c>
      <c r="F1481" s="420">
        <v>0</v>
      </c>
      <c r="G1481" s="419">
        <v>72</v>
      </c>
      <c r="H1481" s="316" t="s">
        <v>518</v>
      </c>
      <c r="I1481" s="420">
        <v>10</v>
      </c>
      <c r="J1481" s="560"/>
      <c r="K1481" s="422">
        <f>ABS((G1481*20+I1481)-(D1481*20+F1481))</f>
        <v>50</v>
      </c>
      <c r="L1481" s="555"/>
      <c r="M1481" s="744">
        <v>3.5</v>
      </c>
      <c r="N1481" s="745"/>
      <c r="O1481" s="746"/>
      <c r="P1481" s="555"/>
      <c r="Q1481" s="740">
        <v>2</v>
      </c>
      <c r="R1481" s="504">
        <f t="shared" si="552"/>
        <v>350</v>
      </c>
      <c r="S1481" s="331" t="str">
        <f t="shared" si="551"/>
        <v>m²</v>
      </c>
      <c r="T1481" s="506">
        <v>32</v>
      </c>
      <c r="U1481" s="574" t="s">
        <v>577</v>
      </c>
      <c r="V1481" s="291">
        <f t="shared" ca="1" si="548"/>
        <v>581</v>
      </c>
      <c r="W1481" s="256">
        <f t="shared" ca="1" si="549"/>
        <v>2</v>
      </c>
      <c r="X1481" s="256">
        <f t="shared" ca="1" si="550"/>
        <v>1</v>
      </c>
      <c r="Y1481" s="250"/>
      <c r="Z1481" s="250"/>
    </row>
    <row r="1482" spans="1:29" s="111" customFormat="1" ht="15" x14ac:dyDescent="0.2">
      <c r="A1482" s="399"/>
      <c r="B1482" s="494"/>
      <c r="C1482" s="382" t="s">
        <v>1113</v>
      </c>
      <c r="D1482" s="419">
        <v>68</v>
      </c>
      <c r="E1482" s="316" t="s">
        <v>518</v>
      </c>
      <c r="F1482" s="420">
        <v>0</v>
      </c>
      <c r="G1482" s="419">
        <v>72</v>
      </c>
      <c r="H1482" s="316" t="s">
        <v>518</v>
      </c>
      <c r="I1482" s="420">
        <v>0</v>
      </c>
      <c r="J1482" s="560"/>
      <c r="K1482" s="422">
        <f>ABS((G1482*20+I1482)-(D1482*20+F1482))</f>
        <v>80</v>
      </c>
      <c r="L1482" s="555"/>
      <c r="M1482" s="744">
        <v>3.5</v>
      </c>
      <c r="N1482" s="745"/>
      <c r="O1482" s="746"/>
      <c r="P1482" s="555"/>
      <c r="Q1482" s="740">
        <v>1</v>
      </c>
      <c r="R1482" s="504">
        <f t="shared" si="552"/>
        <v>280</v>
      </c>
      <c r="S1482" s="331" t="str">
        <f t="shared" si="551"/>
        <v>m²</v>
      </c>
      <c r="T1482" s="506">
        <v>33</v>
      </c>
      <c r="U1482" s="574" t="s">
        <v>577</v>
      </c>
      <c r="V1482" s="291">
        <f t="shared" ca="1" si="548"/>
        <v>581</v>
      </c>
      <c r="W1482" s="256">
        <f t="shared" ca="1" si="549"/>
        <v>2</v>
      </c>
      <c r="X1482" s="256">
        <f t="shared" ca="1" si="550"/>
        <v>1</v>
      </c>
      <c r="Y1482" s="250"/>
      <c r="Z1482" s="250"/>
    </row>
    <row r="1483" spans="1:29" s="111" customFormat="1" ht="15" x14ac:dyDescent="0.2">
      <c r="A1483" s="399"/>
      <c r="B1483" s="494"/>
      <c r="C1483" s="382" t="s">
        <v>583</v>
      </c>
      <c r="D1483" s="419">
        <v>68</v>
      </c>
      <c r="E1483" s="316" t="s">
        <v>518</v>
      </c>
      <c r="F1483" s="420">
        <v>0</v>
      </c>
      <c r="G1483" s="419">
        <v>71</v>
      </c>
      <c r="H1483" s="316" t="s">
        <v>518</v>
      </c>
      <c r="I1483" s="420">
        <v>7</v>
      </c>
      <c r="J1483" s="560"/>
      <c r="K1483" s="422">
        <f>ABS((G1483*20+I1483)-(D1483*20+F1483))</f>
        <v>67</v>
      </c>
      <c r="L1483" s="555"/>
      <c r="M1483" s="744">
        <v>3.5</v>
      </c>
      <c r="N1483" s="745"/>
      <c r="O1483" s="746"/>
      <c r="P1483" s="555"/>
      <c r="Q1483" s="740">
        <v>2</v>
      </c>
      <c r="R1483" s="504">
        <f t="shared" si="552"/>
        <v>469</v>
      </c>
      <c r="S1483" s="331" t="str">
        <f t="shared" si="551"/>
        <v>m²</v>
      </c>
      <c r="T1483" s="506">
        <v>33</v>
      </c>
      <c r="U1483" s="574" t="s">
        <v>577</v>
      </c>
      <c r="V1483" s="291">
        <f t="shared" ca="1" si="548"/>
        <v>581</v>
      </c>
      <c r="W1483" s="256">
        <f t="shared" ca="1" si="549"/>
        <v>2</v>
      </c>
      <c r="X1483" s="256">
        <f t="shared" ca="1" si="550"/>
        <v>1</v>
      </c>
      <c r="Y1483" s="250"/>
      <c r="Z1483" s="250"/>
    </row>
    <row r="1484" spans="1:29" s="111" customFormat="1" ht="15" x14ac:dyDescent="0.2">
      <c r="A1484" s="399"/>
      <c r="B1484" s="494"/>
      <c r="C1484" s="940" t="s">
        <v>583</v>
      </c>
      <c r="D1484" s="933">
        <v>66</v>
      </c>
      <c r="E1484" s="934" t="s">
        <v>518</v>
      </c>
      <c r="F1484" s="935">
        <v>0</v>
      </c>
      <c r="G1484" s="933">
        <v>68</v>
      </c>
      <c r="H1484" s="934" t="s">
        <v>518</v>
      </c>
      <c r="I1484" s="935">
        <v>0</v>
      </c>
      <c r="J1484" s="936"/>
      <c r="K1484" s="422">
        <f t="shared" ref="K1484:K1501" si="553">ABS((G1484*20+I1484)-(D1484*20+F1484))</f>
        <v>40</v>
      </c>
      <c r="L1484" s="555"/>
      <c r="M1484" s="744">
        <v>3.5</v>
      </c>
      <c r="N1484" s="745"/>
      <c r="O1484" s="746"/>
      <c r="P1484" s="555"/>
      <c r="Q1484" s="740">
        <v>2</v>
      </c>
      <c r="R1484" s="504">
        <f>PRODUCT(J1484:Q1484)</f>
        <v>280</v>
      </c>
      <c r="S1484" s="331" t="str">
        <f t="shared" si="551"/>
        <v>m²</v>
      </c>
      <c r="T1484" s="937">
        <v>33</v>
      </c>
      <c r="U1484" s="938" t="s">
        <v>577</v>
      </c>
      <c r="V1484" s="291">
        <f t="shared" ca="1" si="548"/>
        <v>581</v>
      </c>
      <c r="W1484" s="256">
        <f t="shared" ca="1" si="549"/>
        <v>2</v>
      </c>
      <c r="X1484" s="256">
        <f t="shared" ca="1" si="550"/>
        <v>1</v>
      </c>
      <c r="Y1484" s="250"/>
      <c r="Z1484" s="250"/>
    </row>
    <row r="1485" spans="1:29" s="111" customFormat="1" ht="15" x14ac:dyDescent="0.2">
      <c r="A1485" s="399"/>
      <c r="B1485" s="494"/>
      <c r="C1485" s="382" t="s">
        <v>583</v>
      </c>
      <c r="D1485" s="419">
        <v>65</v>
      </c>
      <c r="E1485" s="316" t="s">
        <v>518</v>
      </c>
      <c r="F1485" s="420">
        <v>5</v>
      </c>
      <c r="G1485" s="419">
        <v>66</v>
      </c>
      <c r="H1485" s="316" t="s">
        <v>518</v>
      </c>
      <c r="I1485" s="420">
        <v>0</v>
      </c>
      <c r="J1485" s="560"/>
      <c r="K1485" s="422">
        <f t="shared" si="553"/>
        <v>15</v>
      </c>
      <c r="L1485" s="555"/>
      <c r="M1485" s="744">
        <v>3.5</v>
      </c>
      <c r="N1485" s="745"/>
      <c r="O1485" s="746"/>
      <c r="P1485" s="555"/>
      <c r="Q1485" s="740">
        <v>2</v>
      </c>
      <c r="R1485" s="504">
        <f t="shared" ref="R1485:R1504" si="554">PRODUCT(J1485:Q1485)</f>
        <v>105</v>
      </c>
      <c r="S1485" s="331" t="str">
        <f t="shared" si="551"/>
        <v>m²</v>
      </c>
      <c r="T1485" s="506">
        <v>34</v>
      </c>
      <c r="U1485" s="574" t="s">
        <v>577</v>
      </c>
      <c r="V1485" s="291">
        <f t="shared" ca="1" si="548"/>
        <v>581</v>
      </c>
      <c r="W1485" s="256">
        <f t="shared" ca="1" si="549"/>
        <v>2</v>
      </c>
      <c r="X1485" s="256">
        <f t="shared" ca="1" si="550"/>
        <v>1</v>
      </c>
      <c r="Y1485" s="250"/>
      <c r="Z1485" s="250"/>
    </row>
    <row r="1486" spans="1:29" s="111" customFormat="1" ht="15" x14ac:dyDescent="0.2">
      <c r="A1486" s="399"/>
      <c r="B1486" s="494"/>
      <c r="C1486" s="382" t="s">
        <v>583</v>
      </c>
      <c r="D1486" s="419">
        <v>62</v>
      </c>
      <c r="E1486" s="316" t="s">
        <v>518</v>
      </c>
      <c r="F1486" s="420">
        <v>0</v>
      </c>
      <c r="G1486" s="419">
        <v>65</v>
      </c>
      <c r="H1486" s="316" t="s">
        <v>518</v>
      </c>
      <c r="I1486" s="420">
        <v>5</v>
      </c>
      <c r="J1486" s="560"/>
      <c r="K1486" s="422">
        <f t="shared" si="553"/>
        <v>65</v>
      </c>
      <c r="L1486" s="555"/>
      <c r="M1486" s="744">
        <v>3.5</v>
      </c>
      <c r="N1486" s="745"/>
      <c r="O1486" s="746"/>
      <c r="P1486" s="555"/>
      <c r="Q1486" s="740">
        <v>2</v>
      </c>
      <c r="R1486" s="504">
        <f t="shared" si="554"/>
        <v>455</v>
      </c>
      <c r="S1486" s="331" t="str">
        <f t="shared" si="551"/>
        <v>m²</v>
      </c>
      <c r="T1486" s="506">
        <v>35</v>
      </c>
      <c r="U1486" s="574" t="s">
        <v>577</v>
      </c>
      <c r="V1486" s="291">
        <f t="shared" ca="1" si="548"/>
        <v>581</v>
      </c>
      <c r="W1486" s="256">
        <f t="shared" ca="1" si="549"/>
        <v>2</v>
      </c>
      <c r="X1486" s="256">
        <f t="shared" ca="1" si="550"/>
        <v>1</v>
      </c>
      <c r="Y1486" s="250"/>
      <c r="Z1486" s="250"/>
    </row>
    <row r="1487" spans="1:29" s="111" customFormat="1" ht="15" x14ac:dyDescent="0.2">
      <c r="A1487" s="399"/>
      <c r="B1487" s="494"/>
      <c r="C1487" s="382" t="s">
        <v>583</v>
      </c>
      <c r="D1487" s="419">
        <v>59</v>
      </c>
      <c r="E1487" s="316" t="s">
        <v>518</v>
      </c>
      <c r="F1487" s="420">
        <v>10</v>
      </c>
      <c r="G1487" s="419">
        <v>62</v>
      </c>
      <c r="H1487" s="316" t="s">
        <v>518</v>
      </c>
      <c r="I1487" s="420">
        <v>5</v>
      </c>
      <c r="J1487" s="560"/>
      <c r="K1487" s="422">
        <f t="shared" si="553"/>
        <v>55</v>
      </c>
      <c r="L1487" s="555"/>
      <c r="M1487" s="744">
        <v>3.5</v>
      </c>
      <c r="N1487" s="745"/>
      <c r="O1487" s="746"/>
      <c r="P1487" s="555"/>
      <c r="Q1487" s="740">
        <v>2</v>
      </c>
      <c r="R1487" s="504">
        <f t="shared" si="554"/>
        <v>385</v>
      </c>
      <c r="S1487" s="331" t="str">
        <f t="shared" si="551"/>
        <v>m²</v>
      </c>
      <c r="T1487" s="506">
        <v>36</v>
      </c>
      <c r="U1487" s="574" t="s">
        <v>577</v>
      </c>
      <c r="V1487" s="291">
        <f t="shared" ca="1" si="548"/>
        <v>581</v>
      </c>
      <c r="W1487" s="256">
        <f t="shared" ca="1" si="549"/>
        <v>2</v>
      </c>
      <c r="X1487" s="256">
        <f t="shared" ca="1" si="550"/>
        <v>1</v>
      </c>
      <c r="Y1487" s="250"/>
      <c r="Z1487" s="250"/>
    </row>
    <row r="1488" spans="1:29" s="111" customFormat="1" ht="15" x14ac:dyDescent="0.2">
      <c r="A1488" s="399"/>
      <c r="B1488" s="494"/>
      <c r="C1488" s="382" t="s">
        <v>583</v>
      </c>
      <c r="D1488" s="419">
        <v>57</v>
      </c>
      <c r="E1488" s="316" t="s">
        <v>518</v>
      </c>
      <c r="F1488" s="420">
        <v>16</v>
      </c>
      <c r="G1488" s="419">
        <v>60</v>
      </c>
      <c r="H1488" s="316" t="s">
        <v>518</v>
      </c>
      <c r="I1488" s="420">
        <v>0</v>
      </c>
      <c r="J1488" s="560"/>
      <c r="K1488" s="422">
        <f t="shared" si="553"/>
        <v>44</v>
      </c>
      <c r="L1488" s="555"/>
      <c r="M1488" s="744">
        <v>3.5</v>
      </c>
      <c r="N1488" s="745"/>
      <c r="O1488" s="746"/>
      <c r="P1488" s="555"/>
      <c r="Q1488" s="740">
        <v>2</v>
      </c>
      <c r="R1488" s="504">
        <f t="shared" si="554"/>
        <v>308</v>
      </c>
      <c r="S1488" s="331" t="str">
        <f t="shared" si="551"/>
        <v>m²</v>
      </c>
      <c r="T1488" s="506">
        <v>37</v>
      </c>
      <c r="U1488" s="574" t="s">
        <v>577</v>
      </c>
      <c r="V1488" s="291">
        <f t="shared" ca="1" si="548"/>
        <v>581</v>
      </c>
      <c r="W1488" s="256">
        <f t="shared" ca="1" si="549"/>
        <v>2</v>
      </c>
      <c r="X1488" s="256">
        <f t="shared" ca="1" si="550"/>
        <v>1</v>
      </c>
      <c r="Y1488" s="250"/>
      <c r="Z1488" s="250"/>
    </row>
    <row r="1489" spans="1:26" s="111" customFormat="1" ht="15" x14ac:dyDescent="0.2">
      <c r="A1489" s="399"/>
      <c r="B1489" s="494"/>
      <c r="C1489" s="1101" t="s">
        <v>581</v>
      </c>
      <c r="D1489" s="496">
        <v>55</v>
      </c>
      <c r="E1489" s="497" t="s">
        <v>518</v>
      </c>
      <c r="F1489" s="498">
        <v>10</v>
      </c>
      <c r="G1489" s="419">
        <v>57</v>
      </c>
      <c r="H1489" s="316" t="s">
        <v>518</v>
      </c>
      <c r="I1489" s="420">
        <v>16</v>
      </c>
      <c r="J1489" s="1102"/>
      <c r="K1489" s="555">
        <f t="shared" ref="K1489:K1495" si="555">ABS((G1489*20+I1489)-(D1489*20+F1489))</f>
        <v>46</v>
      </c>
      <c r="L1489" s="555"/>
      <c r="M1489" s="555">
        <v>3.5</v>
      </c>
      <c r="N1489" s="555"/>
      <c r="O1489" s="741"/>
      <c r="P1489" s="555"/>
      <c r="Q1489" s="740">
        <v>2</v>
      </c>
      <c r="R1489" s="1104">
        <f>PRODUCT(J1489:Q1489)</f>
        <v>322</v>
      </c>
      <c r="S1489" s="331" t="str">
        <f t="shared" si="551"/>
        <v>m²</v>
      </c>
      <c r="T1489" s="506">
        <v>38</v>
      </c>
      <c r="U1489" s="574" t="s">
        <v>577</v>
      </c>
      <c r="V1489" s="291">
        <f t="shared" ca="1" si="548"/>
        <v>581</v>
      </c>
      <c r="W1489" s="256">
        <f t="shared" ca="1" si="549"/>
        <v>2</v>
      </c>
      <c r="X1489" s="256">
        <f t="shared" ca="1" si="550"/>
        <v>1</v>
      </c>
      <c r="Y1489" s="250"/>
      <c r="Z1489" s="250"/>
    </row>
    <row r="1490" spans="1:26" s="111" customFormat="1" ht="15" x14ac:dyDescent="0.2">
      <c r="A1490" s="399"/>
      <c r="B1490" s="494"/>
      <c r="C1490" s="1101" t="s">
        <v>581</v>
      </c>
      <c r="D1490" s="496">
        <v>51</v>
      </c>
      <c r="E1490" s="497" t="s">
        <v>518</v>
      </c>
      <c r="F1490" s="498">
        <v>8</v>
      </c>
      <c r="G1490" s="496">
        <v>55</v>
      </c>
      <c r="H1490" s="497" t="s">
        <v>518</v>
      </c>
      <c r="I1490" s="498">
        <v>10</v>
      </c>
      <c r="J1490" s="1102"/>
      <c r="K1490" s="555">
        <f t="shared" si="555"/>
        <v>82</v>
      </c>
      <c r="L1490" s="555"/>
      <c r="M1490" s="555">
        <v>3.5</v>
      </c>
      <c r="N1490" s="555"/>
      <c r="O1490" s="741"/>
      <c r="P1490" s="555"/>
      <c r="Q1490" s="741">
        <v>2</v>
      </c>
      <c r="R1490" s="1104">
        <f>PRODUCT(J1490:Q1490)</f>
        <v>574</v>
      </c>
      <c r="S1490" s="331" t="str">
        <f t="shared" si="551"/>
        <v>m²</v>
      </c>
      <c r="T1490" s="506">
        <v>39</v>
      </c>
      <c r="U1490" s="574" t="s">
        <v>577</v>
      </c>
      <c r="V1490" s="291">
        <f t="shared" ca="1" si="548"/>
        <v>581</v>
      </c>
      <c r="W1490" s="256">
        <f t="shared" ca="1" si="549"/>
        <v>2</v>
      </c>
      <c r="X1490" s="256">
        <f t="shared" ca="1" si="550"/>
        <v>1</v>
      </c>
      <c r="Y1490" s="250"/>
      <c r="Z1490" s="250"/>
    </row>
    <row r="1491" spans="1:26" s="111" customFormat="1" ht="15" x14ac:dyDescent="0.2">
      <c r="A1491" s="399"/>
      <c r="B1491" s="494"/>
      <c r="C1491" s="1108" t="s">
        <v>581</v>
      </c>
      <c r="D1491" s="496">
        <v>49</v>
      </c>
      <c r="E1491" s="497" t="s">
        <v>518</v>
      </c>
      <c r="F1491" s="498">
        <v>13</v>
      </c>
      <c r="G1491" s="496">
        <v>51</v>
      </c>
      <c r="H1491" s="497" t="s">
        <v>518</v>
      </c>
      <c r="I1491" s="498">
        <v>8</v>
      </c>
      <c r="J1491" s="1109"/>
      <c r="K1491" s="555">
        <f t="shared" si="555"/>
        <v>35</v>
      </c>
      <c r="L1491" s="555"/>
      <c r="M1491" s="555">
        <v>3.5</v>
      </c>
      <c r="N1491" s="555"/>
      <c r="O1491" s="741"/>
      <c r="P1491" s="555"/>
      <c r="Q1491" s="741">
        <v>2</v>
      </c>
      <c r="R1491" s="1111">
        <f>PRODUCT(J1491:Q1491)</f>
        <v>245</v>
      </c>
      <c r="S1491" s="331" t="str">
        <f t="shared" si="551"/>
        <v>m²</v>
      </c>
      <c r="T1491" s="506">
        <v>40</v>
      </c>
      <c r="U1491" s="574" t="s">
        <v>577</v>
      </c>
      <c r="V1491" s="291">
        <f t="shared" ca="1" si="548"/>
        <v>581</v>
      </c>
      <c r="W1491" s="256">
        <f t="shared" ca="1" si="549"/>
        <v>2</v>
      </c>
      <c r="X1491" s="256">
        <f t="shared" ca="1" si="550"/>
        <v>1</v>
      </c>
      <c r="Y1491" s="250"/>
      <c r="Z1491" s="250"/>
    </row>
    <row r="1492" spans="1:26" s="111" customFormat="1" ht="15" x14ac:dyDescent="0.2">
      <c r="A1492" s="399"/>
      <c r="B1492" s="494"/>
      <c r="C1492" s="1108" t="s">
        <v>581</v>
      </c>
      <c r="D1492" s="496">
        <v>48</v>
      </c>
      <c r="E1492" s="497" t="s">
        <v>518</v>
      </c>
      <c r="F1492" s="498">
        <v>8</v>
      </c>
      <c r="G1492" s="496">
        <v>49</v>
      </c>
      <c r="H1492" s="497" t="s">
        <v>518</v>
      </c>
      <c r="I1492" s="498">
        <v>13</v>
      </c>
      <c r="J1492" s="1109"/>
      <c r="K1492" s="555">
        <f t="shared" si="555"/>
        <v>25</v>
      </c>
      <c r="L1492" s="555"/>
      <c r="M1492" s="555">
        <v>3.5</v>
      </c>
      <c r="N1492" s="555"/>
      <c r="O1492" s="741"/>
      <c r="P1492" s="555"/>
      <c r="Q1492" s="741">
        <v>2</v>
      </c>
      <c r="R1492" s="1111">
        <f>PRODUCT(J1492:Q1492)</f>
        <v>175</v>
      </c>
      <c r="S1492" s="331" t="str">
        <f t="shared" si="551"/>
        <v>m²</v>
      </c>
      <c r="T1492" s="506">
        <v>41</v>
      </c>
      <c r="U1492" s="574" t="s">
        <v>577</v>
      </c>
      <c r="V1492" s="291">
        <f t="shared" ca="1" si="548"/>
        <v>581</v>
      </c>
      <c r="W1492" s="256">
        <f t="shared" ref="W1492:W1501" ca="1" si="556">IF(LEFT(_xlfn.FORMULATEXT(V1492),3)="=SO",1,IF(COUNTA(A1492:U1492)=0,0,2))</f>
        <v>2</v>
      </c>
      <c r="X1492" s="256">
        <f t="shared" ref="X1492:X1501" ca="1" si="557">IF(COUNTA(OFFSET(A1491,1,0))-COUNTA(A1491)=-1,0,1)</f>
        <v>1</v>
      </c>
      <c r="Y1492" s="250"/>
      <c r="Z1492" s="250"/>
    </row>
    <row r="1493" spans="1:26" s="111" customFormat="1" ht="15" x14ac:dyDescent="0.2">
      <c r="A1493" s="399"/>
      <c r="B1493" s="494"/>
      <c r="C1493" s="1108" t="s">
        <v>581</v>
      </c>
      <c r="D1493" s="496">
        <v>45</v>
      </c>
      <c r="E1493" s="497" t="s">
        <v>518</v>
      </c>
      <c r="F1493" s="498">
        <v>6</v>
      </c>
      <c r="G1493" s="496">
        <v>48</v>
      </c>
      <c r="H1493" s="497" t="s">
        <v>518</v>
      </c>
      <c r="I1493" s="498">
        <v>8</v>
      </c>
      <c r="J1493" s="1109"/>
      <c r="K1493" s="555">
        <f t="shared" si="555"/>
        <v>62</v>
      </c>
      <c r="L1493" s="555"/>
      <c r="M1493" s="555">
        <v>3.5</v>
      </c>
      <c r="N1493" s="555"/>
      <c r="O1493" s="741"/>
      <c r="P1493" s="555"/>
      <c r="Q1493" s="741">
        <v>2</v>
      </c>
      <c r="R1493" s="1111">
        <f>PRODUCT(J1493:Q1493)</f>
        <v>434</v>
      </c>
      <c r="S1493" s="331" t="str">
        <f t="shared" si="551"/>
        <v>m²</v>
      </c>
      <c r="T1493" s="506">
        <v>42</v>
      </c>
      <c r="U1493" s="574" t="s">
        <v>577</v>
      </c>
      <c r="V1493" s="291">
        <f t="shared" ca="1" si="548"/>
        <v>581</v>
      </c>
      <c r="W1493" s="256">
        <f t="shared" ca="1" si="556"/>
        <v>2</v>
      </c>
      <c r="X1493" s="256">
        <f t="shared" ca="1" si="557"/>
        <v>1</v>
      </c>
      <c r="Y1493" s="250"/>
      <c r="Z1493" s="250"/>
    </row>
    <row r="1494" spans="1:26" s="111" customFormat="1" ht="15" x14ac:dyDescent="0.2">
      <c r="A1494" s="399"/>
      <c r="B1494" s="494"/>
      <c r="C1494" s="1108" t="s">
        <v>581</v>
      </c>
      <c r="D1494" s="496">
        <v>42</v>
      </c>
      <c r="E1494" s="497" t="s">
        <v>518</v>
      </c>
      <c r="F1494" s="498">
        <v>3</v>
      </c>
      <c r="G1494" s="496">
        <v>45</v>
      </c>
      <c r="H1494" s="497" t="s">
        <v>518</v>
      </c>
      <c r="I1494" s="498">
        <v>6</v>
      </c>
      <c r="J1494" s="1109"/>
      <c r="K1494" s="555">
        <f t="shared" si="555"/>
        <v>63</v>
      </c>
      <c r="L1494" s="555"/>
      <c r="M1494" s="555">
        <v>3.5</v>
      </c>
      <c r="N1494" s="555"/>
      <c r="O1494" s="741"/>
      <c r="P1494" s="555"/>
      <c r="Q1494" s="741">
        <v>2</v>
      </c>
      <c r="R1494" s="1111">
        <f t="shared" ref="R1494:R1495" si="558">PRODUCT(J1494:Q1494)</f>
        <v>441</v>
      </c>
      <c r="S1494" s="331" t="str">
        <f t="shared" si="551"/>
        <v>m²</v>
      </c>
      <c r="T1494" s="506">
        <v>43</v>
      </c>
      <c r="U1494" s="574" t="s">
        <v>577</v>
      </c>
      <c r="V1494" s="291">
        <f t="shared" ca="1" si="548"/>
        <v>581</v>
      </c>
      <c r="W1494" s="256">
        <f t="shared" ca="1" si="556"/>
        <v>2</v>
      </c>
      <c r="X1494" s="256">
        <f t="shared" ca="1" si="557"/>
        <v>1</v>
      </c>
      <c r="Y1494" s="250"/>
      <c r="Z1494" s="250"/>
    </row>
    <row r="1495" spans="1:26" s="111" customFormat="1" ht="15" x14ac:dyDescent="0.2">
      <c r="A1495" s="399"/>
      <c r="B1495" s="494"/>
      <c r="C1495" s="1108" t="s">
        <v>581</v>
      </c>
      <c r="D1495" s="496">
        <v>39</v>
      </c>
      <c r="E1495" s="497" t="s">
        <v>518</v>
      </c>
      <c r="F1495" s="498">
        <v>2</v>
      </c>
      <c r="G1495" s="496">
        <v>42</v>
      </c>
      <c r="H1495" s="497" t="s">
        <v>518</v>
      </c>
      <c r="I1495" s="498">
        <v>3</v>
      </c>
      <c r="J1495" s="1109"/>
      <c r="K1495" s="555">
        <f t="shared" si="555"/>
        <v>61</v>
      </c>
      <c r="L1495" s="555"/>
      <c r="M1495" s="555">
        <v>3.5</v>
      </c>
      <c r="N1495" s="555"/>
      <c r="O1495" s="741"/>
      <c r="P1495" s="555"/>
      <c r="Q1495" s="741">
        <v>2</v>
      </c>
      <c r="R1495" s="1111">
        <f t="shared" si="558"/>
        <v>427</v>
      </c>
      <c r="S1495" s="331" t="str">
        <f t="shared" si="551"/>
        <v>m²</v>
      </c>
      <c r="T1495" s="506">
        <v>44</v>
      </c>
      <c r="U1495" s="574" t="s">
        <v>577</v>
      </c>
      <c r="V1495" s="291">
        <f t="shared" ca="1" si="548"/>
        <v>581</v>
      </c>
      <c r="W1495" s="256">
        <f t="shared" ca="1" si="556"/>
        <v>2</v>
      </c>
      <c r="X1495" s="256">
        <f t="shared" ca="1" si="557"/>
        <v>1</v>
      </c>
      <c r="Y1495" s="250"/>
      <c r="Z1495" s="250"/>
    </row>
    <row r="1496" spans="1:26" s="111" customFormat="1" ht="15" x14ac:dyDescent="0.2">
      <c r="A1496" s="399"/>
      <c r="B1496" s="494"/>
      <c r="C1496" s="1108"/>
      <c r="D1496" s="496"/>
      <c r="E1496" s="497"/>
      <c r="F1496" s="498"/>
      <c r="G1496" s="496"/>
      <c r="H1496" s="497"/>
      <c r="I1496" s="498"/>
      <c r="J1496" s="1109"/>
      <c r="K1496" s="555"/>
      <c r="L1496" s="555"/>
      <c r="M1496" s="744"/>
      <c r="N1496" s="745"/>
      <c r="O1496" s="746"/>
      <c r="P1496" s="555"/>
      <c r="Q1496" s="1204"/>
      <c r="R1496" s="1111"/>
      <c r="S1496" s="505"/>
      <c r="T1496" s="506"/>
      <c r="U1496" s="574"/>
      <c r="V1496" s="291">
        <f t="shared" ca="1" si="548"/>
        <v>581</v>
      </c>
      <c r="W1496" s="256">
        <f t="shared" ca="1" si="556"/>
        <v>0</v>
      </c>
      <c r="X1496" s="256">
        <f t="shared" ca="1" si="557"/>
        <v>1</v>
      </c>
      <c r="Y1496" s="250"/>
      <c r="Z1496" s="250"/>
    </row>
    <row r="1497" spans="1:26" s="111" customFormat="1" ht="15" x14ac:dyDescent="0.2">
      <c r="A1497" s="399"/>
      <c r="B1497" s="494"/>
      <c r="C1497" s="382" t="s">
        <v>1227</v>
      </c>
      <c r="D1497" s="419">
        <v>0</v>
      </c>
      <c r="E1497" s="316" t="s">
        <v>518</v>
      </c>
      <c r="F1497" s="420">
        <v>6</v>
      </c>
      <c r="G1497" s="419">
        <v>1</v>
      </c>
      <c r="H1497" s="316" t="s">
        <v>518</v>
      </c>
      <c r="I1497" s="420">
        <v>8</v>
      </c>
      <c r="J1497" s="1109"/>
      <c r="K1497" s="422">
        <f t="shared" ref="K1497" si="559">ABS((G1497*20+I1497)-(D1497*20+F1497))</f>
        <v>22</v>
      </c>
      <c r="L1497" s="555"/>
      <c r="M1497" s="744">
        <v>3.5</v>
      </c>
      <c r="N1497" s="745"/>
      <c r="O1497" s="746"/>
      <c r="P1497" s="555"/>
      <c r="Q1497" s="740">
        <v>2</v>
      </c>
      <c r="R1497" s="1111">
        <f t="shared" ref="R1497" si="560">PRODUCT(J1497:Q1497)</f>
        <v>154</v>
      </c>
      <c r="S1497" s="505" t="s">
        <v>308</v>
      </c>
      <c r="T1497" s="506">
        <v>44</v>
      </c>
      <c r="U1497" s="574" t="s">
        <v>577</v>
      </c>
      <c r="V1497" s="291">
        <f t="shared" ca="1" si="548"/>
        <v>581</v>
      </c>
      <c r="W1497" s="256">
        <f t="shared" ca="1" si="556"/>
        <v>2</v>
      </c>
      <c r="X1497" s="256">
        <f t="shared" ca="1" si="557"/>
        <v>1</v>
      </c>
      <c r="Y1497" s="250"/>
      <c r="Z1497" s="250"/>
    </row>
    <row r="1498" spans="1:26" s="111" customFormat="1" ht="15" x14ac:dyDescent="0.2">
      <c r="A1498" s="399"/>
      <c r="B1498" s="494"/>
      <c r="C1498" s="382" t="s">
        <v>1227</v>
      </c>
      <c r="D1498" s="419">
        <v>1</v>
      </c>
      <c r="E1498" s="316" t="s">
        <v>518</v>
      </c>
      <c r="F1498" s="420">
        <v>8</v>
      </c>
      <c r="G1498" s="419">
        <v>2</v>
      </c>
      <c r="H1498" s="316" t="s">
        <v>518</v>
      </c>
      <c r="I1498" s="420">
        <v>0</v>
      </c>
      <c r="J1498" s="1109"/>
      <c r="K1498" s="422">
        <f>ABS((G1498*20+I1498)-(D1498*20+F1498))</f>
        <v>12</v>
      </c>
      <c r="L1498" s="555"/>
      <c r="M1498" s="744">
        <v>3.5</v>
      </c>
      <c r="N1498" s="745"/>
      <c r="O1498" s="746"/>
      <c r="P1498" s="555"/>
      <c r="Q1498" s="740">
        <v>2</v>
      </c>
      <c r="R1498" s="1111">
        <f t="shared" ref="R1498" si="561">PRODUCT(J1498:Q1498)</f>
        <v>84</v>
      </c>
      <c r="S1498" s="505" t="str">
        <f>$L$1507</f>
        <v>m²</v>
      </c>
      <c r="T1498" s="506">
        <v>43</v>
      </c>
      <c r="U1498" s="574" t="s">
        <v>577</v>
      </c>
      <c r="V1498" s="291">
        <f t="shared" ca="1" si="548"/>
        <v>581</v>
      </c>
      <c r="W1498" s="256">
        <f t="shared" ca="1" si="556"/>
        <v>2</v>
      </c>
      <c r="X1498" s="256">
        <f t="shared" ca="1" si="557"/>
        <v>1</v>
      </c>
      <c r="Y1498" s="250"/>
      <c r="Z1498" s="250"/>
    </row>
    <row r="1499" spans="1:26" s="111" customFormat="1" ht="15" x14ac:dyDescent="0.2">
      <c r="A1499" s="399"/>
      <c r="B1499" s="494"/>
      <c r="C1499" s="382" t="s">
        <v>1227</v>
      </c>
      <c r="D1499" s="419">
        <v>4</v>
      </c>
      <c r="E1499" s="316" t="s">
        <v>518</v>
      </c>
      <c r="F1499" s="420">
        <v>5</v>
      </c>
      <c r="G1499" s="419">
        <v>5</v>
      </c>
      <c r="H1499" s="316" t="s">
        <v>518</v>
      </c>
      <c r="I1499" s="420">
        <v>7</v>
      </c>
      <c r="J1499" s="560"/>
      <c r="K1499" s="422">
        <f t="shared" si="553"/>
        <v>22</v>
      </c>
      <c r="L1499" s="555"/>
      <c r="M1499" s="744">
        <v>3.5</v>
      </c>
      <c r="N1499" s="745"/>
      <c r="O1499" s="746"/>
      <c r="P1499" s="555"/>
      <c r="Q1499" s="740">
        <v>2</v>
      </c>
      <c r="R1499" s="504">
        <f t="shared" si="554"/>
        <v>154</v>
      </c>
      <c r="S1499" s="505" t="str">
        <f>$L$1507</f>
        <v>m²</v>
      </c>
      <c r="T1499" s="506">
        <v>37</v>
      </c>
      <c r="U1499" s="574" t="s">
        <v>577</v>
      </c>
      <c r="V1499" s="291">
        <f t="shared" ca="1" si="548"/>
        <v>581</v>
      </c>
      <c r="W1499" s="256">
        <f t="shared" ca="1" si="556"/>
        <v>2</v>
      </c>
      <c r="X1499" s="256">
        <f t="shared" ca="1" si="557"/>
        <v>1</v>
      </c>
      <c r="Y1499" s="250"/>
      <c r="Z1499" s="250"/>
    </row>
    <row r="1500" spans="1:26" s="111" customFormat="1" ht="15" x14ac:dyDescent="0.2">
      <c r="A1500" s="399"/>
      <c r="B1500" s="494"/>
      <c r="C1500" s="382" t="s">
        <v>1227</v>
      </c>
      <c r="D1500" s="419">
        <v>5</v>
      </c>
      <c r="E1500" s="316" t="s">
        <v>518</v>
      </c>
      <c r="F1500" s="420">
        <v>7</v>
      </c>
      <c r="G1500" s="419">
        <v>5</v>
      </c>
      <c r="H1500" s="316" t="s">
        <v>518</v>
      </c>
      <c r="I1500" s="420">
        <v>14.5</v>
      </c>
      <c r="J1500" s="560"/>
      <c r="K1500" s="422">
        <f t="shared" si="553"/>
        <v>7.5</v>
      </c>
      <c r="L1500" s="555"/>
      <c r="M1500" s="744">
        <v>3.5</v>
      </c>
      <c r="N1500" s="745"/>
      <c r="O1500" s="746"/>
      <c r="P1500" s="555"/>
      <c r="Q1500" s="740">
        <v>2</v>
      </c>
      <c r="R1500" s="504">
        <f t="shared" si="554"/>
        <v>52.5</v>
      </c>
      <c r="S1500" s="505" t="str">
        <f t="shared" ref="S1500:S1504" si="562">$L$1507</f>
        <v>m²</v>
      </c>
      <c r="T1500" s="506">
        <v>38</v>
      </c>
      <c r="U1500" s="574" t="s">
        <v>577</v>
      </c>
      <c r="V1500" s="291">
        <f t="shared" ca="1" si="548"/>
        <v>581</v>
      </c>
      <c r="W1500" s="256">
        <f t="shared" ca="1" si="556"/>
        <v>2</v>
      </c>
      <c r="X1500" s="256">
        <f t="shared" ca="1" si="557"/>
        <v>1</v>
      </c>
      <c r="Y1500" s="250"/>
      <c r="Z1500" s="250"/>
    </row>
    <row r="1501" spans="1:26" s="111" customFormat="1" ht="15" x14ac:dyDescent="0.2">
      <c r="A1501" s="399"/>
      <c r="B1501" s="494"/>
      <c r="C1501" s="382" t="s">
        <v>1227</v>
      </c>
      <c r="D1501" s="419">
        <v>4</v>
      </c>
      <c r="E1501" s="316" t="s">
        <v>518</v>
      </c>
      <c r="F1501" s="420">
        <v>0</v>
      </c>
      <c r="G1501" s="419">
        <v>4</v>
      </c>
      <c r="H1501" s="316" t="s">
        <v>518</v>
      </c>
      <c r="I1501" s="420">
        <v>5</v>
      </c>
      <c r="J1501" s="1102"/>
      <c r="K1501" s="422">
        <f t="shared" si="553"/>
        <v>5</v>
      </c>
      <c r="L1501" s="555"/>
      <c r="M1501" s="744">
        <v>3.5</v>
      </c>
      <c r="N1501" s="745"/>
      <c r="O1501" s="746"/>
      <c r="P1501" s="555"/>
      <c r="Q1501" s="740">
        <v>2</v>
      </c>
      <c r="R1501" s="1104">
        <f t="shared" si="554"/>
        <v>35</v>
      </c>
      <c r="S1501" s="505" t="str">
        <f t="shared" si="562"/>
        <v>m²</v>
      </c>
      <c r="T1501" s="506">
        <v>39</v>
      </c>
      <c r="U1501" s="574" t="s">
        <v>577</v>
      </c>
      <c r="V1501" s="291">
        <f t="shared" ca="1" si="548"/>
        <v>581</v>
      </c>
      <c r="W1501" s="256">
        <f t="shared" ca="1" si="556"/>
        <v>2</v>
      </c>
      <c r="X1501" s="256">
        <f t="shared" ca="1" si="557"/>
        <v>1</v>
      </c>
      <c r="Y1501" s="250"/>
      <c r="Z1501" s="250"/>
    </row>
    <row r="1502" spans="1:26" s="111" customFormat="1" ht="15" x14ac:dyDescent="0.2">
      <c r="A1502" s="399"/>
      <c r="B1502" s="494"/>
      <c r="C1502" s="382" t="s">
        <v>1227</v>
      </c>
      <c r="D1502" s="419">
        <v>3</v>
      </c>
      <c r="E1502" s="316" t="s">
        <v>518</v>
      </c>
      <c r="F1502" s="420">
        <v>4</v>
      </c>
      <c r="G1502" s="419">
        <v>4</v>
      </c>
      <c r="H1502" s="316" t="s">
        <v>518</v>
      </c>
      <c r="I1502" s="420">
        <v>0</v>
      </c>
      <c r="J1502" s="1109"/>
      <c r="K1502" s="422">
        <f>ABS((G1502*20+I1502)-(D1502*20+F1502))</f>
        <v>16</v>
      </c>
      <c r="L1502" s="555"/>
      <c r="M1502" s="744">
        <v>3.5</v>
      </c>
      <c r="N1502" s="745"/>
      <c r="O1502" s="746"/>
      <c r="P1502" s="555"/>
      <c r="Q1502" s="740">
        <v>2</v>
      </c>
      <c r="R1502" s="1111">
        <f t="shared" si="554"/>
        <v>112</v>
      </c>
      <c r="S1502" s="505" t="str">
        <f t="shared" si="562"/>
        <v>m²</v>
      </c>
      <c r="T1502" s="506">
        <v>40</v>
      </c>
      <c r="U1502" s="574" t="s">
        <v>577</v>
      </c>
      <c r="V1502" s="291">
        <f t="shared" ca="1" si="548"/>
        <v>581</v>
      </c>
      <c r="W1502" s="256">
        <f t="shared" ca="1" si="549"/>
        <v>2</v>
      </c>
      <c r="X1502" s="256">
        <f t="shared" ca="1" si="550"/>
        <v>1</v>
      </c>
      <c r="Y1502" s="250"/>
      <c r="Z1502" s="250"/>
    </row>
    <row r="1503" spans="1:26" s="111" customFormat="1" ht="15" x14ac:dyDescent="0.2">
      <c r="A1503" s="399"/>
      <c r="B1503" s="494"/>
      <c r="C1503" s="382" t="s">
        <v>1227</v>
      </c>
      <c r="D1503" s="419">
        <v>2</v>
      </c>
      <c r="E1503" s="316" t="s">
        <v>518</v>
      </c>
      <c r="F1503" s="420">
        <v>6</v>
      </c>
      <c r="G1503" s="419">
        <v>3</v>
      </c>
      <c r="H1503" s="316" t="s">
        <v>518</v>
      </c>
      <c r="I1503" s="420">
        <v>4</v>
      </c>
      <c r="J1503" s="1109"/>
      <c r="K1503" s="422">
        <f>ABS((G1503*20+I1503)-(D1503*20+F1503))</f>
        <v>18</v>
      </c>
      <c r="L1503" s="555"/>
      <c r="M1503" s="744">
        <v>3.5</v>
      </c>
      <c r="N1503" s="745"/>
      <c r="O1503" s="746"/>
      <c r="P1503" s="555"/>
      <c r="Q1503" s="740">
        <v>2</v>
      </c>
      <c r="R1503" s="1111">
        <f t="shared" si="554"/>
        <v>126</v>
      </c>
      <c r="S1503" s="505" t="str">
        <f t="shared" si="562"/>
        <v>m²</v>
      </c>
      <c r="T1503" s="506">
        <v>41</v>
      </c>
      <c r="U1503" s="574" t="s">
        <v>577</v>
      </c>
      <c r="V1503" s="291">
        <f t="shared" ca="1" si="548"/>
        <v>581</v>
      </c>
      <c r="W1503" s="256">
        <f t="shared" ca="1" si="549"/>
        <v>2</v>
      </c>
      <c r="X1503" s="256">
        <f t="shared" ca="1" si="550"/>
        <v>1</v>
      </c>
      <c r="Y1503" s="250"/>
      <c r="Z1503" s="250"/>
    </row>
    <row r="1504" spans="1:26" s="111" customFormat="1" ht="15" x14ac:dyDescent="0.2">
      <c r="A1504" s="399"/>
      <c r="B1504" s="494"/>
      <c r="C1504" s="382" t="s">
        <v>1227</v>
      </c>
      <c r="D1504" s="419">
        <v>2</v>
      </c>
      <c r="E1504" s="316" t="s">
        <v>518</v>
      </c>
      <c r="F1504" s="420">
        <v>0</v>
      </c>
      <c r="G1504" s="419">
        <v>2</v>
      </c>
      <c r="H1504" s="316" t="s">
        <v>518</v>
      </c>
      <c r="I1504" s="420">
        <v>6</v>
      </c>
      <c r="J1504" s="1109"/>
      <c r="K1504" s="422">
        <f>ABS((G1504*20+I1504)-(D1504*20+F1504))</f>
        <v>6</v>
      </c>
      <c r="L1504" s="555"/>
      <c r="M1504" s="744">
        <v>3.5</v>
      </c>
      <c r="N1504" s="745"/>
      <c r="O1504" s="746"/>
      <c r="P1504" s="555"/>
      <c r="Q1504" s="740">
        <v>2</v>
      </c>
      <c r="R1504" s="1111">
        <f t="shared" si="554"/>
        <v>42</v>
      </c>
      <c r="S1504" s="505" t="str">
        <f t="shared" si="562"/>
        <v>m²</v>
      </c>
      <c r="T1504" s="506">
        <v>42</v>
      </c>
      <c r="U1504" s="574" t="s">
        <v>577</v>
      </c>
      <c r="V1504" s="291">
        <f t="shared" ca="1" si="548"/>
        <v>581</v>
      </c>
      <c r="W1504" s="256">
        <f t="shared" ca="1" si="549"/>
        <v>2</v>
      </c>
      <c r="X1504" s="256">
        <f t="shared" ca="1" si="550"/>
        <v>1</v>
      </c>
      <c r="Y1504" s="250"/>
      <c r="Z1504" s="250"/>
    </row>
    <row r="1505" spans="1:29" s="111" customFormat="1" ht="15" x14ac:dyDescent="0.2">
      <c r="A1505" s="399"/>
      <c r="B1505" s="494"/>
      <c r="C1505" s="550"/>
      <c r="D1505" s="496"/>
      <c r="E1505" s="497"/>
      <c r="F1505" s="498"/>
      <c r="G1505" s="496"/>
      <c r="H1505" s="497"/>
      <c r="I1505" s="498"/>
      <c r="J1505" s="560"/>
      <c r="K1505" s="743"/>
      <c r="L1505" s="555"/>
      <c r="M1505" s="744"/>
      <c r="N1505" s="745"/>
      <c r="O1505" s="746"/>
      <c r="P1505" s="555"/>
      <c r="Q1505" s="939"/>
      <c r="R1505" s="504"/>
      <c r="S1505" s="505"/>
      <c r="T1505" s="506"/>
      <c r="U1505" s="574"/>
      <c r="V1505" s="291">
        <f t="shared" ca="1" si="548"/>
        <v>581</v>
      </c>
      <c r="W1505" s="256">
        <f t="shared" ca="1" si="549"/>
        <v>0</v>
      </c>
      <c r="X1505" s="256">
        <f t="shared" ca="1" si="550"/>
        <v>1</v>
      </c>
      <c r="Y1505" s="250"/>
      <c r="Z1505" s="250"/>
    </row>
    <row r="1506" spans="1:29" s="111" customFormat="1" ht="15" x14ac:dyDescent="0.2">
      <c r="A1506" s="288"/>
      <c r="B1506" s="338"/>
      <c r="C1506" s="339"/>
      <c r="D1506" s="340"/>
      <c r="E1506" s="341"/>
      <c r="F1506" s="342"/>
      <c r="G1506" s="340"/>
      <c r="H1506" s="341"/>
      <c r="I1506" s="342"/>
      <c r="J1506" s="343"/>
      <c r="K1506" s="461"/>
      <c r="L1506" s="463"/>
      <c r="M1506" s="462"/>
      <c r="N1506" s="543"/>
      <c r="O1506" s="544"/>
      <c r="P1506" s="463"/>
      <c r="Q1506" s="349"/>
      <c r="R1506" s="350"/>
      <c r="S1506" s="351"/>
      <c r="T1506" s="352"/>
      <c r="U1506" s="353"/>
      <c r="V1506" s="291">
        <f t="shared" ca="1" si="548"/>
        <v>581</v>
      </c>
      <c r="W1506" s="256">
        <f t="shared" ca="1" si="549"/>
        <v>0</v>
      </c>
      <c r="X1506" s="256">
        <f t="shared" ca="1" si="550"/>
        <v>1</v>
      </c>
      <c r="Y1506" s="250"/>
      <c r="Z1506" s="250"/>
    </row>
    <row r="1507" spans="1:29" s="111" customFormat="1" ht="15.75" x14ac:dyDescent="0.2">
      <c r="A1507" s="288"/>
      <c r="B1507" s="354"/>
      <c r="C1507" s="355"/>
      <c r="D1507" s="1354" t="s">
        <v>492</v>
      </c>
      <c r="E1507" s="1355"/>
      <c r="F1507" s="1355"/>
      <c r="G1507" s="1355"/>
      <c r="H1507" s="1355"/>
      <c r="I1507" s="1356"/>
      <c r="J1507" s="1357">
        <f>VLOOKUP(A1509,'11 - FINANCEIRO'!_xlnm.Print_Area,6,FALSE)</f>
        <v>16487.400000000001</v>
      </c>
      <c r="K1507" s="1358"/>
      <c r="L1507" s="356" t="str">
        <f>VLOOKUP(A1509,'11 - FINANCEIRO'!_xlnm.Print_Area,4,FALSE)</f>
        <v>m²</v>
      </c>
      <c r="M1507" s="1359" t="s">
        <v>493</v>
      </c>
      <c r="N1507" s="1360"/>
      <c r="O1507" s="1360"/>
      <c r="P1507" s="1360"/>
      <c r="Q1507" s="1361"/>
      <c r="R1507" s="357">
        <f>TRUNC(SUM(R1475:R1506),3)</f>
        <v>12878.6</v>
      </c>
      <c r="S1507" s="358" t="str">
        <f>L1507</f>
        <v>m²</v>
      </c>
      <c r="T1507" s="359"/>
      <c r="U1507" s="360"/>
      <c r="V1507" s="291">
        <f t="shared" ca="1" si="548"/>
        <v>581</v>
      </c>
      <c r="W1507" s="256">
        <f t="shared" ca="1" si="549"/>
        <v>2</v>
      </c>
      <c r="X1507" s="256">
        <f t="shared" ca="1" si="550"/>
        <v>1</v>
      </c>
      <c r="Y1507" s="250"/>
      <c r="Z1507" s="250"/>
    </row>
    <row r="1508" spans="1:29" s="293" customFormat="1" ht="15.75" x14ac:dyDescent="0.2">
      <c r="A1508" s="288"/>
      <c r="B1508" s="354"/>
      <c r="C1508" s="361"/>
      <c r="D1508" s="1362" t="s">
        <v>494</v>
      </c>
      <c r="E1508" s="1363"/>
      <c r="F1508" s="1363"/>
      <c r="G1508" s="1363"/>
      <c r="H1508" s="1363"/>
      <c r="I1508" s="1364"/>
      <c r="J1508" s="1365">
        <f>R1507/J1507</f>
        <v>0.78111770200274144</v>
      </c>
      <c r="K1508" s="1366"/>
      <c r="L1508" s="1369"/>
      <c r="M1508" s="1371" t="s">
        <v>495</v>
      </c>
      <c r="N1508" s="1372"/>
      <c r="O1508" s="1372"/>
      <c r="P1508" s="1372"/>
      <c r="Q1508" s="1373"/>
      <c r="R1508" s="362">
        <f>VLOOKUP(A1509,'11 - FINANCEIRO'!_xlnm.Print_Area,8,FALSE)</f>
        <v>12297.6</v>
      </c>
      <c r="S1508" s="363" t="str">
        <f>L1507</f>
        <v>m²</v>
      </c>
      <c r="T1508" s="359"/>
      <c r="U1508" s="360"/>
      <c r="V1508" s="291">
        <f t="shared" ca="1" si="548"/>
        <v>581</v>
      </c>
      <c r="W1508" s="256">
        <f t="shared" ca="1" si="549"/>
        <v>2</v>
      </c>
      <c r="X1508" s="256">
        <f t="shared" ca="1" si="550"/>
        <v>1</v>
      </c>
      <c r="Y1508" s="256"/>
      <c r="Z1508" s="256"/>
      <c r="AA1508" s="292"/>
      <c r="AB1508" s="292"/>
      <c r="AC1508" s="292"/>
    </row>
    <row r="1509" spans="1:29" s="293" customFormat="1" ht="15.75" x14ac:dyDescent="0.2">
      <c r="A1509" s="288" t="s">
        <v>36</v>
      </c>
      <c r="B1509" s="364"/>
      <c r="C1509" s="365"/>
      <c r="D1509" s="1354"/>
      <c r="E1509" s="1355"/>
      <c r="F1509" s="1355"/>
      <c r="G1509" s="1355"/>
      <c r="H1509" s="1355"/>
      <c r="I1509" s="1356"/>
      <c r="J1509" s="1367"/>
      <c r="K1509" s="1368"/>
      <c r="L1509" s="1370"/>
      <c r="M1509" s="1371" t="s">
        <v>496</v>
      </c>
      <c r="N1509" s="1372"/>
      <c r="O1509" s="1372"/>
      <c r="P1509" s="1372"/>
      <c r="Q1509" s="1373"/>
      <c r="R1509" s="362">
        <f>R1507-R1508</f>
        <v>581</v>
      </c>
      <c r="S1509" s="363" t="str">
        <f>L1507</f>
        <v>m²</v>
      </c>
      <c r="T1509" s="366"/>
      <c r="U1509" s="367"/>
      <c r="V1509" s="291">
        <f t="shared" ca="1" si="548"/>
        <v>581</v>
      </c>
      <c r="W1509" s="256">
        <f t="shared" ca="1" si="549"/>
        <v>2</v>
      </c>
      <c r="X1509" s="256">
        <f t="shared" ca="1" si="550"/>
        <v>1</v>
      </c>
      <c r="Y1509" s="256"/>
      <c r="Z1509" s="256"/>
      <c r="AA1509" s="292"/>
      <c r="AB1509" s="292"/>
      <c r="AC1509" s="292"/>
    </row>
    <row r="1510" spans="1:29" s="111" customFormat="1" ht="15.75" x14ac:dyDescent="0.2">
      <c r="A1510" s="288"/>
      <c r="B1510" s="368"/>
      <c r="C1510" s="365"/>
      <c r="D1510" s="369"/>
      <c r="E1510" s="370"/>
      <c r="F1510" s="369"/>
      <c r="G1510" s="369"/>
      <c r="H1510" s="369"/>
      <c r="I1510" s="369"/>
      <c r="J1510" s="371"/>
      <c r="K1510" s="372"/>
      <c r="L1510" s="373"/>
      <c r="M1510" s="374"/>
      <c r="N1510" s="374"/>
      <c r="O1510" s="374"/>
      <c r="P1510" s="374"/>
      <c r="Q1510" s="374"/>
      <c r="R1510" s="375"/>
      <c r="S1510" s="376"/>
      <c r="T1510" s="377"/>
      <c r="U1510" s="378"/>
      <c r="V1510" s="379">
        <f ca="1">SUM(V1473:V1509)</f>
        <v>21497</v>
      </c>
      <c r="W1510" s="256">
        <f t="shared" ca="1" si="527"/>
        <v>1</v>
      </c>
      <c r="X1510" s="256">
        <f t="shared" ca="1" si="439"/>
        <v>0</v>
      </c>
      <c r="Y1510" s="250"/>
      <c r="Z1510" s="250"/>
    </row>
    <row r="1511" spans="1:29" s="293" customFormat="1" ht="15.75" hidden="1" x14ac:dyDescent="0.25">
      <c r="A1511" s="288"/>
      <c r="B1511" s="1374" t="str">
        <f>VLOOKUP(A1519,'11 - FINANCEIRO'!_xlnm.Print_Area,1,FALSE)</f>
        <v>2.1.11</v>
      </c>
      <c r="C1511" s="1376" t="str">
        <f>VLOOKUP(A1519,'11 - FINANCEIRO'!_xlnm.Print_Area,3,FALSE)</f>
        <v>Locacao De Bomba Submersivel Para Drenagem E Esgotamento, Motor Eletrico Trifasico, Potencia De 4 Cv, Diametro De Recalque De 3". Faixa De Operacao: Q=60 M3/H (+ Ou - 1 M3/H) E Amt=2 M; Q=11 M3/H (+ Ou - 1 M3/H) E Amt = 23 M (+ Ou - 1 M)</v>
      </c>
      <c r="D1511" s="1378" t="s">
        <v>477</v>
      </c>
      <c r="E1511" s="1379"/>
      <c r="F1511" s="1379"/>
      <c r="G1511" s="1379"/>
      <c r="H1511" s="1379"/>
      <c r="I1511" s="1380"/>
      <c r="J1511" s="1338" t="s">
        <v>478</v>
      </c>
      <c r="K1511" s="1338" t="s">
        <v>479</v>
      </c>
      <c r="L1511" s="1338" t="s">
        <v>480</v>
      </c>
      <c r="M1511" s="1338" t="s">
        <v>481</v>
      </c>
      <c r="N1511" s="1338" t="s">
        <v>533</v>
      </c>
      <c r="O1511" s="289" t="s">
        <v>584</v>
      </c>
      <c r="P1511" s="290" t="s">
        <v>484</v>
      </c>
      <c r="Q1511" s="1338" t="s">
        <v>485</v>
      </c>
      <c r="R1511" s="1336" t="s">
        <v>296</v>
      </c>
      <c r="S1511" s="1338" t="s">
        <v>486</v>
      </c>
      <c r="T1511" s="1338" t="s">
        <v>487</v>
      </c>
      <c r="U1511" s="1340" t="s">
        <v>488</v>
      </c>
      <c r="V1511" s="291">
        <f t="shared" ref="V1511:V1519" ca="1" si="563">IF(OFFSET(V1511,1,1)=1,OFFSET(V1511,0,-4),OFFSET(V1511,1,0))</f>
        <v>0</v>
      </c>
      <c r="W1511" s="256">
        <f t="shared" ca="1" si="527"/>
        <v>2</v>
      </c>
      <c r="X1511" s="256">
        <f t="shared" ca="1" si="439"/>
        <v>1</v>
      </c>
      <c r="Y1511" s="256"/>
      <c r="Z1511" s="256"/>
      <c r="AA1511" s="292"/>
      <c r="AB1511" s="292"/>
      <c r="AC1511" s="292"/>
    </row>
    <row r="1512" spans="1:29" s="337" customFormat="1" ht="15.75" hidden="1" x14ac:dyDescent="0.2">
      <c r="A1512" s="288"/>
      <c r="B1512" s="1375" t="e">
        <f>LEFT(#REF!,5)</f>
        <v>#REF!</v>
      </c>
      <c r="C1512" s="1377" t="e">
        <f>VLOOKUP(LEFT(#REF!,5),'11 - FINANCEIRO'!_xlnm.Print_Area,2,FALSE)</f>
        <v>#REF!</v>
      </c>
      <c r="D1512" s="1342" t="s">
        <v>489</v>
      </c>
      <c r="E1512" s="1343"/>
      <c r="F1512" s="1344"/>
      <c r="G1512" s="1345" t="s">
        <v>490</v>
      </c>
      <c r="H1512" s="1346"/>
      <c r="I1512" s="1347"/>
      <c r="J1512" s="1339"/>
      <c r="K1512" s="1339"/>
      <c r="L1512" s="1339"/>
      <c r="M1512" s="1339"/>
      <c r="N1512" s="1339"/>
      <c r="O1512" s="294" t="s">
        <v>585</v>
      </c>
      <c r="P1512" s="295" t="s">
        <v>491</v>
      </c>
      <c r="Q1512" s="1339"/>
      <c r="R1512" s="1337"/>
      <c r="S1512" s="1339"/>
      <c r="T1512" s="1339"/>
      <c r="U1512" s="1341"/>
      <c r="V1512" s="291">
        <f t="shared" ca="1" si="563"/>
        <v>0</v>
      </c>
      <c r="W1512" s="256">
        <f t="shared" ca="1" si="527"/>
        <v>2</v>
      </c>
      <c r="X1512" s="256">
        <f t="shared" ca="1" si="439"/>
        <v>1</v>
      </c>
      <c r="Y1512" s="336"/>
      <c r="Z1512" s="336"/>
    </row>
    <row r="1513" spans="1:29" s="337" customFormat="1" ht="15.75" hidden="1" x14ac:dyDescent="0.2">
      <c r="A1513" s="288"/>
      <c r="B1513" s="296"/>
      <c r="C1513" s="297"/>
      <c r="D1513" s="298"/>
      <c r="E1513" s="299"/>
      <c r="F1513" s="300"/>
      <c r="G1513" s="301"/>
      <c r="H1513" s="302"/>
      <c r="I1513" s="303"/>
      <c r="J1513" s="304"/>
      <c r="K1513" s="304"/>
      <c r="L1513" s="304"/>
      <c r="M1513" s="304"/>
      <c r="N1513" s="304"/>
      <c r="O1513" s="304"/>
      <c r="P1513" s="306"/>
      <c r="Q1513" s="304"/>
      <c r="R1513" s="307"/>
      <c r="S1513" s="304"/>
      <c r="T1513" s="309"/>
      <c r="U1513" s="310"/>
      <c r="V1513" s="291">
        <f t="shared" ca="1" si="563"/>
        <v>0</v>
      </c>
      <c r="W1513" s="256">
        <f t="shared" ca="1" si="527"/>
        <v>0</v>
      </c>
      <c r="X1513" s="256">
        <f t="shared" ca="1" si="439"/>
        <v>1</v>
      </c>
      <c r="Y1513" s="336"/>
      <c r="Z1513" s="336"/>
    </row>
    <row r="1514" spans="1:29" s="111" customFormat="1" ht="15.75" hidden="1" x14ac:dyDescent="0.2">
      <c r="A1514" s="288"/>
      <c r="B1514" s="311"/>
      <c r="C1514" s="312"/>
      <c r="D1514" s="313"/>
      <c r="E1514" s="314"/>
      <c r="F1514" s="315"/>
      <c r="G1514" s="380"/>
      <c r="H1514" s="316"/>
      <c r="I1514" s="381"/>
      <c r="J1514" s="317"/>
      <c r="K1514" s="313"/>
      <c r="L1514" s="317"/>
      <c r="M1514" s="315"/>
      <c r="N1514" s="314"/>
      <c r="O1514" s="313"/>
      <c r="P1514" s="318"/>
      <c r="Q1514" s="315"/>
      <c r="R1514" s="319"/>
      <c r="S1514" s="317"/>
      <c r="T1514" s="320"/>
      <c r="U1514" s="321"/>
      <c r="V1514" s="291">
        <f t="shared" ca="1" si="563"/>
        <v>0</v>
      </c>
      <c r="W1514" s="256">
        <f t="shared" ca="1" si="527"/>
        <v>0</v>
      </c>
      <c r="X1514" s="256">
        <f t="shared" ca="1" si="439"/>
        <v>1</v>
      </c>
      <c r="Y1514" s="250"/>
      <c r="Z1514" s="250"/>
    </row>
    <row r="1515" spans="1:29" s="111" customFormat="1" ht="15" hidden="1" x14ac:dyDescent="0.2">
      <c r="A1515" s="288"/>
      <c r="B1515" s="322"/>
      <c r="C1515" s="382"/>
      <c r="D1515" s="324"/>
      <c r="E1515" s="325"/>
      <c r="F1515" s="326"/>
      <c r="G1515" s="324"/>
      <c r="H1515" s="325"/>
      <c r="I1515" s="326"/>
      <c r="J1515" s="317"/>
      <c r="K1515" s="328"/>
      <c r="L1515" s="328"/>
      <c r="M1515" s="328"/>
      <c r="N1515" s="328"/>
      <c r="O1515" s="334"/>
      <c r="P1515" s="328"/>
      <c r="Q1515" s="334"/>
      <c r="R1515" s="333"/>
      <c r="S1515" s="331"/>
      <c r="T1515" s="320"/>
      <c r="U1515" s="335"/>
      <c r="V1515" s="291">
        <f t="shared" ca="1" si="563"/>
        <v>0</v>
      </c>
      <c r="W1515" s="256">
        <f t="shared" ca="1" si="527"/>
        <v>0</v>
      </c>
      <c r="X1515" s="256">
        <f t="shared" ca="1" si="439"/>
        <v>1</v>
      </c>
      <c r="Y1515" s="250"/>
      <c r="Z1515" s="250"/>
    </row>
    <row r="1516" spans="1:29" s="111" customFormat="1" ht="15" hidden="1" x14ac:dyDescent="0.2">
      <c r="A1516" s="288"/>
      <c r="B1516" s="338"/>
      <c r="C1516" s="339"/>
      <c r="D1516" s="340"/>
      <c r="E1516" s="341"/>
      <c r="F1516" s="342"/>
      <c r="G1516" s="340"/>
      <c r="H1516" s="341"/>
      <c r="I1516" s="342"/>
      <c r="J1516" s="343"/>
      <c r="K1516" s="344"/>
      <c r="L1516" s="345"/>
      <c r="M1516" s="346"/>
      <c r="N1516" s="347"/>
      <c r="O1516" s="348"/>
      <c r="P1516" s="345"/>
      <c r="Q1516" s="349"/>
      <c r="R1516" s="350"/>
      <c r="S1516" s="351"/>
      <c r="T1516" s="352"/>
      <c r="U1516" s="353"/>
      <c r="V1516" s="291">
        <f t="shared" ca="1" si="563"/>
        <v>0</v>
      </c>
      <c r="W1516" s="256">
        <f t="shared" ca="1" si="527"/>
        <v>0</v>
      </c>
      <c r="X1516" s="256">
        <f t="shared" ref="X1516:X1631" ca="1" si="564">IF(COUNTA(OFFSET(A1515,1,0))-COUNTA(A1515)=-1,0,1)</f>
        <v>1</v>
      </c>
      <c r="Y1516" s="250"/>
      <c r="Z1516" s="250"/>
    </row>
    <row r="1517" spans="1:29" s="111" customFormat="1" ht="15.75" hidden="1" x14ac:dyDescent="0.2">
      <c r="A1517" s="288"/>
      <c r="B1517" s="354"/>
      <c r="C1517" s="355"/>
      <c r="D1517" s="1354" t="s">
        <v>492</v>
      </c>
      <c r="E1517" s="1355"/>
      <c r="F1517" s="1355"/>
      <c r="G1517" s="1355"/>
      <c r="H1517" s="1355"/>
      <c r="I1517" s="1356"/>
      <c r="J1517" s="1357">
        <f>VLOOKUP(A1519,'11 - FINANCEIRO'!_xlnm.Print_Area,6,FALSE)</f>
        <v>2160</v>
      </c>
      <c r="K1517" s="1358"/>
      <c r="L1517" s="356" t="str">
        <f>VLOOKUP(A1519,'11 - FINANCEIRO'!_xlnm.Print_Area,4,FALSE)</f>
        <v xml:space="preserve">h     </v>
      </c>
      <c r="M1517" s="1359" t="s">
        <v>493</v>
      </c>
      <c r="N1517" s="1360"/>
      <c r="O1517" s="1360"/>
      <c r="P1517" s="1360"/>
      <c r="Q1517" s="1361"/>
      <c r="R1517" s="357">
        <f>TRUNC(SUM(R1513:R1516),3)</f>
        <v>0</v>
      </c>
      <c r="S1517" s="358" t="str">
        <f>L1517</f>
        <v xml:space="preserve">h     </v>
      </c>
      <c r="T1517" s="359"/>
      <c r="U1517" s="360"/>
      <c r="V1517" s="291">
        <f t="shared" ca="1" si="563"/>
        <v>0</v>
      </c>
      <c r="W1517" s="256">
        <f t="shared" ca="1" si="527"/>
        <v>2</v>
      </c>
      <c r="X1517" s="256">
        <f t="shared" ca="1" si="564"/>
        <v>1</v>
      </c>
      <c r="Y1517" s="250"/>
      <c r="Z1517" s="250"/>
    </row>
    <row r="1518" spans="1:29" s="293" customFormat="1" ht="15.75" hidden="1" x14ac:dyDescent="0.2">
      <c r="A1518" s="288"/>
      <c r="B1518" s="354"/>
      <c r="C1518" s="361"/>
      <c r="D1518" s="1362" t="s">
        <v>494</v>
      </c>
      <c r="E1518" s="1363"/>
      <c r="F1518" s="1363"/>
      <c r="G1518" s="1363"/>
      <c r="H1518" s="1363"/>
      <c r="I1518" s="1364"/>
      <c r="J1518" s="1365">
        <f>R1517/J1517</f>
        <v>0</v>
      </c>
      <c r="K1518" s="1366"/>
      <c r="L1518" s="1369"/>
      <c r="M1518" s="1371" t="s">
        <v>495</v>
      </c>
      <c r="N1518" s="1372"/>
      <c r="O1518" s="1372"/>
      <c r="P1518" s="1372"/>
      <c r="Q1518" s="1373"/>
      <c r="R1518" s="362">
        <f>VLOOKUP(A1519,'11 - FINANCEIRO'!_xlnm.Print_Area,8,FALSE)</f>
        <v>0</v>
      </c>
      <c r="S1518" s="363" t="str">
        <f>L1517</f>
        <v xml:space="preserve">h     </v>
      </c>
      <c r="T1518" s="359"/>
      <c r="U1518" s="360"/>
      <c r="V1518" s="291">
        <f t="shared" ca="1" si="563"/>
        <v>0</v>
      </c>
      <c r="W1518" s="256">
        <f t="shared" ca="1" si="527"/>
        <v>2</v>
      </c>
      <c r="X1518" s="256">
        <f t="shared" ca="1" si="564"/>
        <v>1</v>
      </c>
      <c r="Y1518" s="256"/>
      <c r="Z1518" s="256"/>
      <c r="AA1518" s="292"/>
      <c r="AB1518" s="292"/>
      <c r="AC1518" s="292"/>
    </row>
    <row r="1519" spans="1:29" s="293" customFormat="1" ht="15.75" hidden="1" x14ac:dyDescent="0.2">
      <c r="A1519" s="288" t="s">
        <v>37</v>
      </c>
      <c r="B1519" s="364"/>
      <c r="C1519" s="365"/>
      <c r="D1519" s="1354"/>
      <c r="E1519" s="1355"/>
      <c r="F1519" s="1355"/>
      <c r="G1519" s="1355"/>
      <c r="H1519" s="1355"/>
      <c r="I1519" s="1356"/>
      <c r="J1519" s="1367"/>
      <c r="K1519" s="1368"/>
      <c r="L1519" s="1370"/>
      <c r="M1519" s="1371" t="s">
        <v>496</v>
      </c>
      <c r="N1519" s="1372"/>
      <c r="O1519" s="1372"/>
      <c r="P1519" s="1372"/>
      <c r="Q1519" s="1373"/>
      <c r="R1519" s="362">
        <f>R1517-R1518</f>
        <v>0</v>
      </c>
      <c r="S1519" s="363" t="str">
        <f>L1517</f>
        <v xml:space="preserve">h     </v>
      </c>
      <c r="T1519" s="366"/>
      <c r="U1519" s="367"/>
      <c r="V1519" s="291">
        <f t="shared" ca="1" si="563"/>
        <v>0</v>
      </c>
      <c r="W1519" s="256">
        <f t="shared" ca="1" si="527"/>
        <v>2</v>
      </c>
      <c r="X1519" s="256">
        <f t="shared" ca="1" si="564"/>
        <v>1</v>
      </c>
      <c r="Y1519" s="256"/>
      <c r="Z1519" s="256"/>
      <c r="AA1519" s="292"/>
      <c r="AB1519" s="292"/>
      <c r="AC1519" s="292"/>
    </row>
    <row r="1520" spans="1:29" s="111" customFormat="1" ht="15.75" hidden="1" x14ac:dyDescent="0.2">
      <c r="A1520" s="288"/>
      <c r="B1520" s="368"/>
      <c r="C1520" s="365"/>
      <c r="D1520" s="369"/>
      <c r="E1520" s="370"/>
      <c r="F1520" s="369"/>
      <c r="G1520" s="369"/>
      <c r="H1520" s="369"/>
      <c r="I1520" s="369"/>
      <c r="J1520" s="371"/>
      <c r="K1520" s="372"/>
      <c r="L1520" s="373"/>
      <c r="M1520" s="374"/>
      <c r="N1520" s="374"/>
      <c r="O1520" s="374"/>
      <c r="P1520" s="374"/>
      <c r="Q1520" s="374"/>
      <c r="R1520" s="375"/>
      <c r="S1520" s="376"/>
      <c r="T1520" s="377"/>
      <c r="U1520" s="378"/>
      <c r="V1520" s="379">
        <f ca="1">SUM(V1511:V1519)</f>
        <v>0</v>
      </c>
      <c r="W1520" s="256">
        <f t="shared" ca="1" si="527"/>
        <v>1</v>
      </c>
      <c r="X1520" s="256">
        <f t="shared" ca="1" si="564"/>
        <v>0</v>
      </c>
      <c r="Y1520" s="250"/>
      <c r="Z1520" s="250"/>
    </row>
    <row r="1521" spans="1:29" s="293" customFormat="1" ht="15.75" hidden="1" x14ac:dyDescent="0.25">
      <c r="A1521" s="288"/>
      <c r="B1521" s="1374" t="str">
        <f>VLOOKUP(A1529,'11 - FINANCEIRO'!_xlnm.Print_Area,1,FALSE)</f>
        <v>2.1.12</v>
      </c>
      <c r="C1521" s="1376" t="str">
        <f>VLOOKUP(A1529,'11 - FINANCEIRO'!_xlnm.Print_Area,3,FALSE)</f>
        <v>Rebai Lencol Freatico C/ Pont Filtrantes</v>
      </c>
      <c r="D1521" s="1378" t="s">
        <v>477</v>
      </c>
      <c r="E1521" s="1379"/>
      <c r="F1521" s="1379"/>
      <c r="G1521" s="1379"/>
      <c r="H1521" s="1379"/>
      <c r="I1521" s="1380"/>
      <c r="J1521" s="1338" t="s">
        <v>478</v>
      </c>
      <c r="K1521" s="1338" t="s">
        <v>479</v>
      </c>
      <c r="L1521" s="1338" t="s">
        <v>480</v>
      </c>
      <c r="M1521" s="1338" t="s">
        <v>481</v>
      </c>
      <c r="N1521" s="1338" t="s">
        <v>482</v>
      </c>
      <c r="O1521" s="1338" t="s">
        <v>483</v>
      </c>
      <c r="P1521" s="290" t="s">
        <v>484</v>
      </c>
      <c r="Q1521" s="1338" t="s">
        <v>586</v>
      </c>
      <c r="R1521" s="1336" t="s">
        <v>296</v>
      </c>
      <c r="S1521" s="1338" t="s">
        <v>486</v>
      </c>
      <c r="T1521" s="1338" t="s">
        <v>487</v>
      </c>
      <c r="U1521" s="1340" t="s">
        <v>488</v>
      </c>
      <c r="V1521" s="291">
        <f t="shared" ref="V1521:V1529" ca="1" si="565">IF(OFFSET(V1521,1,1)=1,OFFSET(V1521,0,-4),OFFSET(V1521,1,0))</f>
        <v>0</v>
      </c>
      <c r="W1521" s="256">
        <f t="shared" ca="1" si="527"/>
        <v>2</v>
      </c>
      <c r="X1521" s="256">
        <f t="shared" ca="1" si="564"/>
        <v>1</v>
      </c>
      <c r="Y1521" s="256"/>
      <c r="Z1521" s="256"/>
      <c r="AA1521" s="292"/>
      <c r="AB1521" s="292"/>
      <c r="AC1521" s="292"/>
    </row>
    <row r="1522" spans="1:29" s="337" customFormat="1" ht="15.75" hidden="1" x14ac:dyDescent="0.2">
      <c r="A1522" s="288"/>
      <c r="B1522" s="1375" t="e">
        <f>LEFT(#REF!,5)</f>
        <v>#REF!</v>
      </c>
      <c r="C1522" s="1377" t="e">
        <f>VLOOKUP(LEFT(#REF!,5),'11 - FINANCEIRO'!_xlnm.Print_Area,2,FALSE)</f>
        <v>#REF!</v>
      </c>
      <c r="D1522" s="1342" t="s">
        <v>489</v>
      </c>
      <c r="E1522" s="1343"/>
      <c r="F1522" s="1344"/>
      <c r="G1522" s="1345" t="s">
        <v>490</v>
      </c>
      <c r="H1522" s="1346"/>
      <c r="I1522" s="1347"/>
      <c r="J1522" s="1339"/>
      <c r="K1522" s="1339"/>
      <c r="L1522" s="1339"/>
      <c r="M1522" s="1339"/>
      <c r="N1522" s="1339"/>
      <c r="O1522" s="1339"/>
      <c r="P1522" s="295" t="s">
        <v>491</v>
      </c>
      <c r="Q1522" s="1339"/>
      <c r="R1522" s="1337"/>
      <c r="S1522" s="1339"/>
      <c r="T1522" s="1339"/>
      <c r="U1522" s="1341"/>
      <c r="V1522" s="291">
        <f t="shared" ca="1" si="565"/>
        <v>0</v>
      </c>
      <c r="W1522" s="256">
        <f t="shared" ca="1" si="527"/>
        <v>2</v>
      </c>
      <c r="X1522" s="256">
        <f t="shared" ca="1" si="564"/>
        <v>1</v>
      </c>
      <c r="Y1522" s="336"/>
      <c r="Z1522" s="336"/>
    </row>
    <row r="1523" spans="1:29" s="337" customFormat="1" ht="15.75" hidden="1" x14ac:dyDescent="0.2">
      <c r="A1523" s="288"/>
      <c r="B1523" s="296"/>
      <c r="C1523" s="297"/>
      <c r="D1523" s="298"/>
      <c r="E1523" s="299"/>
      <c r="F1523" s="300"/>
      <c r="G1523" s="301"/>
      <c r="H1523" s="302"/>
      <c r="I1523" s="303"/>
      <c r="J1523" s="304"/>
      <c r="K1523" s="304"/>
      <c r="L1523" s="304"/>
      <c r="M1523" s="304"/>
      <c r="N1523" s="304"/>
      <c r="O1523" s="304"/>
      <c r="P1523" s="306"/>
      <c r="Q1523" s="304"/>
      <c r="R1523" s="307"/>
      <c r="S1523" s="304"/>
      <c r="T1523" s="309"/>
      <c r="U1523" s="310"/>
      <c r="V1523" s="291">
        <f t="shared" ca="1" si="565"/>
        <v>0</v>
      </c>
      <c r="W1523" s="256">
        <f t="shared" ca="1" si="527"/>
        <v>0</v>
      </c>
      <c r="X1523" s="256">
        <f t="shared" ca="1" si="564"/>
        <v>1</v>
      </c>
      <c r="Y1523" s="336"/>
      <c r="Z1523" s="336"/>
    </row>
    <row r="1524" spans="1:29" s="111" customFormat="1" ht="15.75" hidden="1" x14ac:dyDescent="0.2">
      <c r="A1524" s="288"/>
      <c r="B1524" s="311"/>
      <c r="C1524" s="312"/>
      <c r="D1524" s="313"/>
      <c r="E1524" s="314"/>
      <c r="F1524" s="315"/>
      <c r="G1524" s="380"/>
      <c r="H1524" s="316"/>
      <c r="I1524" s="381"/>
      <c r="J1524" s="317"/>
      <c r="K1524" s="313"/>
      <c r="L1524" s="317"/>
      <c r="M1524" s="315"/>
      <c r="N1524" s="314"/>
      <c r="O1524" s="313"/>
      <c r="P1524" s="318"/>
      <c r="Q1524" s="315"/>
      <c r="R1524" s="319"/>
      <c r="S1524" s="317"/>
      <c r="T1524" s="320"/>
      <c r="U1524" s="321"/>
      <c r="V1524" s="291">
        <f t="shared" ca="1" si="565"/>
        <v>0</v>
      </c>
      <c r="W1524" s="256">
        <f t="shared" ca="1" si="527"/>
        <v>0</v>
      </c>
      <c r="X1524" s="256">
        <f t="shared" ca="1" si="564"/>
        <v>1</v>
      </c>
      <c r="Y1524" s="250"/>
      <c r="Z1524" s="250"/>
    </row>
    <row r="1525" spans="1:29" s="111" customFormat="1" ht="15" hidden="1" x14ac:dyDescent="0.2">
      <c r="A1525" s="288"/>
      <c r="B1525" s="322"/>
      <c r="C1525" s="382"/>
      <c r="D1525" s="324"/>
      <c r="E1525" s="325"/>
      <c r="F1525" s="326"/>
      <c r="G1525" s="324"/>
      <c r="H1525" s="325"/>
      <c r="I1525" s="326"/>
      <c r="J1525" s="317"/>
      <c r="K1525" s="328"/>
      <c r="L1525" s="328"/>
      <c r="M1525" s="328"/>
      <c r="N1525" s="328"/>
      <c r="O1525" s="334"/>
      <c r="P1525" s="328"/>
      <c r="Q1525" s="334"/>
      <c r="R1525" s="333"/>
      <c r="S1525" s="331"/>
      <c r="T1525" s="320"/>
      <c r="U1525" s="335"/>
      <c r="V1525" s="291">
        <f t="shared" ca="1" si="565"/>
        <v>0</v>
      </c>
      <c r="W1525" s="256">
        <f t="shared" ca="1" si="527"/>
        <v>0</v>
      </c>
      <c r="X1525" s="256">
        <f t="shared" ca="1" si="564"/>
        <v>1</v>
      </c>
      <c r="Y1525" s="250"/>
      <c r="Z1525" s="250"/>
    </row>
    <row r="1526" spans="1:29" s="111" customFormat="1" ht="15" hidden="1" x14ac:dyDescent="0.2">
      <c r="A1526" s="288"/>
      <c r="B1526" s="338"/>
      <c r="C1526" s="339"/>
      <c r="D1526" s="340"/>
      <c r="E1526" s="341"/>
      <c r="F1526" s="342"/>
      <c r="G1526" s="340"/>
      <c r="H1526" s="341"/>
      <c r="I1526" s="342"/>
      <c r="J1526" s="343"/>
      <c r="K1526" s="344"/>
      <c r="L1526" s="345"/>
      <c r="M1526" s="346"/>
      <c r="N1526" s="347"/>
      <c r="O1526" s="348"/>
      <c r="P1526" s="345"/>
      <c r="Q1526" s="349"/>
      <c r="R1526" s="350"/>
      <c r="S1526" s="351"/>
      <c r="T1526" s="352"/>
      <c r="U1526" s="353"/>
      <c r="V1526" s="291">
        <f t="shared" ca="1" si="565"/>
        <v>0</v>
      </c>
      <c r="W1526" s="256">
        <f t="shared" ca="1" si="527"/>
        <v>0</v>
      </c>
      <c r="X1526" s="256">
        <f t="shared" ca="1" si="564"/>
        <v>1</v>
      </c>
      <c r="Y1526" s="250"/>
      <c r="Z1526" s="250"/>
    </row>
    <row r="1527" spans="1:29" s="111" customFormat="1" ht="15.75" hidden="1" x14ac:dyDescent="0.2">
      <c r="A1527" s="288"/>
      <c r="B1527" s="354"/>
      <c r="C1527" s="355"/>
      <c r="D1527" s="1354" t="s">
        <v>492</v>
      </c>
      <c r="E1527" s="1355"/>
      <c r="F1527" s="1355"/>
      <c r="G1527" s="1355"/>
      <c r="H1527" s="1355"/>
      <c r="I1527" s="1356"/>
      <c r="J1527" s="1357">
        <f>VLOOKUP(A1529,'11 - FINANCEIRO'!_xlnm.Print_Area,6,FALSE)</f>
        <v>72</v>
      </c>
      <c r="K1527" s="1358"/>
      <c r="L1527" s="356" t="str">
        <f>VLOOKUP(A1529,'11 - FINANCEIRO'!_xlnm.Print_Area,4,FALSE)</f>
        <v>un</v>
      </c>
      <c r="M1527" s="1359" t="s">
        <v>493</v>
      </c>
      <c r="N1527" s="1360"/>
      <c r="O1527" s="1360"/>
      <c r="P1527" s="1360"/>
      <c r="Q1527" s="1361"/>
      <c r="R1527" s="357">
        <f>TRUNC(SUM(R1523:R1526),3)</f>
        <v>0</v>
      </c>
      <c r="S1527" s="358" t="str">
        <f>L1527</f>
        <v>un</v>
      </c>
      <c r="T1527" s="359"/>
      <c r="U1527" s="360"/>
      <c r="V1527" s="291">
        <f t="shared" ca="1" si="565"/>
        <v>0</v>
      </c>
      <c r="W1527" s="256">
        <f t="shared" ca="1" si="527"/>
        <v>2</v>
      </c>
      <c r="X1527" s="256">
        <f t="shared" ca="1" si="564"/>
        <v>1</v>
      </c>
      <c r="Y1527" s="250"/>
      <c r="Z1527" s="250"/>
    </row>
    <row r="1528" spans="1:29" s="293" customFormat="1" ht="15.75" hidden="1" x14ac:dyDescent="0.2">
      <c r="A1528" s="288"/>
      <c r="B1528" s="354"/>
      <c r="C1528" s="361"/>
      <c r="D1528" s="1362" t="s">
        <v>494</v>
      </c>
      <c r="E1528" s="1363"/>
      <c r="F1528" s="1363"/>
      <c r="G1528" s="1363"/>
      <c r="H1528" s="1363"/>
      <c r="I1528" s="1364"/>
      <c r="J1528" s="1365">
        <f>R1527/J1527</f>
        <v>0</v>
      </c>
      <c r="K1528" s="1366"/>
      <c r="L1528" s="1369"/>
      <c r="M1528" s="1371" t="s">
        <v>495</v>
      </c>
      <c r="N1528" s="1372"/>
      <c r="O1528" s="1372"/>
      <c r="P1528" s="1372"/>
      <c r="Q1528" s="1373"/>
      <c r="R1528" s="362">
        <f>VLOOKUP(A1529,'11 - FINANCEIRO'!_xlnm.Print_Area,8,FALSE)</f>
        <v>0</v>
      </c>
      <c r="S1528" s="363" t="str">
        <f>L1527</f>
        <v>un</v>
      </c>
      <c r="T1528" s="359"/>
      <c r="U1528" s="360"/>
      <c r="V1528" s="291">
        <f t="shared" ca="1" si="565"/>
        <v>0</v>
      </c>
      <c r="W1528" s="256">
        <f t="shared" ca="1" si="527"/>
        <v>2</v>
      </c>
      <c r="X1528" s="256">
        <f t="shared" ca="1" si="564"/>
        <v>1</v>
      </c>
      <c r="Y1528" s="256"/>
      <c r="Z1528" s="256"/>
      <c r="AA1528" s="292"/>
      <c r="AB1528" s="292"/>
      <c r="AC1528" s="292"/>
    </row>
    <row r="1529" spans="1:29" s="293" customFormat="1" ht="15.75" hidden="1" x14ac:dyDescent="0.2">
      <c r="A1529" s="288" t="s">
        <v>38</v>
      </c>
      <c r="B1529" s="364"/>
      <c r="C1529" s="365"/>
      <c r="D1529" s="1354"/>
      <c r="E1529" s="1355"/>
      <c r="F1529" s="1355"/>
      <c r="G1529" s="1355"/>
      <c r="H1529" s="1355"/>
      <c r="I1529" s="1356"/>
      <c r="J1529" s="1367"/>
      <c r="K1529" s="1368"/>
      <c r="L1529" s="1370"/>
      <c r="M1529" s="1371" t="s">
        <v>496</v>
      </c>
      <c r="N1529" s="1372"/>
      <c r="O1529" s="1372"/>
      <c r="P1529" s="1372"/>
      <c r="Q1529" s="1373"/>
      <c r="R1529" s="362">
        <f>R1527-R1528</f>
        <v>0</v>
      </c>
      <c r="S1529" s="363" t="str">
        <f>L1527</f>
        <v>un</v>
      </c>
      <c r="T1529" s="366"/>
      <c r="U1529" s="367"/>
      <c r="V1529" s="291">
        <f t="shared" ca="1" si="565"/>
        <v>0</v>
      </c>
      <c r="W1529" s="256">
        <f t="shared" ca="1" si="527"/>
        <v>2</v>
      </c>
      <c r="X1529" s="256">
        <f t="shared" ca="1" si="564"/>
        <v>1</v>
      </c>
      <c r="Y1529" s="256"/>
      <c r="Z1529" s="256"/>
      <c r="AA1529" s="292"/>
      <c r="AB1529" s="292"/>
      <c r="AC1529" s="292"/>
    </row>
    <row r="1530" spans="1:29" s="111" customFormat="1" ht="15.75" hidden="1" x14ac:dyDescent="0.2">
      <c r="A1530" s="288"/>
      <c r="B1530" s="368"/>
      <c r="C1530" s="365"/>
      <c r="D1530" s="369"/>
      <c r="E1530" s="370"/>
      <c r="F1530" s="369"/>
      <c r="G1530" s="369"/>
      <c r="H1530" s="369"/>
      <c r="I1530" s="369"/>
      <c r="J1530" s="371"/>
      <c r="K1530" s="372"/>
      <c r="L1530" s="373"/>
      <c r="M1530" s="374"/>
      <c r="N1530" s="374"/>
      <c r="O1530" s="374"/>
      <c r="P1530" s="374"/>
      <c r="Q1530" s="374"/>
      <c r="R1530" s="375"/>
      <c r="S1530" s="376"/>
      <c r="T1530" s="377"/>
      <c r="U1530" s="378"/>
      <c r="V1530" s="379">
        <f ca="1">SUM(V1521:V1529)</f>
        <v>0</v>
      </c>
      <c r="W1530" s="256">
        <f t="shared" ca="1" si="527"/>
        <v>1</v>
      </c>
      <c r="X1530" s="256">
        <f t="shared" ca="1" si="564"/>
        <v>0</v>
      </c>
      <c r="Y1530" s="250"/>
      <c r="Z1530" s="250"/>
    </row>
    <row r="1531" spans="1:29" s="293" customFormat="1" ht="15.75" hidden="1" x14ac:dyDescent="0.25">
      <c r="A1531" s="288"/>
      <c r="B1531" s="1374" t="str">
        <f>VLOOKUP(A1539,'11 - FINANCEIRO'!_xlnm.Print_Area,1,FALSE)</f>
        <v>2.1.13</v>
      </c>
      <c r="C1531" s="1376" t="str">
        <f>VLOOKUP(A1539,'11 - FINANCEIRO'!_xlnm.Print_Area,3,FALSE)</f>
        <v>Barra Chata Em Qualquer Dimensão</v>
      </c>
      <c r="D1531" s="1378" t="s">
        <v>477</v>
      </c>
      <c r="E1531" s="1379"/>
      <c r="F1531" s="1379"/>
      <c r="G1531" s="1379"/>
      <c r="H1531" s="1379"/>
      <c r="I1531" s="1380"/>
      <c r="J1531" s="1338" t="s">
        <v>501</v>
      </c>
      <c r="K1531" s="1338" t="s">
        <v>587</v>
      </c>
      <c r="L1531" s="1338" t="s">
        <v>296</v>
      </c>
      <c r="M1531" s="1338" t="s">
        <v>481</v>
      </c>
      <c r="N1531" s="1338" t="s">
        <v>482</v>
      </c>
      <c r="O1531" s="1338" t="s">
        <v>483</v>
      </c>
      <c r="P1531" s="478" t="s">
        <v>484</v>
      </c>
      <c r="Q1531" s="1338" t="s">
        <v>485</v>
      </c>
      <c r="R1531" s="1336" t="s">
        <v>296</v>
      </c>
      <c r="S1531" s="1338" t="s">
        <v>486</v>
      </c>
      <c r="T1531" s="1338" t="s">
        <v>487</v>
      </c>
      <c r="U1531" s="1340" t="s">
        <v>488</v>
      </c>
      <c r="V1531" s="291">
        <f t="shared" ref="V1531:V1539" ca="1" si="566">IF(OFFSET(V1531,1,1)=1,OFFSET(V1531,0,-4),OFFSET(V1531,1,0))</f>
        <v>0</v>
      </c>
      <c r="W1531" s="256">
        <f t="shared" ca="1" si="527"/>
        <v>2</v>
      </c>
      <c r="X1531" s="256">
        <f t="shared" ca="1" si="564"/>
        <v>1</v>
      </c>
      <c r="Y1531" s="256"/>
      <c r="Z1531" s="256"/>
      <c r="AA1531" s="292"/>
      <c r="AB1531" s="292"/>
      <c r="AC1531" s="292"/>
    </row>
    <row r="1532" spans="1:29" s="337" customFormat="1" ht="15.75" hidden="1" x14ac:dyDescent="0.2">
      <c r="A1532" s="288"/>
      <c r="B1532" s="1375" t="e">
        <f>LEFT(#REF!,5)</f>
        <v>#REF!</v>
      </c>
      <c r="C1532" s="1377" t="e">
        <f>VLOOKUP(LEFT(#REF!,5),'11 - FINANCEIRO'!_xlnm.Print_Area,2,FALSE)</f>
        <v>#REF!</v>
      </c>
      <c r="D1532" s="1342" t="s">
        <v>489</v>
      </c>
      <c r="E1532" s="1343"/>
      <c r="F1532" s="1344"/>
      <c r="G1532" s="1345" t="s">
        <v>490</v>
      </c>
      <c r="H1532" s="1346"/>
      <c r="I1532" s="1347"/>
      <c r="J1532" s="1339"/>
      <c r="K1532" s="1339"/>
      <c r="L1532" s="1339"/>
      <c r="M1532" s="1339"/>
      <c r="N1532" s="1339"/>
      <c r="O1532" s="1339"/>
      <c r="P1532" s="295" t="s">
        <v>491</v>
      </c>
      <c r="Q1532" s="1339"/>
      <c r="R1532" s="1337"/>
      <c r="S1532" s="1339"/>
      <c r="T1532" s="1339"/>
      <c r="U1532" s="1341"/>
      <c r="V1532" s="291">
        <f t="shared" ca="1" si="566"/>
        <v>0</v>
      </c>
      <c r="W1532" s="256">
        <f t="shared" ca="1" si="527"/>
        <v>2</v>
      </c>
      <c r="X1532" s="256">
        <f t="shared" ca="1" si="564"/>
        <v>1</v>
      </c>
      <c r="Y1532" s="336"/>
      <c r="Z1532" s="336"/>
    </row>
    <row r="1533" spans="1:29" s="337" customFormat="1" ht="15.75" hidden="1" x14ac:dyDescent="0.2">
      <c r="A1533" s="288"/>
      <c r="B1533" s="296"/>
      <c r="C1533" s="297"/>
      <c r="D1533" s="298"/>
      <c r="E1533" s="299"/>
      <c r="F1533" s="300"/>
      <c r="G1533" s="301"/>
      <c r="H1533" s="302"/>
      <c r="I1533" s="303"/>
      <c r="J1533" s="304"/>
      <c r="K1533" s="304"/>
      <c r="L1533" s="304"/>
      <c r="M1533" s="304"/>
      <c r="N1533" s="304"/>
      <c r="O1533" s="304"/>
      <c r="P1533" s="306"/>
      <c r="Q1533" s="304"/>
      <c r="R1533" s="307"/>
      <c r="S1533" s="304"/>
      <c r="T1533" s="309"/>
      <c r="U1533" s="310"/>
      <c r="V1533" s="291">
        <f t="shared" ca="1" si="566"/>
        <v>0</v>
      </c>
      <c r="W1533" s="256">
        <f t="shared" ca="1" si="527"/>
        <v>0</v>
      </c>
      <c r="X1533" s="256">
        <f t="shared" ca="1" si="564"/>
        <v>1</v>
      </c>
      <c r="Y1533" s="336"/>
      <c r="Z1533" s="336"/>
    </row>
    <row r="1534" spans="1:29" s="111" customFormat="1" ht="15.75" hidden="1" x14ac:dyDescent="0.2">
      <c r="A1534" s="288"/>
      <c r="B1534" s="311"/>
      <c r="C1534" s="312"/>
      <c r="D1534" s="313"/>
      <c r="E1534" s="314"/>
      <c r="F1534" s="315"/>
      <c r="G1534" s="380"/>
      <c r="H1534" s="316"/>
      <c r="I1534" s="381"/>
      <c r="J1534" s="317"/>
      <c r="K1534" s="313"/>
      <c r="L1534" s="317"/>
      <c r="M1534" s="315"/>
      <c r="N1534" s="314"/>
      <c r="O1534" s="313"/>
      <c r="P1534" s="318"/>
      <c r="Q1534" s="315"/>
      <c r="R1534" s="319"/>
      <c r="S1534" s="317"/>
      <c r="T1534" s="320"/>
      <c r="U1534" s="321"/>
      <c r="V1534" s="291">
        <f t="shared" ca="1" si="566"/>
        <v>0</v>
      </c>
      <c r="W1534" s="256">
        <f t="shared" ca="1" si="527"/>
        <v>0</v>
      </c>
      <c r="X1534" s="256">
        <f t="shared" ca="1" si="564"/>
        <v>1</v>
      </c>
      <c r="Y1534" s="250"/>
      <c r="Z1534" s="250"/>
    </row>
    <row r="1535" spans="1:29" s="111" customFormat="1" ht="15" hidden="1" x14ac:dyDescent="0.2">
      <c r="A1535" s="288"/>
      <c r="B1535" s="322"/>
      <c r="C1535" s="382"/>
      <c r="D1535" s="324"/>
      <c r="E1535" s="325"/>
      <c r="F1535" s="326"/>
      <c r="G1535" s="324"/>
      <c r="H1535" s="325"/>
      <c r="I1535" s="326"/>
      <c r="J1535" s="317"/>
      <c r="K1535" s="328"/>
      <c r="L1535" s="328"/>
      <c r="M1535" s="328"/>
      <c r="N1535" s="328"/>
      <c r="O1535" s="334"/>
      <c r="P1535" s="328"/>
      <c r="Q1535" s="334"/>
      <c r="R1535" s="333"/>
      <c r="S1535" s="331"/>
      <c r="T1535" s="320"/>
      <c r="U1535" s="335"/>
      <c r="V1535" s="291">
        <f t="shared" ca="1" si="566"/>
        <v>0</v>
      </c>
      <c r="W1535" s="256">
        <f t="shared" ca="1" si="527"/>
        <v>0</v>
      </c>
      <c r="X1535" s="256">
        <f t="shared" ca="1" si="564"/>
        <v>1</v>
      </c>
      <c r="Y1535" s="250"/>
      <c r="Z1535" s="250"/>
    </row>
    <row r="1536" spans="1:29" s="111" customFormat="1" ht="15" hidden="1" x14ac:dyDescent="0.2">
      <c r="A1536" s="288"/>
      <c r="B1536" s="338"/>
      <c r="C1536" s="339"/>
      <c r="D1536" s="340"/>
      <c r="E1536" s="341"/>
      <c r="F1536" s="342"/>
      <c r="G1536" s="340"/>
      <c r="H1536" s="341"/>
      <c r="I1536" s="342"/>
      <c r="J1536" s="343"/>
      <c r="K1536" s="344"/>
      <c r="L1536" s="345"/>
      <c r="M1536" s="346"/>
      <c r="N1536" s="347"/>
      <c r="O1536" s="348"/>
      <c r="P1536" s="345"/>
      <c r="Q1536" s="349"/>
      <c r="R1536" s="350"/>
      <c r="S1536" s="351"/>
      <c r="T1536" s="352"/>
      <c r="U1536" s="353"/>
      <c r="V1536" s="291">
        <f t="shared" ca="1" si="566"/>
        <v>0</v>
      </c>
      <c r="W1536" s="256">
        <f t="shared" ca="1" si="527"/>
        <v>0</v>
      </c>
      <c r="X1536" s="256">
        <f t="shared" ca="1" si="564"/>
        <v>1</v>
      </c>
      <c r="Y1536" s="250"/>
      <c r="Z1536" s="250"/>
    </row>
    <row r="1537" spans="1:29" s="111" customFormat="1" ht="15.75" hidden="1" x14ac:dyDescent="0.2">
      <c r="A1537" s="288"/>
      <c r="B1537" s="354"/>
      <c r="C1537" s="355"/>
      <c r="D1537" s="1354" t="s">
        <v>492</v>
      </c>
      <c r="E1537" s="1355"/>
      <c r="F1537" s="1355"/>
      <c r="G1537" s="1355"/>
      <c r="H1537" s="1355"/>
      <c r="I1537" s="1356"/>
      <c r="J1537" s="1357">
        <f>VLOOKUP(A1539,'11 - FINANCEIRO'!_xlnm.Print_Area,6,FALSE)</f>
        <v>4078</v>
      </c>
      <c r="K1537" s="1358"/>
      <c r="L1537" s="356" t="str">
        <f>VLOOKUP(A1539,'11 - FINANCEIRO'!_xlnm.Print_Area,4,FALSE)</f>
        <v>kg</v>
      </c>
      <c r="M1537" s="1359" t="s">
        <v>493</v>
      </c>
      <c r="N1537" s="1360"/>
      <c r="O1537" s="1360"/>
      <c r="P1537" s="1360"/>
      <c r="Q1537" s="1361"/>
      <c r="R1537" s="357">
        <f>TRUNC(SUM(R1533:R1536),3)</f>
        <v>0</v>
      </c>
      <c r="S1537" s="358" t="str">
        <f>L1537</f>
        <v>kg</v>
      </c>
      <c r="T1537" s="359"/>
      <c r="U1537" s="360"/>
      <c r="V1537" s="291">
        <f t="shared" ca="1" si="566"/>
        <v>0</v>
      </c>
      <c r="W1537" s="256">
        <f t="shared" ca="1" si="527"/>
        <v>2</v>
      </c>
      <c r="X1537" s="256">
        <f t="shared" ca="1" si="564"/>
        <v>1</v>
      </c>
      <c r="Y1537" s="250"/>
      <c r="Z1537" s="250"/>
    </row>
    <row r="1538" spans="1:29" s="293" customFormat="1" ht="15.75" hidden="1" x14ac:dyDescent="0.2">
      <c r="A1538" s="288"/>
      <c r="B1538" s="354"/>
      <c r="C1538" s="361"/>
      <c r="D1538" s="1362" t="s">
        <v>494</v>
      </c>
      <c r="E1538" s="1363"/>
      <c r="F1538" s="1363"/>
      <c r="G1538" s="1363"/>
      <c r="H1538" s="1363"/>
      <c r="I1538" s="1364"/>
      <c r="J1538" s="1365">
        <f>R1537/J1537</f>
        <v>0</v>
      </c>
      <c r="K1538" s="1366"/>
      <c r="L1538" s="1369"/>
      <c r="M1538" s="1371" t="s">
        <v>495</v>
      </c>
      <c r="N1538" s="1372"/>
      <c r="O1538" s="1372"/>
      <c r="P1538" s="1372"/>
      <c r="Q1538" s="1373"/>
      <c r="R1538" s="362">
        <f>VLOOKUP(A1539,'11 - FINANCEIRO'!_xlnm.Print_Area,8,FALSE)</f>
        <v>0</v>
      </c>
      <c r="S1538" s="363" t="str">
        <f>L1537</f>
        <v>kg</v>
      </c>
      <c r="T1538" s="359"/>
      <c r="U1538" s="360"/>
      <c r="V1538" s="291">
        <f t="shared" ca="1" si="566"/>
        <v>0</v>
      </c>
      <c r="W1538" s="256">
        <f t="shared" ca="1" si="527"/>
        <v>2</v>
      </c>
      <c r="X1538" s="256">
        <f t="shared" ca="1" si="564"/>
        <v>1</v>
      </c>
      <c r="Y1538" s="256"/>
      <c r="Z1538" s="256"/>
      <c r="AA1538" s="292"/>
      <c r="AB1538" s="292"/>
      <c r="AC1538" s="292"/>
    </row>
    <row r="1539" spans="1:29" s="293" customFormat="1" ht="15.75" hidden="1" x14ac:dyDescent="0.2">
      <c r="A1539" s="288" t="s">
        <v>39</v>
      </c>
      <c r="B1539" s="364"/>
      <c r="C1539" s="365"/>
      <c r="D1539" s="1354"/>
      <c r="E1539" s="1355"/>
      <c r="F1539" s="1355"/>
      <c r="G1539" s="1355"/>
      <c r="H1539" s="1355"/>
      <c r="I1539" s="1356"/>
      <c r="J1539" s="1367"/>
      <c r="K1539" s="1368"/>
      <c r="L1539" s="1370"/>
      <c r="M1539" s="1371" t="s">
        <v>496</v>
      </c>
      <c r="N1539" s="1372"/>
      <c r="O1539" s="1372"/>
      <c r="P1539" s="1372"/>
      <c r="Q1539" s="1373"/>
      <c r="R1539" s="362">
        <f>R1537-R1538</f>
        <v>0</v>
      </c>
      <c r="S1539" s="363" t="str">
        <f>L1537</f>
        <v>kg</v>
      </c>
      <c r="T1539" s="366"/>
      <c r="U1539" s="367"/>
      <c r="V1539" s="291">
        <f t="shared" ca="1" si="566"/>
        <v>0</v>
      </c>
      <c r="W1539" s="256">
        <f t="shared" ca="1" si="527"/>
        <v>2</v>
      </c>
      <c r="X1539" s="256">
        <f t="shared" ca="1" si="564"/>
        <v>1</v>
      </c>
      <c r="Y1539" s="256"/>
      <c r="Z1539" s="256"/>
      <c r="AA1539" s="292"/>
      <c r="AB1539" s="292"/>
      <c r="AC1539" s="292"/>
    </row>
    <row r="1540" spans="1:29" s="111" customFormat="1" ht="15.75" hidden="1" x14ac:dyDescent="0.2">
      <c r="A1540" s="288"/>
      <c r="B1540" s="368"/>
      <c r="C1540" s="365"/>
      <c r="D1540" s="369"/>
      <c r="E1540" s="370"/>
      <c r="F1540" s="369"/>
      <c r="G1540" s="369"/>
      <c r="H1540" s="369"/>
      <c r="I1540" s="369"/>
      <c r="J1540" s="371"/>
      <c r="K1540" s="372"/>
      <c r="L1540" s="373"/>
      <c r="M1540" s="374"/>
      <c r="N1540" s="374"/>
      <c r="O1540" s="374"/>
      <c r="P1540" s="374"/>
      <c r="Q1540" s="374"/>
      <c r="R1540" s="375"/>
      <c r="S1540" s="376"/>
      <c r="T1540" s="377"/>
      <c r="U1540" s="378"/>
      <c r="V1540" s="379">
        <f ca="1">SUM(V1531:V1539)</f>
        <v>0</v>
      </c>
      <c r="W1540" s="256">
        <f t="shared" ca="1" si="527"/>
        <v>1</v>
      </c>
      <c r="X1540" s="256">
        <f t="shared" ca="1" si="564"/>
        <v>0</v>
      </c>
      <c r="Y1540" s="250"/>
      <c r="Z1540" s="250"/>
    </row>
    <row r="1541" spans="1:29" s="293" customFormat="1" ht="15.75" hidden="1" customHeight="1" x14ac:dyDescent="0.25">
      <c r="A1541" s="288"/>
      <c r="B1541" s="1374" t="str">
        <f>VLOOKUP(A1557,'11 - FINANCEIRO'!_xlnm.Print_Area,1,FALSE)</f>
        <v>2.1.14</v>
      </c>
      <c r="C1541" s="1376" t="str">
        <f>VLOOKUP(A1557,'11 - FINANCEIRO'!_xlnm.Print_Area,3,FALSE)</f>
        <v>Selante Base De Alcatrão E Poliuretano</v>
      </c>
      <c r="D1541" s="1378" t="s">
        <v>477</v>
      </c>
      <c r="E1541" s="1379"/>
      <c r="F1541" s="1379"/>
      <c r="G1541" s="1379"/>
      <c r="H1541" s="1379"/>
      <c r="I1541" s="1380"/>
      <c r="J1541" s="1338" t="s">
        <v>296</v>
      </c>
      <c r="K1541" s="1338" t="s">
        <v>588</v>
      </c>
      <c r="L1541" s="1338" t="s">
        <v>589</v>
      </c>
      <c r="M1541" s="1338" t="s">
        <v>481</v>
      </c>
      <c r="N1541" s="1338" t="s">
        <v>482</v>
      </c>
      <c r="O1541" s="1338" t="s">
        <v>483</v>
      </c>
      <c r="P1541" s="478" t="s">
        <v>484</v>
      </c>
      <c r="Q1541" s="1338" t="s">
        <v>485</v>
      </c>
      <c r="R1541" s="1336" t="s">
        <v>296</v>
      </c>
      <c r="S1541" s="1338" t="s">
        <v>486</v>
      </c>
      <c r="T1541" s="1338" t="s">
        <v>487</v>
      </c>
      <c r="U1541" s="1340" t="s">
        <v>488</v>
      </c>
      <c r="V1541" s="291">
        <f t="shared" ref="V1541:V1557" ca="1" si="567">IF(OFFSET(V1541,1,1)=1,OFFSET(V1541,0,-4),OFFSET(V1541,1,0))</f>
        <v>0</v>
      </c>
      <c r="W1541" s="256">
        <f t="shared" ca="1" si="527"/>
        <v>2</v>
      </c>
      <c r="X1541" s="256">
        <f t="shared" ca="1" si="564"/>
        <v>1</v>
      </c>
      <c r="Y1541" s="256"/>
      <c r="Z1541" s="256"/>
      <c r="AA1541" s="292"/>
      <c r="AB1541" s="292"/>
      <c r="AC1541" s="292"/>
    </row>
    <row r="1542" spans="1:29" s="337" customFormat="1" ht="15.75" hidden="1" x14ac:dyDescent="0.2">
      <c r="A1542" s="288"/>
      <c r="B1542" s="1375"/>
      <c r="C1542" s="1377"/>
      <c r="D1542" s="1342" t="s">
        <v>489</v>
      </c>
      <c r="E1542" s="1343"/>
      <c r="F1542" s="1344"/>
      <c r="G1542" s="1345" t="s">
        <v>490</v>
      </c>
      <c r="H1542" s="1346"/>
      <c r="I1542" s="1347"/>
      <c r="J1542" s="1339"/>
      <c r="K1542" s="1339"/>
      <c r="L1542" s="1339"/>
      <c r="M1542" s="1339"/>
      <c r="N1542" s="1339"/>
      <c r="O1542" s="1339"/>
      <c r="P1542" s="295" t="s">
        <v>491</v>
      </c>
      <c r="Q1542" s="1339"/>
      <c r="R1542" s="1337"/>
      <c r="S1542" s="1339"/>
      <c r="T1542" s="1339"/>
      <c r="U1542" s="1341"/>
      <c r="V1542" s="291">
        <f t="shared" ca="1" si="567"/>
        <v>0</v>
      </c>
      <c r="W1542" s="256">
        <f t="shared" ca="1" si="527"/>
        <v>2</v>
      </c>
      <c r="X1542" s="256">
        <f t="shared" ca="1" si="564"/>
        <v>1</v>
      </c>
      <c r="Y1542" s="336"/>
      <c r="Z1542" s="336"/>
    </row>
    <row r="1543" spans="1:29" s="111" customFormat="1" ht="15.75" hidden="1" x14ac:dyDescent="0.2">
      <c r="A1543" s="288"/>
      <c r="B1543" s="296"/>
      <c r="C1543" s="297" t="s">
        <v>590</v>
      </c>
      <c r="D1543" s="412">
        <v>9</v>
      </c>
      <c r="E1543" s="299" t="s">
        <v>518</v>
      </c>
      <c r="F1543" s="413">
        <v>0</v>
      </c>
      <c r="G1543" s="301"/>
      <c r="H1543" s="302"/>
      <c r="I1543" s="303"/>
      <c r="J1543" s="304"/>
      <c r="K1543" s="480">
        <v>8</v>
      </c>
      <c r="L1543" s="304"/>
      <c r="M1543" s="300"/>
      <c r="N1543" s="299"/>
      <c r="O1543" s="298"/>
      <c r="P1543" s="306"/>
      <c r="Q1543" s="300"/>
      <c r="R1543" s="307">
        <f t="shared" ref="R1543:R1552" si="568">K1543</f>
        <v>8</v>
      </c>
      <c r="S1543" s="304" t="str">
        <f t="shared" ref="S1543:S1552" si="569">$S$1555</f>
        <v>m</v>
      </c>
      <c r="T1543" s="309">
        <v>5</v>
      </c>
      <c r="U1543" s="547" t="s">
        <v>591</v>
      </c>
      <c r="V1543" s="291">
        <f t="shared" ca="1" si="567"/>
        <v>0</v>
      </c>
      <c r="W1543" s="256">
        <f t="shared" ca="1" si="527"/>
        <v>2</v>
      </c>
      <c r="X1543" s="256">
        <f t="shared" ca="1" si="564"/>
        <v>1</v>
      </c>
      <c r="Y1543" s="250"/>
      <c r="Z1543" s="250"/>
    </row>
    <row r="1544" spans="1:29" s="111" customFormat="1" ht="15.75" hidden="1" x14ac:dyDescent="0.2">
      <c r="A1544" s="288"/>
      <c r="B1544" s="311"/>
      <c r="C1544" s="312" t="s">
        <v>590</v>
      </c>
      <c r="D1544" s="417">
        <v>10</v>
      </c>
      <c r="E1544" s="314" t="s">
        <v>518</v>
      </c>
      <c r="F1544" s="418">
        <v>10</v>
      </c>
      <c r="G1544" s="380"/>
      <c r="H1544" s="316"/>
      <c r="I1544" s="381"/>
      <c r="J1544" s="317"/>
      <c r="K1544" s="421">
        <v>8</v>
      </c>
      <c r="L1544" s="317"/>
      <c r="M1544" s="315"/>
      <c r="N1544" s="314"/>
      <c r="O1544" s="313"/>
      <c r="P1544" s="318"/>
      <c r="Q1544" s="315"/>
      <c r="R1544" s="319">
        <f t="shared" si="568"/>
        <v>8</v>
      </c>
      <c r="S1544" s="317" t="str">
        <f t="shared" si="569"/>
        <v>m</v>
      </c>
      <c r="T1544" s="320">
        <v>7</v>
      </c>
      <c r="U1544" s="548" t="s">
        <v>591</v>
      </c>
      <c r="V1544" s="291">
        <f t="shared" ca="1" si="567"/>
        <v>0</v>
      </c>
      <c r="W1544" s="256">
        <f t="shared" ca="1" si="527"/>
        <v>2</v>
      </c>
      <c r="X1544" s="256">
        <f t="shared" ca="1" si="564"/>
        <v>1</v>
      </c>
      <c r="Y1544" s="250"/>
      <c r="Z1544" s="250"/>
    </row>
    <row r="1545" spans="1:29" s="111" customFormat="1" ht="15.75" hidden="1" x14ac:dyDescent="0.2">
      <c r="A1545" s="288"/>
      <c r="B1545" s="311"/>
      <c r="C1545" s="312" t="s">
        <v>590</v>
      </c>
      <c r="D1545" s="417">
        <v>12</v>
      </c>
      <c r="E1545" s="314" t="s">
        <v>518</v>
      </c>
      <c r="F1545" s="418">
        <v>0</v>
      </c>
      <c r="G1545" s="380"/>
      <c r="H1545" s="316"/>
      <c r="I1545" s="381"/>
      <c r="J1545" s="317"/>
      <c r="K1545" s="421">
        <v>8</v>
      </c>
      <c r="L1545" s="317"/>
      <c r="M1545" s="315"/>
      <c r="N1545" s="314"/>
      <c r="O1545" s="313"/>
      <c r="P1545" s="318"/>
      <c r="Q1545" s="315"/>
      <c r="R1545" s="319">
        <f t="shared" si="568"/>
        <v>8</v>
      </c>
      <c r="S1545" s="317" t="str">
        <f t="shared" si="569"/>
        <v>m</v>
      </c>
      <c r="T1545" s="320">
        <v>7</v>
      </c>
      <c r="U1545" s="548" t="s">
        <v>591</v>
      </c>
      <c r="V1545" s="291">
        <f t="shared" ca="1" si="567"/>
        <v>0</v>
      </c>
      <c r="W1545" s="256">
        <f t="shared" ca="1" si="527"/>
        <v>2</v>
      </c>
      <c r="X1545" s="256">
        <f t="shared" ca="1" si="564"/>
        <v>1</v>
      </c>
      <c r="Y1545" s="250"/>
      <c r="Z1545" s="250"/>
    </row>
    <row r="1546" spans="1:29" s="111" customFormat="1" ht="15.75" hidden="1" x14ac:dyDescent="0.2">
      <c r="A1546" s="288"/>
      <c r="B1546" s="311"/>
      <c r="C1546" s="312" t="s">
        <v>590</v>
      </c>
      <c r="D1546" s="417">
        <v>13</v>
      </c>
      <c r="E1546" s="314" t="s">
        <v>518</v>
      </c>
      <c r="F1546" s="418">
        <v>10</v>
      </c>
      <c r="G1546" s="380"/>
      <c r="H1546" s="316"/>
      <c r="I1546" s="381"/>
      <c r="J1546" s="317"/>
      <c r="K1546" s="421">
        <v>10</v>
      </c>
      <c r="L1546" s="317"/>
      <c r="M1546" s="315"/>
      <c r="N1546" s="314"/>
      <c r="O1546" s="313"/>
      <c r="P1546" s="318"/>
      <c r="Q1546" s="315"/>
      <c r="R1546" s="319">
        <f t="shared" si="568"/>
        <v>10</v>
      </c>
      <c r="S1546" s="317" t="str">
        <f t="shared" si="569"/>
        <v>m</v>
      </c>
      <c r="T1546" s="320">
        <v>7</v>
      </c>
      <c r="U1546" s="548" t="s">
        <v>592</v>
      </c>
      <c r="V1546" s="291">
        <f t="shared" ca="1" si="567"/>
        <v>0</v>
      </c>
      <c r="W1546" s="256">
        <f t="shared" ca="1" si="527"/>
        <v>2</v>
      </c>
      <c r="X1546" s="256">
        <f t="shared" ca="1" si="564"/>
        <v>1</v>
      </c>
      <c r="Y1546" s="250"/>
      <c r="Z1546" s="250"/>
    </row>
    <row r="1547" spans="1:29" s="111" customFormat="1" ht="15" hidden="1" x14ac:dyDescent="0.2">
      <c r="A1547" s="288"/>
      <c r="B1547" s="322"/>
      <c r="C1547" s="382" t="s">
        <v>590</v>
      </c>
      <c r="D1547" s="417">
        <v>15</v>
      </c>
      <c r="E1547" s="314" t="s">
        <v>518</v>
      </c>
      <c r="F1547" s="418">
        <v>0</v>
      </c>
      <c r="G1547" s="324"/>
      <c r="H1547" s="325"/>
      <c r="I1547" s="326"/>
      <c r="J1547" s="317"/>
      <c r="K1547" s="422">
        <f>10+2.55+2.55</f>
        <v>15.100000000000001</v>
      </c>
      <c r="L1547" s="317"/>
      <c r="M1547" s="328"/>
      <c r="N1547" s="328"/>
      <c r="O1547" s="334"/>
      <c r="P1547" s="328"/>
      <c r="Q1547" s="334"/>
      <c r="R1547" s="319">
        <f t="shared" si="568"/>
        <v>15.100000000000001</v>
      </c>
      <c r="S1547" s="317" t="str">
        <f t="shared" si="569"/>
        <v>m</v>
      </c>
      <c r="T1547" s="320">
        <v>8</v>
      </c>
      <c r="U1547" s="548" t="s">
        <v>592</v>
      </c>
      <c r="V1547" s="291">
        <f t="shared" ca="1" si="567"/>
        <v>0</v>
      </c>
      <c r="W1547" s="256">
        <f t="shared" ca="1" si="527"/>
        <v>2</v>
      </c>
      <c r="X1547" s="256">
        <f t="shared" ca="1" si="564"/>
        <v>1</v>
      </c>
      <c r="Y1547" s="250"/>
      <c r="Z1547" s="250"/>
    </row>
    <row r="1548" spans="1:29" s="111" customFormat="1" ht="15" hidden="1" x14ac:dyDescent="0.2">
      <c r="A1548" s="288"/>
      <c r="B1548" s="322"/>
      <c r="C1548" s="382" t="s">
        <v>590</v>
      </c>
      <c r="D1548" s="417">
        <v>16</v>
      </c>
      <c r="E1548" s="314" t="s">
        <v>518</v>
      </c>
      <c r="F1548" s="418">
        <v>10</v>
      </c>
      <c r="G1548" s="324"/>
      <c r="H1548" s="325"/>
      <c r="I1548" s="326"/>
      <c r="J1548" s="317"/>
      <c r="K1548" s="422">
        <f>2.55+2.55</f>
        <v>5.0999999999999996</v>
      </c>
      <c r="L1548" s="317"/>
      <c r="M1548" s="328"/>
      <c r="N1548" s="328"/>
      <c r="O1548" s="334"/>
      <c r="P1548" s="328"/>
      <c r="Q1548" s="334"/>
      <c r="R1548" s="319">
        <f t="shared" si="568"/>
        <v>5.0999999999999996</v>
      </c>
      <c r="S1548" s="317" t="str">
        <f t="shared" si="569"/>
        <v>m</v>
      </c>
      <c r="T1548" s="320">
        <v>10</v>
      </c>
      <c r="U1548" s="548" t="s">
        <v>593</v>
      </c>
      <c r="V1548" s="291">
        <f t="shared" ca="1" si="567"/>
        <v>0</v>
      </c>
      <c r="W1548" s="256">
        <f t="shared" ca="1" si="527"/>
        <v>2</v>
      </c>
      <c r="X1548" s="256">
        <f ca="1">IF(COUNTA(OFFSET(A1546,1,0))-COUNTA(A1546)=-1,0,1)</f>
        <v>1</v>
      </c>
      <c r="Y1548" s="250"/>
      <c r="Z1548" s="250"/>
    </row>
    <row r="1549" spans="1:29" s="111" customFormat="1" ht="15" hidden="1" x14ac:dyDescent="0.2">
      <c r="A1549" s="288"/>
      <c r="B1549" s="322"/>
      <c r="C1549" s="382" t="s">
        <v>590</v>
      </c>
      <c r="D1549" s="417">
        <v>18</v>
      </c>
      <c r="E1549" s="314" t="s">
        <v>518</v>
      </c>
      <c r="F1549" s="418">
        <v>0</v>
      </c>
      <c r="G1549" s="324"/>
      <c r="H1549" s="325"/>
      <c r="I1549" s="326"/>
      <c r="J1549" s="317"/>
      <c r="K1549" s="422">
        <f>2.55+2.55</f>
        <v>5.0999999999999996</v>
      </c>
      <c r="L1549" s="317"/>
      <c r="M1549" s="328"/>
      <c r="N1549" s="328"/>
      <c r="O1549" s="334"/>
      <c r="P1549" s="328"/>
      <c r="Q1549" s="334"/>
      <c r="R1549" s="319">
        <f t="shared" si="568"/>
        <v>5.0999999999999996</v>
      </c>
      <c r="S1549" s="317" t="str">
        <f t="shared" si="569"/>
        <v>m</v>
      </c>
      <c r="T1549" s="320">
        <v>10</v>
      </c>
      <c r="U1549" s="548" t="s">
        <v>593</v>
      </c>
      <c r="V1549" s="291">
        <f t="shared" ca="1" si="567"/>
        <v>0</v>
      </c>
      <c r="W1549" s="256">
        <f t="shared" ca="1" si="527"/>
        <v>2</v>
      </c>
      <c r="X1549" s="256">
        <f ca="1">IF(COUNTA(OFFSET(A1547,1,0))-COUNTA(A1547)=-1,0,1)</f>
        <v>1</v>
      </c>
      <c r="Y1549" s="250"/>
      <c r="Z1549" s="250"/>
    </row>
    <row r="1550" spans="1:29" s="111" customFormat="1" ht="15" hidden="1" x14ac:dyDescent="0.2">
      <c r="A1550" s="288"/>
      <c r="B1550" s="322"/>
      <c r="C1550" s="382" t="s">
        <v>590</v>
      </c>
      <c r="D1550" s="417">
        <v>21</v>
      </c>
      <c r="E1550" s="314" t="s">
        <v>518</v>
      </c>
      <c r="F1550" s="418">
        <v>0</v>
      </c>
      <c r="G1550" s="324"/>
      <c r="H1550" s="325"/>
      <c r="I1550" s="326"/>
      <c r="J1550" s="317"/>
      <c r="K1550" s="422">
        <f>2.55+2.55</f>
        <v>5.0999999999999996</v>
      </c>
      <c r="L1550" s="317"/>
      <c r="M1550" s="328"/>
      <c r="N1550" s="328"/>
      <c r="O1550" s="334"/>
      <c r="P1550" s="328"/>
      <c r="Q1550" s="334"/>
      <c r="R1550" s="319">
        <f t="shared" si="568"/>
        <v>5.0999999999999996</v>
      </c>
      <c r="S1550" s="317" t="str">
        <f t="shared" si="569"/>
        <v>m</v>
      </c>
      <c r="T1550" s="320">
        <v>11</v>
      </c>
      <c r="U1550" s="548" t="s">
        <v>593</v>
      </c>
      <c r="V1550" s="291">
        <f t="shared" ca="1" si="567"/>
        <v>0</v>
      </c>
      <c r="W1550" s="256">
        <f t="shared" ca="1" si="527"/>
        <v>2</v>
      </c>
      <c r="X1550" s="256">
        <f ca="1">IF(COUNTA(OFFSET(A1547,1,0))-COUNTA(A1547)=-1,0,1)</f>
        <v>1</v>
      </c>
      <c r="Y1550" s="250"/>
      <c r="Z1550" s="250"/>
    </row>
    <row r="1551" spans="1:29" s="111" customFormat="1" ht="15" hidden="1" x14ac:dyDescent="0.2">
      <c r="A1551" s="288"/>
      <c r="B1551" s="322"/>
      <c r="C1551" s="382" t="s">
        <v>590</v>
      </c>
      <c r="D1551" s="417">
        <v>22</v>
      </c>
      <c r="E1551" s="314" t="s">
        <v>518</v>
      </c>
      <c r="F1551" s="418">
        <v>10</v>
      </c>
      <c r="G1551" s="324"/>
      <c r="H1551" s="325"/>
      <c r="I1551" s="326"/>
      <c r="J1551" s="317"/>
      <c r="K1551" s="422">
        <f>2.55+2.55</f>
        <v>5.0999999999999996</v>
      </c>
      <c r="L1551" s="317"/>
      <c r="M1551" s="328"/>
      <c r="N1551" s="328"/>
      <c r="O1551" s="334"/>
      <c r="P1551" s="328"/>
      <c r="Q1551" s="334"/>
      <c r="R1551" s="319">
        <f t="shared" si="568"/>
        <v>5.0999999999999996</v>
      </c>
      <c r="S1551" s="317" t="str">
        <f t="shared" si="569"/>
        <v>m</v>
      </c>
      <c r="T1551" s="320">
        <v>11</v>
      </c>
      <c r="U1551" s="548" t="s">
        <v>593</v>
      </c>
      <c r="V1551" s="291">
        <f t="shared" ca="1" si="567"/>
        <v>0</v>
      </c>
      <c r="W1551" s="256">
        <f t="shared" ca="1" si="527"/>
        <v>2</v>
      </c>
      <c r="X1551" s="256">
        <f ca="1">IF(COUNTA(OFFSET(A1548,1,0))-COUNTA(A1548)=-1,0,1)</f>
        <v>1</v>
      </c>
      <c r="Y1551" s="250"/>
      <c r="Z1551" s="250"/>
    </row>
    <row r="1552" spans="1:29" s="111" customFormat="1" ht="15" hidden="1" x14ac:dyDescent="0.2">
      <c r="A1552" s="288"/>
      <c r="B1552" s="322"/>
      <c r="C1552" s="382" t="s">
        <v>590</v>
      </c>
      <c r="D1552" s="417">
        <v>24</v>
      </c>
      <c r="E1552" s="314" t="s">
        <v>518</v>
      </c>
      <c r="F1552" s="418">
        <v>0</v>
      </c>
      <c r="G1552" s="324"/>
      <c r="H1552" s="325"/>
      <c r="I1552" s="326"/>
      <c r="J1552" s="317"/>
      <c r="K1552" s="422">
        <f>2.55+2.55</f>
        <v>5.0999999999999996</v>
      </c>
      <c r="L1552" s="317"/>
      <c r="M1552" s="328"/>
      <c r="N1552" s="328"/>
      <c r="O1552" s="334"/>
      <c r="P1552" s="328"/>
      <c r="Q1552" s="334"/>
      <c r="R1552" s="319">
        <f t="shared" si="568"/>
        <v>5.0999999999999996</v>
      </c>
      <c r="S1552" s="317" t="str">
        <f t="shared" si="569"/>
        <v>m</v>
      </c>
      <c r="T1552" s="320">
        <v>12</v>
      </c>
      <c r="U1552" s="548" t="s">
        <v>593</v>
      </c>
      <c r="V1552" s="291">
        <f t="shared" ca="1" si="567"/>
        <v>0</v>
      </c>
      <c r="W1552" s="256">
        <f t="shared" ca="1" si="527"/>
        <v>2</v>
      </c>
      <c r="X1552" s="256">
        <f ca="1">IF(COUNTA(OFFSET(A1549,1,0))-COUNTA(A1549)=-1,0,1)</f>
        <v>1</v>
      </c>
      <c r="Y1552" s="250"/>
      <c r="Z1552" s="250"/>
    </row>
    <row r="1553" spans="1:29" s="111" customFormat="1" ht="15" hidden="1" x14ac:dyDescent="0.2">
      <c r="A1553" s="288"/>
      <c r="B1553" s="322"/>
      <c r="C1553" s="382"/>
      <c r="D1553" s="324"/>
      <c r="E1553" s="325"/>
      <c r="F1553" s="326"/>
      <c r="G1553" s="324"/>
      <c r="H1553" s="325"/>
      <c r="I1553" s="326"/>
      <c r="J1553" s="317"/>
      <c r="K1553" s="328"/>
      <c r="L1553" s="328"/>
      <c r="M1553" s="328"/>
      <c r="N1553" s="328"/>
      <c r="O1553" s="334"/>
      <c r="P1553" s="328"/>
      <c r="Q1553" s="334"/>
      <c r="R1553" s="333"/>
      <c r="S1553" s="331"/>
      <c r="T1553" s="320"/>
      <c r="U1553" s="335"/>
      <c r="V1553" s="291">
        <f t="shared" ca="1" si="567"/>
        <v>0</v>
      </c>
      <c r="W1553" s="256">
        <f t="shared" ca="1" si="527"/>
        <v>0</v>
      </c>
      <c r="X1553" s="256">
        <f ca="1">IF(COUNTA(OFFSET(A1547,1,0))-COUNTA(A1547)=-1,0,1)</f>
        <v>1</v>
      </c>
      <c r="Y1553" s="250"/>
      <c r="Z1553" s="250"/>
    </row>
    <row r="1554" spans="1:29" s="111" customFormat="1" ht="15" hidden="1" x14ac:dyDescent="0.2">
      <c r="A1554" s="288"/>
      <c r="B1554" s="338"/>
      <c r="C1554" s="339"/>
      <c r="D1554" s="340"/>
      <c r="E1554" s="341"/>
      <c r="F1554" s="342"/>
      <c r="G1554" s="340"/>
      <c r="H1554" s="341"/>
      <c r="I1554" s="342"/>
      <c r="J1554" s="343"/>
      <c r="K1554" s="344"/>
      <c r="L1554" s="345"/>
      <c r="M1554" s="346"/>
      <c r="N1554" s="347"/>
      <c r="O1554" s="348"/>
      <c r="P1554" s="345"/>
      <c r="Q1554" s="349"/>
      <c r="R1554" s="350"/>
      <c r="S1554" s="351"/>
      <c r="T1554" s="352"/>
      <c r="U1554" s="353"/>
      <c r="V1554" s="291">
        <f t="shared" ca="1" si="567"/>
        <v>0</v>
      </c>
      <c r="W1554" s="256">
        <f t="shared" ca="1" si="527"/>
        <v>0</v>
      </c>
      <c r="X1554" s="256">
        <f t="shared" ca="1" si="564"/>
        <v>1</v>
      </c>
      <c r="Y1554" s="250"/>
      <c r="Z1554" s="250"/>
    </row>
    <row r="1555" spans="1:29" s="111" customFormat="1" ht="15.75" hidden="1" x14ac:dyDescent="0.2">
      <c r="A1555" s="288"/>
      <c r="B1555" s="354"/>
      <c r="C1555" s="355"/>
      <c r="D1555" s="1354" t="s">
        <v>492</v>
      </c>
      <c r="E1555" s="1355"/>
      <c r="F1555" s="1355"/>
      <c r="G1555" s="1355"/>
      <c r="H1555" s="1355"/>
      <c r="I1555" s="1356"/>
      <c r="J1555" s="1357">
        <f>VLOOKUP(A1557,'11 - FINANCEIRO'!_xlnm.Print_Area,6,FALSE)</f>
        <v>1180</v>
      </c>
      <c r="K1555" s="1358"/>
      <c r="L1555" s="356" t="str">
        <f>VLOOKUP(A1557,'11 - FINANCEIRO'!_xlnm.Print_Area,4,FALSE)</f>
        <v>m</v>
      </c>
      <c r="M1555" s="1359" t="s">
        <v>493</v>
      </c>
      <c r="N1555" s="1360"/>
      <c r="O1555" s="1360"/>
      <c r="P1555" s="1360"/>
      <c r="Q1555" s="1361"/>
      <c r="R1555" s="357">
        <f>TRUNC(SUM(R1543:R1554),3)</f>
        <v>74.599999999999994</v>
      </c>
      <c r="S1555" s="358" t="str">
        <f>L1555</f>
        <v>m</v>
      </c>
      <c r="T1555" s="359"/>
      <c r="U1555" s="360"/>
      <c r="V1555" s="291">
        <f t="shared" ca="1" si="567"/>
        <v>0</v>
      </c>
      <c r="W1555" s="256">
        <f t="shared" ca="1" si="527"/>
        <v>2</v>
      </c>
      <c r="X1555" s="256">
        <f t="shared" ca="1" si="564"/>
        <v>1</v>
      </c>
      <c r="Y1555" s="250"/>
      <c r="Z1555" s="250"/>
    </row>
    <row r="1556" spans="1:29" s="395" customFormat="1" ht="15.75" hidden="1" x14ac:dyDescent="0.2">
      <c r="A1556" s="276"/>
      <c r="B1556" s="354"/>
      <c r="C1556" s="361"/>
      <c r="D1556" s="1362" t="s">
        <v>494</v>
      </c>
      <c r="E1556" s="1363"/>
      <c r="F1556" s="1363"/>
      <c r="G1556" s="1363"/>
      <c r="H1556" s="1363"/>
      <c r="I1556" s="1364"/>
      <c r="J1556" s="1365">
        <f>R1555/J1555</f>
        <v>6.3220338983050836E-2</v>
      </c>
      <c r="K1556" s="1366"/>
      <c r="L1556" s="1369"/>
      <c r="M1556" s="1371" t="s">
        <v>495</v>
      </c>
      <c r="N1556" s="1372"/>
      <c r="O1556" s="1372"/>
      <c r="P1556" s="1372"/>
      <c r="Q1556" s="1373"/>
      <c r="R1556" s="362">
        <f>VLOOKUP(A1557,'11 - FINANCEIRO'!_xlnm.Print_Area,8,FALSE)</f>
        <v>74.599999999999994</v>
      </c>
      <c r="S1556" s="363" t="str">
        <f>L1555</f>
        <v>m</v>
      </c>
      <c r="T1556" s="359"/>
      <c r="U1556" s="360"/>
      <c r="V1556" s="291">
        <f t="shared" ca="1" si="567"/>
        <v>0</v>
      </c>
      <c r="W1556" s="256">
        <f t="shared" ref="W1556:W1783" ca="1" si="570">IF(LEFT(_xlfn.FORMULATEXT(V1556),3)="=SO",1,IF(COUNTA(A1556:U1556)=0,0,2))</f>
        <v>2</v>
      </c>
      <c r="X1556" s="256">
        <f t="shared" ca="1" si="564"/>
        <v>1</v>
      </c>
    </row>
    <row r="1557" spans="1:29" s="293" customFormat="1" ht="15.75" hidden="1" x14ac:dyDescent="0.2">
      <c r="A1557" s="288" t="s">
        <v>40</v>
      </c>
      <c r="B1557" s="364"/>
      <c r="C1557" s="365"/>
      <c r="D1557" s="1354"/>
      <c r="E1557" s="1355"/>
      <c r="F1557" s="1355"/>
      <c r="G1557" s="1355"/>
      <c r="H1557" s="1355"/>
      <c r="I1557" s="1356"/>
      <c r="J1557" s="1367"/>
      <c r="K1557" s="1368"/>
      <c r="L1557" s="1370"/>
      <c r="M1557" s="1371" t="s">
        <v>496</v>
      </c>
      <c r="N1557" s="1372"/>
      <c r="O1557" s="1372"/>
      <c r="P1557" s="1372"/>
      <c r="Q1557" s="1373"/>
      <c r="R1557" s="362">
        <f>R1555-R1556</f>
        <v>0</v>
      </c>
      <c r="S1557" s="363" t="str">
        <f>L1555</f>
        <v>m</v>
      </c>
      <c r="T1557" s="366"/>
      <c r="U1557" s="367"/>
      <c r="V1557" s="291">
        <f t="shared" ca="1" si="567"/>
        <v>0</v>
      </c>
      <c r="W1557" s="256">
        <f t="shared" ca="1" si="570"/>
        <v>2</v>
      </c>
      <c r="X1557" s="256">
        <f t="shared" ca="1" si="564"/>
        <v>1</v>
      </c>
      <c r="Y1557" s="256"/>
      <c r="Z1557" s="256"/>
      <c r="AA1557" s="292"/>
      <c r="AB1557" s="292"/>
      <c r="AC1557" s="292"/>
    </row>
    <row r="1558" spans="1:29" s="111" customFormat="1" ht="15.75" hidden="1" x14ac:dyDescent="0.2">
      <c r="A1558" s="288"/>
      <c r="B1558" s="368"/>
      <c r="C1558" s="365"/>
      <c r="D1558" s="369"/>
      <c r="E1558" s="370"/>
      <c r="F1558" s="369"/>
      <c r="G1558" s="369"/>
      <c r="H1558" s="369"/>
      <c r="I1558" s="369"/>
      <c r="J1558" s="371"/>
      <c r="K1558" s="372"/>
      <c r="L1558" s="373"/>
      <c r="M1558" s="374"/>
      <c r="N1558" s="374"/>
      <c r="O1558" s="374"/>
      <c r="P1558" s="374"/>
      <c r="Q1558" s="374"/>
      <c r="R1558" s="375"/>
      <c r="S1558" s="376"/>
      <c r="T1558" s="377"/>
      <c r="U1558" s="378"/>
      <c r="V1558" s="379">
        <f ca="1">SUM(V1541:V1557)</f>
        <v>0</v>
      </c>
      <c r="W1558" s="256">
        <f t="shared" ca="1" si="570"/>
        <v>1</v>
      </c>
      <c r="X1558" s="256">
        <f t="shared" ca="1" si="564"/>
        <v>0</v>
      </c>
      <c r="Y1558" s="250"/>
      <c r="Z1558" s="250"/>
    </row>
    <row r="1559" spans="1:29" s="293" customFormat="1" ht="15.75" x14ac:dyDescent="0.2">
      <c r="A1559" s="288"/>
      <c r="B1559" s="385" t="str">
        <f>LEFT(A1616,5)</f>
        <v>2.2</v>
      </c>
      <c r="C1559" s="386" t="str">
        <f>VLOOKUP(LEFT(A1616,5),'11 - FINANCEIRO'!_xlnm.Print_Area,2,FALSE)</f>
        <v>Terraplanagem e Pavimentação</v>
      </c>
      <c r="D1559" s="386"/>
      <c r="E1559" s="387"/>
      <c r="F1559" s="386"/>
      <c r="G1559" s="1395"/>
      <c r="H1559" s="1395"/>
      <c r="I1559" s="1395"/>
      <c r="J1559" s="1395"/>
      <c r="K1559" s="1395"/>
      <c r="L1559" s="1395"/>
      <c r="M1559" s="389"/>
      <c r="N1559" s="390"/>
      <c r="O1559" s="1418"/>
      <c r="P1559" s="1418"/>
      <c r="Q1559" s="1418"/>
      <c r="R1559" s="1419"/>
      <c r="S1559" s="407"/>
      <c r="T1559" s="408"/>
      <c r="U1559" s="409"/>
      <c r="V1559" s="549">
        <f ca="1">SUM(V1560:V1816)</f>
        <v>-43979564.784000106</v>
      </c>
      <c r="W1559" s="256">
        <f t="shared" ca="1" si="570"/>
        <v>1</v>
      </c>
      <c r="X1559" s="256">
        <f t="shared" ca="1" si="564"/>
        <v>1</v>
      </c>
      <c r="Y1559" s="256"/>
      <c r="Z1559" s="256"/>
      <c r="AA1559" s="292"/>
      <c r="AB1559" s="292"/>
      <c r="AC1559" s="292"/>
    </row>
    <row r="1560" spans="1:29" s="293" customFormat="1" ht="15.75" customHeight="1" x14ac:dyDescent="0.25">
      <c r="A1560" s="288"/>
      <c r="B1560" s="1374" t="str">
        <f>VLOOKUP(A1617,'11 - FINANCEIRO'!_xlnm.Print_Area,1,FALSE)</f>
        <v>2.2.1</v>
      </c>
      <c r="C1560" s="1376" t="str">
        <f>VLOOKUP(A1617,'11 - FINANCEIRO'!_xlnm.Print_Area,3,FALSE)</f>
        <v>Escavação, Carga E Transporte De Material De 1º Categoria</v>
      </c>
      <c r="D1560" s="1378" t="s">
        <v>477</v>
      </c>
      <c r="E1560" s="1379"/>
      <c r="F1560" s="1379"/>
      <c r="G1560" s="1379"/>
      <c r="H1560" s="1379"/>
      <c r="I1560" s="1380"/>
      <c r="J1560" s="1338" t="s">
        <v>478</v>
      </c>
      <c r="K1560" s="1338" t="s">
        <v>479</v>
      </c>
      <c r="L1560" s="1338" t="s">
        <v>483</v>
      </c>
      <c r="M1560" s="1338"/>
      <c r="N1560" s="1338"/>
      <c r="O1560" s="1338"/>
      <c r="P1560" s="290"/>
      <c r="Q1560" s="1338"/>
      <c r="R1560" s="1336" t="s">
        <v>296</v>
      </c>
      <c r="S1560" s="1338" t="s">
        <v>486</v>
      </c>
      <c r="T1560" s="1338" t="s">
        <v>487</v>
      </c>
      <c r="U1560" s="1340" t="s">
        <v>488</v>
      </c>
      <c r="V1560" s="291">
        <f t="shared" ref="V1560:V1617" ca="1" si="571">IF(OFFSET(V1560,1,1)=1,OFFSET(V1560,0,-4),OFFSET(V1560,1,0))</f>
        <v>3216.2079999999987</v>
      </c>
      <c r="W1560" s="256">
        <f t="shared" ca="1" si="570"/>
        <v>2</v>
      </c>
      <c r="X1560" s="256">
        <f t="shared" ca="1" si="564"/>
        <v>1</v>
      </c>
      <c r="Y1560" s="256"/>
      <c r="Z1560" s="256"/>
      <c r="AA1560" s="292"/>
      <c r="AB1560" s="292"/>
      <c r="AC1560" s="292"/>
    </row>
    <row r="1561" spans="1:29" s="337" customFormat="1" ht="15.75" x14ac:dyDescent="0.2">
      <c r="A1561" s="288"/>
      <c r="B1561" s="1375"/>
      <c r="C1561" s="1377"/>
      <c r="D1561" s="1342" t="s">
        <v>489</v>
      </c>
      <c r="E1561" s="1343"/>
      <c r="F1561" s="1344"/>
      <c r="G1561" s="1345" t="s">
        <v>490</v>
      </c>
      <c r="H1561" s="1346"/>
      <c r="I1561" s="1347"/>
      <c r="J1561" s="1339"/>
      <c r="K1561" s="1339"/>
      <c r="L1561" s="1339"/>
      <c r="M1561" s="1339"/>
      <c r="N1561" s="1339"/>
      <c r="O1561" s="1339"/>
      <c r="P1561" s="295"/>
      <c r="Q1561" s="1339"/>
      <c r="R1561" s="1337"/>
      <c r="S1561" s="1339"/>
      <c r="T1561" s="1339"/>
      <c r="U1561" s="1341"/>
      <c r="V1561" s="291">
        <f t="shared" ca="1" si="571"/>
        <v>3216.2079999999987</v>
      </c>
      <c r="W1561" s="256">
        <f t="shared" ref="W1561:W1617" ca="1" si="572">IF(LEFT(_xlfn.FORMULATEXT(V1561),3)="=SO",1,IF(COUNTA(A1561:U1561)=0,0,2))</f>
        <v>2</v>
      </c>
      <c r="X1561" s="256">
        <f t="shared" ref="X1561:X1617" ca="1" si="573">IF(COUNTA(OFFSET(A1560,1,0))-COUNTA(A1560)=-1,0,1)</f>
        <v>1</v>
      </c>
      <c r="Y1561" s="336"/>
      <c r="Z1561" s="336"/>
    </row>
    <row r="1562" spans="1:29" s="111" customFormat="1" ht="15" x14ac:dyDescent="0.2">
      <c r="A1562" s="288"/>
      <c r="B1562" s="479"/>
      <c r="C1562" s="539"/>
      <c r="D1562" s="412"/>
      <c r="E1562" s="299"/>
      <c r="F1562" s="413"/>
      <c r="G1562" s="414"/>
      <c r="H1562" s="302"/>
      <c r="I1562" s="415"/>
      <c r="J1562" s="304"/>
      <c r="K1562" s="480"/>
      <c r="L1562" s="308">
        <f>16422.672</f>
        <v>16422.671999999999</v>
      </c>
      <c r="M1562" s="482"/>
      <c r="N1562" s="482"/>
      <c r="O1562" s="483"/>
      <c r="P1562" s="482"/>
      <c r="Q1562" s="483"/>
      <c r="R1562" s="546"/>
      <c r="S1562" s="484"/>
      <c r="T1562" s="309">
        <v>15</v>
      </c>
      <c r="U1562" s="547" t="s">
        <v>594</v>
      </c>
      <c r="V1562" s="291">
        <f t="shared" ca="1" si="571"/>
        <v>3216.2079999999987</v>
      </c>
      <c r="W1562" s="256">
        <f t="shared" ca="1" si="572"/>
        <v>2</v>
      </c>
      <c r="X1562" s="256">
        <f t="shared" ca="1" si="573"/>
        <v>1</v>
      </c>
      <c r="Y1562" s="250"/>
      <c r="Z1562" s="250"/>
      <c r="AA1562" s="111">
        <f>1700*0.8</f>
        <v>1360</v>
      </c>
    </row>
    <row r="1563" spans="1:29" s="111" customFormat="1" ht="30" x14ac:dyDescent="0.2">
      <c r="A1563" s="399"/>
      <c r="B1563" s="494"/>
      <c r="C1563" s="550" t="s">
        <v>595</v>
      </c>
      <c r="D1563" s="551">
        <v>5</v>
      </c>
      <c r="E1563" s="552" t="s">
        <v>518</v>
      </c>
      <c r="F1563" s="553">
        <v>5</v>
      </c>
      <c r="G1563" s="496">
        <v>28</v>
      </c>
      <c r="H1563" s="497" t="s">
        <v>518</v>
      </c>
      <c r="I1563" s="498">
        <v>10</v>
      </c>
      <c r="J1563" s="508"/>
      <c r="K1563" s="500">
        <f>ABS((G1563*20+I1563)-(D1563*20+F1563))</f>
        <v>465</v>
      </c>
      <c r="L1563" s="554">
        <f>13989.0754277452</f>
        <v>13989.0754277452</v>
      </c>
      <c r="M1563" s="555"/>
      <c r="N1563" s="555"/>
      <c r="O1563" s="556"/>
      <c r="P1563" s="555"/>
      <c r="Q1563" s="557"/>
      <c r="R1563" s="558">
        <f>L1563</f>
        <v>13989.0754277452</v>
      </c>
      <c r="S1563" s="505" t="str">
        <f>$S$1615</f>
        <v>m³</v>
      </c>
      <c r="T1563" s="506">
        <v>13</v>
      </c>
      <c r="U1563" s="559" t="s">
        <v>596</v>
      </c>
      <c r="V1563" s="291">
        <f t="shared" ca="1" si="571"/>
        <v>3216.2079999999987</v>
      </c>
      <c r="W1563" s="256">
        <f t="shared" ca="1" si="572"/>
        <v>2</v>
      </c>
      <c r="X1563" s="256">
        <f t="shared" ca="1" si="573"/>
        <v>1</v>
      </c>
      <c r="Y1563" s="250"/>
      <c r="Z1563" s="250"/>
    </row>
    <row r="1564" spans="1:29" s="111" customFormat="1" ht="30" x14ac:dyDescent="0.2">
      <c r="A1564" s="399"/>
      <c r="B1564" s="494"/>
      <c r="C1564" s="550" t="s">
        <v>597</v>
      </c>
      <c r="D1564" s="551">
        <v>28</v>
      </c>
      <c r="E1564" s="552" t="s">
        <v>518</v>
      </c>
      <c r="F1564" s="553">
        <v>10</v>
      </c>
      <c r="G1564" s="496">
        <v>32</v>
      </c>
      <c r="H1564" s="497" t="s">
        <v>518</v>
      </c>
      <c r="I1564" s="498">
        <v>0</v>
      </c>
      <c r="J1564" s="560"/>
      <c r="K1564" s="500">
        <f>ABS((G1564*20+I1564)-(D1564*20+F1564))</f>
        <v>70</v>
      </c>
      <c r="L1564" s="554">
        <f>L1562-L1563</f>
        <v>2433.596572254799</v>
      </c>
      <c r="M1564" s="501"/>
      <c r="N1564" s="501"/>
      <c r="O1564" s="503"/>
      <c r="P1564" s="501"/>
      <c r="Q1564" s="503"/>
      <c r="R1564" s="504">
        <f>L1564</f>
        <v>2433.596572254799</v>
      </c>
      <c r="S1564" s="505" t="str">
        <f>$S$1615</f>
        <v>m³</v>
      </c>
      <c r="T1564" s="506">
        <v>15</v>
      </c>
      <c r="U1564" s="561" t="s">
        <v>596</v>
      </c>
      <c r="V1564" s="291">
        <f t="shared" ca="1" si="571"/>
        <v>3216.2079999999987</v>
      </c>
      <c r="W1564" s="256">
        <f t="shared" ca="1" si="572"/>
        <v>2</v>
      </c>
      <c r="X1564" s="256">
        <f t="shared" ca="1" si="573"/>
        <v>1</v>
      </c>
      <c r="Y1564" s="250"/>
      <c r="Z1564" s="250"/>
    </row>
    <row r="1565" spans="1:29" s="111" customFormat="1" ht="15" x14ac:dyDescent="0.2">
      <c r="A1565" s="399"/>
      <c r="B1565" s="494"/>
      <c r="C1565" s="1025"/>
      <c r="D1565" s="1026"/>
      <c r="E1565" s="1027"/>
      <c r="F1565" s="1028"/>
      <c r="G1565" s="1029"/>
      <c r="H1565" s="1030"/>
      <c r="I1565" s="1031"/>
      <c r="J1565" s="1032"/>
      <c r="K1565" s="1033"/>
      <c r="L1565" s="1034"/>
      <c r="M1565" s="1035"/>
      <c r="N1565" s="1035"/>
      <c r="O1565" s="1036"/>
      <c r="P1565" s="1035"/>
      <c r="Q1565" s="1036"/>
      <c r="R1565" s="1037"/>
      <c r="S1565" s="1038"/>
      <c r="T1565" s="1039"/>
      <c r="U1565" s="561" t="s">
        <v>1173</v>
      </c>
      <c r="V1565" s="291">
        <f t="shared" ca="1" si="571"/>
        <v>3216.2079999999987</v>
      </c>
      <c r="W1565" s="256">
        <f t="shared" ca="1" si="572"/>
        <v>2</v>
      </c>
      <c r="X1565" s="256">
        <f t="shared" ca="1" si="573"/>
        <v>1</v>
      </c>
      <c r="Y1565" s="250"/>
      <c r="Z1565" s="250"/>
    </row>
    <row r="1566" spans="1:29" s="111" customFormat="1" ht="30" x14ac:dyDescent="0.2">
      <c r="A1566" s="399"/>
      <c r="B1566" s="494"/>
      <c r="C1566" s="550" t="s">
        <v>685</v>
      </c>
      <c r="D1566" s="419">
        <v>99</v>
      </c>
      <c r="E1566" s="316" t="s">
        <v>518</v>
      </c>
      <c r="F1566" s="420">
        <v>10</v>
      </c>
      <c r="G1566" s="419">
        <v>99</v>
      </c>
      <c r="H1566" s="316" t="s">
        <v>518</v>
      </c>
      <c r="I1566" s="420">
        <v>10</v>
      </c>
      <c r="J1566" s="560"/>
      <c r="K1566" s="500">
        <v>15</v>
      </c>
      <c r="L1566" s="554">
        <f>(((12+5)/2)*4.5)</f>
        <v>38.25</v>
      </c>
      <c r="M1566" s="501"/>
      <c r="N1566" s="501"/>
      <c r="O1566" s="503"/>
      <c r="P1566" s="501"/>
      <c r="Q1566" s="503"/>
      <c r="R1566" s="504">
        <f>L1566*K1566</f>
        <v>573.75</v>
      </c>
      <c r="S1566" s="505" t="str">
        <f>$S$1615</f>
        <v>m³</v>
      </c>
      <c r="T1566" s="506">
        <v>18</v>
      </c>
      <c r="U1566" s="561" t="s">
        <v>689</v>
      </c>
      <c r="V1566" s="291">
        <f t="shared" ca="1" si="571"/>
        <v>3216.2079999999987</v>
      </c>
      <c r="W1566" s="256">
        <f t="shared" ca="1" si="572"/>
        <v>2</v>
      </c>
      <c r="X1566" s="256">
        <f t="shared" ca="1" si="573"/>
        <v>1</v>
      </c>
      <c r="Y1566" s="250"/>
      <c r="Z1566" s="250"/>
    </row>
    <row r="1567" spans="1:29" s="111" customFormat="1" ht="15" x14ac:dyDescent="0.2">
      <c r="A1567" s="399"/>
      <c r="B1567" s="494"/>
      <c r="C1567" s="382" t="s">
        <v>686</v>
      </c>
      <c r="D1567" s="419">
        <v>96</v>
      </c>
      <c r="E1567" s="316" t="s">
        <v>518</v>
      </c>
      <c r="F1567" s="420">
        <v>0</v>
      </c>
      <c r="G1567" s="419">
        <v>96</v>
      </c>
      <c r="H1567" s="316" t="s">
        <v>518</v>
      </c>
      <c r="I1567" s="420">
        <v>0</v>
      </c>
      <c r="J1567" s="560"/>
      <c r="K1567" s="500">
        <v>15</v>
      </c>
      <c r="L1567" s="554">
        <f>(((12+5)/2)*4.5)</f>
        <v>38.25</v>
      </c>
      <c r="M1567" s="501"/>
      <c r="N1567" s="501"/>
      <c r="O1567" s="503"/>
      <c r="P1567" s="501"/>
      <c r="Q1567" s="503"/>
      <c r="R1567" s="504">
        <f>L1567*K1567</f>
        <v>573.75</v>
      </c>
      <c r="S1567" s="505" t="s">
        <v>323</v>
      </c>
      <c r="T1567" s="506">
        <v>18</v>
      </c>
      <c r="U1567" s="561"/>
      <c r="V1567" s="291">
        <f t="shared" ca="1" si="571"/>
        <v>3216.2079999999987</v>
      </c>
      <c r="W1567" s="256">
        <f t="shared" ca="1" si="572"/>
        <v>2</v>
      </c>
      <c r="X1567" s="256">
        <f t="shared" ca="1" si="573"/>
        <v>1</v>
      </c>
      <c r="Y1567" s="250"/>
      <c r="Z1567" s="250"/>
    </row>
    <row r="1568" spans="1:29" s="111" customFormat="1" ht="15" x14ac:dyDescent="0.2">
      <c r="A1568" s="399"/>
      <c r="B1568" s="494"/>
      <c r="C1568" s="550" t="s">
        <v>687</v>
      </c>
      <c r="D1568" s="419">
        <v>99</v>
      </c>
      <c r="E1568" s="316" t="s">
        <v>518</v>
      </c>
      <c r="F1568" s="420">
        <v>10</v>
      </c>
      <c r="G1568" s="419">
        <v>99</v>
      </c>
      <c r="H1568" s="316" t="s">
        <v>518</v>
      </c>
      <c r="I1568" s="420">
        <v>10</v>
      </c>
      <c r="J1568" s="560"/>
      <c r="K1568" s="500">
        <v>15</v>
      </c>
      <c r="L1568" s="554">
        <f>(((12+5)/2)*2.5)</f>
        <v>21.25</v>
      </c>
      <c r="M1568" s="501"/>
      <c r="N1568" s="501"/>
      <c r="O1568" s="503"/>
      <c r="P1568" s="501"/>
      <c r="Q1568" s="503"/>
      <c r="R1568" s="504">
        <f>L1568*K1568</f>
        <v>318.75</v>
      </c>
      <c r="S1568" s="505" t="s">
        <v>323</v>
      </c>
      <c r="T1568" s="506">
        <v>18</v>
      </c>
      <c r="U1568" s="561"/>
      <c r="V1568" s="291">
        <f t="shared" ca="1" si="571"/>
        <v>3216.2079999999987</v>
      </c>
      <c r="W1568" s="256">
        <f t="shared" ca="1" si="572"/>
        <v>2</v>
      </c>
      <c r="X1568" s="256">
        <f t="shared" ca="1" si="573"/>
        <v>1</v>
      </c>
      <c r="Y1568" s="250"/>
      <c r="Z1568" s="250"/>
    </row>
    <row r="1569" spans="1:27" s="111" customFormat="1" ht="15" x14ac:dyDescent="0.2">
      <c r="A1569" s="288"/>
      <c r="B1569" s="322"/>
      <c r="C1569" s="382" t="s">
        <v>688</v>
      </c>
      <c r="D1569" s="419">
        <v>96</v>
      </c>
      <c r="E1569" s="316" t="s">
        <v>518</v>
      </c>
      <c r="F1569" s="420">
        <v>0</v>
      </c>
      <c r="G1569" s="419">
        <v>96</v>
      </c>
      <c r="H1569" s="316" t="s">
        <v>518</v>
      </c>
      <c r="I1569" s="420">
        <v>0</v>
      </c>
      <c r="J1569" s="317"/>
      <c r="K1569" s="500">
        <v>15</v>
      </c>
      <c r="L1569" s="554">
        <f>(((12+5)/2)*2.5)</f>
        <v>21.25</v>
      </c>
      <c r="M1569" s="328"/>
      <c r="N1569" s="328"/>
      <c r="O1569" s="334"/>
      <c r="P1569" s="328"/>
      <c r="Q1569" s="334"/>
      <c r="R1569" s="333">
        <f>L1569*K1569</f>
        <v>318.75</v>
      </c>
      <c r="S1569" s="331" t="s">
        <v>323</v>
      </c>
      <c r="T1569" s="320">
        <v>18</v>
      </c>
      <c r="U1569" s="335"/>
      <c r="V1569" s="291">
        <f t="shared" ca="1" si="571"/>
        <v>3216.2079999999987</v>
      </c>
      <c r="W1569" s="256">
        <f t="shared" ca="1" si="572"/>
        <v>2</v>
      </c>
      <c r="X1569" s="256">
        <f t="shared" ca="1" si="573"/>
        <v>1</v>
      </c>
      <c r="Y1569" s="250"/>
      <c r="Z1569" s="250"/>
      <c r="AA1569" s="111">
        <f>1700*0.8</f>
        <v>1360</v>
      </c>
    </row>
    <row r="1570" spans="1:27" s="111" customFormat="1" ht="15" x14ac:dyDescent="0.2">
      <c r="A1570" s="399"/>
      <c r="B1570" s="494"/>
      <c r="C1570" s="550" t="s">
        <v>766</v>
      </c>
      <c r="D1570" s="419">
        <v>97</v>
      </c>
      <c r="E1570" s="316" t="s">
        <v>518</v>
      </c>
      <c r="F1570" s="420">
        <v>19</v>
      </c>
      <c r="G1570" s="496">
        <v>99</v>
      </c>
      <c r="H1570" s="497" t="s">
        <v>518</v>
      </c>
      <c r="I1570" s="498">
        <v>0</v>
      </c>
      <c r="J1570" s="560"/>
      <c r="K1570" s="500">
        <f>ABS((G1570*20+I1570)-(D1570*20+F1570))</f>
        <v>21</v>
      </c>
      <c r="L1570" s="554">
        <v>866.58299999999997</v>
      </c>
      <c r="M1570" s="501"/>
      <c r="N1570" s="501"/>
      <c r="O1570" s="503"/>
      <c r="P1570" s="501"/>
      <c r="Q1570" s="503"/>
      <c r="R1570" s="504">
        <f>L1570</f>
        <v>866.58299999999997</v>
      </c>
      <c r="S1570" s="505" t="str">
        <f t="shared" ref="S1570:S1574" si="574">$S$1615</f>
        <v>m³</v>
      </c>
      <c r="T1570" s="506">
        <v>19</v>
      </c>
      <c r="U1570" s="561"/>
      <c r="V1570" s="291">
        <f t="shared" ca="1" si="571"/>
        <v>3216.2079999999987</v>
      </c>
      <c r="W1570" s="256">
        <f t="shared" ca="1" si="572"/>
        <v>2</v>
      </c>
      <c r="X1570" s="256">
        <f t="shared" ca="1" si="573"/>
        <v>1</v>
      </c>
      <c r="Y1570" s="250"/>
      <c r="Z1570" s="250"/>
    </row>
    <row r="1571" spans="1:27" s="111" customFormat="1" ht="15" x14ac:dyDescent="0.2">
      <c r="A1571" s="399"/>
      <c r="B1571" s="494"/>
      <c r="C1571" s="382" t="s">
        <v>841</v>
      </c>
      <c r="D1571" s="419">
        <v>99</v>
      </c>
      <c r="E1571" s="316" t="s">
        <v>518</v>
      </c>
      <c r="F1571" s="420">
        <v>10</v>
      </c>
      <c r="G1571" s="419">
        <v>99</v>
      </c>
      <c r="H1571" s="316" t="s">
        <v>518</v>
      </c>
      <c r="I1571" s="420">
        <v>10</v>
      </c>
      <c r="J1571" s="560"/>
      <c r="K1571" s="500">
        <f>ABS((G1571*20+I1571)-(D1571*20+F1571))</f>
        <v>0</v>
      </c>
      <c r="L1571" s="554">
        <f>17.5*5.5*2.5</f>
        <v>240.625</v>
      </c>
      <c r="M1571" s="501"/>
      <c r="N1571" s="501"/>
      <c r="O1571" s="503"/>
      <c r="P1571" s="501"/>
      <c r="Q1571" s="503"/>
      <c r="R1571" s="504">
        <f>L1571</f>
        <v>240.625</v>
      </c>
      <c r="S1571" s="505" t="str">
        <f t="shared" si="574"/>
        <v>m³</v>
      </c>
      <c r="T1571" s="506">
        <v>19</v>
      </c>
      <c r="U1571" s="561"/>
      <c r="V1571" s="291">
        <f t="shared" ca="1" si="571"/>
        <v>3216.2079999999987</v>
      </c>
      <c r="W1571" s="256">
        <f t="shared" ca="1" si="572"/>
        <v>2</v>
      </c>
      <c r="X1571" s="256">
        <f t="shared" ca="1" si="573"/>
        <v>1</v>
      </c>
      <c r="Y1571" s="250"/>
      <c r="Z1571" s="250"/>
    </row>
    <row r="1572" spans="1:27" s="111" customFormat="1" ht="15" x14ac:dyDescent="0.2">
      <c r="A1572" s="399"/>
      <c r="B1572" s="494"/>
      <c r="C1572" s="382" t="s">
        <v>841</v>
      </c>
      <c r="D1572" s="419">
        <v>96</v>
      </c>
      <c r="E1572" s="316" t="s">
        <v>518</v>
      </c>
      <c r="F1572" s="420">
        <v>0</v>
      </c>
      <c r="G1572" s="419">
        <v>96</v>
      </c>
      <c r="H1572" s="316" t="s">
        <v>518</v>
      </c>
      <c r="I1572" s="420">
        <v>0</v>
      </c>
      <c r="J1572" s="560"/>
      <c r="K1572" s="500">
        <f>ABS((G1572*20+I1572)-(D1572*20+F1572))</f>
        <v>0</v>
      </c>
      <c r="L1572" s="554">
        <f>17.5*5.5*2.5</f>
        <v>240.625</v>
      </c>
      <c r="M1572" s="501"/>
      <c r="N1572" s="501"/>
      <c r="O1572" s="503"/>
      <c r="P1572" s="501"/>
      <c r="Q1572" s="503"/>
      <c r="R1572" s="504">
        <f>L1572</f>
        <v>240.625</v>
      </c>
      <c r="S1572" s="505" t="str">
        <f t="shared" si="574"/>
        <v>m³</v>
      </c>
      <c r="T1572" s="506">
        <v>19</v>
      </c>
      <c r="U1572" s="561"/>
      <c r="V1572" s="291">
        <f t="shared" ca="1" si="571"/>
        <v>3216.2079999999987</v>
      </c>
      <c r="W1572" s="256">
        <f t="shared" ca="1" si="572"/>
        <v>2</v>
      </c>
      <c r="X1572" s="256">
        <f t="shared" ca="1" si="573"/>
        <v>1</v>
      </c>
      <c r="Y1572" s="250"/>
      <c r="Z1572" s="250"/>
    </row>
    <row r="1573" spans="1:27" s="111" customFormat="1" ht="15" x14ac:dyDescent="0.2">
      <c r="A1573" s="399"/>
      <c r="B1573" s="494"/>
      <c r="C1573" s="550" t="s">
        <v>845</v>
      </c>
      <c r="D1573" s="496"/>
      <c r="E1573" s="497"/>
      <c r="F1573" s="498"/>
      <c r="G1573" s="496"/>
      <c r="H1573" s="497"/>
      <c r="I1573" s="498"/>
      <c r="J1573" s="560"/>
      <c r="K1573" s="500">
        <v>270</v>
      </c>
      <c r="L1573" s="554"/>
      <c r="M1573" s="760">
        <v>0.8</v>
      </c>
      <c r="N1573" s="761">
        <v>0.4</v>
      </c>
      <c r="O1573" s="505"/>
      <c r="P1573" s="501"/>
      <c r="Q1573" s="739"/>
      <c r="R1573" s="504">
        <f>K1573*M1573*N1573</f>
        <v>86.4</v>
      </c>
      <c r="S1573" s="505" t="str">
        <f t="shared" si="574"/>
        <v>m³</v>
      </c>
      <c r="T1573" s="506">
        <v>19</v>
      </c>
      <c r="U1573" s="561"/>
      <c r="V1573" s="291">
        <f t="shared" ca="1" si="571"/>
        <v>3216.2079999999987</v>
      </c>
      <c r="W1573" s="256">
        <f t="shared" ca="1" si="572"/>
        <v>2</v>
      </c>
      <c r="X1573" s="256">
        <f t="shared" ca="1" si="573"/>
        <v>1</v>
      </c>
      <c r="Y1573" s="250"/>
      <c r="Z1573" s="250"/>
    </row>
    <row r="1574" spans="1:27" s="111" customFormat="1" ht="15" x14ac:dyDescent="0.2">
      <c r="A1574" s="399"/>
      <c r="B1574" s="494"/>
      <c r="C1574" s="550" t="s">
        <v>846</v>
      </c>
      <c r="D1574" s="419">
        <v>20</v>
      </c>
      <c r="E1574" s="316" t="s">
        <v>518</v>
      </c>
      <c r="F1574" s="420">
        <v>5</v>
      </c>
      <c r="G1574" s="419">
        <v>30</v>
      </c>
      <c r="H1574" s="316" t="s">
        <v>518</v>
      </c>
      <c r="I1574" s="420">
        <v>10</v>
      </c>
      <c r="J1574" s="560"/>
      <c r="K1574" s="500">
        <f>ABS((G1574*20+I1574)-(D1574*20+F1574))</f>
        <v>205</v>
      </c>
      <c r="L1574" s="554"/>
      <c r="M1574" s="760">
        <v>0.6</v>
      </c>
      <c r="N1574" s="761">
        <v>1.25</v>
      </c>
      <c r="O1574" s="505"/>
      <c r="P1574" s="501"/>
      <c r="Q1574" s="739"/>
      <c r="R1574" s="504">
        <f>K1574*M1574*N1574</f>
        <v>153.75</v>
      </c>
      <c r="S1574" s="505" t="str">
        <f t="shared" si="574"/>
        <v>m³</v>
      </c>
      <c r="T1574" s="506">
        <v>19</v>
      </c>
      <c r="U1574" s="561"/>
      <c r="V1574" s="291">
        <f t="shared" ca="1" si="571"/>
        <v>3216.2079999999987</v>
      </c>
      <c r="W1574" s="256">
        <f t="shared" ca="1" si="572"/>
        <v>2</v>
      </c>
      <c r="X1574" s="256">
        <f t="shared" ca="1" si="573"/>
        <v>1</v>
      </c>
      <c r="Y1574" s="250"/>
      <c r="Z1574" s="250"/>
    </row>
    <row r="1575" spans="1:27" s="111" customFormat="1" ht="15" x14ac:dyDescent="0.2">
      <c r="A1575" s="399"/>
      <c r="B1575" s="494"/>
      <c r="C1575" s="550"/>
      <c r="D1575" s="419"/>
      <c r="E1575" s="316"/>
      <c r="F1575" s="420"/>
      <c r="G1575" s="496"/>
      <c r="H1575" s="497"/>
      <c r="I1575" s="498"/>
      <c r="J1575" s="560"/>
      <c r="K1575" s="500"/>
      <c r="L1575" s="554"/>
      <c r="M1575" s="501"/>
      <c r="N1575" s="501"/>
      <c r="O1575" s="503"/>
      <c r="P1575" s="501"/>
      <c r="Q1575" s="503"/>
      <c r="R1575" s="504"/>
      <c r="S1575" s="505"/>
      <c r="T1575" s="506"/>
      <c r="U1575" s="561"/>
      <c r="V1575" s="291">
        <f t="shared" ca="1" si="571"/>
        <v>3216.2079999999987</v>
      </c>
      <c r="W1575" s="256">
        <f t="shared" ca="1" si="572"/>
        <v>0</v>
      </c>
      <c r="X1575" s="256">
        <f t="shared" ca="1" si="573"/>
        <v>1</v>
      </c>
      <c r="Y1575" s="250"/>
      <c r="Z1575" s="250"/>
    </row>
    <row r="1576" spans="1:27" s="111" customFormat="1" ht="15" customHeight="1" x14ac:dyDescent="0.2">
      <c r="A1576" s="399"/>
      <c r="B1576" s="494"/>
      <c r="C1576" s="1117" t="s">
        <v>1270</v>
      </c>
      <c r="D1576" s="419">
        <v>5</v>
      </c>
      <c r="E1576" s="316"/>
      <c r="F1576" s="420">
        <v>14.5</v>
      </c>
      <c r="G1576" s="419">
        <v>4</v>
      </c>
      <c r="H1576" s="316"/>
      <c r="I1576" s="420">
        <v>16</v>
      </c>
      <c r="J1576" s="1109"/>
      <c r="K1576" s="500">
        <f>ABS((G1576*20+I1576)-(D1576*20+F1576))</f>
        <v>18.5</v>
      </c>
      <c r="L1576" s="767">
        <v>654.37900000000002</v>
      </c>
      <c r="M1576" s="744"/>
      <c r="N1576" s="745"/>
      <c r="O1576" s="746"/>
      <c r="P1576" s="555"/>
      <c r="Q1576" s="739"/>
      <c r="R1576" s="1111">
        <f>L1576</f>
        <v>654.37900000000002</v>
      </c>
      <c r="S1576" s="505" t="str">
        <f>$L$1615</f>
        <v>m³</v>
      </c>
      <c r="T1576" s="506"/>
      <c r="U1576" s="1107"/>
      <c r="V1576" s="291">
        <f t="shared" ca="1" si="571"/>
        <v>3216.2079999999987</v>
      </c>
      <c r="W1576" s="256">
        <f t="shared" ca="1" si="572"/>
        <v>2</v>
      </c>
      <c r="X1576" s="256">
        <f t="shared" ca="1" si="573"/>
        <v>1</v>
      </c>
      <c r="Y1576" s="250"/>
      <c r="Z1576" s="250"/>
    </row>
    <row r="1577" spans="1:27" s="111" customFormat="1" ht="15" customHeight="1" x14ac:dyDescent="0.2">
      <c r="A1577" s="399"/>
      <c r="B1577" s="494"/>
      <c r="C1577" s="1108" t="s">
        <v>1268</v>
      </c>
      <c r="D1577" s="419">
        <v>4</v>
      </c>
      <c r="E1577" s="316"/>
      <c r="F1577" s="420">
        <v>16</v>
      </c>
      <c r="G1577" s="419">
        <v>4</v>
      </c>
      <c r="H1577" s="316"/>
      <c r="I1577" s="420">
        <v>0</v>
      </c>
      <c r="J1577" s="1109"/>
      <c r="K1577" s="500">
        <f>ABS((G1577*20+I1577)-(D1577*20+F1577))</f>
        <v>16</v>
      </c>
      <c r="L1577" s="767">
        <v>644.82600000000002</v>
      </c>
      <c r="M1577" s="744"/>
      <c r="N1577" s="745"/>
      <c r="O1577" s="746"/>
      <c r="P1577" s="555"/>
      <c r="Q1577" s="739"/>
      <c r="R1577" s="1111">
        <f>L1577</f>
        <v>644.82600000000002</v>
      </c>
      <c r="S1577" s="505" t="str">
        <f>$L$1615</f>
        <v>m³</v>
      </c>
      <c r="T1577" s="506">
        <v>39</v>
      </c>
      <c r="U1577" s="1107"/>
      <c r="V1577" s="291">
        <f t="shared" ca="1" si="571"/>
        <v>3216.2079999999987</v>
      </c>
      <c r="W1577" s="256">
        <f t="shared" ca="1" si="572"/>
        <v>2</v>
      </c>
      <c r="X1577" s="256">
        <f t="shared" ca="1" si="573"/>
        <v>1</v>
      </c>
      <c r="Y1577" s="250"/>
      <c r="Z1577" s="250"/>
    </row>
    <row r="1578" spans="1:27" s="111" customFormat="1" ht="15" customHeight="1" x14ac:dyDescent="0.2">
      <c r="A1578" s="399"/>
      <c r="B1578" s="494"/>
      <c r="C1578" s="1108" t="s">
        <v>1280</v>
      </c>
      <c r="D1578" s="419">
        <v>4</v>
      </c>
      <c r="E1578" s="316" t="s">
        <v>518</v>
      </c>
      <c r="F1578" s="420">
        <v>0</v>
      </c>
      <c r="G1578" s="496">
        <v>3</v>
      </c>
      <c r="H1578" s="316" t="s">
        <v>518</v>
      </c>
      <c r="I1578" s="498">
        <v>4</v>
      </c>
      <c r="J1578" s="1109"/>
      <c r="K1578" s="500">
        <f t="shared" ref="K1578:K1582" si="575">ABS((G1578*20+I1578)-(D1578*20+F1578))</f>
        <v>16</v>
      </c>
      <c r="L1578" s="554">
        <v>624.00400000000002</v>
      </c>
      <c r="M1578" s="1146"/>
      <c r="N1578" s="761"/>
      <c r="O1578" s="505"/>
      <c r="P1578" s="501"/>
      <c r="Q1578" s="739"/>
      <c r="R1578" s="1111">
        <f t="shared" ref="R1578:R1582" si="576">L1578</f>
        <v>624.00400000000002</v>
      </c>
      <c r="S1578" s="505" t="s">
        <v>323</v>
      </c>
      <c r="T1578" s="506">
        <v>40</v>
      </c>
      <c r="U1578" s="1107"/>
      <c r="V1578" s="291">
        <f t="shared" ca="1" si="571"/>
        <v>3216.2079999999987</v>
      </c>
      <c r="W1578" s="256">
        <f t="shared" ca="1" si="572"/>
        <v>2</v>
      </c>
      <c r="X1578" s="256">
        <f t="shared" ca="1" si="573"/>
        <v>1</v>
      </c>
      <c r="Y1578" s="250"/>
      <c r="Z1578" s="250"/>
    </row>
    <row r="1579" spans="1:27" s="111" customFormat="1" ht="15" customHeight="1" x14ac:dyDescent="0.2">
      <c r="A1579" s="399"/>
      <c r="B1579" s="494"/>
      <c r="C1579" s="1108" t="s">
        <v>1299</v>
      </c>
      <c r="D1579" s="496">
        <v>3</v>
      </c>
      <c r="E1579" s="316" t="s">
        <v>518</v>
      </c>
      <c r="F1579" s="498">
        <v>4</v>
      </c>
      <c r="G1579" s="496">
        <v>2</v>
      </c>
      <c r="H1579" s="316" t="s">
        <v>518</v>
      </c>
      <c r="I1579" s="498">
        <v>6</v>
      </c>
      <c r="J1579" s="1109"/>
      <c r="K1579" s="500">
        <f t="shared" si="575"/>
        <v>18</v>
      </c>
      <c r="L1579" s="554">
        <v>659.33100000000002</v>
      </c>
      <c r="M1579" s="1146"/>
      <c r="N1579" s="761"/>
      <c r="O1579" s="505"/>
      <c r="P1579" s="501"/>
      <c r="Q1579" s="739"/>
      <c r="R1579" s="1111">
        <f t="shared" si="576"/>
        <v>659.33100000000002</v>
      </c>
      <c r="S1579" s="505" t="s">
        <v>323</v>
      </c>
      <c r="T1579" s="506">
        <v>41</v>
      </c>
      <c r="U1579" s="1107"/>
      <c r="V1579" s="291">
        <f t="shared" ca="1" si="571"/>
        <v>3216.2079999999987</v>
      </c>
      <c r="W1579" s="256">
        <f t="shared" ca="1" si="572"/>
        <v>2</v>
      </c>
      <c r="X1579" s="256">
        <f t="shared" ca="1" si="573"/>
        <v>1</v>
      </c>
      <c r="Y1579" s="250"/>
      <c r="Z1579" s="250"/>
    </row>
    <row r="1580" spans="1:27" s="111" customFormat="1" ht="15" customHeight="1" x14ac:dyDescent="0.2">
      <c r="A1580" s="399"/>
      <c r="B1580" s="494"/>
      <c r="C1580" s="1108" t="s">
        <v>1312</v>
      </c>
      <c r="D1580" s="496">
        <v>2</v>
      </c>
      <c r="E1580" s="316" t="s">
        <v>518</v>
      </c>
      <c r="F1580" s="498">
        <v>6</v>
      </c>
      <c r="G1580" s="496">
        <v>2</v>
      </c>
      <c r="H1580" s="316" t="s">
        <v>518</v>
      </c>
      <c r="I1580" s="498">
        <v>0</v>
      </c>
      <c r="J1580" s="1109"/>
      <c r="K1580" s="500">
        <f t="shared" si="575"/>
        <v>6</v>
      </c>
      <c r="L1580" s="554">
        <v>201.93299999999999</v>
      </c>
      <c r="M1580" s="1146"/>
      <c r="N1580" s="761"/>
      <c r="O1580" s="505"/>
      <c r="P1580" s="501"/>
      <c r="Q1580" s="739"/>
      <c r="R1580" s="1111">
        <f t="shared" si="576"/>
        <v>201.93299999999999</v>
      </c>
      <c r="S1580" s="505" t="s">
        <v>323</v>
      </c>
      <c r="T1580" s="506">
        <v>42</v>
      </c>
      <c r="U1580" s="1107"/>
      <c r="V1580" s="291">
        <f t="shared" ca="1" si="571"/>
        <v>3216.2079999999987</v>
      </c>
      <c r="W1580" s="256">
        <f t="shared" ca="1" si="572"/>
        <v>2</v>
      </c>
      <c r="X1580" s="256">
        <f t="shared" ca="1" si="573"/>
        <v>1</v>
      </c>
      <c r="Y1580" s="250"/>
      <c r="Z1580" s="250"/>
    </row>
    <row r="1581" spans="1:27" s="111" customFormat="1" ht="15" customHeight="1" x14ac:dyDescent="0.2">
      <c r="A1581" s="399"/>
      <c r="B1581" s="494"/>
      <c r="C1581" s="1108" t="s">
        <v>1327</v>
      </c>
      <c r="D1581" s="496">
        <v>2</v>
      </c>
      <c r="E1581" s="316" t="s">
        <v>518</v>
      </c>
      <c r="F1581" s="498">
        <v>0</v>
      </c>
      <c r="G1581" s="496">
        <v>1</v>
      </c>
      <c r="H1581" s="316" t="s">
        <v>518</v>
      </c>
      <c r="I1581" s="498">
        <v>8</v>
      </c>
      <c r="J1581" s="1109"/>
      <c r="K1581" s="500">
        <f t="shared" si="575"/>
        <v>12</v>
      </c>
      <c r="L1581" s="554">
        <v>503.899</v>
      </c>
      <c r="M1581" s="1146"/>
      <c r="N1581" s="761"/>
      <c r="O1581" s="505"/>
      <c r="P1581" s="501"/>
      <c r="Q1581" s="739"/>
      <c r="R1581" s="1111">
        <f t="shared" si="576"/>
        <v>503.899</v>
      </c>
      <c r="S1581" s="505" t="s">
        <v>323</v>
      </c>
      <c r="T1581" s="506">
        <v>43</v>
      </c>
      <c r="U1581" s="1107"/>
      <c r="V1581" s="291">
        <f t="shared" ca="1" si="571"/>
        <v>3216.2079999999987</v>
      </c>
      <c r="W1581" s="256">
        <f t="shared" ca="1" si="572"/>
        <v>2</v>
      </c>
      <c r="X1581" s="256">
        <f t="shared" ca="1" si="573"/>
        <v>1</v>
      </c>
      <c r="Y1581" s="250"/>
      <c r="Z1581" s="250"/>
    </row>
    <row r="1582" spans="1:27" s="111" customFormat="1" ht="15" customHeight="1" x14ac:dyDescent="0.2">
      <c r="A1582" s="399"/>
      <c r="B1582" s="494"/>
      <c r="C1582" s="1108" t="s">
        <v>1374</v>
      </c>
      <c r="D1582" s="496">
        <v>1</v>
      </c>
      <c r="E1582" s="316" t="s">
        <v>518</v>
      </c>
      <c r="F1582" s="498">
        <v>8</v>
      </c>
      <c r="G1582" s="496">
        <v>0</v>
      </c>
      <c r="H1582" s="316" t="s">
        <v>518</v>
      </c>
      <c r="I1582" s="498">
        <v>6</v>
      </c>
      <c r="J1582" s="1109"/>
      <c r="K1582" s="500">
        <f t="shared" si="575"/>
        <v>22</v>
      </c>
      <c r="L1582" s="554">
        <v>446.238</v>
      </c>
      <c r="M1582" s="1146"/>
      <c r="N1582" s="761"/>
      <c r="O1582" s="505"/>
      <c r="P1582" s="501"/>
      <c r="Q1582" s="739"/>
      <c r="R1582" s="1111">
        <f t="shared" si="576"/>
        <v>446.238</v>
      </c>
      <c r="S1582" s="505" t="s">
        <v>323</v>
      </c>
      <c r="T1582" s="506">
        <v>44</v>
      </c>
      <c r="U1582" s="1107"/>
      <c r="V1582" s="291">
        <f t="shared" ca="1" si="571"/>
        <v>3216.2079999999987</v>
      </c>
      <c r="W1582" s="256">
        <f t="shared" ca="1" si="572"/>
        <v>2</v>
      </c>
      <c r="X1582" s="256">
        <f t="shared" ca="1" si="573"/>
        <v>1</v>
      </c>
      <c r="Y1582" s="250"/>
      <c r="Z1582" s="250"/>
    </row>
    <row r="1583" spans="1:27" s="111" customFormat="1" ht="15" customHeight="1" x14ac:dyDescent="0.2">
      <c r="A1583" s="399"/>
      <c r="B1583" s="494"/>
      <c r="C1583" s="1108"/>
      <c r="D1583" s="496"/>
      <c r="E1583" s="316"/>
      <c r="F1583" s="498"/>
      <c r="G1583" s="496"/>
      <c r="H1583" s="316"/>
      <c r="I1583" s="498"/>
      <c r="J1583" s="1109"/>
      <c r="K1583" s="500"/>
      <c r="L1583" s="554"/>
      <c r="M1583" s="1146"/>
      <c r="N1583" s="761"/>
      <c r="O1583" s="505"/>
      <c r="P1583" s="501"/>
      <c r="Q1583" s="739"/>
      <c r="R1583" s="1111"/>
      <c r="S1583" s="505"/>
      <c r="T1583" s="506"/>
      <c r="U1583" s="1107"/>
      <c r="V1583" s="291">
        <f t="shared" ca="1" si="571"/>
        <v>3216.2079999999987</v>
      </c>
      <c r="W1583" s="256">
        <f t="shared" ca="1" si="572"/>
        <v>0</v>
      </c>
      <c r="X1583" s="256">
        <f t="shared" ca="1" si="573"/>
        <v>1</v>
      </c>
      <c r="Y1583" s="250"/>
      <c r="Z1583" s="250"/>
    </row>
    <row r="1584" spans="1:27" s="111" customFormat="1" ht="15" customHeight="1" x14ac:dyDescent="0.2">
      <c r="A1584" s="399"/>
      <c r="B1584" s="494"/>
      <c r="C1584" s="1108"/>
      <c r="D1584" s="419"/>
      <c r="E1584" s="316"/>
      <c r="F1584" s="420"/>
      <c r="G1584" s="419"/>
      <c r="H1584" s="316"/>
      <c r="I1584" s="420"/>
      <c r="J1584" s="1109"/>
      <c r="K1584" s="743"/>
      <c r="L1584" s="767"/>
      <c r="M1584" s="744"/>
      <c r="N1584" s="745"/>
      <c r="O1584" s="746"/>
      <c r="P1584" s="555"/>
      <c r="Q1584" s="739"/>
      <c r="R1584" s="1111"/>
      <c r="S1584" s="505"/>
      <c r="T1584" s="506"/>
      <c r="U1584" s="1107"/>
      <c r="V1584" s="291">
        <f t="shared" ca="1" si="571"/>
        <v>3216.2079999999987</v>
      </c>
      <c r="W1584" s="256">
        <f t="shared" ca="1" si="572"/>
        <v>0</v>
      </c>
      <c r="X1584" s="256">
        <f t="shared" ca="1" si="573"/>
        <v>1</v>
      </c>
      <c r="Y1584" s="250"/>
      <c r="Z1584" s="250"/>
    </row>
    <row r="1585" spans="1:26" s="111" customFormat="1" ht="15" customHeight="1" x14ac:dyDescent="0.2">
      <c r="A1585" s="399"/>
      <c r="B1585" s="494"/>
      <c r="C1585" s="1117" t="s">
        <v>1269</v>
      </c>
      <c r="D1585" s="419">
        <v>99</v>
      </c>
      <c r="E1585" s="316" t="s">
        <v>518</v>
      </c>
      <c r="F1585" s="420">
        <v>6.4</v>
      </c>
      <c r="G1585" s="419">
        <v>94</v>
      </c>
      <c r="H1585" s="316" t="s">
        <v>518</v>
      </c>
      <c r="I1585" s="420">
        <v>0</v>
      </c>
      <c r="J1585" s="1109"/>
      <c r="K1585" s="500">
        <f>ABS((G1585*20+I1585)-(D1585*20+F1585))</f>
        <v>106.40000000000009</v>
      </c>
      <c r="L1585" s="767">
        <v>8289.6679999999997</v>
      </c>
      <c r="M1585" s="744"/>
      <c r="N1585" s="745"/>
      <c r="O1585" s="746"/>
      <c r="P1585" s="555"/>
      <c r="Q1585" s="739"/>
      <c r="R1585" s="1111">
        <f>L1585</f>
        <v>8289.6679999999997</v>
      </c>
      <c r="S1585" s="505" t="str">
        <f>$L$1615</f>
        <v>m³</v>
      </c>
      <c r="T1585" s="506"/>
      <c r="U1585" s="1107"/>
      <c r="V1585" s="291">
        <f t="shared" ca="1" si="571"/>
        <v>3216.2079999999987</v>
      </c>
      <c r="W1585" s="256">
        <f t="shared" ca="1" si="572"/>
        <v>2</v>
      </c>
      <c r="X1585" s="256">
        <f t="shared" ca="1" si="573"/>
        <v>1</v>
      </c>
      <c r="Y1585" s="250"/>
      <c r="Z1585" s="250"/>
    </row>
    <row r="1586" spans="1:26" s="111" customFormat="1" ht="15" customHeight="1" x14ac:dyDescent="0.2">
      <c r="A1586" s="399"/>
      <c r="B1586" s="494"/>
      <c r="C1586" s="1108" t="s">
        <v>1254</v>
      </c>
      <c r="D1586" s="419">
        <v>94</v>
      </c>
      <c r="E1586" s="316"/>
      <c r="F1586" s="420">
        <v>0</v>
      </c>
      <c r="G1586" s="419">
        <v>91</v>
      </c>
      <c r="H1586" s="316"/>
      <c r="I1586" s="420">
        <v>0</v>
      </c>
      <c r="J1586" s="1109"/>
      <c r="K1586" s="500">
        <f>ABS((G1586*20+I1586)-(D1586*20+F1586))</f>
        <v>60</v>
      </c>
      <c r="L1586" s="767">
        <v>4369.5230000000001</v>
      </c>
      <c r="M1586" s="744"/>
      <c r="N1586" s="745"/>
      <c r="O1586" s="746"/>
      <c r="P1586" s="555"/>
      <c r="Q1586" s="739"/>
      <c r="R1586" s="1111">
        <f t="shared" ref="R1586:R1588" si="577">L1586</f>
        <v>4369.5230000000001</v>
      </c>
      <c r="S1586" s="505" t="str">
        <f>$L$1615</f>
        <v>m³</v>
      </c>
      <c r="T1586" s="506"/>
      <c r="U1586" s="1107"/>
      <c r="V1586" s="291">
        <f t="shared" ca="1" si="571"/>
        <v>3216.2079999999987</v>
      </c>
      <c r="W1586" s="256">
        <f t="shared" ca="1" si="572"/>
        <v>2</v>
      </c>
      <c r="X1586" s="256">
        <f t="shared" ca="1" si="573"/>
        <v>1</v>
      </c>
      <c r="Y1586" s="250"/>
      <c r="Z1586" s="250"/>
    </row>
    <row r="1587" spans="1:26" s="111" customFormat="1" ht="15" customHeight="1" x14ac:dyDescent="0.2">
      <c r="A1587" s="399"/>
      <c r="B1587" s="494"/>
      <c r="C1587" s="1108" t="s">
        <v>1256</v>
      </c>
      <c r="D1587" s="419">
        <v>91</v>
      </c>
      <c r="E1587" s="316"/>
      <c r="F1587" s="420">
        <v>0</v>
      </c>
      <c r="G1587" s="419">
        <v>88</v>
      </c>
      <c r="H1587" s="316"/>
      <c r="I1587" s="420">
        <v>10</v>
      </c>
      <c r="J1587" s="1109"/>
      <c r="K1587" s="500">
        <f>ABS((G1587*20+I1587)-(D1587*20+F1587))</f>
        <v>50</v>
      </c>
      <c r="L1587" s="767">
        <v>3512.35</v>
      </c>
      <c r="M1587" s="744"/>
      <c r="N1587" s="745"/>
      <c r="O1587" s="746"/>
      <c r="P1587" s="555"/>
      <c r="Q1587" s="739"/>
      <c r="R1587" s="1111">
        <f t="shared" si="577"/>
        <v>3512.35</v>
      </c>
      <c r="S1587" s="505" t="str">
        <f>$L$1615</f>
        <v>m³</v>
      </c>
      <c r="T1587" s="506"/>
      <c r="U1587" s="1107"/>
      <c r="V1587" s="291">
        <f t="shared" ca="1" si="571"/>
        <v>3216.2079999999987</v>
      </c>
      <c r="W1587" s="256">
        <f t="shared" ca="1" si="572"/>
        <v>2</v>
      </c>
      <c r="X1587" s="256">
        <f t="shared" ca="1" si="573"/>
        <v>1</v>
      </c>
      <c r="Y1587" s="250"/>
      <c r="Z1587" s="250"/>
    </row>
    <row r="1588" spans="1:26" s="111" customFormat="1" ht="15" customHeight="1" x14ac:dyDescent="0.2">
      <c r="A1588" s="399"/>
      <c r="B1588" s="494"/>
      <c r="C1588" s="1108" t="s">
        <v>1257</v>
      </c>
      <c r="D1588" s="419">
        <v>88</v>
      </c>
      <c r="E1588" s="316"/>
      <c r="F1588" s="420">
        <v>10</v>
      </c>
      <c r="G1588" s="419">
        <v>80</v>
      </c>
      <c r="H1588" s="316"/>
      <c r="I1588" s="420">
        <v>9</v>
      </c>
      <c r="J1588" s="1109"/>
      <c r="K1588" s="500">
        <f>ABS((G1588*20+I1588)-(D1588*20+F1588))</f>
        <v>161</v>
      </c>
      <c r="L1588" s="767">
        <v>10651.218000000001</v>
      </c>
      <c r="M1588" s="744"/>
      <c r="N1588" s="745"/>
      <c r="O1588" s="746"/>
      <c r="P1588" s="555"/>
      <c r="Q1588" s="739"/>
      <c r="R1588" s="1111">
        <f t="shared" si="577"/>
        <v>10651.218000000001</v>
      </c>
      <c r="S1588" s="505" t="str">
        <f>$L$1615</f>
        <v>m³</v>
      </c>
      <c r="T1588" s="506"/>
      <c r="U1588" s="1107"/>
      <c r="V1588" s="291">
        <f t="shared" ca="1" si="571"/>
        <v>3216.2079999999987</v>
      </c>
      <c r="W1588" s="256">
        <f t="shared" ca="1" si="572"/>
        <v>2</v>
      </c>
      <c r="X1588" s="256">
        <f t="shared" ca="1" si="573"/>
        <v>1</v>
      </c>
      <c r="Y1588" s="250"/>
      <c r="Z1588" s="250"/>
    </row>
    <row r="1589" spans="1:26" s="111" customFormat="1" ht="15" customHeight="1" x14ac:dyDescent="0.2">
      <c r="A1589" s="399"/>
      <c r="B1589" s="494"/>
      <c r="C1589" s="1108"/>
      <c r="D1589" s="1390" t="s">
        <v>1258</v>
      </c>
      <c r="E1589" s="1391"/>
      <c r="F1589" s="1391"/>
      <c r="G1589" s="1391"/>
      <c r="H1589" s="1391"/>
      <c r="I1589" s="1392"/>
      <c r="J1589" s="1109"/>
      <c r="K1589" s="500"/>
      <c r="L1589" s="767"/>
      <c r="M1589" s="744"/>
      <c r="N1589" s="745"/>
      <c r="O1589" s="746"/>
      <c r="P1589" s="555"/>
      <c r="Q1589" s="739"/>
      <c r="R1589" s="1111"/>
      <c r="S1589" s="505"/>
      <c r="T1589" s="506"/>
      <c r="U1589" s="1107"/>
      <c r="V1589" s="291">
        <f t="shared" ca="1" si="571"/>
        <v>3216.2079999999987</v>
      </c>
      <c r="W1589" s="256">
        <f t="shared" ca="1" si="572"/>
        <v>2</v>
      </c>
      <c r="X1589" s="256">
        <f t="shared" ca="1" si="573"/>
        <v>1</v>
      </c>
      <c r="Y1589" s="250"/>
      <c r="Z1589" s="250"/>
    </row>
    <row r="1590" spans="1:26" s="111" customFormat="1" ht="15" customHeight="1" x14ac:dyDescent="0.2">
      <c r="A1590" s="399"/>
      <c r="B1590" s="494"/>
      <c r="C1590" s="1108" t="s">
        <v>1259</v>
      </c>
      <c r="D1590" s="419">
        <v>80</v>
      </c>
      <c r="E1590" s="316"/>
      <c r="F1590" s="420">
        <v>90</v>
      </c>
      <c r="G1590" s="419">
        <v>77</v>
      </c>
      <c r="H1590" s="316"/>
      <c r="I1590" s="420">
        <v>10</v>
      </c>
      <c r="J1590" s="1109"/>
      <c r="K1590" s="500">
        <f t="shared" ref="K1590:K1605" si="578">ABS((G1590*20+I1590)-(D1590*20+F1590))</f>
        <v>140</v>
      </c>
      <c r="L1590" s="767">
        <v>3325.0239999999999</v>
      </c>
      <c r="M1590" s="744"/>
      <c r="N1590" s="745"/>
      <c r="O1590" s="746"/>
      <c r="P1590" s="555"/>
      <c r="Q1590" s="739"/>
      <c r="R1590" s="1111">
        <f t="shared" ref="R1590:R1605" si="579">L1590</f>
        <v>3325.0239999999999</v>
      </c>
      <c r="S1590" s="505" t="str">
        <f t="shared" ref="S1590:S1600" si="580">$L$1615</f>
        <v>m³</v>
      </c>
      <c r="T1590" s="506"/>
      <c r="U1590" s="1107"/>
      <c r="V1590" s="291">
        <f t="shared" ca="1" si="571"/>
        <v>3216.2079999999987</v>
      </c>
      <c r="W1590" s="256">
        <f t="shared" ca="1" si="572"/>
        <v>2</v>
      </c>
      <c r="X1590" s="256">
        <f t="shared" ca="1" si="573"/>
        <v>1</v>
      </c>
      <c r="Y1590" s="250"/>
      <c r="Z1590" s="250"/>
    </row>
    <row r="1591" spans="1:26" s="111" customFormat="1" ht="15" customHeight="1" x14ac:dyDescent="0.2">
      <c r="A1591" s="399"/>
      <c r="B1591" s="494"/>
      <c r="C1591" s="1108" t="s">
        <v>1260</v>
      </c>
      <c r="D1591" s="419">
        <v>77</v>
      </c>
      <c r="E1591" s="316"/>
      <c r="F1591" s="420">
        <v>10</v>
      </c>
      <c r="G1591" s="419">
        <v>76</v>
      </c>
      <c r="H1591" s="316"/>
      <c r="I1591" s="420">
        <v>6.14</v>
      </c>
      <c r="J1591" s="1109"/>
      <c r="K1591" s="500">
        <f t="shared" si="578"/>
        <v>23.8599999999999</v>
      </c>
      <c r="L1591" s="767">
        <v>1141.211</v>
      </c>
      <c r="M1591" s="744"/>
      <c r="N1591" s="745"/>
      <c r="O1591" s="746"/>
      <c r="P1591" s="555"/>
      <c r="Q1591" s="739"/>
      <c r="R1591" s="1111">
        <f t="shared" si="579"/>
        <v>1141.211</v>
      </c>
      <c r="S1591" s="505" t="str">
        <f t="shared" si="580"/>
        <v>m³</v>
      </c>
      <c r="T1591" s="506"/>
      <c r="U1591" s="1107"/>
      <c r="V1591" s="291">
        <f t="shared" ca="1" si="571"/>
        <v>3216.2079999999987</v>
      </c>
      <c r="W1591" s="256">
        <f t="shared" ca="1" si="572"/>
        <v>2</v>
      </c>
      <c r="X1591" s="256">
        <f t="shared" ca="1" si="573"/>
        <v>1</v>
      </c>
      <c r="Y1591" s="250"/>
      <c r="Z1591" s="250"/>
    </row>
    <row r="1592" spans="1:26" s="111" customFormat="1" ht="15" customHeight="1" x14ac:dyDescent="0.2">
      <c r="A1592" s="399"/>
      <c r="B1592" s="494"/>
      <c r="C1592" s="1108" t="s">
        <v>1261</v>
      </c>
      <c r="D1592" s="419">
        <v>76</v>
      </c>
      <c r="E1592" s="316"/>
      <c r="F1592" s="420">
        <v>6.14</v>
      </c>
      <c r="G1592" s="419">
        <v>73</v>
      </c>
      <c r="H1592" s="316"/>
      <c r="I1592" s="420">
        <v>0</v>
      </c>
      <c r="J1592" s="1109"/>
      <c r="K1592" s="500">
        <f t="shared" si="578"/>
        <v>66.1400000000001</v>
      </c>
      <c r="L1592" s="767">
        <v>3974.2919999999999</v>
      </c>
      <c r="M1592" s="744"/>
      <c r="N1592" s="745"/>
      <c r="O1592" s="746"/>
      <c r="P1592" s="555"/>
      <c r="Q1592" s="739"/>
      <c r="R1592" s="1111">
        <f t="shared" si="579"/>
        <v>3974.2919999999999</v>
      </c>
      <c r="S1592" s="505" t="str">
        <f t="shared" si="580"/>
        <v>m³</v>
      </c>
      <c r="T1592" s="506"/>
      <c r="U1592" s="1107"/>
      <c r="V1592" s="291">
        <f t="shared" ca="1" si="571"/>
        <v>3216.2079999999987</v>
      </c>
      <c r="W1592" s="256">
        <f t="shared" ca="1" si="572"/>
        <v>2</v>
      </c>
      <c r="X1592" s="256">
        <f t="shared" ca="1" si="573"/>
        <v>1</v>
      </c>
      <c r="Y1592" s="250"/>
      <c r="Z1592" s="250"/>
    </row>
    <row r="1593" spans="1:26" s="111" customFormat="1" ht="15" customHeight="1" x14ac:dyDescent="0.2">
      <c r="A1593" s="399"/>
      <c r="B1593" s="494"/>
      <c r="C1593" s="1108" t="s">
        <v>1262</v>
      </c>
      <c r="D1593" s="419">
        <v>73</v>
      </c>
      <c r="E1593" s="316"/>
      <c r="F1593" s="420">
        <v>0</v>
      </c>
      <c r="G1593" s="419">
        <v>71</v>
      </c>
      <c r="H1593" s="316"/>
      <c r="I1593" s="420">
        <v>7</v>
      </c>
      <c r="J1593" s="1109"/>
      <c r="K1593" s="500">
        <f t="shared" si="578"/>
        <v>33</v>
      </c>
      <c r="L1593" s="767">
        <v>2477.0070000000001</v>
      </c>
      <c r="M1593" s="744"/>
      <c r="N1593" s="745"/>
      <c r="O1593" s="746"/>
      <c r="P1593" s="555"/>
      <c r="Q1593" s="739"/>
      <c r="R1593" s="1111">
        <f t="shared" si="579"/>
        <v>2477.0070000000001</v>
      </c>
      <c r="S1593" s="505" t="str">
        <f t="shared" si="580"/>
        <v>m³</v>
      </c>
      <c r="T1593" s="506"/>
      <c r="U1593" s="1107"/>
      <c r="V1593" s="291">
        <f t="shared" ca="1" si="571"/>
        <v>3216.2079999999987</v>
      </c>
      <c r="W1593" s="256">
        <f t="shared" ca="1" si="572"/>
        <v>2</v>
      </c>
      <c r="X1593" s="256">
        <f t="shared" ca="1" si="573"/>
        <v>1</v>
      </c>
      <c r="Y1593" s="250"/>
      <c r="Z1593" s="250"/>
    </row>
    <row r="1594" spans="1:26" s="111" customFormat="1" ht="15" customHeight="1" x14ac:dyDescent="0.2">
      <c r="A1594" s="399"/>
      <c r="B1594" s="494"/>
      <c r="C1594" s="1108" t="s">
        <v>1263</v>
      </c>
      <c r="D1594" s="419">
        <v>71</v>
      </c>
      <c r="E1594" s="316"/>
      <c r="F1594" s="420">
        <v>7</v>
      </c>
      <c r="G1594" s="419">
        <v>68</v>
      </c>
      <c r="H1594" s="316"/>
      <c r="I1594" s="420">
        <v>11</v>
      </c>
      <c r="J1594" s="1109"/>
      <c r="K1594" s="500">
        <f t="shared" si="578"/>
        <v>56</v>
      </c>
      <c r="L1594" s="767">
        <v>3360.3090000000002</v>
      </c>
      <c r="M1594" s="744"/>
      <c r="N1594" s="745"/>
      <c r="O1594" s="746"/>
      <c r="P1594" s="555"/>
      <c r="Q1594" s="739"/>
      <c r="R1594" s="1111">
        <f t="shared" si="579"/>
        <v>3360.3090000000002</v>
      </c>
      <c r="S1594" s="505" t="str">
        <f t="shared" si="580"/>
        <v>m³</v>
      </c>
      <c r="T1594" s="506"/>
      <c r="U1594" s="1107"/>
      <c r="V1594" s="291">
        <f t="shared" ca="1" si="571"/>
        <v>3216.2079999999987</v>
      </c>
      <c r="W1594" s="256">
        <f t="shared" ca="1" si="572"/>
        <v>2</v>
      </c>
      <c r="X1594" s="256">
        <f t="shared" ca="1" si="573"/>
        <v>1</v>
      </c>
      <c r="Y1594" s="250"/>
      <c r="Z1594" s="250"/>
    </row>
    <row r="1595" spans="1:26" s="111" customFormat="1" ht="15" customHeight="1" x14ac:dyDescent="0.2">
      <c r="A1595" s="399"/>
      <c r="B1595" s="494"/>
      <c r="C1595" s="1108" t="s">
        <v>1264</v>
      </c>
      <c r="D1595" s="419">
        <v>68</v>
      </c>
      <c r="E1595" s="316"/>
      <c r="F1595" s="420">
        <v>11</v>
      </c>
      <c r="G1595" s="419">
        <v>65</v>
      </c>
      <c r="H1595" s="316"/>
      <c r="I1595" s="420">
        <v>10</v>
      </c>
      <c r="J1595" s="1109"/>
      <c r="K1595" s="500">
        <f t="shared" si="578"/>
        <v>61</v>
      </c>
      <c r="L1595" s="767">
        <v>4202.8130000000001</v>
      </c>
      <c r="M1595" s="744"/>
      <c r="N1595" s="745"/>
      <c r="O1595" s="746"/>
      <c r="P1595" s="555"/>
      <c r="Q1595" s="739"/>
      <c r="R1595" s="1111">
        <f t="shared" si="579"/>
        <v>4202.8130000000001</v>
      </c>
      <c r="S1595" s="505" t="str">
        <f t="shared" si="580"/>
        <v>m³</v>
      </c>
      <c r="T1595" s="506"/>
      <c r="U1595" s="1107"/>
      <c r="V1595" s="291">
        <f t="shared" ca="1" si="571"/>
        <v>3216.2079999999987</v>
      </c>
      <c r="W1595" s="256">
        <f t="shared" ca="1" si="572"/>
        <v>2</v>
      </c>
      <c r="X1595" s="256">
        <f t="shared" ca="1" si="573"/>
        <v>1</v>
      </c>
      <c r="Y1595" s="250"/>
      <c r="Z1595" s="250"/>
    </row>
    <row r="1596" spans="1:26" s="111" customFormat="1" ht="15" customHeight="1" x14ac:dyDescent="0.2">
      <c r="A1596" s="399"/>
      <c r="B1596" s="494"/>
      <c r="C1596" s="1108" t="s">
        <v>1255</v>
      </c>
      <c r="D1596" s="419">
        <v>65</v>
      </c>
      <c r="E1596" s="316"/>
      <c r="F1596" s="420">
        <v>10</v>
      </c>
      <c r="G1596" s="419">
        <v>63</v>
      </c>
      <c r="H1596" s="316"/>
      <c r="I1596" s="420">
        <v>0</v>
      </c>
      <c r="J1596" s="1109"/>
      <c r="K1596" s="500">
        <f t="shared" si="578"/>
        <v>50</v>
      </c>
      <c r="L1596" s="767">
        <v>3249.7</v>
      </c>
      <c r="M1596" s="744"/>
      <c r="N1596" s="745"/>
      <c r="O1596" s="746"/>
      <c r="P1596" s="555"/>
      <c r="Q1596" s="739"/>
      <c r="R1596" s="1111">
        <f t="shared" si="579"/>
        <v>3249.7</v>
      </c>
      <c r="S1596" s="505" t="str">
        <f t="shared" si="580"/>
        <v>m³</v>
      </c>
      <c r="T1596" s="506"/>
      <c r="U1596" s="1107"/>
      <c r="V1596" s="291">
        <f t="shared" ca="1" si="571"/>
        <v>3216.2079999999987</v>
      </c>
      <c r="W1596" s="256">
        <f t="shared" ca="1" si="572"/>
        <v>2</v>
      </c>
      <c r="X1596" s="256">
        <f t="shared" ca="1" si="573"/>
        <v>1</v>
      </c>
      <c r="Y1596" s="250"/>
      <c r="Z1596" s="250"/>
    </row>
    <row r="1597" spans="1:26" s="111" customFormat="1" ht="15" customHeight="1" x14ac:dyDescent="0.2">
      <c r="A1597" s="399"/>
      <c r="B1597" s="494"/>
      <c r="C1597" s="1108" t="s">
        <v>1265</v>
      </c>
      <c r="D1597" s="419">
        <v>63</v>
      </c>
      <c r="E1597" s="316"/>
      <c r="F1597" s="420">
        <v>0</v>
      </c>
      <c r="G1597" s="419">
        <v>60</v>
      </c>
      <c r="H1597" s="316"/>
      <c r="I1597" s="420">
        <v>10</v>
      </c>
      <c r="J1597" s="1109"/>
      <c r="K1597" s="500">
        <f t="shared" si="578"/>
        <v>50</v>
      </c>
      <c r="L1597" s="767">
        <v>2956.346</v>
      </c>
      <c r="M1597" s="744"/>
      <c r="N1597" s="745"/>
      <c r="O1597" s="746"/>
      <c r="P1597" s="555"/>
      <c r="Q1597" s="739"/>
      <c r="R1597" s="1111">
        <f t="shared" si="579"/>
        <v>2956.346</v>
      </c>
      <c r="S1597" s="505" t="str">
        <f t="shared" si="580"/>
        <v>m³</v>
      </c>
      <c r="T1597" s="506"/>
      <c r="U1597" s="1107"/>
      <c r="V1597" s="291">
        <f t="shared" ca="1" si="571"/>
        <v>3216.2079999999987</v>
      </c>
      <c r="W1597" s="256">
        <f t="shared" ca="1" si="572"/>
        <v>2</v>
      </c>
      <c r="X1597" s="256">
        <f t="shared" ca="1" si="573"/>
        <v>1</v>
      </c>
      <c r="Y1597" s="250"/>
      <c r="Z1597" s="250"/>
    </row>
    <row r="1598" spans="1:26" s="111" customFormat="1" ht="15" customHeight="1" x14ac:dyDescent="0.2">
      <c r="A1598" s="399"/>
      <c r="B1598" s="494"/>
      <c r="C1598" s="1108" t="s">
        <v>1266</v>
      </c>
      <c r="D1598" s="419">
        <v>60</v>
      </c>
      <c r="E1598" s="316"/>
      <c r="F1598" s="420">
        <v>10</v>
      </c>
      <c r="G1598" s="419">
        <v>58</v>
      </c>
      <c r="H1598" s="316"/>
      <c r="I1598" s="420">
        <v>0</v>
      </c>
      <c r="J1598" s="1109"/>
      <c r="K1598" s="500">
        <f t="shared" si="578"/>
        <v>50</v>
      </c>
      <c r="L1598" s="767">
        <v>2716.1149999999998</v>
      </c>
      <c r="M1598" s="744"/>
      <c r="N1598" s="745"/>
      <c r="O1598" s="746"/>
      <c r="P1598" s="555"/>
      <c r="Q1598" s="739"/>
      <c r="R1598" s="1111">
        <f t="shared" si="579"/>
        <v>2716.1149999999998</v>
      </c>
      <c r="S1598" s="505" t="str">
        <f t="shared" si="580"/>
        <v>m³</v>
      </c>
      <c r="T1598" s="506"/>
      <c r="U1598" s="1107"/>
      <c r="V1598" s="291">
        <f t="shared" ca="1" si="571"/>
        <v>3216.2079999999987</v>
      </c>
      <c r="W1598" s="256">
        <f t="shared" ca="1" si="572"/>
        <v>2</v>
      </c>
      <c r="X1598" s="256">
        <f t="shared" ca="1" si="573"/>
        <v>1</v>
      </c>
      <c r="Y1598" s="250"/>
      <c r="Z1598" s="250"/>
    </row>
    <row r="1599" spans="1:26" s="111" customFormat="1" ht="15" customHeight="1" x14ac:dyDescent="0.2">
      <c r="A1599" s="399"/>
      <c r="B1599" s="494"/>
      <c r="C1599" s="1108" t="s">
        <v>1267</v>
      </c>
      <c r="D1599" s="419">
        <v>58</v>
      </c>
      <c r="E1599" s="316"/>
      <c r="F1599" s="420">
        <v>0</v>
      </c>
      <c r="G1599" s="419">
        <v>56</v>
      </c>
      <c r="H1599" s="316"/>
      <c r="I1599" s="420">
        <v>0</v>
      </c>
      <c r="J1599" s="1109"/>
      <c r="K1599" s="500">
        <f t="shared" si="578"/>
        <v>40</v>
      </c>
      <c r="L1599" s="767">
        <v>2653.4340000000002</v>
      </c>
      <c r="M1599" s="744"/>
      <c r="N1599" s="745"/>
      <c r="O1599" s="746"/>
      <c r="P1599" s="555"/>
      <c r="Q1599" s="739"/>
      <c r="R1599" s="1111">
        <f t="shared" si="579"/>
        <v>2653.4340000000002</v>
      </c>
      <c r="S1599" s="505" t="str">
        <f t="shared" si="580"/>
        <v>m³</v>
      </c>
      <c r="T1599" s="506"/>
      <c r="U1599" s="1107"/>
      <c r="V1599" s="291">
        <f t="shared" ca="1" si="571"/>
        <v>3216.2079999999987</v>
      </c>
      <c r="W1599" s="256">
        <f t="shared" ca="1" si="572"/>
        <v>2</v>
      </c>
      <c r="X1599" s="256">
        <f t="shared" ca="1" si="573"/>
        <v>1</v>
      </c>
      <c r="Y1599" s="250"/>
      <c r="Z1599" s="250"/>
    </row>
    <row r="1600" spans="1:26" s="111" customFormat="1" ht="15" customHeight="1" x14ac:dyDescent="0.2">
      <c r="A1600" s="399"/>
      <c r="B1600" s="494"/>
      <c r="C1600" s="1108" t="s">
        <v>1268</v>
      </c>
      <c r="D1600" s="419">
        <v>56</v>
      </c>
      <c r="E1600" s="316"/>
      <c r="F1600" s="420">
        <v>0</v>
      </c>
      <c r="G1600" s="419">
        <v>51</v>
      </c>
      <c r="H1600" s="316"/>
      <c r="I1600" s="420">
        <v>8</v>
      </c>
      <c r="J1600" s="1109"/>
      <c r="K1600" s="500">
        <f t="shared" si="578"/>
        <v>92</v>
      </c>
      <c r="L1600" s="767">
        <v>5122.0860000000002</v>
      </c>
      <c r="M1600" s="744"/>
      <c r="N1600" s="745"/>
      <c r="O1600" s="746"/>
      <c r="P1600" s="555"/>
      <c r="Q1600" s="739"/>
      <c r="R1600" s="1111">
        <f t="shared" si="579"/>
        <v>5122.0860000000002</v>
      </c>
      <c r="S1600" s="505" t="str">
        <f t="shared" si="580"/>
        <v>m³</v>
      </c>
      <c r="T1600" s="506">
        <v>39</v>
      </c>
      <c r="U1600" s="1107"/>
      <c r="V1600" s="291">
        <f t="shared" ca="1" si="571"/>
        <v>3216.2079999999987</v>
      </c>
      <c r="W1600" s="256">
        <f t="shared" ca="1" si="572"/>
        <v>2</v>
      </c>
      <c r="X1600" s="256">
        <f t="shared" ca="1" si="573"/>
        <v>1</v>
      </c>
      <c r="Y1600" s="250"/>
      <c r="Z1600" s="250"/>
    </row>
    <row r="1601" spans="1:29" s="111" customFormat="1" ht="15" customHeight="1" x14ac:dyDescent="0.2">
      <c r="A1601" s="399"/>
      <c r="B1601" s="494"/>
      <c r="C1601" s="1108" t="s">
        <v>1280</v>
      </c>
      <c r="D1601" s="419">
        <v>51</v>
      </c>
      <c r="E1601" s="316" t="s">
        <v>518</v>
      </c>
      <c r="F1601" s="420">
        <v>8</v>
      </c>
      <c r="G1601" s="419">
        <v>49</v>
      </c>
      <c r="H1601" s="316" t="s">
        <v>518</v>
      </c>
      <c r="I1601" s="420">
        <v>13</v>
      </c>
      <c r="J1601" s="1109"/>
      <c r="K1601" s="500">
        <f t="shared" si="578"/>
        <v>35</v>
      </c>
      <c r="L1601" s="767">
        <v>2190.4270000000001</v>
      </c>
      <c r="M1601" s="744"/>
      <c r="N1601" s="745"/>
      <c r="O1601" s="746"/>
      <c r="P1601" s="555"/>
      <c r="Q1601" s="739"/>
      <c r="R1601" s="1111">
        <f t="shared" si="579"/>
        <v>2190.4270000000001</v>
      </c>
      <c r="S1601" s="505" t="s">
        <v>323</v>
      </c>
      <c r="T1601" s="506">
        <v>40</v>
      </c>
      <c r="U1601" s="1107"/>
      <c r="V1601" s="291">
        <f t="shared" ca="1" si="571"/>
        <v>3216.2079999999987</v>
      </c>
      <c r="W1601" s="256">
        <f t="shared" ca="1" si="572"/>
        <v>2</v>
      </c>
      <c r="X1601" s="256">
        <f t="shared" ca="1" si="573"/>
        <v>1</v>
      </c>
      <c r="Y1601" s="250"/>
      <c r="Z1601" s="250"/>
    </row>
    <row r="1602" spans="1:29" s="111" customFormat="1" ht="15" customHeight="1" x14ac:dyDescent="0.2">
      <c r="A1602" s="399"/>
      <c r="B1602" s="494"/>
      <c r="C1602" s="1108" t="s">
        <v>1299</v>
      </c>
      <c r="D1602" s="496">
        <v>49</v>
      </c>
      <c r="E1602" s="316" t="s">
        <v>518</v>
      </c>
      <c r="F1602" s="498">
        <v>13</v>
      </c>
      <c r="G1602" s="496">
        <v>48</v>
      </c>
      <c r="H1602" s="316" t="s">
        <v>518</v>
      </c>
      <c r="I1602" s="498">
        <v>8</v>
      </c>
      <c r="J1602" s="1109"/>
      <c r="K1602" s="500">
        <f t="shared" si="578"/>
        <v>25</v>
      </c>
      <c r="L1602" s="554">
        <v>1516.86</v>
      </c>
      <c r="M1602" s="1146"/>
      <c r="N1602" s="761"/>
      <c r="O1602" s="505"/>
      <c r="P1602" s="501"/>
      <c r="Q1602" s="739"/>
      <c r="R1602" s="1111">
        <f t="shared" si="579"/>
        <v>1516.86</v>
      </c>
      <c r="S1602" s="505" t="s">
        <v>323</v>
      </c>
      <c r="T1602" s="506">
        <v>41</v>
      </c>
      <c r="U1602" s="1107"/>
      <c r="V1602" s="291">
        <f t="shared" ca="1" si="571"/>
        <v>3216.2079999999987</v>
      </c>
      <c r="W1602" s="256">
        <f t="shared" ca="1" si="572"/>
        <v>2</v>
      </c>
      <c r="X1602" s="256">
        <f t="shared" ca="1" si="573"/>
        <v>1</v>
      </c>
      <c r="Y1602" s="250"/>
      <c r="Z1602" s="250"/>
    </row>
    <row r="1603" spans="1:29" s="111" customFormat="1" ht="15" customHeight="1" x14ac:dyDescent="0.2">
      <c r="A1603" s="399"/>
      <c r="B1603" s="494"/>
      <c r="C1603" s="1108" t="s">
        <v>1312</v>
      </c>
      <c r="D1603" s="496">
        <v>48</v>
      </c>
      <c r="E1603" s="316" t="s">
        <v>518</v>
      </c>
      <c r="F1603" s="498">
        <v>8</v>
      </c>
      <c r="G1603" s="496">
        <v>45</v>
      </c>
      <c r="H1603" s="316" t="s">
        <v>518</v>
      </c>
      <c r="I1603" s="498">
        <v>6</v>
      </c>
      <c r="J1603" s="1109"/>
      <c r="K1603" s="500">
        <f t="shared" si="578"/>
        <v>62</v>
      </c>
      <c r="L1603" s="554">
        <v>3767.777</v>
      </c>
      <c r="M1603" s="1146"/>
      <c r="N1603" s="761"/>
      <c r="O1603" s="505"/>
      <c r="P1603" s="501"/>
      <c r="Q1603" s="739"/>
      <c r="R1603" s="1111">
        <f t="shared" si="579"/>
        <v>3767.777</v>
      </c>
      <c r="S1603" s="505" t="s">
        <v>323</v>
      </c>
      <c r="T1603" s="506">
        <v>42</v>
      </c>
      <c r="U1603" s="1107"/>
      <c r="V1603" s="291">
        <f t="shared" ca="1" si="571"/>
        <v>3216.2079999999987</v>
      </c>
      <c r="W1603" s="256">
        <f t="shared" ca="1" si="572"/>
        <v>2</v>
      </c>
      <c r="X1603" s="256">
        <f t="shared" ca="1" si="573"/>
        <v>1</v>
      </c>
      <c r="Y1603" s="250"/>
      <c r="Z1603" s="250"/>
    </row>
    <row r="1604" spans="1:29" s="111" customFormat="1" ht="15" customHeight="1" x14ac:dyDescent="0.2">
      <c r="A1604" s="399"/>
      <c r="B1604" s="494"/>
      <c r="C1604" s="1108" t="s">
        <v>1327</v>
      </c>
      <c r="D1604" s="496">
        <v>45</v>
      </c>
      <c r="E1604" s="316" t="s">
        <v>518</v>
      </c>
      <c r="F1604" s="498">
        <v>6</v>
      </c>
      <c r="G1604" s="496">
        <v>42</v>
      </c>
      <c r="H1604" s="316" t="s">
        <v>518</v>
      </c>
      <c r="I1604" s="498">
        <v>3</v>
      </c>
      <c r="J1604" s="1109"/>
      <c r="K1604" s="500">
        <f t="shared" si="578"/>
        <v>63</v>
      </c>
      <c r="L1604" s="554">
        <v>3796.2420000000002</v>
      </c>
      <c r="M1604" s="1146"/>
      <c r="N1604" s="761"/>
      <c r="O1604" s="505"/>
      <c r="P1604" s="501"/>
      <c r="Q1604" s="739"/>
      <c r="R1604" s="1111">
        <f t="shared" si="579"/>
        <v>3796.2420000000002</v>
      </c>
      <c r="S1604" s="505" t="s">
        <v>323</v>
      </c>
      <c r="T1604" s="506">
        <v>43</v>
      </c>
      <c r="U1604" s="1107"/>
      <c r="V1604" s="291">
        <f t="shared" ca="1" si="571"/>
        <v>3216.2079999999987</v>
      </c>
      <c r="W1604" s="256">
        <f t="shared" ca="1" si="572"/>
        <v>2</v>
      </c>
      <c r="X1604" s="256">
        <f t="shared" ca="1" si="573"/>
        <v>1</v>
      </c>
      <c r="Y1604" s="250"/>
      <c r="Z1604" s="250"/>
    </row>
    <row r="1605" spans="1:29" s="111" customFormat="1" ht="15" customHeight="1" x14ac:dyDescent="0.2">
      <c r="A1605" s="399"/>
      <c r="B1605" s="494"/>
      <c r="C1605" s="1108" t="s">
        <v>1374</v>
      </c>
      <c r="D1605" s="496">
        <v>42</v>
      </c>
      <c r="E1605" s="316" t="s">
        <v>518</v>
      </c>
      <c r="F1605" s="498">
        <v>3</v>
      </c>
      <c r="G1605" s="496">
        <v>39</v>
      </c>
      <c r="H1605" s="316" t="s">
        <v>518</v>
      </c>
      <c r="I1605" s="498">
        <v>2</v>
      </c>
      <c r="J1605" s="1109"/>
      <c r="K1605" s="500">
        <f t="shared" si="578"/>
        <v>61</v>
      </c>
      <c r="L1605" s="554">
        <v>3677.8629999999998</v>
      </c>
      <c r="M1605" s="1146"/>
      <c r="N1605" s="761"/>
      <c r="O1605" s="505"/>
      <c r="P1605" s="501"/>
      <c r="Q1605" s="739"/>
      <c r="R1605" s="1111">
        <f t="shared" si="579"/>
        <v>3677.8629999999998</v>
      </c>
      <c r="S1605" s="505" t="s">
        <v>323</v>
      </c>
      <c r="T1605" s="506">
        <v>44</v>
      </c>
      <c r="U1605" s="1107"/>
      <c r="V1605" s="291">
        <f t="shared" ca="1" si="571"/>
        <v>3216.2079999999987</v>
      </c>
      <c r="W1605" s="256">
        <f t="shared" ca="1" si="572"/>
        <v>2</v>
      </c>
      <c r="X1605" s="256">
        <f t="shared" ca="1" si="573"/>
        <v>1</v>
      </c>
      <c r="Y1605" s="250"/>
      <c r="Z1605" s="250"/>
    </row>
    <row r="1606" spans="1:29" s="111" customFormat="1" ht="15" customHeight="1" x14ac:dyDescent="0.2">
      <c r="A1606" s="399"/>
      <c r="B1606" s="494"/>
      <c r="C1606" s="1108"/>
      <c r="D1606" s="496"/>
      <c r="E1606" s="316"/>
      <c r="F1606" s="498"/>
      <c r="G1606" s="496"/>
      <c r="H1606" s="316"/>
      <c r="I1606" s="498"/>
      <c r="J1606" s="1109"/>
      <c r="K1606" s="500"/>
      <c r="L1606" s="554"/>
      <c r="M1606" s="1146"/>
      <c r="N1606" s="761"/>
      <c r="O1606" s="505"/>
      <c r="P1606" s="501"/>
      <c r="Q1606" s="739"/>
      <c r="R1606" s="1111"/>
      <c r="S1606" s="505"/>
      <c r="T1606" s="506"/>
      <c r="U1606" s="1107"/>
      <c r="V1606" s="291">
        <f t="shared" ca="1" si="571"/>
        <v>3216.2079999999987</v>
      </c>
      <c r="W1606" s="256">
        <f t="shared" ca="1" si="572"/>
        <v>0</v>
      </c>
      <c r="X1606" s="256">
        <f t="shared" ca="1" si="573"/>
        <v>1</v>
      </c>
      <c r="Y1606" s="250"/>
      <c r="Z1606" s="250"/>
    </row>
    <row r="1607" spans="1:29" s="111" customFormat="1" ht="15" customHeight="1" x14ac:dyDescent="0.2">
      <c r="A1607" s="399"/>
      <c r="B1607" s="494"/>
      <c r="C1607" s="1108" t="s">
        <v>1107</v>
      </c>
      <c r="D1607" s="419">
        <v>36</v>
      </c>
      <c r="E1607" s="316" t="s">
        <v>518</v>
      </c>
      <c r="F1607" s="420">
        <v>0</v>
      </c>
      <c r="G1607" s="419">
        <v>37</v>
      </c>
      <c r="H1607" s="316" t="s">
        <v>518</v>
      </c>
      <c r="I1607" s="420">
        <v>10</v>
      </c>
      <c r="J1607" s="1109"/>
      <c r="K1607" s="500">
        <f t="shared" ref="K1607" si="581">ABS((G1607*20+I1607)-(D1607*20+F1607))</f>
        <v>30</v>
      </c>
      <c r="L1607" s="554"/>
      <c r="M1607" s="501">
        <v>1</v>
      </c>
      <c r="N1607" s="501">
        <v>1.25</v>
      </c>
      <c r="O1607" s="1098"/>
      <c r="P1607" s="501"/>
      <c r="Q1607" s="1098"/>
      <c r="R1607" s="1111">
        <f>K1607*M1607*N1607</f>
        <v>37.5</v>
      </c>
      <c r="S1607" s="505" t="s">
        <v>323</v>
      </c>
      <c r="T1607" s="506">
        <v>44</v>
      </c>
      <c r="U1607" s="1107"/>
      <c r="V1607" s="291">
        <f t="shared" ca="1" si="571"/>
        <v>3216.2079999999987</v>
      </c>
      <c r="W1607" s="256">
        <f t="shared" ca="1" si="572"/>
        <v>2</v>
      </c>
      <c r="X1607" s="256">
        <f t="shared" ca="1" si="573"/>
        <v>1</v>
      </c>
      <c r="Y1607" s="250"/>
      <c r="Z1607" s="250"/>
    </row>
    <row r="1608" spans="1:29" s="111" customFormat="1" ht="15" customHeight="1" x14ac:dyDescent="0.2">
      <c r="A1608" s="399"/>
      <c r="B1608" s="494"/>
      <c r="C1608" s="1108" t="s">
        <v>1107</v>
      </c>
      <c r="D1608" s="419">
        <v>37</v>
      </c>
      <c r="E1608" s="316" t="s">
        <v>518</v>
      </c>
      <c r="F1608" s="420">
        <v>10</v>
      </c>
      <c r="G1608" s="419">
        <v>41</v>
      </c>
      <c r="H1608" s="316" t="s">
        <v>518</v>
      </c>
      <c r="I1608" s="420">
        <v>10</v>
      </c>
      <c r="J1608" s="1109"/>
      <c r="K1608" s="500">
        <f t="shared" ref="K1608" si="582">ABS((G1608*20+I1608)-(D1608*20+F1608))</f>
        <v>80</v>
      </c>
      <c r="L1608" s="554"/>
      <c r="M1608" s="501">
        <v>1</v>
      </c>
      <c r="N1608" s="501">
        <v>1.25</v>
      </c>
      <c r="O1608" s="1098"/>
      <c r="P1608" s="501"/>
      <c r="Q1608" s="1098"/>
      <c r="R1608" s="1111">
        <f>K1608*M1608*N1608</f>
        <v>100</v>
      </c>
      <c r="S1608" s="505" t="s">
        <v>323</v>
      </c>
      <c r="T1608" s="506">
        <v>43</v>
      </c>
      <c r="U1608" s="1107"/>
      <c r="V1608" s="291">
        <f t="shared" ca="1" si="571"/>
        <v>3216.2079999999987</v>
      </c>
      <c r="W1608" s="256">
        <f t="shared" ca="1" si="572"/>
        <v>2</v>
      </c>
      <c r="X1608" s="256">
        <f t="shared" ca="1" si="573"/>
        <v>1</v>
      </c>
      <c r="Y1608" s="250"/>
      <c r="Z1608" s="250"/>
    </row>
    <row r="1609" spans="1:29" s="111" customFormat="1" ht="15" customHeight="1" x14ac:dyDescent="0.2">
      <c r="A1609" s="399"/>
      <c r="B1609" s="494"/>
      <c r="C1609" s="1108" t="s">
        <v>1107</v>
      </c>
      <c r="D1609" s="419">
        <v>41</v>
      </c>
      <c r="E1609" s="316" t="s">
        <v>518</v>
      </c>
      <c r="F1609" s="420">
        <v>10</v>
      </c>
      <c r="G1609" s="419">
        <v>45</v>
      </c>
      <c r="H1609" s="316" t="s">
        <v>518</v>
      </c>
      <c r="I1609" s="420">
        <v>0</v>
      </c>
      <c r="J1609" s="1109"/>
      <c r="K1609" s="500">
        <f t="shared" ref="K1609" si="583">ABS((G1609*20+I1609)-(D1609*20+F1609))</f>
        <v>70</v>
      </c>
      <c r="L1609" s="554"/>
      <c r="M1609" s="501">
        <v>1</v>
      </c>
      <c r="N1609" s="501">
        <v>1.25</v>
      </c>
      <c r="O1609" s="1098"/>
      <c r="P1609" s="501"/>
      <c r="Q1609" s="1098"/>
      <c r="R1609" s="1111">
        <f>K1609*M1609*N1609</f>
        <v>87.5</v>
      </c>
      <c r="S1609" s="505" t="s">
        <v>323</v>
      </c>
      <c r="T1609" s="506">
        <v>42</v>
      </c>
      <c r="U1609" s="1107"/>
      <c r="V1609" s="291">
        <f t="shared" ca="1" si="571"/>
        <v>3216.2079999999987</v>
      </c>
      <c r="W1609" s="256">
        <f t="shared" ca="1" si="572"/>
        <v>2</v>
      </c>
      <c r="X1609" s="256">
        <f t="shared" ca="1" si="573"/>
        <v>1</v>
      </c>
      <c r="Y1609" s="250"/>
      <c r="Z1609" s="250"/>
    </row>
    <row r="1610" spans="1:29" s="111" customFormat="1" ht="15" customHeight="1" x14ac:dyDescent="0.2">
      <c r="A1610" s="399"/>
      <c r="B1610" s="494"/>
      <c r="C1610" s="1108" t="s">
        <v>1107</v>
      </c>
      <c r="D1610" s="419">
        <v>45</v>
      </c>
      <c r="E1610" s="316" t="s">
        <v>518</v>
      </c>
      <c r="F1610" s="420">
        <v>0</v>
      </c>
      <c r="G1610" s="419">
        <v>48</v>
      </c>
      <c r="H1610" s="316" t="s">
        <v>518</v>
      </c>
      <c r="I1610" s="420">
        <v>0</v>
      </c>
      <c r="J1610" s="1109"/>
      <c r="K1610" s="500">
        <f t="shared" ref="K1610" si="584">ABS((G1610*20+I1610)-(D1610*20+F1610))</f>
        <v>60</v>
      </c>
      <c r="L1610" s="554"/>
      <c r="M1610" s="501">
        <v>1</v>
      </c>
      <c r="N1610" s="501">
        <v>1.25</v>
      </c>
      <c r="O1610" s="1098"/>
      <c r="P1610" s="501"/>
      <c r="Q1610" s="1098"/>
      <c r="R1610" s="1111">
        <f>K1610*M1610*N1610</f>
        <v>75</v>
      </c>
      <c r="S1610" s="505" t="s">
        <v>323</v>
      </c>
      <c r="T1610" s="506">
        <v>41</v>
      </c>
      <c r="U1610" s="1107"/>
      <c r="V1610" s="291">
        <f t="shared" ca="1" si="571"/>
        <v>3216.2079999999987</v>
      </c>
      <c r="W1610" s="256">
        <f t="shared" ca="1" si="572"/>
        <v>2</v>
      </c>
      <c r="X1610" s="256">
        <f t="shared" ca="1" si="573"/>
        <v>1</v>
      </c>
      <c r="Y1610" s="250"/>
      <c r="Z1610" s="250"/>
    </row>
    <row r="1611" spans="1:29" s="111" customFormat="1" ht="15" x14ac:dyDescent="0.2">
      <c r="A1611" s="399"/>
      <c r="B1611" s="494"/>
      <c r="C1611" s="550" t="s">
        <v>1107</v>
      </c>
      <c r="D1611" s="419">
        <v>67</v>
      </c>
      <c r="E1611" s="316" t="s">
        <v>518</v>
      </c>
      <c r="F1611" s="420">
        <v>0</v>
      </c>
      <c r="G1611" s="419">
        <v>71</v>
      </c>
      <c r="H1611" s="316" t="s">
        <v>518</v>
      </c>
      <c r="I1611" s="420">
        <v>0</v>
      </c>
      <c r="J1611" s="560"/>
      <c r="K1611" s="500">
        <v>80</v>
      </c>
      <c r="L1611" s="554"/>
      <c r="M1611" s="501">
        <v>1</v>
      </c>
      <c r="N1611" s="501">
        <v>1.25</v>
      </c>
      <c r="O1611" s="503"/>
      <c r="P1611" s="501"/>
      <c r="Q1611" s="503"/>
      <c r="R1611" s="504">
        <v>100</v>
      </c>
      <c r="S1611" s="505" t="s">
        <v>323</v>
      </c>
      <c r="T1611" s="506">
        <v>33</v>
      </c>
      <c r="U1611" s="561"/>
      <c r="V1611" s="291">
        <f t="shared" ca="1" si="571"/>
        <v>3216.2079999999987</v>
      </c>
      <c r="W1611" s="256">
        <f t="shared" ca="1" si="572"/>
        <v>2</v>
      </c>
      <c r="X1611" s="256">
        <f t="shared" ca="1" si="573"/>
        <v>1</v>
      </c>
      <c r="Y1611" s="250"/>
      <c r="Z1611" s="250"/>
    </row>
    <row r="1612" spans="1:29" s="111" customFormat="1" ht="15" x14ac:dyDescent="0.2">
      <c r="A1612" s="399"/>
      <c r="B1612" s="494"/>
      <c r="C1612" s="550" t="s">
        <v>1117</v>
      </c>
      <c r="D1612" s="419">
        <v>45</v>
      </c>
      <c r="E1612" s="316" t="s">
        <v>518</v>
      </c>
      <c r="F1612" s="420">
        <v>6</v>
      </c>
      <c r="G1612" s="419">
        <v>99</v>
      </c>
      <c r="H1612" s="316" t="s">
        <v>518</v>
      </c>
      <c r="I1612" s="420">
        <v>6.4</v>
      </c>
      <c r="J1612" s="560"/>
      <c r="K1612" s="500">
        <f>ABS((G1612*20+I1612)-(D1612*20+F1612))</f>
        <v>1080.4000000000001</v>
      </c>
      <c r="L1612" s="554"/>
      <c r="M1612" s="760"/>
      <c r="N1612" s="761"/>
      <c r="O1612" s="505"/>
      <c r="P1612" s="501"/>
      <c r="Q1612" s="739"/>
      <c r="R1612" s="1091">
        <f>-R4734</f>
        <v>-10552.828</v>
      </c>
      <c r="S1612" s="505" t="str">
        <f>$L$1615</f>
        <v>m³</v>
      </c>
      <c r="T1612" s="506">
        <v>44</v>
      </c>
      <c r="U1612" s="561" t="s">
        <v>1292</v>
      </c>
      <c r="V1612" s="291">
        <f t="shared" ca="1" si="571"/>
        <v>3216.2079999999987</v>
      </c>
      <c r="W1612" s="256">
        <f t="shared" ca="1" si="572"/>
        <v>2</v>
      </c>
      <c r="X1612" s="256">
        <f t="shared" ca="1" si="573"/>
        <v>1</v>
      </c>
      <c r="Y1612" s="250"/>
      <c r="Z1612" s="250"/>
    </row>
    <row r="1613" spans="1:29" s="111" customFormat="1" ht="15" x14ac:dyDescent="0.2">
      <c r="A1613" s="399"/>
      <c r="B1613" s="841"/>
      <c r="C1613" s="1101"/>
      <c r="D1613" s="419"/>
      <c r="E1613" s="316"/>
      <c r="F1613" s="420"/>
      <c r="G1613" s="419"/>
      <c r="H1613" s="316"/>
      <c r="I1613" s="420"/>
      <c r="J1613" s="1102"/>
      <c r="K1613" s="743"/>
      <c r="L1613" s="767"/>
      <c r="M1613" s="744"/>
      <c r="N1613" s="745"/>
      <c r="O1613" s="746"/>
      <c r="P1613" s="555"/>
      <c r="Q1613" s="739"/>
      <c r="R1613" s="1104"/>
      <c r="S1613" s="505"/>
      <c r="T1613" s="506"/>
      <c r="U1613" s="1100"/>
      <c r="V1613" s="291">
        <f t="shared" ca="1" si="571"/>
        <v>3216.2079999999987</v>
      </c>
      <c r="W1613" s="256">
        <f t="shared" ca="1" si="572"/>
        <v>0</v>
      </c>
      <c r="X1613" s="256">
        <f t="shared" ca="1" si="573"/>
        <v>1</v>
      </c>
      <c r="Y1613" s="250"/>
      <c r="Z1613" s="250"/>
    </row>
    <row r="1614" spans="1:29" s="111" customFormat="1" ht="15" x14ac:dyDescent="0.2">
      <c r="A1614" s="399"/>
      <c r="B1614" s="841"/>
      <c r="C1614" s="550"/>
      <c r="D1614" s="496"/>
      <c r="E1614" s="497"/>
      <c r="F1614" s="498"/>
      <c r="G1614" s="496"/>
      <c r="H1614" s="497"/>
      <c r="I1614" s="498"/>
      <c r="J1614" s="560"/>
      <c r="K1614" s="500"/>
      <c r="L1614" s="554"/>
      <c r="M1614" s="501"/>
      <c r="N1614" s="501"/>
      <c r="O1614" s="503"/>
      <c r="P1614" s="501"/>
      <c r="Q1614" s="503"/>
      <c r="R1614" s="504"/>
      <c r="S1614" s="505"/>
      <c r="T1614" s="937"/>
      <c r="U1614" s="1073"/>
      <c r="V1614" s="291">
        <f t="shared" ca="1" si="571"/>
        <v>3216.2079999999987</v>
      </c>
      <c r="W1614" s="256">
        <f t="shared" ca="1" si="572"/>
        <v>0</v>
      </c>
      <c r="X1614" s="256">
        <f t="shared" ca="1" si="573"/>
        <v>1</v>
      </c>
      <c r="Y1614" s="250"/>
      <c r="Z1614" s="250"/>
    </row>
    <row r="1615" spans="1:29" s="111" customFormat="1" ht="15.75" x14ac:dyDescent="0.2">
      <c r="A1615" s="288"/>
      <c r="B1615" s="1150"/>
      <c r="C1615" s="1151"/>
      <c r="D1615" s="1433" t="s">
        <v>492</v>
      </c>
      <c r="E1615" s="1434"/>
      <c r="F1615" s="1434"/>
      <c r="G1615" s="1434"/>
      <c r="H1615" s="1434"/>
      <c r="I1615" s="1435"/>
      <c r="J1615" s="1436">
        <f>VLOOKUP(A1617,'11 - FINANCEIRO'!_xlnm.Print_Area,6,FALSE)</f>
        <v>107585.03</v>
      </c>
      <c r="K1615" s="1437"/>
      <c r="L1615" s="1152" t="str">
        <f>VLOOKUP(A1617,'11 - FINANCEIRO'!_xlnm.Print_Area,4,FALSE)</f>
        <v>m³</v>
      </c>
      <c r="M1615" s="1438" t="s">
        <v>493</v>
      </c>
      <c r="N1615" s="1439"/>
      <c r="O1615" s="1439"/>
      <c r="P1615" s="1439"/>
      <c r="Q1615" s="1440"/>
      <c r="R1615" s="1153">
        <f>TRUNC(SUM(R1562:R1612),3)</f>
        <v>90327.702000000005</v>
      </c>
      <c r="S1615" s="1154" t="str">
        <f>L1615</f>
        <v>m³</v>
      </c>
      <c r="T1615" s="1423"/>
      <c r="U1615" s="1424"/>
      <c r="V1615" s="291">
        <f t="shared" ca="1" si="571"/>
        <v>3216.2079999999987</v>
      </c>
      <c r="W1615" s="256">
        <f t="shared" ca="1" si="572"/>
        <v>2</v>
      </c>
      <c r="X1615" s="256">
        <f t="shared" ca="1" si="573"/>
        <v>1</v>
      </c>
      <c r="Y1615" s="250"/>
      <c r="Z1615" s="250"/>
    </row>
    <row r="1616" spans="1:29" s="293" customFormat="1" ht="15.75" x14ac:dyDescent="0.2">
      <c r="A1616" s="288" t="s">
        <v>41</v>
      </c>
      <c r="B1616" s="354"/>
      <c r="C1616" s="361"/>
      <c r="D1616" s="1362" t="s">
        <v>494</v>
      </c>
      <c r="E1616" s="1363"/>
      <c r="F1616" s="1363"/>
      <c r="G1616" s="1363"/>
      <c r="H1616" s="1363"/>
      <c r="I1616" s="1364"/>
      <c r="J1616" s="1365">
        <f>IF(R1615&gt;J1615,1,R1615/J1615)</f>
        <v>0.83959359401582179</v>
      </c>
      <c r="K1616" s="1366"/>
      <c r="L1616" s="1369"/>
      <c r="M1616" s="1371" t="s">
        <v>495</v>
      </c>
      <c r="N1616" s="1372"/>
      <c r="O1616" s="1372"/>
      <c r="P1616" s="1372"/>
      <c r="Q1616" s="1373"/>
      <c r="R1616" s="362">
        <f>VLOOKUP(A1617,'11 - FINANCEIRO'!_xlnm.Print_Area,8,FALSE)</f>
        <v>87111.494000000006</v>
      </c>
      <c r="S1616" s="363" t="str">
        <f>L1615</f>
        <v>m³</v>
      </c>
      <c r="T1616" s="1386"/>
      <c r="U1616" s="1387"/>
      <c r="V1616" s="291">
        <f t="shared" ca="1" si="571"/>
        <v>3216.2079999999987</v>
      </c>
      <c r="W1616" s="256">
        <f t="shared" ca="1" si="572"/>
        <v>2</v>
      </c>
      <c r="X1616" s="256">
        <f t="shared" ca="1" si="573"/>
        <v>1</v>
      </c>
      <c r="Y1616" s="256"/>
      <c r="Z1616" s="256"/>
      <c r="AA1616" s="292"/>
      <c r="AB1616" s="292"/>
      <c r="AC1616" s="292"/>
    </row>
    <row r="1617" spans="1:29" s="293" customFormat="1" ht="15.75" x14ac:dyDescent="0.2">
      <c r="A1617" s="288" t="s">
        <v>42</v>
      </c>
      <c r="B1617" s="364"/>
      <c r="C1617" s="365"/>
      <c r="D1617" s="1354"/>
      <c r="E1617" s="1355"/>
      <c r="F1617" s="1355"/>
      <c r="G1617" s="1355"/>
      <c r="H1617" s="1355"/>
      <c r="I1617" s="1356"/>
      <c r="J1617" s="1367"/>
      <c r="K1617" s="1368"/>
      <c r="L1617" s="1370"/>
      <c r="M1617" s="1371" t="s">
        <v>496</v>
      </c>
      <c r="N1617" s="1372"/>
      <c r="O1617" s="1372"/>
      <c r="P1617" s="1372"/>
      <c r="Q1617" s="1373"/>
      <c r="R1617" s="362">
        <f>R1615-R1616</f>
        <v>3216.2079999999987</v>
      </c>
      <c r="S1617" s="363" t="str">
        <f>L1615</f>
        <v>m³</v>
      </c>
      <c r="T1617" s="1388"/>
      <c r="U1617" s="1389"/>
      <c r="V1617" s="291">
        <f t="shared" ca="1" si="571"/>
        <v>3216.2079999999987</v>
      </c>
      <c r="W1617" s="256">
        <f t="shared" ca="1" si="572"/>
        <v>2</v>
      </c>
      <c r="X1617" s="256">
        <f t="shared" ca="1" si="573"/>
        <v>1</v>
      </c>
      <c r="Y1617" s="256"/>
      <c r="Z1617" s="256"/>
      <c r="AA1617" s="292"/>
      <c r="AB1617" s="292"/>
      <c r="AC1617" s="292"/>
    </row>
    <row r="1618" spans="1:29" s="111" customFormat="1" ht="15.75" x14ac:dyDescent="0.2">
      <c r="A1618" s="288"/>
      <c r="B1618" s="368"/>
      <c r="C1618" s="365"/>
      <c r="D1618" s="369"/>
      <c r="E1618" s="370"/>
      <c r="F1618" s="369"/>
      <c r="G1618" s="369"/>
      <c r="H1618" s="369"/>
      <c r="I1618" s="369"/>
      <c r="J1618" s="371"/>
      <c r="K1618" s="372"/>
      <c r="L1618" s="373"/>
      <c r="M1618" s="374"/>
      <c r="N1618" s="374"/>
      <c r="O1618" s="374"/>
      <c r="P1618" s="374"/>
      <c r="Q1618" s="374"/>
      <c r="R1618" s="375"/>
      <c r="S1618" s="376"/>
      <c r="T1618" s="377"/>
      <c r="U1618" s="378"/>
      <c r="V1618" s="379">
        <f ca="1">SUM(V1560:V1617)</f>
        <v>186540.06399999966</v>
      </c>
      <c r="W1618" s="256">
        <f t="shared" ca="1" si="570"/>
        <v>1</v>
      </c>
      <c r="X1618" s="256">
        <f t="shared" ca="1" si="564"/>
        <v>0</v>
      </c>
      <c r="Y1618" s="250"/>
      <c r="Z1618" s="250"/>
    </row>
    <row r="1619" spans="1:29" s="293" customFormat="1" ht="15.75" hidden="1" customHeight="1" x14ac:dyDescent="0.2">
      <c r="A1619" s="288"/>
      <c r="B1619" s="1374" t="str">
        <f>VLOOKUP(A1629,'11 - FINANCEIRO'!_xlnm.Print_Area,1,FALSE)</f>
        <v>2.2.2</v>
      </c>
      <c r="C1619" s="1376" t="str">
        <f>VLOOKUP(A1629,'11 - FINANCEIRO'!_xlnm.Print_Area,3,FALSE)</f>
        <v>Remoção Residuos Classe A Conama (Cacamba) Classe II B (NBR 10004) Inclusive Destinação Final</v>
      </c>
      <c r="D1619" s="1378" t="s">
        <v>477</v>
      </c>
      <c r="E1619" s="1379"/>
      <c r="F1619" s="1379"/>
      <c r="G1619" s="1379"/>
      <c r="H1619" s="1379"/>
      <c r="I1619" s="1380"/>
      <c r="J1619" s="1338" t="s">
        <v>478</v>
      </c>
      <c r="K1619" s="1338" t="s">
        <v>479</v>
      </c>
      <c r="L1619" s="1338" t="s">
        <v>598</v>
      </c>
      <c r="M1619" s="1338" t="s">
        <v>599</v>
      </c>
      <c r="N1619" s="1338" t="s">
        <v>600</v>
      </c>
      <c r="O1619" s="1338" t="s">
        <v>601</v>
      </c>
      <c r="P1619" s="1338"/>
      <c r="Q1619" s="1338"/>
      <c r="R1619" s="1336" t="s">
        <v>296</v>
      </c>
      <c r="S1619" s="1338" t="s">
        <v>486</v>
      </c>
      <c r="T1619" s="1338" t="s">
        <v>487</v>
      </c>
      <c r="U1619" s="1340" t="s">
        <v>488</v>
      </c>
      <c r="V1619" s="291">
        <f t="shared" ref="V1619:V1628" ca="1" si="585">IF(OFFSET(V1619,1,1)=1,OFFSET(V1619,0,-4),OFFSET(V1619,1,0))</f>
        <v>0</v>
      </c>
      <c r="W1619" s="256">
        <f t="shared" ca="1" si="570"/>
        <v>2</v>
      </c>
      <c r="X1619" s="256">
        <f t="shared" ca="1" si="564"/>
        <v>1</v>
      </c>
      <c r="Y1619" s="256"/>
      <c r="Z1619" s="256"/>
      <c r="AA1619" s="292"/>
      <c r="AB1619" s="292"/>
      <c r="AC1619" s="292"/>
    </row>
    <row r="1620" spans="1:29" s="337" customFormat="1" ht="15.75" hidden="1" x14ac:dyDescent="0.2">
      <c r="A1620" s="288"/>
      <c r="B1620" s="1420"/>
      <c r="C1620" s="1421"/>
      <c r="D1620" s="1427" t="s">
        <v>489</v>
      </c>
      <c r="E1620" s="1428"/>
      <c r="F1620" s="1429"/>
      <c r="G1620" s="1430" t="s">
        <v>490</v>
      </c>
      <c r="H1620" s="1431"/>
      <c r="I1620" s="1432"/>
      <c r="J1620" s="1422"/>
      <c r="K1620" s="1422"/>
      <c r="L1620" s="1422"/>
      <c r="M1620" s="1422"/>
      <c r="N1620" s="1422"/>
      <c r="O1620" s="1422"/>
      <c r="P1620" s="1422"/>
      <c r="Q1620" s="1422"/>
      <c r="R1620" s="1425"/>
      <c r="S1620" s="1422"/>
      <c r="T1620" s="1422"/>
      <c r="U1620" s="1426"/>
      <c r="V1620" s="291">
        <f t="shared" ca="1" si="585"/>
        <v>0</v>
      </c>
      <c r="W1620" s="256">
        <f t="shared" ca="1" si="570"/>
        <v>2</v>
      </c>
      <c r="X1620" s="256">
        <f t="shared" ca="1" si="564"/>
        <v>1</v>
      </c>
      <c r="Y1620" s="336"/>
      <c r="Z1620" s="336"/>
    </row>
    <row r="1621" spans="1:29" s="292" customFormat="1" ht="60" hidden="1" x14ac:dyDescent="0.2">
      <c r="A1621" s="399"/>
      <c r="B1621" s="562"/>
      <c r="C1621" s="495" t="s">
        <v>602</v>
      </c>
      <c r="D1621" s="551">
        <v>5</v>
      </c>
      <c r="E1621" s="552" t="s">
        <v>518</v>
      </c>
      <c r="F1621" s="553">
        <v>5</v>
      </c>
      <c r="G1621" s="496">
        <v>28</v>
      </c>
      <c r="H1621" s="497" t="s">
        <v>518</v>
      </c>
      <c r="I1621" s="498">
        <v>10</v>
      </c>
      <c r="J1621" s="560"/>
      <c r="K1621" s="500">
        <f>ABS((G1621*20+I1621)-(D1621*20+F1621))</f>
        <v>465</v>
      </c>
      <c r="L1621" s="554">
        <f>L1563</f>
        <v>13989.0754277452</v>
      </c>
      <c r="M1621" s="563">
        <v>0.24490000000000001</v>
      </c>
      <c r="N1621" s="564">
        <f>L1621*(1+M1621)</f>
        <v>17414.999999999996</v>
      </c>
      <c r="O1621" s="554">
        <v>18000</v>
      </c>
      <c r="P1621" s="565"/>
      <c r="Q1621" s="560"/>
      <c r="R1621" s="558">
        <f>SMALL(N1621:O1621,1)</f>
        <v>17414.999999999996</v>
      </c>
      <c r="S1621" s="554" t="str">
        <f>$S$1627</f>
        <v>m³</v>
      </c>
      <c r="T1621" s="506">
        <v>13</v>
      </c>
      <c r="U1621" s="561" t="s">
        <v>603</v>
      </c>
      <c r="V1621" s="435">
        <f t="shared" ca="1" si="585"/>
        <v>0</v>
      </c>
      <c r="W1621" s="256">
        <f t="shared" ca="1" si="570"/>
        <v>2</v>
      </c>
      <c r="X1621" s="256">
        <f t="shared" ca="1" si="564"/>
        <v>1</v>
      </c>
      <c r="Y1621" s="256"/>
      <c r="Z1621" s="256"/>
    </row>
    <row r="1622" spans="1:29" s="405" customFormat="1" ht="15.75" hidden="1" x14ac:dyDescent="0.2">
      <c r="A1622" s="403"/>
      <c r="B1622" s="311"/>
      <c r="C1622" s="312" t="s">
        <v>681</v>
      </c>
      <c r="D1622" s="417"/>
      <c r="E1622" s="314"/>
      <c r="F1622" s="418"/>
      <c r="G1622" s="419"/>
      <c r="H1622" s="316"/>
      <c r="I1622" s="420"/>
      <c r="J1622" s="317"/>
      <c r="K1622" s="433">
        <v>1785</v>
      </c>
      <c r="L1622" s="317"/>
      <c r="M1622" s="317"/>
      <c r="N1622" s="317"/>
      <c r="O1622" s="398"/>
      <c r="P1622" s="318"/>
      <c r="Q1622" s="317"/>
      <c r="R1622" s="319">
        <f>K1622</f>
        <v>1785</v>
      </c>
      <c r="S1622" s="317"/>
      <c r="T1622" s="320">
        <v>18</v>
      </c>
      <c r="U1622" s="335"/>
      <c r="V1622" s="291">
        <f t="shared" ca="1" si="585"/>
        <v>0</v>
      </c>
      <c r="W1622" s="256">
        <f t="shared" ca="1" si="570"/>
        <v>2</v>
      </c>
      <c r="X1622" s="256">
        <f t="shared" ca="1" si="564"/>
        <v>1</v>
      </c>
      <c r="Y1622" s="404"/>
      <c r="Z1622" s="404"/>
    </row>
    <row r="1623" spans="1:29" s="111" customFormat="1" ht="30" hidden="1" x14ac:dyDescent="0.2">
      <c r="A1623" s="399"/>
      <c r="B1623" s="494"/>
      <c r="C1623" s="382" t="s">
        <v>847</v>
      </c>
      <c r="D1623" s="419">
        <v>99</v>
      </c>
      <c r="E1623" s="316" t="s">
        <v>518</v>
      </c>
      <c r="F1623" s="420">
        <v>10</v>
      </c>
      <c r="G1623" s="419">
        <v>99</v>
      </c>
      <c r="H1623" s="316" t="s">
        <v>518</v>
      </c>
      <c r="I1623" s="420">
        <v>10</v>
      </c>
      <c r="J1623" s="560"/>
      <c r="K1623" s="500">
        <f>ABS((G1623*20+I1623)-(D1623*20+F1623))</f>
        <v>0</v>
      </c>
      <c r="L1623" s="554">
        <f>17.5*5.5*2.5</f>
        <v>240.625</v>
      </c>
      <c r="M1623" s="501"/>
      <c r="N1623" s="501"/>
      <c r="O1623" s="503"/>
      <c r="P1623" s="501"/>
      <c r="Q1623" s="503"/>
      <c r="R1623" s="504">
        <f>L1623</f>
        <v>240.625</v>
      </c>
      <c r="S1623" s="505" t="str">
        <f>$S$1615</f>
        <v>m³</v>
      </c>
      <c r="T1623" s="506">
        <v>20</v>
      </c>
      <c r="U1623" s="561" t="s">
        <v>919</v>
      </c>
      <c r="V1623" s="435">
        <f t="shared" ca="1" si="585"/>
        <v>0</v>
      </c>
      <c r="W1623" s="256">
        <f t="shared" ca="1" si="570"/>
        <v>2</v>
      </c>
      <c r="X1623" s="256">
        <f ca="1">IF(COUNTA(OFFSET(A1622,1,0))-COUNTA(A1622)=-1,0,1)</f>
        <v>1</v>
      </c>
      <c r="Y1623" s="250"/>
      <c r="Z1623" s="250"/>
    </row>
    <row r="1624" spans="1:29" s="111" customFormat="1" ht="30" hidden="1" x14ac:dyDescent="0.2">
      <c r="A1624" s="399"/>
      <c r="B1624" s="494"/>
      <c r="C1624" s="382" t="s">
        <v>848</v>
      </c>
      <c r="D1624" s="419">
        <v>96</v>
      </c>
      <c r="E1624" s="316" t="s">
        <v>518</v>
      </c>
      <c r="F1624" s="420">
        <v>0</v>
      </c>
      <c r="G1624" s="419">
        <v>96</v>
      </c>
      <c r="H1624" s="316" t="s">
        <v>518</v>
      </c>
      <c r="I1624" s="420">
        <v>0</v>
      </c>
      <c r="J1624" s="560"/>
      <c r="K1624" s="500">
        <f>ABS((G1624*20+I1624)-(D1624*20+F1624))</f>
        <v>0</v>
      </c>
      <c r="L1624" s="554">
        <f>17.5*5.5*2.5</f>
        <v>240.625</v>
      </c>
      <c r="M1624" s="501"/>
      <c r="N1624" s="501"/>
      <c r="O1624" s="503"/>
      <c r="P1624" s="501"/>
      <c r="Q1624" s="503"/>
      <c r="R1624" s="504">
        <f>L1624</f>
        <v>240.625</v>
      </c>
      <c r="S1624" s="505" t="str">
        <f>$S$1615</f>
        <v>m³</v>
      </c>
      <c r="T1624" s="506">
        <v>20</v>
      </c>
      <c r="U1624" s="561" t="s">
        <v>919</v>
      </c>
      <c r="V1624" s="435">
        <f t="shared" ca="1" si="585"/>
        <v>0</v>
      </c>
      <c r="W1624" s="256">
        <f t="shared" ca="1" si="570"/>
        <v>2</v>
      </c>
      <c r="X1624" s="256">
        <f ca="1">IF(COUNTA(OFFSET(A1623,1,0))-COUNTA(A1623)=-1,0,1)</f>
        <v>1</v>
      </c>
      <c r="Y1624" s="250"/>
      <c r="Z1624" s="250"/>
    </row>
    <row r="1625" spans="1:29" s="405" customFormat="1" ht="15.75" hidden="1" x14ac:dyDescent="0.2">
      <c r="A1625" s="403"/>
      <c r="B1625" s="311"/>
      <c r="C1625" s="312"/>
      <c r="D1625" s="417"/>
      <c r="E1625" s="314"/>
      <c r="F1625" s="418"/>
      <c r="G1625" s="419"/>
      <c r="H1625" s="316"/>
      <c r="I1625" s="420"/>
      <c r="J1625" s="317"/>
      <c r="K1625" s="433"/>
      <c r="L1625" s="317"/>
      <c r="M1625" s="317"/>
      <c r="N1625" s="317"/>
      <c r="O1625" s="398"/>
      <c r="P1625" s="318"/>
      <c r="Q1625" s="317"/>
      <c r="R1625" s="319"/>
      <c r="S1625" s="317"/>
      <c r="T1625" s="320"/>
      <c r="U1625" s="335"/>
      <c r="V1625" s="291">
        <f t="shared" ca="1" si="585"/>
        <v>0</v>
      </c>
      <c r="W1625" s="256">
        <f t="shared" ca="1" si="570"/>
        <v>0</v>
      </c>
      <c r="X1625" s="256">
        <f ca="1">IF(COUNTA(OFFSET(A1622,1,0))-COUNTA(A1622)=-1,0,1)</f>
        <v>1</v>
      </c>
      <c r="Y1625" s="404"/>
      <c r="Z1625" s="404"/>
    </row>
    <row r="1626" spans="1:29" s="111" customFormat="1" ht="15" hidden="1" x14ac:dyDescent="0.2">
      <c r="A1626" s="288"/>
      <c r="B1626" s="338"/>
      <c r="C1626" s="339"/>
      <c r="D1626" s="400"/>
      <c r="E1626" s="530"/>
      <c r="F1626" s="401"/>
      <c r="G1626" s="515"/>
      <c r="H1626" s="516"/>
      <c r="I1626" s="517"/>
      <c r="J1626" s="343"/>
      <c r="K1626" s="345"/>
      <c r="L1626" s="345"/>
      <c r="M1626" s="345"/>
      <c r="N1626" s="345"/>
      <c r="O1626" s="351"/>
      <c r="P1626" s="345"/>
      <c r="Q1626" s="351"/>
      <c r="R1626" s="350"/>
      <c r="S1626" s="351"/>
      <c r="T1626" s="352"/>
      <c r="U1626" s="353"/>
      <c r="V1626" s="291">
        <f t="shared" ca="1" si="585"/>
        <v>0</v>
      </c>
      <c r="W1626" s="256">
        <f t="shared" ca="1" si="570"/>
        <v>0</v>
      </c>
      <c r="X1626" s="256">
        <f t="shared" ca="1" si="564"/>
        <v>1</v>
      </c>
      <c r="Y1626" s="250"/>
      <c r="Z1626" s="250"/>
    </row>
    <row r="1627" spans="1:29" s="111" customFormat="1" ht="15.75" hidden="1" x14ac:dyDescent="0.2">
      <c r="A1627" s="288"/>
      <c r="B1627" s="354"/>
      <c r="C1627" s="355"/>
      <c r="D1627" s="1354" t="s">
        <v>492</v>
      </c>
      <c r="E1627" s="1355"/>
      <c r="F1627" s="1355"/>
      <c r="G1627" s="1355"/>
      <c r="H1627" s="1355"/>
      <c r="I1627" s="1356"/>
      <c r="J1627" s="1357">
        <f>VLOOKUP(A1629,'11 - FINANCEIRO'!_xlnm.Print_Area,6,FALSE)</f>
        <v>19681.25</v>
      </c>
      <c r="K1627" s="1358"/>
      <c r="L1627" s="356" t="str">
        <f>VLOOKUP(A1629,'11 - FINANCEIRO'!_xlnm.Print_Area,4,FALSE)</f>
        <v>m³</v>
      </c>
      <c r="M1627" s="1359" t="s">
        <v>493</v>
      </c>
      <c r="N1627" s="1360"/>
      <c r="O1627" s="1360"/>
      <c r="P1627" s="1360"/>
      <c r="Q1627" s="1361"/>
      <c r="R1627" s="357">
        <f>TRUNC(SUM(R1621:R1626),3)</f>
        <v>19681.25</v>
      </c>
      <c r="S1627" s="358" t="str">
        <f>L1627</f>
        <v>m³</v>
      </c>
      <c r="T1627" s="359"/>
      <c r="U1627" s="360"/>
      <c r="V1627" s="291">
        <f t="shared" ca="1" si="585"/>
        <v>0</v>
      </c>
      <c r="W1627" s="256">
        <f t="shared" ca="1" si="570"/>
        <v>2</v>
      </c>
      <c r="X1627" s="256">
        <f t="shared" ca="1" si="564"/>
        <v>1</v>
      </c>
      <c r="Y1627" s="250"/>
      <c r="Z1627" s="250"/>
    </row>
    <row r="1628" spans="1:29" s="293" customFormat="1" ht="15.75" hidden="1" x14ac:dyDescent="0.2">
      <c r="A1628" s="288"/>
      <c r="B1628" s="354"/>
      <c r="C1628" s="361"/>
      <c r="D1628" s="1362" t="s">
        <v>494</v>
      </c>
      <c r="E1628" s="1363"/>
      <c r="F1628" s="1363"/>
      <c r="G1628" s="1363"/>
      <c r="H1628" s="1363"/>
      <c r="I1628" s="1364"/>
      <c r="J1628" s="1365">
        <f>R1627/J1627</f>
        <v>1</v>
      </c>
      <c r="K1628" s="1366"/>
      <c r="L1628" s="1369"/>
      <c r="M1628" s="1371" t="s">
        <v>495</v>
      </c>
      <c r="N1628" s="1372"/>
      <c r="O1628" s="1372"/>
      <c r="P1628" s="1372"/>
      <c r="Q1628" s="1373"/>
      <c r="R1628" s="362">
        <f>VLOOKUP(A1629,'11 - FINANCEIRO'!_xlnm.Print_Area,8,FALSE)</f>
        <v>19681.25</v>
      </c>
      <c r="S1628" s="363" t="str">
        <f>L1627</f>
        <v>m³</v>
      </c>
      <c r="T1628" s="359"/>
      <c r="U1628" s="360"/>
      <c r="V1628" s="291">
        <f t="shared" ca="1" si="585"/>
        <v>0</v>
      </c>
      <c r="W1628" s="256">
        <f t="shared" ca="1" si="570"/>
        <v>2</v>
      </c>
      <c r="X1628" s="256">
        <f t="shared" ca="1" si="564"/>
        <v>1</v>
      </c>
      <c r="Y1628" s="256"/>
      <c r="Z1628" s="256"/>
      <c r="AA1628" s="292"/>
      <c r="AB1628" s="292"/>
      <c r="AC1628" s="292"/>
    </row>
    <row r="1629" spans="1:29" s="293" customFormat="1" ht="15.75" hidden="1" x14ac:dyDescent="0.2">
      <c r="A1629" s="288" t="s">
        <v>43</v>
      </c>
      <c r="B1629" s="364"/>
      <c r="C1629" s="365"/>
      <c r="D1629" s="1354"/>
      <c r="E1629" s="1355"/>
      <c r="F1629" s="1355"/>
      <c r="G1629" s="1355"/>
      <c r="H1629" s="1355"/>
      <c r="I1629" s="1356"/>
      <c r="J1629" s="1367"/>
      <c r="K1629" s="1368"/>
      <c r="L1629" s="1370"/>
      <c r="M1629" s="1371" t="s">
        <v>496</v>
      </c>
      <c r="N1629" s="1372"/>
      <c r="O1629" s="1372"/>
      <c r="P1629" s="1372"/>
      <c r="Q1629" s="1373"/>
      <c r="R1629" s="362">
        <f>R1627-R1628</f>
        <v>0</v>
      </c>
      <c r="S1629" s="363" t="str">
        <f>L1627</f>
        <v>m³</v>
      </c>
      <c r="T1629" s="366"/>
      <c r="U1629" s="367"/>
      <c r="V1629" s="291">
        <f ca="1">IF(OFFSET(V1629,1,1)=1,OFFSET(V1629,0,-4),OFFSET(V1629,1,0))</f>
        <v>0</v>
      </c>
      <c r="W1629" s="256">
        <f t="shared" ca="1" si="570"/>
        <v>2</v>
      </c>
      <c r="X1629" s="256">
        <f t="shared" ca="1" si="564"/>
        <v>1</v>
      </c>
      <c r="Y1629" s="256"/>
      <c r="Z1629" s="256"/>
      <c r="AA1629" s="292"/>
      <c r="AB1629" s="292"/>
      <c r="AC1629" s="292"/>
    </row>
    <row r="1630" spans="1:29" s="111" customFormat="1" ht="15.75" hidden="1" x14ac:dyDescent="0.2">
      <c r="A1630" s="288"/>
      <c r="B1630" s="368"/>
      <c r="C1630" s="365"/>
      <c r="D1630" s="369"/>
      <c r="E1630" s="370"/>
      <c r="F1630" s="369"/>
      <c r="G1630" s="369"/>
      <c r="H1630" s="369"/>
      <c r="I1630" s="369"/>
      <c r="J1630" s="371"/>
      <c r="K1630" s="372"/>
      <c r="L1630" s="373"/>
      <c r="M1630" s="374"/>
      <c r="N1630" s="374"/>
      <c r="O1630" s="374"/>
      <c r="P1630" s="374"/>
      <c r="Q1630" s="374"/>
      <c r="R1630" s="375"/>
      <c r="S1630" s="376"/>
      <c r="T1630" s="377"/>
      <c r="U1630" s="378"/>
      <c r="V1630" s="379">
        <f ca="1">SUM(V1619:V1629)</f>
        <v>0</v>
      </c>
      <c r="W1630" s="256">
        <f t="shared" ca="1" si="570"/>
        <v>1</v>
      </c>
      <c r="X1630" s="256">
        <f t="shared" ca="1" si="564"/>
        <v>0</v>
      </c>
      <c r="Y1630" s="250"/>
      <c r="Z1630" s="250"/>
    </row>
    <row r="1631" spans="1:29" s="293" customFormat="1" ht="15.75" x14ac:dyDescent="0.25">
      <c r="A1631" s="288"/>
      <c r="B1631" s="1374" t="str">
        <f>VLOOKUP(A1685,'11 - FINANCEIRO'!_xlnm.Print_Area,1,FALSE)</f>
        <v>2.2.3</v>
      </c>
      <c r="C1631" s="1376" t="str">
        <f>VLOOKUP(A1685,'11 - FINANCEIRO'!_xlnm.Print_Area,3,FALSE)</f>
        <v>Destinação Final De Resíduos Classe II A Em Aterro Sanitário Controlado</v>
      </c>
      <c r="D1631" s="1378" t="s">
        <v>477</v>
      </c>
      <c r="E1631" s="1379"/>
      <c r="F1631" s="1379"/>
      <c r="G1631" s="1379"/>
      <c r="H1631" s="1379"/>
      <c r="I1631" s="1380"/>
      <c r="J1631" s="1338" t="s">
        <v>478</v>
      </c>
      <c r="K1631" s="1338" t="s">
        <v>479</v>
      </c>
      <c r="L1631" s="1338" t="s">
        <v>604</v>
      </c>
      <c r="M1631" s="1338" t="s">
        <v>502</v>
      </c>
      <c r="N1631" s="1338" t="s">
        <v>605</v>
      </c>
      <c r="O1631" s="1338" t="s">
        <v>601</v>
      </c>
      <c r="P1631" s="290"/>
      <c r="Q1631" s="1338"/>
      <c r="R1631" s="1336" t="s">
        <v>296</v>
      </c>
      <c r="S1631" s="1338" t="s">
        <v>486</v>
      </c>
      <c r="T1631" s="1338" t="s">
        <v>487</v>
      </c>
      <c r="U1631" s="1340" t="s">
        <v>488</v>
      </c>
      <c r="V1631" s="291">
        <f t="shared" ref="V1631:V1685" ca="1" si="586">IF(OFFSET(V1631,1,1)=1,OFFSET(V1631,0,-4),OFFSET(V1631,1,0))</f>
        <v>9742.36</v>
      </c>
      <c r="W1631" s="256">
        <f t="shared" ca="1" si="570"/>
        <v>2</v>
      </c>
      <c r="X1631" s="256">
        <f t="shared" ca="1" si="564"/>
        <v>1</v>
      </c>
      <c r="Y1631" s="256"/>
      <c r="Z1631" s="256"/>
      <c r="AA1631" s="292"/>
      <c r="AB1631" s="292"/>
      <c r="AC1631" s="292"/>
    </row>
    <row r="1632" spans="1:29" s="337" customFormat="1" ht="15.75" x14ac:dyDescent="0.2">
      <c r="A1632" s="288"/>
      <c r="B1632" s="1375" t="e">
        <f>LEFT(#REF!,5)</f>
        <v>#REF!</v>
      </c>
      <c r="C1632" s="1377" t="e">
        <f>VLOOKUP(LEFT(#REF!,5),'11 - FINANCEIRO'!_xlnm.Print_Area,2,FALSE)</f>
        <v>#REF!</v>
      </c>
      <c r="D1632" s="1427" t="s">
        <v>489</v>
      </c>
      <c r="E1632" s="1428"/>
      <c r="F1632" s="1429"/>
      <c r="G1632" s="1430" t="s">
        <v>490</v>
      </c>
      <c r="H1632" s="1431"/>
      <c r="I1632" s="1432"/>
      <c r="J1632" s="1422"/>
      <c r="K1632" s="1422"/>
      <c r="L1632" s="1422"/>
      <c r="M1632" s="1422"/>
      <c r="N1632" s="1422"/>
      <c r="O1632" s="1422"/>
      <c r="P1632" s="566"/>
      <c r="Q1632" s="1422"/>
      <c r="R1632" s="1425"/>
      <c r="S1632" s="1422"/>
      <c r="T1632" s="1422"/>
      <c r="U1632" s="1426"/>
      <c r="V1632" s="291">
        <f t="shared" ca="1" si="586"/>
        <v>9742.36</v>
      </c>
      <c r="W1632" s="256">
        <f t="shared" ref="W1632:W1685" ca="1" si="587">IF(LEFT(_xlfn.FORMULATEXT(V1632),3)="=SO",1,IF(COUNTA(A1632:U1632)=0,0,2))</f>
        <v>2</v>
      </c>
      <c r="X1632" s="256">
        <f t="shared" ref="X1632:X1685" ca="1" si="588">IF(COUNTA(OFFSET(A1631,1,0))-COUNTA(A1631)=-1,0,1)</f>
        <v>1</v>
      </c>
      <c r="Y1632" s="336"/>
      <c r="Z1632" s="336"/>
    </row>
    <row r="1633" spans="1:26" s="292" customFormat="1" ht="78.75" x14ac:dyDescent="0.2">
      <c r="A1633" s="399"/>
      <c r="B1633" s="562"/>
      <c r="C1633" s="495" t="s">
        <v>1055</v>
      </c>
      <c r="D1633" s="551">
        <v>28</v>
      </c>
      <c r="E1633" s="552" t="s">
        <v>518</v>
      </c>
      <c r="F1633" s="553">
        <v>10</v>
      </c>
      <c r="G1633" s="496">
        <v>32</v>
      </c>
      <c r="H1633" s="497" t="s">
        <v>518</v>
      </c>
      <c r="I1633" s="498">
        <v>0</v>
      </c>
      <c r="J1633" s="560"/>
      <c r="K1633" s="1042">
        <f>ABS((G1633*20+I1633)-(D1633*20+F1633))</f>
        <v>70</v>
      </c>
      <c r="L1633" s="554">
        <f>L1564+L1566+L1570</f>
        <v>3338.429572254799</v>
      </c>
      <c r="M1633" s="560">
        <v>1.5149999999999999</v>
      </c>
      <c r="N1633" s="567">
        <f>L1633*M1633</f>
        <v>5057.7208019660202</v>
      </c>
      <c r="O1633" s="567">
        <f>651.45+244.06+931.9+88.36+1233.18</f>
        <v>3148.95</v>
      </c>
      <c r="P1633" s="565"/>
      <c r="Q1633" s="560"/>
      <c r="R1633" s="558">
        <f>SMALL(N1633:O1633,1)</f>
        <v>3148.95</v>
      </c>
      <c r="S1633" s="554" t="str">
        <f>$L$1683</f>
        <v>t</v>
      </c>
      <c r="T1633" s="506">
        <v>19</v>
      </c>
      <c r="U1633" s="568" t="s">
        <v>849</v>
      </c>
      <c r="V1633" s="291">
        <f t="shared" ca="1" si="586"/>
        <v>9742.36</v>
      </c>
      <c r="W1633" s="256">
        <f t="shared" ca="1" si="587"/>
        <v>2</v>
      </c>
      <c r="X1633" s="256">
        <f t="shared" ca="1" si="588"/>
        <v>1</v>
      </c>
      <c r="Y1633" s="256"/>
      <c r="Z1633" s="256"/>
    </row>
    <row r="1634" spans="1:26" s="111" customFormat="1" ht="15.75" x14ac:dyDescent="0.2">
      <c r="A1634" s="288"/>
      <c r="B1634" s="311"/>
      <c r="C1634" s="495" t="s">
        <v>1053</v>
      </c>
      <c r="D1634" s="551">
        <v>83</v>
      </c>
      <c r="E1634" s="552" t="s">
        <v>518</v>
      </c>
      <c r="F1634" s="553">
        <v>10</v>
      </c>
      <c r="G1634" s="551">
        <v>99</v>
      </c>
      <c r="H1634" s="552" t="s">
        <v>518</v>
      </c>
      <c r="I1634" s="553">
        <v>6.4</v>
      </c>
      <c r="J1634" s="317"/>
      <c r="K1634" s="1042">
        <f>ABS((G1634*20+I1634)-(D1634*20+F1634))</f>
        <v>316.40000000000009</v>
      </c>
      <c r="L1634" s="317"/>
      <c r="M1634" s="315"/>
      <c r="N1634" s="314"/>
      <c r="O1634" s="421">
        <f>SUM(K1635:K1646)</f>
        <v>13154.050000000001</v>
      </c>
      <c r="P1634" s="318"/>
      <c r="Q1634" s="315"/>
      <c r="R1634" s="319"/>
      <c r="S1634" s="554" t="str">
        <f>$L$1683</f>
        <v>t</v>
      </c>
      <c r="T1634" s="320">
        <v>27</v>
      </c>
      <c r="U1634" s="321"/>
      <c r="V1634" s="291">
        <f t="shared" ca="1" si="586"/>
        <v>9742.36</v>
      </c>
      <c r="W1634" s="256">
        <f t="shared" ca="1" si="587"/>
        <v>2</v>
      </c>
      <c r="X1634" s="256">
        <f t="shared" ca="1" si="588"/>
        <v>1</v>
      </c>
      <c r="Y1634" s="250"/>
      <c r="Z1634" s="250"/>
    </row>
    <row r="1635" spans="1:26" s="337" customFormat="1" ht="15.75" x14ac:dyDescent="0.2">
      <c r="A1635" s="288"/>
      <c r="B1635" s="512"/>
      <c r="C1635" s="782">
        <v>45323</v>
      </c>
      <c r="D1635" s="779"/>
      <c r="E1635" s="780"/>
      <c r="F1635" s="781"/>
      <c r="G1635" s="779"/>
      <c r="H1635" s="780"/>
      <c r="I1635" s="781"/>
      <c r="J1635" s="783" t="s">
        <v>880</v>
      </c>
      <c r="K1635" s="1017">
        <v>76.63</v>
      </c>
      <c r="L1635" s="427"/>
      <c r="M1635" s="513"/>
      <c r="N1635" s="520"/>
      <c r="O1635" s="519"/>
      <c r="P1635" s="428"/>
      <c r="Q1635" s="313"/>
      <c r="R1635" s="524">
        <f>K1635</f>
        <v>76.63</v>
      </c>
      <c r="S1635" s="554" t="str">
        <f t="shared" ref="S1635:S1680" si="589">$L$1683</f>
        <v>t</v>
      </c>
      <c r="T1635" s="514">
        <v>19</v>
      </c>
      <c r="U1635" s="765"/>
      <c r="V1635" s="291">
        <f t="shared" ca="1" si="586"/>
        <v>9742.36</v>
      </c>
      <c r="W1635" s="256">
        <f t="shared" ca="1" si="587"/>
        <v>2</v>
      </c>
      <c r="X1635" s="256">
        <f t="shared" ca="1" si="588"/>
        <v>1</v>
      </c>
      <c r="Y1635" s="250"/>
      <c r="Z1635" s="336"/>
    </row>
    <row r="1636" spans="1:26" s="337" customFormat="1" ht="15.75" x14ac:dyDescent="0.2">
      <c r="A1636" s="288"/>
      <c r="B1636" s="512"/>
      <c r="C1636" s="782">
        <v>45323</v>
      </c>
      <c r="D1636" s="779"/>
      <c r="E1636" s="780"/>
      <c r="F1636" s="781"/>
      <c r="G1636" s="779"/>
      <c r="H1636" s="780"/>
      <c r="I1636" s="781"/>
      <c r="J1636" s="783" t="s">
        <v>881</v>
      </c>
      <c r="K1636" s="1017">
        <v>105.36</v>
      </c>
      <c r="L1636" s="427"/>
      <c r="M1636" s="513"/>
      <c r="N1636" s="520"/>
      <c r="O1636" s="519"/>
      <c r="P1636" s="428"/>
      <c r="Q1636" s="313"/>
      <c r="R1636" s="524">
        <f t="shared" ref="R1636:R1674" si="590">K1636</f>
        <v>105.36</v>
      </c>
      <c r="S1636" s="554" t="str">
        <f t="shared" si="589"/>
        <v>t</v>
      </c>
      <c r="T1636" s="514">
        <v>19</v>
      </c>
      <c r="U1636" s="765"/>
      <c r="V1636" s="291">
        <f t="shared" ca="1" si="586"/>
        <v>9742.36</v>
      </c>
      <c r="W1636" s="256">
        <f t="shared" ca="1" si="587"/>
        <v>2</v>
      </c>
      <c r="X1636" s="256">
        <f t="shared" ca="1" si="588"/>
        <v>1</v>
      </c>
      <c r="Y1636" s="250"/>
      <c r="Z1636" s="336"/>
    </row>
    <row r="1637" spans="1:26" s="337" customFormat="1" ht="15.75" x14ac:dyDescent="0.2">
      <c r="A1637" s="288"/>
      <c r="B1637" s="512"/>
      <c r="C1637" s="782">
        <v>45352</v>
      </c>
      <c r="D1637" s="779"/>
      <c r="E1637" s="780"/>
      <c r="F1637" s="781"/>
      <c r="G1637" s="779"/>
      <c r="H1637" s="780"/>
      <c r="I1637" s="781"/>
      <c r="J1637" s="783" t="s">
        <v>982</v>
      </c>
      <c r="K1637" s="1043">
        <v>1492.64</v>
      </c>
      <c r="L1637" s="427"/>
      <c r="M1637" s="513"/>
      <c r="N1637" s="520"/>
      <c r="O1637" s="519"/>
      <c r="P1637" s="428"/>
      <c r="Q1637" s="313"/>
      <c r="R1637" s="524">
        <f t="shared" si="590"/>
        <v>1492.64</v>
      </c>
      <c r="S1637" s="554" t="str">
        <f t="shared" si="589"/>
        <v>t</v>
      </c>
      <c r="T1637" s="514">
        <v>20</v>
      </c>
      <c r="U1637" s="765"/>
      <c r="V1637" s="291">
        <f t="shared" ca="1" si="586"/>
        <v>9742.36</v>
      </c>
      <c r="W1637" s="256">
        <f t="shared" ca="1" si="587"/>
        <v>2</v>
      </c>
      <c r="X1637" s="256">
        <f t="shared" ca="1" si="588"/>
        <v>1</v>
      </c>
      <c r="Y1637" s="250"/>
      <c r="Z1637" s="336"/>
    </row>
    <row r="1638" spans="1:26" s="337" customFormat="1" ht="15.75" x14ac:dyDescent="0.2">
      <c r="A1638" s="288"/>
      <c r="B1638" s="512"/>
      <c r="C1638" s="782">
        <v>45352</v>
      </c>
      <c r="D1638" s="779"/>
      <c r="E1638" s="780"/>
      <c r="F1638" s="781"/>
      <c r="G1638" s="779"/>
      <c r="H1638" s="780"/>
      <c r="I1638" s="781"/>
      <c r="J1638" s="783" t="s">
        <v>983</v>
      </c>
      <c r="K1638" s="945">
        <v>35.51</v>
      </c>
      <c r="L1638" s="427"/>
      <c r="M1638" s="513"/>
      <c r="N1638" s="520"/>
      <c r="O1638" s="519"/>
      <c r="P1638" s="428"/>
      <c r="Q1638" s="313"/>
      <c r="R1638" s="524">
        <f t="shared" si="590"/>
        <v>35.51</v>
      </c>
      <c r="S1638" s="554" t="str">
        <f t="shared" si="589"/>
        <v>t</v>
      </c>
      <c r="T1638" s="514">
        <v>20</v>
      </c>
      <c r="U1638" s="765"/>
      <c r="V1638" s="291">
        <f t="shared" ca="1" si="586"/>
        <v>9742.36</v>
      </c>
      <c r="W1638" s="256">
        <f t="shared" ca="1" si="587"/>
        <v>2</v>
      </c>
      <c r="X1638" s="256">
        <f t="shared" ca="1" si="588"/>
        <v>1</v>
      </c>
      <c r="Y1638" s="250"/>
      <c r="Z1638" s="336"/>
    </row>
    <row r="1639" spans="1:26" s="337" customFormat="1" ht="15.75" x14ac:dyDescent="0.2">
      <c r="A1639" s="288"/>
      <c r="B1639" s="512"/>
      <c r="C1639" s="782">
        <v>45383</v>
      </c>
      <c r="D1639" s="779"/>
      <c r="E1639" s="780"/>
      <c r="F1639" s="781"/>
      <c r="G1639" s="779"/>
      <c r="H1639" s="780"/>
      <c r="I1639" s="781"/>
      <c r="J1639" s="783" t="s">
        <v>981</v>
      </c>
      <c r="K1639" s="945">
        <v>1428.43</v>
      </c>
      <c r="L1639" s="840"/>
      <c r="M1639" s="513"/>
      <c r="N1639" s="520"/>
      <c r="O1639" s="519"/>
      <c r="P1639" s="428"/>
      <c r="Q1639" s="313"/>
      <c r="R1639" s="524">
        <f t="shared" si="590"/>
        <v>1428.43</v>
      </c>
      <c r="S1639" s="554" t="str">
        <f t="shared" si="589"/>
        <v>t</v>
      </c>
      <c r="T1639" s="514">
        <v>21</v>
      </c>
      <c r="U1639" s="765"/>
      <c r="V1639" s="291">
        <f t="shared" ca="1" si="586"/>
        <v>9742.36</v>
      </c>
      <c r="W1639" s="256">
        <f t="shared" ca="1" si="587"/>
        <v>2</v>
      </c>
      <c r="X1639" s="256">
        <f t="shared" ca="1" si="588"/>
        <v>1</v>
      </c>
      <c r="Y1639" s="250"/>
      <c r="Z1639" s="336"/>
    </row>
    <row r="1640" spans="1:26" s="337" customFormat="1" ht="15.75" x14ac:dyDescent="0.2">
      <c r="A1640" s="288"/>
      <c r="B1640" s="512"/>
      <c r="C1640" s="782">
        <v>45413</v>
      </c>
      <c r="D1640" s="779"/>
      <c r="E1640" s="780"/>
      <c r="F1640" s="781"/>
      <c r="G1640" s="779"/>
      <c r="H1640" s="780"/>
      <c r="I1640" s="781"/>
      <c r="J1640" s="783" t="s">
        <v>979</v>
      </c>
      <c r="K1640" s="1043">
        <v>1653.47</v>
      </c>
      <c r="L1640" s="427"/>
      <c r="M1640" s="513"/>
      <c r="N1640" s="520"/>
      <c r="O1640" s="519"/>
      <c r="P1640" s="428"/>
      <c r="Q1640" s="313"/>
      <c r="R1640" s="524">
        <f t="shared" si="590"/>
        <v>1653.47</v>
      </c>
      <c r="S1640" s="554" t="str">
        <f t="shared" si="589"/>
        <v>t</v>
      </c>
      <c r="T1640" s="514">
        <v>22</v>
      </c>
      <c r="U1640" s="765"/>
      <c r="V1640" s="291">
        <f t="shared" ca="1" si="586"/>
        <v>9742.36</v>
      </c>
      <c r="W1640" s="256">
        <f t="shared" ca="1" si="587"/>
        <v>2</v>
      </c>
      <c r="X1640" s="256">
        <f t="shared" ca="1" si="588"/>
        <v>1</v>
      </c>
      <c r="Y1640" s="250"/>
      <c r="Z1640" s="336"/>
    </row>
    <row r="1641" spans="1:26" s="337" customFormat="1" ht="15.75" x14ac:dyDescent="0.2">
      <c r="A1641" s="288"/>
      <c r="B1641" s="512"/>
      <c r="C1641" s="782">
        <v>45413</v>
      </c>
      <c r="D1641" s="779"/>
      <c r="E1641" s="780"/>
      <c r="F1641" s="781"/>
      <c r="G1641" s="779"/>
      <c r="H1641" s="780"/>
      <c r="I1641" s="781"/>
      <c r="J1641" s="783" t="s">
        <v>980</v>
      </c>
      <c r="K1641" s="945">
        <v>17.53</v>
      </c>
      <c r="L1641" s="427"/>
      <c r="M1641" s="513"/>
      <c r="N1641" s="520"/>
      <c r="O1641" s="519"/>
      <c r="P1641" s="428"/>
      <c r="Q1641" s="313"/>
      <c r="R1641" s="524">
        <f t="shared" si="590"/>
        <v>17.53</v>
      </c>
      <c r="S1641" s="554" t="str">
        <f t="shared" si="589"/>
        <v>t</v>
      </c>
      <c r="T1641" s="514">
        <v>22</v>
      </c>
      <c r="U1641" s="765"/>
      <c r="V1641" s="291">
        <f t="shared" ca="1" si="586"/>
        <v>9742.36</v>
      </c>
      <c r="W1641" s="256">
        <f t="shared" ca="1" si="587"/>
        <v>2</v>
      </c>
      <c r="X1641" s="256">
        <f t="shared" ca="1" si="588"/>
        <v>1</v>
      </c>
      <c r="Y1641" s="250"/>
      <c r="Z1641" s="336"/>
    </row>
    <row r="1642" spans="1:26" s="337" customFormat="1" ht="15.75" x14ac:dyDescent="0.2">
      <c r="A1642" s="288"/>
      <c r="B1642" s="512"/>
      <c r="C1642" s="782">
        <v>45444</v>
      </c>
      <c r="D1642" s="779"/>
      <c r="E1642" s="780"/>
      <c r="F1642" s="781"/>
      <c r="G1642" s="779"/>
      <c r="H1642" s="780"/>
      <c r="I1642" s="781"/>
      <c r="J1642" s="783" t="s">
        <v>978</v>
      </c>
      <c r="K1642" s="945">
        <v>1789.08</v>
      </c>
      <c r="L1642" s="427"/>
      <c r="M1642" s="513"/>
      <c r="N1642" s="520"/>
      <c r="O1642" s="519"/>
      <c r="P1642" s="428"/>
      <c r="Q1642" s="313"/>
      <c r="R1642" s="524">
        <f t="shared" si="590"/>
        <v>1789.08</v>
      </c>
      <c r="S1642" s="554" t="str">
        <f t="shared" si="589"/>
        <v>t</v>
      </c>
      <c r="T1642" s="514">
        <v>22</v>
      </c>
      <c r="U1642" s="765"/>
      <c r="V1642" s="291">
        <f t="shared" ca="1" si="586"/>
        <v>9742.36</v>
      </c>
      <c r="W1642" s="256">
        <f t="shared" ca="1" si="587"/>
        <v>2</v>
      </c>
      <c r="X1642" s="256">
        <f t="shared" ca="1" si="588"/>
        <v>1</v>
      </c>
      <c r="Y1642" s="250"/>
      <c r="Z1642" s="336"/>
    </row>
    <row r="1643" spans="1:26" s="337" customFormat="1" ht="15.75" x14ac:dyDescent="0.2">
      <c r="A1643" s="288"/>
      <c r="B1643" s="512"/>
      <c r="C1643" s="782">
        <v>45474</v>
      </c>
      <c r="D1643" s="779"/>
      <c r="E1643" s="780"/>
      <c r="F1643" s="781"/>
      <c r="G1643" s="779"/>
      <c r="H1643" s="780"/>
      <c r="I1643" s="781"/>
      <c r="J1643" s="783" t="s">
        <v>977</v>
      </c>
      <c r="K1643" s="945">
        <v>1869.93</v>
      </c>
      <c r="L1643" s="427"/>
      <c r="M1643" s="513"/>
      <c r="N1643" s="520"/>
      <c r="O1643" s="519"/>
      <c r="P1643" s="428"/>
      <c r="Q1643" s="313"/>
      <c r="R1643" s="524">
        <f t="shared" si="590"/>
        <v>1869.93</v>
      </c>
      <c r="S1643" s="554" t="str">
        <f t="shared" si="589"/>
        <v>t</v>
      </c>
      <c r="T1643" s="514">
        <v>24</v>
      </c>
      <c r="U1643" s="765"/>
      <c r="V1643" s="291">
        <f t="shared" ca="1" si="586"/>
        <v>9742.36</v>
      </c>
      <c r="W1643" s="256">
        <f t="shared" ca="1" si="587"/>
        <v>2</v>
      </c>
      <c r="X1643" s="256">
        <f t="shared" ca="1" si="588"/>
        <v>1</v>
      </c>
      <c r="Y1643" s="250"/>
      <c r="Z1643" s="336"/>
    </row>
    <row r="1644" spans="1:26" s="337" customFormat="1" ht="15.75" x14ac:dyDescent="0.2">
      <c r="A1644" s="288"/>
      <c r="B1644" s="512"/>
      <c r="C1644" s="782">
        <v>45505</v>
      </c>
      <c r="D1644" s="779"/>
      <c r="E1644" s="780"/>
      <c r="F1644" s="781"/>
      <c r="G1644" s="779"/>
      <c r="H1644" s="780"/>
      <c r="I1644" s="781"/>
      <c r="J1644" s="783" t="s">
        <v>999</v>
      </c>
      <c r="K1644" s="1017">
        <v>1090.17</v>
      </c>
      <c r="L1644" s="427"/>
      <c r="M1644" s="513"/>
      <c r="N1644" s="520"/>
      <c r="O1644" s="519"/>
      <c r="P1644" s="428"/>
      <c r="Q1644" s="313"/>
      <c r="R1644" s="524">
        <f t="shared" si="590"/>
        <v>1090.17</v>
      </c>
      <c r="S1644" s="554" t="str">
        <f t="shared" si="589"/>
        <v>t</v>
      </c>
      <c r="T1644" s="514">
        <v>25</v>
      </c>
      <c r="U1644" s="765"/>
      <c r="V1644" s="291">
        <f t="shared" ca="1" si="586"/>
        <v>9742.36</v>
      </c>
      <c r="W1644" s="256">
        <f t="shared" ca="1" si="587"/>
        <v>2</v>
      </c>
      <c r="X1644" s="256">
        <f t="shared" ca="1" si="588"/>
        <v>1</v>
      </c>
      <c r="Y1644" s="250"/>
      <c r="Z1644" s="336"/>
    </row>
    <row r="1645" spans="1:26" s="337" customFormat="1" ht="15.75" x14ac:dyDescent="0.2">
      <c r="A1645" s="288"/>
      <c r="B1645" s="512"/>
      <c r="C1645" s="782">
        <v>45536</v>
      </c>
      <c r="D1645" s="779"/>
      <c r="E1645" s="780"/>
      <c r="F1645" s="781"/>
      <c r="G1645" s="779"/>
      <c r="H1645" s="780"/>
      <c r="I1645" s="781"/>
      <c r="J1645" s="783" t="s">
        <v>1009</v>
      </c>
      <c r="K1645" s="1017">
        <v>2091.35</v>
      </c>
      <c r="L1645" s="427"/>
      <c r="M1645" s="513"/>
      <c r="N1645" s="520"/>
      <c r="O1645" s="519"/>
      <c r="P1645" s="428"/>
      <c r="Q1645" s="313"/>
      <c r="R1645" s="524">
        <f t="shared" si="590"/>
        <v>2091.35</v>
      </c>
      <c r="S1645" s="554" t="str">
        <f t="shared" si="589"/>
        <v>t</v>
      </c>
      <c r="T1645" s="514">
        <v>26</v>
      </c>
      <c r="U1645" s="765"/>
      <c r="V1645" s="291">
        <f t="shared" ca="1" si="586"/>
        <v>9742.36</v>
      </c>
      <c r="W1645" s="256">
        <f t="shared" ca="1" si="587"/>
        <v>2</v>
      </c>
      <c r="X1645" s="256">
        <f t="shared" ca="1" si="588"/>
        <v>1</v>
      </c>
      <c r="Y1645" s="250"/>
      <c r="Z1645" s="336"/>
    </row>
    <row r="1646" spans="1:26" s="111" customFormat="1" ht="15" x14ac:dyDescent="0.2">
      <c r="A1646" s="288"/>
      <c r="B1646" s="322"/>
      <c r="C1646" s="782">
        <v>45566</v>
      </c>
      <c r="D1646" s="324"/>
      <c r="E1646" s="325"/>
      <c r="F1646" s="326"/>
      <c r="G1646" s="324"/>
      <c r="H1646" s="325"/>
      <c r="I1646" s="326"/>
      <c r="J1646" s="317" t="s">
        <v>1026</v>
      </c>
      <c r="K1646" s="1017">
        <v>1503.95</v>
      </c>
      <c r="L1646" s="328"/>
      <c r="M1646" s="328"/>
      <c r="N1646" s="328"/>
      <c r="O1646" s="334"/>
      <c r="P1646" s="328"/>
      <c r="Q1646" s="334"/>
      <c r="R1646" s="524">
        <f t="shared" si="590"/>
        <v>1503.95</v>
      </c>
      <c r="S1646" s="554" t="str">
        <f t="shared" si="589"/>
        <v>t</v>
      </c>
      <c r="T1646" s="320">
        <v>27</v>
      </c>
      <c r="U1646" s="335"/>
      <c r="V1646" s="291">
        <f t="shared" ca="1" si="586"/>
        <v>9742.36</v>
      </c>
      <c r="W1646" s="256">
        <f t="shared" ca="1" si="587"/>
        <v>2</v>
      </c>
      <c r="X1646" s="256">
        <f t="shared" ca="1" si="588"/>
        <v>1</v>
      </c>
      <c r="Y1646" s="250"/>
      <c r="Z1646" s="250"/>
    </row>
    <row r="1647" spans="1:26" s="111" customFormat="1" ht="15.75" x14ac:dyDescent="0.2">
      <c r="A1647" s="288"/>
      <c r="B1647" s="311"/>
      <c r="C1647" s="495" t="s">
        <v>1054</v>
      </c>
      <c r="D1647" s="551">
        <v>71</v>
      </c>
      <c r="E1647" s="552" t="s">
        <v>518</v>
      </c>
      <c r="F1647" s="553">
        <v>7</v>
      </c>
      <c r="G1647" s="551">
        <v>79</v>
      </c>
      <c r="H1647" s="552" t="s">
        <v>518</v>
      </c>
      <c r="I1647" s="553">
        <v>16</v>
      </c>
      <c r="J1647" s="317"/>
      <c r="K1647" s="1042">
        <f>ABS((G1647*20+I1647)-(D1647*20+F1647))</f>
        <v>169</v>
      </c>
      <c r="L1647" s="317"/>
      <c r="M1647" s="315"/>
      <c r="N1647" s="314"/>
      <c r="O1647" s="421">
        <f>SUM(K1648:K1649)</f>
        <v>990.15</v>
      </c>
      <c r="P1647" s="318"/>
      <c r="Q1647" s="315"/>
      <c r="R1647" s="524"/>
      <c r="S1647" s="554" t="str">
        <f t="shared" si="589"/>
        <v>t</v>
      </c>
      <c r="T1647" s="320"/>
      <c r="U1647" s="321"/>
      <c r="V1647" s="291">
        <f t="shared" ca="1" si="586"/>
        <v>9742.36</v>
      </c>
      <c r="W1647" s="256">
        <f t="shared" ca="1" si="587"/>
        <v>2</v>
      </c>
      <c r="X1647" s="256">
        <f t="shared" ca="1" si="588"/>
        <v>1</v>
      </c>
      <c r="Y1647" s="250"/>
      <c r="Z1647" s="250"/>
    </row>
    <row r="1648" spans="1:26" s="111" customFormat="1" ht="15" x14ac:dyDescent="0.2">
      <c r="A1648" s="288"/>
      <c r="B1648" s="322"/>
      <c r="C1648" s="782">
        <v>45658</v>
      </c>
      <c r="D1648" s="324"/>
      <c r="E1648" s="325"/>
      <c r="F1648" s="326"/>
      <c r="G1648" s="324"/>
      <c r="H1648" s="325"/>
      <c r="I1648" s="326"/>
      <c r="J1648" s="317" t="s">
        <v>1081</v>
      </c>
      <c r="K1648" s="1017">
        <v>325.85000000000002</v>
      </c>
      <c r="L1648" s="328"/>
      <c r="M1648" s="328"/>
      <c r="N1648" s="328"/>
      <c r="O1648" s="334"/>
      <c r="P1648" s="328"/>
      <c r="Q1648" s="334"/>
      <c r="R1648" s="524">
        <f t="shared" si="590"/>
        <v>325.85000000000002</v>
      </c>
      <c r="S1648" s="554" t="str">
        <f t="shared" si="589"/>
        <v>t</v>
      </c>
      <c r="T1648" s="320">
        <v>30</v>
      </c>
      <c r="U1648" s="335"/>
      <c r="V1648" s="291">
        <f t="shared" ca="1" si="586"/>
        <v>9742.36</v>
      </c>
      <c r="W1648" s="256">
        <f t="shared" ca="1" si="587"/>
        <v>2</v>
      </c>
      <c r="X1648" s="256">
        <f t="shared" ca="1" si="588"/>
        <v>1</v>
      </c>
      <c r="Y1648" s="250"/>
      <c r="Z1648" s="250"/>
    </row>
    <row r="1649" spans="1:26" s="111" customFormat="1" ht="15" x14ac:dyDescent="0.2">
      <c r="A1649" s="288"/>
      <c r="B1649" s="322"/>
      <c r="C1649" s="782">
        <v>45689</v>
      </c>
      <c r="D1649" s="324"/>
      <c r="E1649" s="325"/>
      <c r="F1649" s="326"/>
      <c r="G1649" s="324"/>
      <c r="H1649" s="325"/>
      <c r="I1649" s="326"/>
      <c r="J1649" s="317" t="s">
        <v>1082</v>
      </c>
      <c r="K1649" s="429">
        <v>664.3</v>
      </c>
      <c r="L1649" s="328"/>
      <c r="M1649" s="328"/>
      <c r="N1649" s="328"/>
      <c r="O1649" s="334"/>
      <c r="P1649" s="328"/>
      <c r="Q1649" s="334"/>
      <c r="R1649" s="524">
        <f t="shared" si="590"/>
        <v>664.3</v>
      </c>
      <c r="S1649" s="554" t="str">
        <f t="shared" si="589"/>
        <v>t</v>
      </c>
      <c r="T1649" s="320">
        <v>31</v>
      </c>
      <c r="U1649" s="335"/>
      <c r="V1649" s="291">
        <f t="shared" ca="1" si="586"/>
        <v>9742.36</v>
      </c>
      <c r="W1649" s="256">
        <f t="shared" ca="1" si="587"/>
        <v>2</v>
      </c>
      <c r="X1649" s="256">
        <f t="shared" ca="1" si="588"/>
        <v>1</v>
      </c>
      <c r="Y1649" s="250"/>
      <c r="Z1649" s="250"/>
    </row>
    <row r="1650" spans="1:26" s="111" customFormat="1" ht="15" x14ac:dyDescent="0.2">
      <c r="A1650" s="288"/>
      <c r="B1650" s="322"/>
      <c r="C1650" s="782">
        <v>45717</v>
      </c>
      <c r="D1650" s="324"/>
      <c r="E1650" s="325"/>
      <c r="F1650" s="326"/>
      <c r="G1650" s="324"/>
      <c r="H1650" s="325"/>
      <c r="I1650" s="326"/>
      <c r="J1650" s="317" t="s">
        <v>1086</v>
      </c>
      <c r="K1650" s="429">
        <v>2372.39</v>
      </c>
      <c r="L1650" s="328"/>
      <c r="M1650" s="328"/>
      <c r="N1650" s="328"/>
      <c r="O1650" s="334"/>
      <c r="P1650" s="328"/>
      <c r="Q1650" s="334"/>
      <c r="R1650" s="524">
        <f t="shared" si="590"/>
        <v>2372.39</v>
      </c>
      <c r="S1650" s="554" t="str">
        <f t="shared" si="589"/>
        <v>t</v>
      </c>
      <c r="T1650" s="320">
        <v>32</v>
      </c>
      <c r="U1650" s="335"/>
      <c r="V1650" s="291">
        <f t="shared" ca="1" si="586"/>
        <v>9742.36</v>
      </c>
      <c r="W1650" s="256">
        <f t="shared" ca="1" si="587"/>
        <v>2</v>
      </c>
      <c r="X1650" s="256">
        <f t="shared" ca="1" si="588"/>
        <v>1</v>
      </c>
      <c r="Y1650" s="250"/>
      <c r="Z1650" s="250"/>
    </row>
    <row r="1651" spans="1:26" s="111" customFormat="1" ht="15" x14ac:dyDescent="0.2">
      <c r="A1651" s="288"/>
      <c r="B1651" s="322"/>
      <c r="C1651" s="782">
        <v>45748</v>
      </c>
      <c r="D1651" s="417"/>
      <c r="E1651" s="552"/>
      <c r="F1651" s="553"/>
      <c r="G1651" s="551"/>
      <c r="H1651" s="552"/>
      <c r="I1651" s="553"/>
      <c r="J1651" s="317" t="s">
        <v>1130</v>
      </c>
      <c r="K1651" s="500">
        <v>408.93</v>
      </c>
      <c r="L1651" s="328"/>
      <c r="M1651" s="328"/>
      <c r="N1651" s="328"/>
      <c r="O1651" s="334"/>
      <c r="P1651" s="328"/>
      <c r="Q1651" s="334"/>
      <c r="R1651" s="333">
        <f t="shared" si="590"/>
        <v>408.93</v>
      </c>
      <c r="S1651" s="554" t="str">
        <f t="shared" si="589"/>
        <v>t</v>
      </c>
      <c r="T1651" s="320">
        <v>33</v>
      </c>
      <c r="U1651" s="335"/>
      <c r="V1651" s="291">
        <f t="shared" ca="1" si="586"/>
        <v>9742.36</v>
      </c>
      <c r="W1651" s="256">
        <f t="shared" ca="1" si="587"/>
        <v>2</v>
      </c>
      <c r="X1651" s="256">
        <f t="shared" ca="1" si="588"/>
        <v>1</v>
      </c>
      <c r="Y1651" s="250"/>
      <c r="Z1651" s="250"/>
    </row>
    <row r="1652" spans="1:26" s="111" customFormat="1" ht="15" x14ac:dyDescent="0.2">
      <c r="A1652" s="288"/>
      <c r="B1652" s="494"/>
      <c r="C1652" s="782">
        <v>45778</v>
      </c>
      <c r="D1652" s="417"/>
      <c r="E1652" s="552"/>
      <c r="F1652" s="553"/>
      <c r="G1652" s="551"/>
      <c r="H1652" s="552"/>
      <c r="I1652" s="553"/>
      <c r="J1652" s="317" t="s">
        <v>1179</v>
      </c>
      <c r="K1652" s="500">
        <v>462.71</v>
      </c>
      <c r="L1652" s="328"/>
      <c r="M1652" s="328"/>
      <c r="N1652" s="328"/>
      <c r="O1652" s="334"/>
      <c r="P1652" s="328"/>
      <c r="Q1652" s="334"/>
      <c r="R1652" s="333">
        <f t="shared" si="590"/>
        <v>462.71</v>
      </c>
      <c r="S1652" s="554" t="str">
        <f t="shared" si="589"/>
        <v>t</v>
      </c>
      <c r="T1652" s="320">
        <v>35</v>
      </c>
      <c r="U1652" s="574"/>
      <c r="V1652" s="291">
        <f t="shared" ca="1" si="586"/>
        <v>9742.36</v>
      </c>
      <c r="W1652" s="256">
        <f t="shared" ca="1" si="587"/>
        <v>2</v>
      </c>
      <c r="X1652" s="256">
        <f t="shared" ca="1" si="588"/>
        <v>1</v>
      </c>
      <c r="Y1652" s="250"/>
      <c r="Z1652" s="250"/>
    </row>
    <row r="1653" spans="1:26" s="111" customFormat="1" ht="15" x14ac:dyDescent="0.2">
      <c r="A1653" s="288"/>
      <c r="B1653" s="494"/>
      <c r="C1653" s="782">
        <v>45809</v>
      </c>
      <c r="D1653" s="417"/>
      <c r="E1653" s="552"/>
      <c r="F1653" s="553"/>
      <c r="G1653" s="551"/>
      <c r="H1653" s="552"/>
      <c r="I1653" s="553"/>
      <c r="J1653" s="317" t="s">
        <v>1180</v>
      </c>
      <c r="K1653" s="500">
        <v>1276.67</v>
      </c>
      <c r="L1653" s="328"/>
      <c r="M1653" s="328"/>
      <c r="N1653" s="328"/>
      <c r="O1653" s="334"/>
      <c r="P1653" s="328"/>
      <c r="Q1653" s="334"/>
      <c r="R1653" s="333">
        <f t="shared" si="590"/>
        <v>1276.67</v>
      </c>
      <c r="S1653" s="554" t="str">
        <f t="shared" si="589"/>
        <v>t</v>
      </c>
      <c r="T1653" s="320">
        <v>35</v>
      </c>
      <c r="U1653" s="574"/>
      <c r="V1653" s="291">
        <f t="shared" ca="1" si="586"/>
        <v>9742.36</v>
      </c>
      <c r="W1653" s="256">
        <f t="shared" ca="1" si="587"/>
        <v>2</v>
      </c>
      <c r="X1653" s="256">
        <f t="shared" ca="1" si="588"/>
        <v>1</v>
      </c>
      <c r="Y1653" s="250"/>
      <c r="Z1653" s="250"/>
    </row>
    <row r="1654" spans="1:26" s="111" customFormat="1" ht="15" x14ac:dyDescent="0.2">
      <c r="A1654" s="288"/>
      <c r="B1654" s="494"/>
      <c r="C1654" s="782">
        <v>45839</v>
      </c>
      <c r="D1654" s="417"/>
      <c r="E1654" s="552"/>
      <c r="F1654" s="553"/>
      <c r="G1654" s="551"/>
      <c r="H1654" s="552"/>
      <c r="I1654" s="553"/>
      <c r="J1654" s="317" t="s">
        <v>1190</v>
      </c>
      <c r="K1654" s="500">
        <f>16.46+989.51</f>
        <v>1005.97</v>
      </c>
      <c r="L1654" s="328"/>
      <c r="M1654" s="328"/>
      <c r="N1654" s="328"/>
      <c r="O1654" s="334"/>
      <c r="P1654" s="328"/>
      <c r="Q1654" s="334"/>
      <c r="R1654" s="333">
        <f t="shared" si="590"/>
        <v>1005.97</v>
      </c>
      <c r="S1654" s="554" t="str">
        <f t="shared" si="589"/>
        <v>t</v>
      </c>
      <c r="T1654" s="320">
        <v>35</v>
      </c>
      <c r="U1654" s="574"/>
      <c r="V1654" s="291">
        <f t="shared" ca="1" si="586"/>
        <v>9742.36</v>
      </c>
      <c r="W1654" s="256">
        <f t="shared" ca="1" si="587"/>
        <v>2</v>
      </c>
      <c r="X1654" s="256">
        <f t="shared" ca="1" si="588"/>
        <v>1</v>
      </c>
      <c r="Y1654" s="250"/>
      <c r="Z1654" s="250"/>
    </row>
    <row r="1655" spans="1:26" s="111" customFormat="1" ht="15" x14ac:dyDescent="0.2">
      <c r="A1655" s="288"/>
      <c r="B1655" s="494"/>
      <c r="C1655" s="1040">
        <v>45870</v>
      </c>
      <c r="D1655" s="551"/>
      <c r="E1655" s="552"/>
      <c r="F1655" s="553"/>
      <c r="G1655" s="551"/>
      <c r="H1655" s="552"/>
      <c r="I1655" s="553"/>
      <c r="J1655" s="936" t="s">
        <v>1196</v>
      </c>
      <c r="K1655" s="500">
        <v>2672.37</v>
      </c>
      <c r="L1655" s="501"/>
      <c r="M1655" s="760"/>
      <c r="N1655" s="761"/>
      <c r="O1655" s="505"/>
      <c r="P1655" s="501"/>
      <c r="Q1655" s="739"/>
      <c r="R1655" s="504">
        <f t="shared" si="590"/>
        <v>2672.37</v>
      </c>
      <c r="S1655" s="554" t="str">
        <f t="shared" si="589"/>
        <v>t</v>
      </c>
      <c r="T1655" s="506">
        <v>36</v>
      </c>
      <c r="U1655" s="574"/>
      <c r="V1655" s="291">
        <f t="shared" ca="1" si="586"/>
        <v>9742.36</v>
      </c>
      <c r="W1655" s="256">
        <f t="shared" ca="1" si="587"/>
        <v>2</v>
      </c>
      <c r="X1655" s="256">
        <f t="shared" ca="1" si="588"/>
        <v>1</v>
      </c>
      <c r="Y1655" s="250"/>
      <c r="Z1655" s="250"/>
    </row>
    <row r="1656" spans="1:26" s="111" customFormat="1" ht="15" x14ac:dyDescent="0.2">
      <c r="A1656" s="288"/>
      <c r="B1656" s="494"/>
      <c r="C1656" s="1040">
        <v>45870</v>
      </c>
      <c r="D1656" s="551"/>
      <c r="E1656" s="552"/>
      <c r="F1656" s="553"/>
      <c r="G1656" s="551"/>
      <c r="H1656" s="552"/>
      <c r="J1656" s="936" t="s">
        <v>1197</v>
      </c>
      <c r="K1656" s="1042">
        <v>500.46</v>
      </c>
      <c r="L1656" s="501"/>
      <c r="M1656" s="760"/>
      <c r="N1656" s="761"/>
      <c r="O1656" s="505"/>
      <c r="P1656" s="501"/>
      <c r="Q1656" s="739"/>
      <c r="R1656" s="504">
        <f t="shared" si="590"/>
        <v>500.46</v>
      </c>
      <c r="S1656" s="554" t="str">
        <f t="shared" si="589"/>
        <v>t</v>
      </c>
      <c r="T1656" s="506">
        <v>36</v>
      </c>
      <c r="U1656" s="574"/>
      <c r="V1656" s="291">
        <f t="shared" ca="1" si="586"/>
        <v>9742.36</v>
      </c>
      <c r="W1656" s="256">
        <f t="shared" ca="1" si="587"/>
        <v>2</v>
      </c>
      <c r="X1656" s="256">
        <f t="shared" ca="1" si="588"/>
        <v>1</v>
      </c>
      <c r="Y1656" s="250"/>
      <c r="Z1656" s="250"/>
    </row>
    <row r="1657" spans="1:26" s="111" customFormat="1" ht="15" x14ac:dyDescent="0.2">
      <c r="A1657" s="288"/>
      <c r="B1657" s="494"/>
      <c r="C1657" s="1040">
        <v>45871</v>
      </c>
      <c r="D1657" s="551"/>
      <c r="E1657" s="552"/>
      <c r="F1657" s="553"/>
      <c r="G1657" s="551"/>
      <c r="H1657" s="552"/>
      <c r="I1657" s="553"/>
      <c r="J1657" s="936" t="s">
        <v>1198</v>
      </c>
      <c r="K1657" s="1042">
        <v>70.430000000000007</v>
      </c>
      <c r="L1657" s="501"/>
      <c r="M1657" s="760"/>
      <c r="N1657" s="761"/>
      <c r="O1657" s="505"/>
      <c r="P1657" s="501"/>
      <c r="Q1657" s="739"/>
      <c r="R1657" s="504">
        <f t="shared" si="590"/>
        <v>70.430000000000007</v>
      </c>
      <c r="S1657" s="554" t="str">
        <f t="shared" si="589"/>
        <v>t</v>
      </c>
      <c r="T1657" s="506">
        <v>36</v>
      </c>
      <c r="U1657" s="574"/>
      <c r="V1657" s="291">
        <f t="shared" ca="1" si="586"/>
        <v>9742.36</v>
      </c>
      <c r="W1657" s="256">
        <f t="shared" ca="1" si="587"/>
        <v>2</v>
      </c>
      <c r="X1657" s="256">
        <f t="shared" ca="1" si="588"/>
        <v>1</v>
      </c>
      <c r="Y1657" s="250"/>
      <c r="Z1657" s="250"/>
    </row>
    <row r="1658" spans="1:26" s="111" customFormat="1" ht="15" x14ac:dyDescent="0.2">
      <c r="A1658" s="288"/>
      <c r="B1658" s="494"/>
      <c r="C1658" s="1040">
        <v>45872</v>
      </c>
      <c r="D1658" s="551"/>
      <c r="E1658" s="552"/>
      <c r="F1658" s="553"/>
      <c r="G1658" s="551"/>
      <c r="H1658" s="552"/>
      <c r="I1658" s="553"/>
      <c r="J1658" s="936" t="s">
        <v>1199</v>
      </c>
      <c r="K1658" s="1042">
        <v>198.41</v>
      </c>
      <c r="L1658" s="501"/>
      <c r="M1658" s="760"/>
      <c r="N1658" s="761"/>
      <c r="O1658" s="505"/>
      <c r="P1658" s="501"/>
      <c r="Q1658" s="739"/>
      <c r="R1658" s="504">
        <f t="shared" si="590"/>
        <v>198.41</v>
      </c>
      <c r="S1658" s="554" t="str">
        <f t="shared" si="589"/>
        <v>t</v>
      </c>
      <c r="T1658" s="506">
        <v>36</v>
      </c>
      <c r="U1658" s="574"/>
      <c r="V1658" s="291">
        <f t="shared" ca="1" si="586"/>
        <v>9742.36</v>
      </c>
      <c r="W1658" s="256">
        <f t="shared" ca="1" si="587"/>
        <v>2</v>
      </c>
      <c r="X1658" s="256">
        <f t="shared" ca="1" si="588"/>
        <v>1</v>
      </c>
      <c r="Y1658" s="250"/>
      <c r="Z1658" s="250"/>
    </row>
    <row r="1659" spans="1:26" s="111" customFormat="1" ht="15" x14ac:dyDescent="0.2">
      <c r="A1659" s="288"/>
      <c r="B1659" s="494"/>
      <c r="C1659" s="1040">
        <v>45872</v>
      </c>
      <c r="D1659" s="551"/>
      <c r="E1659" s="552"/>
      <c r="F1659" s="553"/>
      <c r="G1659" s="551"/>
      <c r="H1659" s="552"/>
      <c r="I1659" s="553"/>
      <c r="J1659" s="936" t="s">
        <v>1200</v>
      </c>
      <c r="K1659" s="1042">
        <v>56.81</v>
      </c>
      <c r="L1659" s="501"/>
      <c r="M1659" s="760"/>
      <c r="N1659" s="761"/>
      <c r="O1659" s="505"/>
      <c r="P1659" s="501"/>
      <c r="Q1659" s="739"/>
      <c r="R1659" s="504">
        <f t="shared" si="590"/>
        <v>56.81</v>
      </c>
      <c r="S1659" s="554" t="str">
        <f t="shared" si="589"/>
        <v>t</v>
      </c>
      <c r="T1659" s="506">
        <v>36</v>
      </c>
      <c r="U1659" s="574"/>
      <c r="V1659" s="291">
        <f t="shared" ca="1" si="586"/>
        <v>9742.36</v>
      </c>
      <c r="W1659" s="256">
        <f t="shared" ca="1" si="587"/>
        <v>2</v>
      </c>
      <c r="X1659" s="256">
        <f t="shared" ca="1" si="588"/>
        <v>1</v>
      </c>
      <c r="Y1659" s="250"/>
      <c r="Z1659" s="250"/>
    </row>
    <row r="1660" spans="1:26" s="111" customFormat="1" ht="15" x14ac:dyDescent="0.2">
      <c r="A1660" s="288"/>
      <c r="B1660" s="494"/>
      <c r="C1660" s="1040">
        <v>45901</v>
      </c>
      <c r="D1660" s="551"/>
      <c r="E1660" s="552"/>
      <c r="F1660" s="553"/>
      <c r="G1660" s="551"/>
      <c r="H1660" s="552"/>
      <c r="I1660" s="553"/>
      <c r="J1660" s="936" t="s">
        <v>1194</v>
      </c>
      <c r="K1660" s="936">
        <v>474.53</v>
      </c>
      <c r="L1660" s="501"/>
      <c r="M1660" s="760"/>
      <c r="N1660" s="761"/>
      <c r="O1660" s="505"/>
      <c r="P1660" s="501"/>
      <c r="Q1660" s="739"/>
      <c r="R1660" s="504">
        <f t="shared" si="590"/>
        <v>474.53</v>
      </c>
      <c r="S1660" s="554" t="str">
        <f t="shared" si="589"/>
        <v>t</v>
      </c>
      <c r="T1660" s="506">
        <v>37</v>
      </c>
      <c r="U1660" s="574"/>
      <c r="V1660" s="291">
        <f t="shared" ca="1" si="586"/>
        <v>9742.36</v>
      </c>
      <c r="W1660" s="256">
        <f t="shared" ca="1" si="587"/>
        <v>2</v>
      </c>
      <c r="X1660" s="256">
        <f t="shared" ca="1" si="588"/>
        <v>1</v>
      </c>
      <c r="Y1660" s="250"/>
      <c r="Z1660" s="250"/>
    </row>
    <row r="1661" spans="1:26" s="111" customFormat="1" ht="15" x14ac:dyDescent="0.2">
      <c r="A1661" s="288"/>
      <c r="B1661" s="494"/>
      <c r="C1661" s="1040">
        <v>45902</v>
      </c>
      <c r="D1661" s="551"/>
      <c r="E1661" s="552"/>
      <c r="F1661" s="553"/>
      <c r="G1661" s="551"/>
      <c r="H1661" s="552"/>
      <c r="I1661" s="553"/>
      <c r="J1661" s="560" t="s">
        <v>1195</v>
      </c>
      <c r="K1661" s="1042">
        <v>4066.32</v>
      </c>
      <c r="L1661" s="501"/>
      <c r="M1661" s="760"/>
      <c r="N1661" s="761"/>
      <c r="O1661" s="505"/>
      <c r="P1661" s="501"/>
      <c r="Q1661" s="739"/>
      <c r="R1661" s="504">
        <f t="shared" si="590"/>
        <v>4066.32</v>
      </c>
      <c r="S1661" s="554" t="str">
        <f t="shared" si="589"/>
        <v>t</v>
      </c>
      <c r="T1661" s="506">
        <v>37</v>
      </c>
      <c r="U1661" s="574"/>
      <c r="V1661" s="291">
        <f t="shared" ca="1" si="586"/>
        <v>9742.36</v>
      </c>
      <c r="W1661" s="256">
        <f t="shared" ca="1" si="587"/>
        <v>2</v>
      </c>
      <c r="X1661" s="256">
        <f t="shared" ca="1" si="588"/>
        <v>1</v>
      </c>
      <c r="Y1661" s="250"/>
      <c r="Z1661" s="250"/>
    </row>
    <row r="1662" spans="1:26" s="111" customFormat="1" ht="15" x14ac:dyDescent="0.2">
      <c r="A1662" s="288"/>
      <c r="B1662" s="494"/>
      <c r="C1662" s="1040">
        <v>45931</v>
      </c>
      <c r="D1662" s="551"/>
      <c r="E1662" s="552"/>
      <c r="F1662" s="553"/>
      <c r="G1662" s="551"/>
      <c r="H1662" s="552"/>
      <c r="I1662" s="553"/>
      <c r="J1662" s="1102" t="s">
        <v>1241</v>
      </c>
      <c r="K1662" s="500">
        <v>1325.02</v>
      </c>
      <c r="L1662" s="501"/>
      <c r="M1662" s="760"/>
      <c r="N1662" s="761"/>
      <c r="O1662" s="505"/>
      <c r="P1662" s="501"/>
      <c r="Q1662" s="739"/>
      <c r="R1662" s="1104">
        <f t="shared" si="590"/>
        <v>1325.02</v>
      </c>
      <c r="S1662" s="554" t="str">
        <f t="shared" si="589"/>
        <v>t</v>
      </c>
      <c r="T1662" s="506">
        <v>38</v>
      </c>
      <c r="U1662" s="574"/>
      <c r="V1662" s="291">
        <f t="shared" ca="1" si="586"/>
        <v>9742.36</v>
      </c>
      <c r="W1662" s="256">
        <f t="shared" ca="1" si="587"/>
        <v>2</v>
      </c>
      <c r="X1662" s="256">
        <f t="shared" ca="1" si="588"/>
        <v>1</v>
      </c>
      <c r="Y1662" s="250"/>
      <c r="Z1662" s="250"/>
    </row>
    <row r="1663" spans="1:26" s="111" customFormat="1" ht="15" x14ac:dyDescent="0.2">
      <c r="A1663" s="288"/>
      <c r="B1663" s="494"/>
      <c r="C1663" s="1040">
        <v>45931</v>
      </c>
      <c r="D1663" s="551"/>
      <c r="E1663" s="552"/>
      <c r="F1663" s="553"/>
      <c r="G1663" s="551"/>
      <c r="H1663" s="552"/>
      <c r="I1663" s="553"/>
      <c r="J1663" s="936" t="s">
        <v>1242</v>
      </c>
      <c r="K1663" s="1042">
        <v>3510.13</v>
      </c>
      <c r="L1663" s="501"/>
      <c r="M1663" s="760"/>
      <c r="N1663" s="761"/>
      <c r="O1663" s="505"/>
      <c r="P1663" s="501"/>
      <c r="Q1663" s="739"/>
      <c r="R1663" s="1104">
        <f t="shared" si="590"/>
        <v>3510.13</v>
      </c>
      <c r="S1663" s="554" t="str">
        <f t="shared" si="589"/>
        <v>t</v>
      </c>
      <c r="T1663" s="506">
        <v>38</v>
      </c>
      <c r="U1663" s="574"/>
      <c r="V1663" s="291">
        <f t="shared" ca="1" si="586"/>
        <v>9742.36</v>
      </c>
      <c r="W1663" s="256">
        <f t="shared" ca="1" si="587"/>
        <v>2</v>
      </c>
      <c r="X1663" s="256">
        <f t="shared" ca="1" si="588"/>
        <v>1</v>
      </c>
      <c r="Y1663" s="250"/>
      <c r="Z1663" s="250"/>
    </row>
    <row r="1664" spans="1:26" s="111" customFormat="1" ht="15" x14ac:dyDescent="0.2">
      <c r="A1664" s="288"/>
      <c r="B1664" s="494"/>
      <c r="C1664" s="1040">
        <v>45962</v>
      </c>
      <c r="D1664" s="551"/>
      <c r="E1664" s="552"/>
      <c r="F1664" s="553"/>
      <c r="G1664" s="551"/>
      <c r="H1664" s="552"/>
      <c r="I1664" s="553"/>
      <c r="J1664" s="1042" t="s">
        <v>1243</v>
      </c>
      <c r="K1664" s="1042">
        <v>19.86</v>
      </c>
      <c r="L1664" s="501"/>
      <c r="M1664" s="760"/>
      <c r="N1664" s="761"/>
      <c r="O1664" s="505"/>
      <c r="P1664" s="501"/>
      <c r="Q1664" s="739"/>
      <c r="R1664" s="1104">
        <f t="shared" si="590"/>
        <v>19.86</v>
      </c>
      <c r="S1664" s="554" t="str">
        <f t="shared" si="589"/>
        <v>t</v>
      </c>
      <c r="T1664" s="506">
        <v>39</v>
      </c>
      <c r="U1664" s="574"/>
      <c r="V1664" s="291">
        <f t="shared" ca="1" si="586"/>
        <v>9742.36</v>
      </c>
      <c r="W1664" s="256">
        <f t="shared" ca="1" si="587"/>
        <v>2</v>
      </c>
      <c r="X1664" s="256">
        <f t="shared" ca="1" si="588"/>
        <v>1</v>
      </c>
      <c r="Y1664" s="250"/>
      <c r="Z1664" s="250"/>
    </row>
    <row r="1665" spans="1:26" s="111" customFormat="1" ht="15" x14ac:dyDescent="0.2">
      <c r="A1665" s="288"/>
      <c r="B1665" s="494"/>
      <c r="C1665" s="1040">
        <v>45962</v>
      </c>
      <c r="D1665" s="551"/>
      <c r="E1665" s="552"/>
      <c r="F1665" s="553"/>
      <c r="G1665" s="551"/>
      <c r="H1665" s="552"/>
      <c r="I1665" s="553"/>
      <c r="J1665" s="500" t="s">
        <v>1244</v>
      </c>
      <c r="K1665" s="500">
        <v>754</v>
      </c>
      <c r="L1665" s="501"/>
      <c r="M1665" s="760"/>
      <c r="N1665" s="761"/>
      <c r="O1665" s="505"/>
      <c r="P1665" s="501"/>
      <c r="Q1665" s="739"/>
      <c r="R1665" s="1104">
        <f t="shared" si="590"/>
        <v>754</v>
      </c>
      <c r="S1665" s="554" t="str">
        <f t="shared" si="589"/>
        <v>t</v>
      </c>
      <c r="T1665" s="506">
        <v>41</v>
      </c>
      <c r="U1665" s="574"/>
      <c r="V1665" s="291">
        <f t="shared" ca="1" si="586"/>
        <v>9742.36</v>
      </c>
      <c r="W1665" s="256">
        <f t="shared" ca="1" si="587"/>
        <v>2</v>
      </c>
      <c r="X1665" s="256">
        <f t="shared" ca="1" si="588"/>
        <v>1</v>
      </c>
      <c r="Y1665" s="250"/>
      <c r="Z1665" s="250"/>
    </row>
    <row r="1666" spans="1:26" s="111" customFormat="1" ht="15" x14ac:dyDescent="0.2">
      <c r="A1666" s="288"/>
      <c r="B1666" s="494"/>
      <c r="C1666" s="1040">
        <v>45962</v>
      </c>
      <c r="D1666" s="551"/>
      <c r="E1666" s="552"/>
      <c r="F1666" s="553"/>
      <c r="G1666" s="551"/>
      <c r="H1666" s="552"/>
      <c r="I1666" s="553"/>
      <c r="J1666" s="1102" t="s">
        <v>1245</v>
      </c>
      <c r="K1666" s="500">
        <v>324.18</v>
      </c>
      <c r="L1666" s="501"/>
      <c r="M1666" s="760"/>
      <c r="N1666" s="761"/>
      <c r="O1666" s="505"/>
      <c r="P1666" s="501"/>
      <c r="Q1666" s="739"/>
      <c r="R1666" s="1104">
        <f t="shared" si="590"/>
        <v>324.18</v>
      </c>
      <c r="S1666" s="554" t="str">
        <f t="shared" si="589"/>
        <v>t</v>
      </c>
      <c r="T1666" s="506">
        <v>41</v>
      </c>
      <c r="U1666" s="574"/>
      <c r="V1666" s="291">
        <f t="shared" ca="1" si="586"/>
        <v>9742.36</v>
      </c>
      <c r="W1666" s="256">
        <f t="shared" ca="1" si="587"/>
        <v>2</v>
      </c>
      <c r="X1666" s="256">
        <f t="shared" ca="1" si="588"/>
        <v>1</v>
      </c>
      <c r="Y1666" s="250"/>
      <c r="Z1666" s="250"/>
    </row>
    <row r="1667" spans="1:26" s="111" customFormat="1" ht="15" x14ac:dyDescent="0.2">
      <c r="A1667" s="288"/>
      <c r="B1667" s="494"/>
      <c r="C1667" s="1040">
        <v>45962</v>
      </c>
      <c r="D1667" s="551"/>
      <c r="E1667" s="552"/>
      <c r="F1667" s="553"/>
      <c r="G1667" s="551"/>
      <c r="H1667" s="552"/>
      <c r="I1667" s="553"/>
      <c r="J1667" s="1102" t="s">
        <v>1246</v>
      </c>
      <c r="K1667" s="500">
        <v>14.69</v>
      </c>
      <c r="L1667" s="501"/>
      <c r="M1667" s="760"/>
      <c r="N1667" s="761"/>
      <c r="O1667" s="505"/>
      <c r="P1667" s="501"/>
      <c r="Q1667" s="739"/>
      <c r="R1667" s="1104">
        <f t="shared" si="590"/>
        <v>14.69</v>
      </c>
      <c r="S1667" s="554" t="str">
        <f t="shared" si="589"/>
        <v>t</v>
      </c>
      <c r="T1667" s="506">
        <v>39</v>
      </c>
      <c r="U1667" s="574"/>
      <c r="V1667" s="291">
        <f t="shared" ca="1" si="586"/>
        <v>9742.36</v>
      </c>
      <c r="W1667" s="256">
        <f t="shared" ca="1" si="587"/>
        <v>2</v>
      </c>
      <c r="X1667" s="256">
        <f t="shared" ca="1" si="588"/>
        <v>1</v>
      </c>
      <c r="Y1667" s="250"/>
      <c r="Z1667" s="250"/>
    </row>
    <row r="1668" spans="1:26" s="111" customFormat="1" ht="15" x14ac:dyDescent="0.2">
      <c r="A1668" s="288"/>
      <c r="B1668" s="494"/>
      <c r="C1668" s="1040">
        <v>45962</v>
      </c>
      <c r="D1668" s="551"/>
      <c r="E1668" s="552"/>
      <c r="F1668" s="553"/>
      <c r="G1668" s="551"/>
      <c r="H1668" s="552"/>
      <c r="I1668" s="553"/>
      <c r="J1668" s="1102" t="s">
        <v>1247</v>
      </c>
      <c r="K1668" s="500">
        <v>1658.51</v>
      </c>
      <c r="L1668" s="501"/>
      <c r="M1668" s="760"/>
      <c r="N1668" s="761"/>
      <c r="O1668" s="505"/>
      <c r="P1668" s="501"/>
      <c r="Q1668" s="739"/>
      <c r="R1668" s="1104">
        <f t="shared" si="590"/>
        <v>1658.51</v>
      </c>
      <c r="S1668" s="554" t="str">
        <f t="shared" si="589"/>
        <v>t</v>
      </c>
      <c r="T1668" s="506">
        <v>39</v>
      </c>
      <c r="U1668" s="574"/>
      <c r="V1668" s="291">
        <f t="shared" ca="1" si="586"/>
        <v>9742.36</v>
      </c>
      <c r="W1668" s="256">
        <f t="shared" ca="1" si="587"/>
        <v>2</v>
      </c>
      <c r="X1668" s="256">
        <f t="shared" ca="1" si="588"/>
        <v>1</v>
      </c>
      <c r="Y1668" s="250"/>
      <c r="Z1668" s="250"/>
    </row>
    <row r="1669" spans="1:26" s="111" customFormat="1" ht="15" x14ac:dyDescent="0.2">
      <c r="A1669" s="288"/>
      <c r="B1669" s="494"/>
      <c r="C1669" s="1040">
        <v>45992</v>
      </c>
      <c r="D1669" s="551"/>
      <c r="E1669" s="552"/>
      <c r="F1669" s="553"/>
      <c r="G1669" s="551"/>
      <c r="H1669" s="552"/>
      <c r="I1669" s="553"/>
      <c r="J1669" s="1109" t="s">
        <v>1281</v>
      </c>
      <c r="K1669" s="500">
        <v>4365.0200000000004</v>
      </c>
      <c r="L1669" s="501"/>
      <c r="M1669" s="760"/>
      <c r="N1669" s="761"/>
      <c r="O1669" s="505"/>
      <c r="P1669" s="501"/>
      <c r="Q1669" s="739"/>
      <c r="R1669" s="1111">
        <f t="shared" si="590"/>
        <v>4365.0200000000004</v>
      </c>
      <c r="S1669" s="554" t="str">
        <f t="shared" si="589"/>
        <v>t</v>
      </c>
      <c r="T1669" s="506">
        <v>40</v>
      </c>
      <c r="U1669" s="574"/>
      <c r="V1669" s="291">
        <f t="shared" ca="1" si="586"/>
        <v>9742.36</v>
      </c>
      <c r="W1669" s="256">
        <f t="shared" ca="1" si="587"/>
        <v>2</v>
      </c>
      <c r="X1669" s="256">
        <f t="shared" ca="1" si="588"/>
        <v>1</v>
      </c>
      <c r="Y1669" s="250"/>
      <c r="Z1669" s="250"/>
    </row>
    <row r="1670" spans="1:26" s="111" customFormat="1" ht="15" x14ac:dyDescent="0.2">
      <c r="A1670" s="288"/>
      <c r="B1670" s="494"/>
      <c r="C1670" s="1040">
        <v>45992</v>
      </c>
      <c r="D1670" s="551"/>
      <c r="E1670" s="552"/>
      <c r="F1670" s="553"/>
      <c r="G1670" s="551"/>
      <c r="H1670" s="552"/>
      <c r="I1670" s="553"/>
      <c r="J1670" s="1109" t="s">
        <v>1282</v>
      </c>
      <c r="K1670" s="500">
        <v>1085.26</v>
      </c>
      <c r="L1670" s="501"/>
      <c r="M1670" s="760"/>
      <c r="N1670" s="761"/>
      <c r="O1670" s="505"/>
      <c r="P1670" s="501"/>
      <c r="Q1670" s="739"/>
      <c r="R1670" s="1111">
        <f t="shared" si="590"/>
        <v>1085.26</v>
      </c>
      <c r="S1670" s="554" t="str">
        <f t="shared" si="589"/>
        <v>t</v>
      </c>
      <c r="T1670" s="506">
        <v>41</v>
      </c>
      <c r="U1670" s="574"/>
      <c r="V1670" s="291">
        <f t="shared" ca="1" si="586"/>
        <v>9742.36</v>
      </c>
      <c r="W1670" s="256">
        <f t="shared" ca="1" si="587"/>
        <v>2</v>
      </c>
      <c r="X1670" s="256">
        <f t="shared" ca="1" si="588"/>
        <v>1</v>
      </c>
      <c r="Y1670" s="250"/>
      <c r="Z1670" s="250"/>
    </row>
    <row r="1671" spans="1:26" s="111" customFormat="1" ht="15" x14ac:dyDescent="0.2">
      <c r="A1671" s="288"/>
      <c r="B1671" s="494"/>
      <c r="C1671" s="1040">
        <v>45992</v>
      </c>
      <c r="D1671" s="551"/>
      <c r="E1671" s="552"/>
      <c r="F1671" s="553"/>
      <c r="G1671" s="551"/>
      <c r="H1671" s="552"/>
      <c r="I1671" s="553"/>
      <c r="J1671" s="1109" t="s">
        <v>1283</v>
      </c>
      <c r="K1671" s="500">
        <v>57.41</v>
      </c>
      <c r="L1671" s="501"/>
      <c r="M1671" s="760"/>
      <c r="N1671" s="761"/>
      <c r="O1671" s="505"/>
      <c r="P1671" s="501"/>
      <c r="Q1671" s="739"/>
      <c r="R1671" s="1111">
        <f t="shared" si="590"/>
        <v>57.41</v>
      </c>
      <c r="S1671" s="554" t="str">
        <f t="shared" si="589"/>
        <v>t</v>
      </c>
      <c r="T1671" s="506">
        <v>40</v>
      </c>
      <c r="U1671" s="574"/>
      <c r="V1671" s="291">
        <f t="shared" ca="1" si="586"/>
        <v>9742.36</v>
      </c>
      <c r="W1671" s="256">
        <f t="shared" ca="1" si="587"/>
        <v>2</v>
      </c>
      <c r="X1671" s="256">
        <f t="shared" ca="1" si="588"/>
        <v>1</v>
      </c>
      <c r="Y1671" s="250"/>
      <c r="Z1671" s="250"/>
    </row>
    <row r="1672" spans="1:26" s="111" customFormat="1" ht="15" x14ac:dyDescent="0.2">
      <c r="A1672" s="288"/>
      <c r="B1672" s="494"/>
      <c r="C1672" s="1040">
        <v>46023</v>
      </c>
      <c r="D1672" s="551"/>
      <c r="E1672" s="552"/>
      <c r="F1672" s="553"/>
      <c r="G1672" s="551"/>
      <c r="H1672" s="552"/>
      <c r="I1672" s="553"/>
      <c r="J1672" s="1109" t="s">
        <v>1307</v>
      </c>
      <c r="K1672" s="500">
        <v>459.86</v>
      </c>
      <c r="L1672" s="501"/>
      <c r="M1672" s="760"/>
      <c r="N1672" s="761"/>
      <c r="O1672" s="505"/>
      <c r="P1672" s="501"/>
      <c r="Q1672" s="739"/>
      <c r="R1672" s="1111">
        <f t="shared" si="590"/>
        <v>459.86</v>
      </c>
      <c r="S1672" s="554" t="str">
        <f t="shared" si="589"/>
        <v>t</v>
      </c>
      <c r="T1672" s="506">
        <v>41</v>
      </c>
      <c r="U1672" s="574"/>
      <c r="V1672" s="291">
        <f t="shared" ca="1" si="586"/>
        <v>9742.36</v>
      </c>
      <c r="W1672" s="256">
        <f t="shared" ca="1" si="587"/>
        <v>2</v>
      </c>
      <c r="X1672" s="256">
        <f t="shared" ca="1" si="588"/>
        <v>1</v>
      </c>
      <c r="Y1672" s="250"/>
      <c r="Z1672" s="250"/>
    </row>
    <row r="1673" spans="1:26" s="111" customFormat="1" ht="15" x14ac:dyDescent="0.2">
      <c r="A1673" s="288"/>
      <c r="B1673" s="494"/>
      <c r="C1673" s="1040">
        <v>46023</v>
      </c>
      <c r="D1673" s="551"/>
      <c r="E1673" s="552"/>
      <c r="F1673" s="553"/>
      <c r="G1673" s="551"/>
      <c r="H1673" s="552"/>
      <c r="I1673" s="553"/>
      <c r="J1673" s="1109" t="s">
        <v>1308</v>
      </c>
      <c r="K1673" s="500">
        <v>254.2</v>
      </c>
      <c r="L1673" s="501"/>
      <c r="M1673" s="760"/>
      <c r="N1673" s="761"/>
      <c r="O1673" s="505"/>
      <c r="P1673" s="501"/>
      <c r="Q1673" s="739"/>
      <c r="R1673" s="1111">
        <f t="shared" si="590"/>
        <v>254.2</v>
      </c>
      <c r="S1673" s="554" t="str">
        <f t="shared" si="589"/>
        <v>t</v>
      </c>
      <c r="T1673" s="506">
        <v>41</v>
      </c>
      <c r="U1673" s="574"/>
      <c r="V1673" s="291">
        <f t="shared" ca="1" si="586"/>
        <v>9742.36</v>
      </c>
      <c r="W1673" s="256">
        <f t="shared" ca="1" si="587"/>
        <v>2</v>
      </c>
      <c r="X1673" s="256">
        <f t="shared" ca="1" si="588"/>
        <v>1</v>
      </c>
      <c r="Y1673" s="250"/>
      <c r="Z1673" s="250"/>
    </row>
    <row r="1674" spans="1:26" s="111" customFormat="1" ht="15" x14ac:dyDescent="0.2">
      <c r="A1674" s="288"/>
      <c r="B1674" s="494"/>
      <c r="C1674" s="1040">
        <v>46023</v>
      </c>
      <c r="D1674" s="551"/>
      <c r="E1674" s="552"/>
      <c r="F1674" s="553"/>
      <c r="G1674" s="551"/>
      <c r="H1674" s="552"/>
      <c r="I1674" s="553"/>
      <c r="J1674" s="1109" t="s">
        <v>1309</v>
      </c>
      <c r="K1674" s="500">
        <v>3243.04</v>
      </c>
      <c r="L1674" s="501"/>
      <c r="M1674" s="760"/>
      <c r="N1674" s="761"/>
      <c r="O1674" s="505"/>
      <c r="P1674" s="501"/>
      <c r="Q1674" s="739"/>
      <c r="R1674" s="1111">
        <f t="shared" si="590"/>
        <v>3243.04</v>
      </c>
      <c r="S1674" s="554" t="str">
        <f t="shared" si="589"/>
        <v>t</v>
      </c>
      <c r="T1674" s="506">
        <v>41</v>
      </c>
      <c r="U1674" s="574"/>
      <c r="V1674" s="291">
        <f t="shared" ca="1" si="586"/>
        <v>9742.36</v>
      </c>
      <c r="W1674" s="256">
        <f t="shared" ca="1" si="587"/>
        <v>2</v>
      </c>
      <c r="X1674" s="256">
        <f t="shared" ca="1" si="588"/>
        <v>1</v>
      </c>
      <c r="Y1674" s="250"/>
      <c r="Z1674" s="250"/>
    </row>
    <row r="1675" spans="1:26" s="111" customFormat="1" ht="15" x14ac:dyDescent="0.2">
      <c r="A1675" s="288"/>
      <c r="B1675" s="494"/>
      <c r="C1675" s="1040">
        <v>46054</v>
      </c>
      <c r="D1675" s="551"/>
      <c r="E1675" s="552"/>
      <c r="F1675" s="553"/>
      <c r="G1675" s="551"/>
      <c r="H1675" s="552"/>
      <c r="I1675" s="553"/>
      <c r="J1675" s="1109" t="s">
        <v>1313</v>
      </c>
      <c r="K1675" s="500">
        <v>65.099999999999994</v>
      </c>
      <c r="L1675" s="501"/>
      <c r="M1675" s="760"/>
      <c r="N1675" s="761"/>
      <c r="O1675" s="505"/>
      <c r="P1675" s="501"/>
      <c r="Q1675" s="739"/>
      <c r="R1675" s="1111">
        <v>65.16</v>
      </c>
      <c r="S1675" s="554" t="str">
        <f t="shared" si="589"/>
        <v>t</v>
      </c>
      <c r="T1675" s="506">
        <v>42</v>
      </c>
      <c r="U1675" s="574"/>
      <c r="V1675" s="291">
        <f t="shared" ca="1" si="586"/>
        <v>9742.36</v>
      </c>
      <c r="W1675" s="256">
        <f t="shared" ca="1" si="587"/>
        <v>2</v>
      </c>
      <c r="X1675" s="256">
        <f t="shared" ca="1" si="588"/>
        <v>1</v>
      </c>
      <c r="Y1675" s="250"/>
      <c r="Z1675" s="250"/>
    </row>
    <row r="1676" spans="1:26" s="111" customFormat="1" ht="15" x14ac:dyDescent="0.2">
      <c r="A1676" s="288"/>
      <c r="B1676" s="494"/>
      <c r="C1676" s="1040">
        <v>46054</v>
      </c>
      <c r="D1676" s="551"/>
      <c r="E1676" s="552"/>
      <c r="F1676" s="553"/>
      <c r="G1676" s="551"/>
      <c r="H1676" s="552"/>
      <c r="I1676" s="553"/>
      <c r="J1676" s="1109" t="s">
        <v>1314</v>
      </c>
      <c r="K1676" s="500">
        <f>13.67+15.19+1210.62</f>
        <v>1239.4799999999998</v>
      </c>
      <c r="L1676" s="501"/>
      <c r="M1676" s="760"/>
      <c r="N1676" s="761"/>
      <c r="O1676" s="505"/>
      <c r="P1676" s="501"/>
      <c r="Q1676" s="739"/>
      <c r="R1676" s="1111">
        <f>K1676</f>
        <v>1239.4799999999998</v>
      </c>
      <c r="S1676" s="554" t="str">
        <f t="shared" si="589"/>
        <v>t</v>
      </c>
      <c r="T1676" s="506">
        <v>42</v>
      </c>
      <c r="U1676" s="574"/>
      <c r="V1676" s="291">
        <f t="shared" ca="1" si="586"/>
        <v>9742.36</v>
      </c>
      <c r="W1676" s="256">
        <f t="shared" ca="1" si="587"/>
        <v>2</v>
      </c>
      <c r="X1676" s="256">
        <f t="shared" ca="1" si="588"/>
        <v>1</v>
      </c>
      <c r="Y1676" s="250"/>
      <c r="Z1676" s="250"/>
    </row>
    <row r="1677" spans="1:26" s="111" customFormat="1" ht="15" x14ac:dyDescent="0.2">
      <c r="A1677" s="288"/>
      <c r="B1677" s="494"/>
      <c r="C1677" s="1040">
        <v>46054</v>
      </c>
      <c r="D1677" s="551"/>
      <c r="E1677" s="552"/>
      <c r="F1677" s="553"/>
      <c r="G1677" s="551"/>
      <c r="H1677" s="552"/>
      <c r="I1677" s="553"/>
      <c r="J1677" s="1109" t="s">
        <v>1315</v>
      </c>
      <c r="K1677" s="500">
        <f>72.66+3710.53</f>
        <v>3783.19</v>
      </c>
      <c r="L1677" s="501"/>
      <c r="M1677" s="760"/>
      <c r="N1677" s="761"/>
      <c r="O1677" s="505"/>
      <c r="P1677" s="501"/>
      <c r="Q1677" s="739"/>
      <c r="R1677" s="504">
        <v>3783.19</v>
      </c>
      <c r="S1677" s="554" t="str">
        <f t="shared" si="589"/>
        <v>t</v>
      </c>
      <c r="T1677" s="506">
        <v>44</v>
      </c>
      <c r="U1677" s="574"/>
      <c r="V1677" s="291">
        <f t="shared" ca="1" si="586"/>
        <v>9742.36</v>
      </c>
      <c r="W1677" s="256">
        <f t="shared" ca="1" si="587"/>
        <v>2</v>
      </c>
      <c r="X1677" s="256">
        <f t="shared" ca="1" si="588"/>
        <v>1</v>
      </c>
      <c r="Y1677" s="250"/>
      <c r="Z1677" s="250"/>
    </row>
    <row r="1678" spans="1:26" s="111" customFormat="1" ht="15" x14ac:dyDescent="0.2">
      <c r="A1678" s="288"/>
      <c r="B1678" s="494"/>
      <c r="C1678" s="1040">
        <v>46082</v>
      </c>
      <c r="D1678" s="551"/>
      <c r="E1678" s="552"/>
      <c r="F1678" s="553"/>
      <c r="G1678" s="551"/>
      <c r="H1678" s="552"/>
      <c r="I1678" s="553"/>
      <c r="J1678" s="1109" t="s">
        <v>1375</v>
      </c>
      <c r="K1678" s="500">
        <v>3621.37</v>
      </c>
      <c r="L1678" s="501"/>
      <c r="M1678" s="760"/>
      <c r="N1678" s="761"/>
      <c r="O1678" s="505"/>
      <c r="P1678" s="501"/>
      <c r="Q1678" s="739"/>
      <c r="R1678" s="1111">
        <v>3621.37</v>
      </c>
      <c r="S1678" s="554" t="str">
        <f t="shared" si="589"/>
        <v>t</v>
      </c>
      <c r="T1678" s="506">
        <v>44</v>
      </c>
      <c r="U1678" s="574"/>
      <c r="V1678" s="291">
        <f t="shared" ca="1" si="586"/>
        <v>9742.36</v>
      </c>
      <c r="W1678" s="256">
        <f t="shared" ca="1" si="587"/>
        <v>2</v>
      </c>
      <c r="X1678" s="256">
        <f t="shared" ca="1" si="588"/>
        <v>1</v>
      </c>
      <c r="Y1678" s="250"/>
      <c r="Z1678" s="250"/>
    </row>
    <row r="1679" spans="1:26" s="111" customFormat="1" ht="15" x14ac:dyDescent="0.2">
      <c r="A1679" s="288"/>
      <c r="B1679" s="494"/>
      <c r="C1679" s="1040">
        <v>46113</v>
      </c>
      <c r="D1679" s="551"/>
      <c r="E1679" s="552"/>
      <c r="F1679" s="553"/>
      <c r="G1679" s="551"/>
      <c r="H1679" s="552"/>
      <c r="I1679" s="553"/>
      <c r="J1679" s="1109" t="s">
        <v>1376</v>
      </c>
      <c r="K1679" s="500">
        <v>1488.65</v>
      </c>
      <c r="L1679" s="501"/>
      <c r="M1679" s="760"/>
      <c r="N1679" s="761"/>
      <c r="O1679" s="505"/>
      <c r="P1679" s="501"/>
      <c r="Q1679" s="739"/>
      <c r="R1679" s="1111">
        <v>1488.65</v>
      </c>
      <c r="S1679" s="554" t="str">
        <f t="shared" si="589"/>
        <v>t</v>
      </c>
      <c r="T1679" s="506">
        <v>44</v>
      </c>
      <c r="U1679" s="574"/>
      <c r="V1679" s="291">
        <f t="shared" ca="1" si="586"/>
        <v>9742.36</v>
      </c>
      <c r="W1679" s="256">
        <f t="shared" ca="1" si="587"/>
        <v>2</v>
      </c>
      <c r="X1679" s="256">
        <f t="shared" ca="1" si="588"/>
        <v>1</v>
      </c>
      <c r="Y1679" s="250"/>
      <c r="Z1679" s="250"/>
    </row>
    <row r="1680" spans="1:26" s="111" customFormat="1" ht="15" x14ac:dyDescent="0.2">
      <c r="A1680" s="288"/>
      <c r="B1680" s="494"/>
      <c r="C1680" s="1040">
        <v>46114</v>
      </c>
      <c r="D1680" s="551"/>
      <c r="E1680" s="552"/>
      <c r="F1680" s="553"/>
      <c r="G1680" s="551"/>
      <c r="H1680" s="552"/>
      <c r="I1680" s="553"/>
      <c r="J1680" s="1109" t="s">
        <v>1377</v>
      </c>
      <c r="K1680" s="500">
        <v>368.48</v>
      </c>
      <c r="L1680" s="501"/>
      <c r="M1680" s="760"/>
      <c r="N1680" s="761"/>
      <c r="O1680" s="505"/>
      <c r="P1680" s="501"/>
      <c r="Q1680" s="739"/>
      <c r="R1680" s="1111">
        <v>368.48</v>
      </c>
      <c r="S1680" s="554" t="str">
        <f t="shared" si="589"/>
        <v>t</v>
      </c>
      <c r="T1680" s="506">
        <v>44</v>
      </c>
      <c r="U1680" s="574"/>
      <c r="V1680" s="291">
        <f t="shared" ca="1" si="586"/>
        <v>9742.36</v>
      </c>
      <c r="W1680" s="256">
        <f t="shared" ca="1" si="587"/>
        <v>2</v>
      </c>
      <c r="X1680" s="256">
        <f t="shared" ca="1" si="588"/>
        <v>1</v>
      </c>
      <c r="Y1680" s="250"/>
      <c r="Z1680" s="250"/>
    </row>
    <row r="1681" spans="1:29" s="111" customFormat="1" ht="15" x14ac:dyDescent="0.2">
      <c r="A1681" s="288"/>
      <c r="B1681" s="494"/>
      <c r="C1681" s="1040"/>
      <c r="D1681" s="551"/>
      <c r="E1681" s="552"/>
      <c r="F1681" s="553"/>
      <c r="G1681" s="551"/>
      <c r="H1681" s="552"/>
      <c r="I1681" s="553"/>
      <c r="J1681" s="560"/>
      <c r="K1681" s="500"/>
      <c r="L1681" s="501"/>
      <c r="M1681" s="760"/>
      <c r="N1681" s="761"/>
      <c r="O1681" s="505"/>
      <c r="P1681" s="501"/>
      <c r="Q1681" s="739"/>
      <c r="R1681" s="504"/>
      <c r="S1681" s="505"/>
      <c r="T1681" s="506"/>
      <c r="U1681" s="574"/>
      <c r="V1681" s="291">
        <f t="shared" ca="1" si="586"/>
        <v>9742.36</v>
      </c>
      <c r="W1681" s="256">
        <f t="shared" ca="1" si="587"/>
        <v>0</v>
      </c>
      <c r="X1681" s="256">
        <f t="shared" ca="1" si="588"/>
        <v>1</v>
      </c>
      <c r="Y1681" s="250"/>
      <c r="Z1681" s="250"/>
    </row>
    <row r="1682" spans="1:29" s="111" customFormat="1" ht="15" x14ac:dyDescent="0.2">
      <c r="A1682" s="288"/>
      <c r="B1682" s="338"/>
      <c r="C1682" s="339"/>
      <c r="D1682" s="340"/>
      <c r="E1682" s="341"/>
      <c r="F1682" s="342"/>
      <c r="G1682" s="340"/>
      <c r="H1682" s="341"/>
      <c r="I1682" s="342"/>
      <c r="J1682" s="343"/>
      <c r="K1682" s="344"/>
      <c r="L1682" s="345"/>
      <c r="M1682" s="346"/>
      <c r="N1682" s="347"/>
      <c r="O1682" s="348"/>
      <c r="P1682" s="345"/>
      <c r="Q1682" s="349"/>
      <c r="R1682" s="350"/>
      <c r="S1682" s="351"/>
      <c r="T1682" s="352"/>
      <c r="U1682" s="353"/>
      <c r="V1682" s="291">
        <f t="shared" ca="1" si="586"/>
        <v>9742.36</v>
      </c>
      <c r="W1682" s="256">
        <f t="shared" ca="1" si="587"/>
        <v>0</v>
      </c>
      <c r="X1682" s="256">
        <f t="shared" ca="1" si="588"/>
        <v>1</v>
      </c>
      <c r="Y1682" s="1046">
        <v>4003.85</v>
      </c>
      <c r="Z1682" s="250"/>
    </row>
    <row r="1683" spans="1:29" s="111" customFormat="1" ht="15.75" x14ac:dyDescent="0.2">
      <c r="A1683" s="288"/>
      <c r="B1683" s="354"/>
      <c r="C1683" s="355"/>
      <c r="D1683" s="1354" t="s">
        <v>492</v>
      </c>
      <c r="E1683" s="1355"/>
      <c r="F1683" s="1355"/>
      <c r="G1683" s="1355"/>
      <c r="H1683" s="1355"/>
      <c r="I1683" s="1356"/>
      <c r="J1683" s="1357">
        <f>VLOOKUP(A1685,'11 - FINANCEIRO'!_xlnm.Print_Area,6,FALSE)</f>
        <v>90575.59</v>
      </c>
      <c r="K1683" s="1358"/>
      <c r="L1683" s="356" t="str">
        <f>VLOOKUP(A1685,'11 - FINANCEIRO'!_xlnm.Print_Area,4,FALSE)</f>
        <v>t</v>
      </c>
      <c r="M1683" s="1359" t="s">
        <v>493</v>
      </c>
      <c r="N1683" s="1360"/>
      <c r="O1683" s="1360"/>
      <c r="P1683" s="1360"/>
      <c r="Q1683" s="1361"/>
      <c r="R1683" s="357">
        <f>TRUNC(SUM(R1633:R1682),3)</f>
        <v>58496.66</v>
      </c>
      <c r="S1683" s="358" t="str">
        <f>L1683</f>
        <v>t</v>
      </c>
      <c r="T1683" s="1423"/>
      <c r="U1683" s="1424"/>
      <c r="V1683" s="291">
        <f t="shared" ca="1" si="586"/>
        <v>9742.36</v>
      </c>
      <c r="W1683" s="256">
        <f t="shared" ca="1" si="587"/>
        <v>2</v>
      </c>
      <c r="X1683" s="256">
        <f t="shared" ca="1" si="588"/>
        <v>1</v>
      </c>
      <c r="Y1683" s="250"/>
      <c r="Z1683" s="250"/>
    </row>
    <row r="1684" spans="1:29" s="293" customFormat="1" ht="15.75" x14ac:dyDescent="0.2">
      <c r="A1684" s="288"/>
      <c r="B1684" s="354"/>
      <c r="C1684" s="361"/>
      <c r="D1684" s="1362" t="s">
        <v>494</v>
      </c>
      <c r="E1684" s="1363"/>
      <c r="F1684" s="1363"/>
      <c r="G1684" s="1363"/>
      <c r="H1684" s="1363"/>
      <c r="I1684" s="1364"/>
      <c r="J1684" s="1365">
        <f>IF(R1683&gt;J1683,1,R1683/J1683)</f>
        <v>0.64583250299556427</v>
      </c>
      <c r="K1684" s="1366"/>
      <c r="L1684" s="1369"/>
      <c r="M1684" s="1371" t="s">
        <v>495</v>
      </c>
      <c r="N1684" s="1372"/>
      <c r="O1684" s="1372"/>
      <c r="P1684" s="1372"/>
      <c r="Q1684" s="1373"/>
      <c r="R1684" s="362">
        <f>VLOOKUP(A1685,'11 - FINANCEIRO'!_xlnm.Print_Area,8,FALSE)</f>
        <v>48754.3</v>
      </c>
      <c r="S1684" s="363" t="str">
        <f>L1683</f>
        <v>t</v>
      </c>
      <c r="T1684" s="1386"/>
      <c r="U1684" s="1387"/>
      <c r="V1684" s="291">
        <f t="shared" ca="1" si="586"/>
        <v>9742.36</v>
      </c>
      <c r="W1684" s="256">
        <f t="shared" ca="1" si="587"/>
        <v>2</v>
      </c>
      <c r="X1684" s="256">
        <f t="shared" ca="1" si="588"/>
        <v>1</v>
      </c>
      <c r="Y1684" s="256"/>
      <c r="Z1684" s="256"/>
      <c r="AA1684" s="292"/>
      <c r="AB1684" s="292"/>
      <c r="AC1684" s="292"/>
    </row>
    <row r="1685" spans="1:29" s="293" customFormat="1" ht="15.75" x14ac:dyDescent="0.2">
      <c r="A1685" s="288" t="s">
        <v>44</v>
      </c>
      <c r="B1685" s="364"/>
      <c r="C1685" s="365"/>
      <c r="D1685" s="1354"/>
      <c r="E1685" s="1355"/>
      <c r="F1685" s="1355"/>
      <c r="G1685" s="1355"/>
      <c r="H1685" s="1355"/>
      <c r="I1685" s="1356"/>
      <c r="J1685" s="1367"/>
      <c r="K1685" s="1368"/>
      <c r="L1685" s="1370"/>
      <c r="M1685" s="1371" t="s">
        <v>496</v>
      </c>
      <c r="N1685" s="1372"/>
      <c r="O1685" s="1372"/>
      <c r="P1685" s="1372"/>
      <c r="Q1685" s="1373"/>
      <c r="R1685" s="362">
        <f>R1683-R1684</f>
        <v>9742.36</v>
      </c>
      <c r="S1685" s="363" t="str">
        <f>L1683</f>
        <v>t</v>
      </c>
      <c r="T1685" s="1388"/>
      <c r="U1685" s="1389"/>
      <c r="V1685" s="291">
        <f t="shared" ca="1" si="586"/>
        <v>9742.36</v>
      </c>
      <c r="W1685" s="256">
        <f t="shared" ca="1" si="587"/>
        <v>2</v>
      </c>
      <c r="X1685" s="256">
        <f t="shared" ca="1" si="588"/>
        <v>1</v>
      </c>
      <c r="Y1685" s="256"/>
      <c r="Z1685" s="256"/>
      <c r="AA1685" s="292"/>
      <c r="AB1685" s="292"/>
      <c r="AC1685" s="292"/>
    </row>
    <row r="1686" spans="1:29" s="111" customFormat="1" ht="15.75" x14ac:dyDescent="0.2">
      <c r="A1686" s="288"/>
      <c r="B1686" s="368"/>
      <c r="C1686" s="365"/>
      <c r="D1686" s="369"/>
      <c r="E1686" s="370"/>
      <c r="F1686" s="369"/>
      <c r="G1686" s="369"/>
      <c r="H1686" s="369"/>
      <c r="I1686" s="369"/>
      <c r="J1686" s="371"/>
      <c r="K1686" s="372"/>
      <c r="L1686" s="373"/>
      <c r="M1686" s="374"/>
      <c r="N1686" s="374"/>
      <c r="O1686" s="374"/>
      <c r="P1686" s="374"/>
      <c r="Q1686" s="374"/>
      <c r="R1686" s="375"/>
      <c r="S1686" s="376"/>
      <c r="T1686" s="377"/>
      <c r="U1686" s="378"/>
      <c r="V1686" s="379">
        <f ca="1">SUM(V1631:V1685)</f>
        <v>535829.79999999946</v>
      </c>
      <c r="W1686" s="256">
        <f t="shared" ca="1" si="570"/>
        <v>1</v>
      </c>
      <c r="X1686" s="256">
        <f t="shared" ref="X1686:X1838" ca="1" si="591">IF(COUNTA(OFFSET(A1685,1,0))-COUNTA(A1685)=-1,0,1)</f>
        <v>0</v>
      </c>
      <c r="Y1686" s="250"/>
      <c r="Z1686" s="250"/>
    </row>
    <row r="1687" spans="1:29" s="293" customFormat="1" ht="15.75" x14ac:dyDescent="0.25">
      <c r="A1687" s="288"/>
      <c r="B1687" s="1374" t="str">
        <f>VLOOKUP(A1712,'11 - FINANCEIRO'!_xlnm.Print_Area,1,FALSE)</f>
        <v>2.2.4</v>
      </c>
      <c r="C1687" s="1376" t="str">
        <f>VLOOKUP(A1712,'11 - FINANCEIRO'!_xlnm.Print_Area,3,FALSE)</f>
        <v>Compactação De Aterros A 100% Do Proctor Intermediário</v>
      </c>
      <c r="D1687" s="1378" t="s">
        <v>477</v>
      </c>
      <c r="E1687" s="1379"/>
      <c r="F1687" s="1379"/>
      <c r="G1687" s="1379"/>
      <c r="H1687" s="1379"/>
      <c r="I1687" s="1380"/>
      <c r="J1687" s="1338" t="s">
        <v>296</v>
      </c>
      <c r="K1687" s="1338" t="s">
        <v>479</v>
      </c>
      <c r="L1687" s="1338" t="s">
        <v>480</v>
      </c>
      <c r="M1687" s="1338" t="s">
        <v>606</v>
      </c>
      <c r="N1687" s="1338" t="s">
        <v>482</v>
      </c>
      <c r="O1687" s="1338" t="s">
        <v>483</v>
      </c>
      <c r="P1687" s="290" t="s">
        <v>607</v>
      </c>
      <c r="Q1687" s="1338" t="s">
        <v>485</v>
      </c>
      <c r="R1687" s="1336" t="s">
        <v>296</v>
      </c>
      <c r="S1687" s="1338" t="s">
        <v>486</v>
      </c>
      <c r="T1687" s="1338" t="s">
        <v>487</v>
      </c>
      <c r="U1687" s="1340" t="s">
        <v>488</v>
      </c>
      <c r="V1687" s="291">
        <f t="shared" ref="V1687:V1712" ca="1" si="592">IF(OFFSET(V1687,1,1)=1,OFFSET(V1687,0,-4),OFFSET(V1687,1,0))</f>
        <v>810</v>
      </c>
      <c r="W1687" s="256">
        <f t="shared" ca="1" si="570"/>
        <v>2</v>
      </c>
      <c r="X1687" s="256">
        <f t="shared" ca="1" si="591"/>
        <v>1</v>
      </c>
      <c r="Y1687" s="256"/>
      <c r="Z1687" s="256"/>
      <c r="AA1687" s="292"/>
      <c r="AB1687" s="292"/>
      <c r="AC1687" s="292"/>
    </row>
    <row r="1688" spans="1:29" s="337" customFormat="1" ht="15.75" x14ac:dyDescent="0.2">
      <c r="A1688" s="288"/>
      <c r="B1688" s="1375" t="e">
        <f>LEFT(#REF!,5)</f>
        <v>#REF!</v>
      </c>
      <c r="C1688" s="1377" t="e">
        <f>VLOOKUP(LEFT(#REF!,5),'11 - FINANCEIRO'!_xlnm.Print_Area,2,FALSE)</f>
        <v>#REF!</v>
      </c>
      <c r="D1688" s="1342" t="s">
        <v>489</v>
      </c>
      <c r="E1688" s="1343"/>
      <c r="F1688" s="1344"/>
      <c r="G1688" s="1345" t="s">
        <v>490</v>
      </c>
      <c r="H1688" s="1346"/>
      <c r="I1688" s="1347"/>
      <c r="J1688" s="1339"/>
      <c r="K1688" s="1339"/>
      <c r="L1688" s="1339"/>
      <c r="M1688" s="1339"/>
      <c r="N1688" s="1339"/>
      <c r="O1688" s="1339"/>
      <c r="P1688" s="295" t="s">
        <v>608</v>
      </c>
      <c r="Q1688" s="1339"/>
      <c r="R1688" s="1337"/>
      <c r="S1688" s="1339"/>
      <c r="T1688" s="1339"/>
      <c r="U1688" s="1341"/>
      <c r="V1688" s="291">
        <f t="shared" ca="1" si="592"/>
        <v>810</v>
      </c>
      <c r="W1688" s="256">
        <f t="shared" ca="1" si="570"/>
        <v>2</v>
      </c>
      <c r="X1688" s="256">
        <f t="shared" ca="1" si="591"/>
        <v>1</v>
      </c>
      <c r="Y1688" s="336"/>
      <c r="Z1688" s="336"/>
    </row>
    <row r="1689" spans="1:29" s="337" customFormat="1" ht="15.75" x14ac:dyDescent="0.2">
      <c r="A1689" s="288"/>
      <c r="B1689" s="296"/>
      <c r="C1689" s="297" t="s">
        <v>674</v>
      </c>
      <c r="D1689" s="551">
        <v>6</v>
      </c>
      <c r="E1689" s="552" t="s">
        <v>518</v>
      </c>
      <c r="F1689" s="553">
        <v>12</v>
      </c>
      <c r="G1689" s="496">
        <v>30</v>
      </c>
      <c r="H1689" s="497" t="s">
        <v>518</v>
      </c>
      <c r="I1689" s="498">
        <v>0</v>
      </c>
      <c r="J1689" s="508"/>
      <c r="K1689" s="500">
        <f>ABS((G1689*20+I1689)-(D1689*20+F1689))</f>
        <v>468</v>
      </c>
      <c r="L1689" s="747">
        <v>4</v>
      </c>
      <c r="M1689" s="747">
        <v>0.3</v>
      </c>
      <c r="N1689" s="748">
        <f>K1689*L1689</f>
        <v>1872</v>
      </c>
      <c r="O1689" s="589">
        <f>K1689*L1689*M1689</f>
        <v>561.6</v>
      </c>
      <c r="P1689" s="749"/>
      <c r="Q1689" s="589"/>
      <c r="R1689" s="592">
        <f>O1689</f>
        <v>561.6</v>
      </c>
      <c r="S1689" s="304" t="s">
        <v>323</v>
      </c>
      <c r="T1689" s="309">
        <v>19</v>
      </c>
      <c r="U1689" s="310"/>
      <c r="V1689" s="291">
        <f t="shared" ca="1" si="592"/>
        <v>810</v>
      </c>
      <c r="W1689" s="256">
        <f t="shared" ca="1" si="570"/>
        <v>2</v>
      </c>
      <c r="X1689" s="256">
        <f t="shared" ca="1" si="591"/>
        <v>1</v>
      </c>
      <c r="Y1689" s="336"/>
      <c r="Z1689" s="336"/>
    </row>
    <row r="1690" spans="1:29" s="111" customFormat="1" ht="15.75" x14ac:dyDescent="0.2">
      <c r="A1690" s="288"/>
      <c r="B1690" s="311"/>
      <c r="C1690" s="312" t="s">
        <v>666</v>
      </c>
      <c r="D1690" s="313">
        <v>29</v>
      </c>
      <c r="E1690" s="314" t="s">
        <v>518</v>
      </c>
      <c r="F1690" s="418">
        <v>15</v>
      </c>
      <c r="G1690" s="380">
        <v>30</v>
      </c>
      <c r="H1690" s="314" t="s">
        <v>518</v>
      </c>
      <c r="I1690" s="420">
        <v>3</v>
      </c>
      <c r="J1690" s="317"/>
      <c r="K1690" s="313">
        <v>11.55</v>
      </c>
      <c r="L1690" s="433">
        <v>5.5</v>
      </c>
      <c r="M1690" s="433">
        <v>3</v>
      </c>
      <c r="N1690" s="314"/>
      <c r="O1690" s="313"/>
      <c r="P1690" s="318"/>
      <c r="Q1690" s="315"/>
      <c r="R1690" s="319">
        <f>M1690*L1690*K1690</f>
        <v>190.57500000000002</v>
      </c>
      <c r="S1690" s="398" t="s">
        <v>323</v>
      </c>
      <c r="T1690" s="320">
        <v>16</v>
      </c>
      <c r="U1690" s="321"/>
      <c r="V1690" s="291">
        <f t="shared" ca="1" si="592"/>
        <v>810</v>
      </c>
      <c r="W1690" s="256">
        <f ca="1">IF(LEFT(_xlfn.FORMULATEXT(V1690),3)="=SO",1,IF(COUNTA(A1690:U1690)=0,0,2))</f>
        <v>2</v>
      </c>
      <c r="X1690" s="256">
        <f ca="1">IF(COUNTA(OFFSET(A1689,1,0))-COUNTA(A1689)=-1,0,1)</f>
        <v>1</v>
      </c>
      <c r="Y1690" s="250"/>
      <c r="Z1690" s="250"/>
    </row>
    <row r="1691" spans="1:29" s="111" customFormat="1" ht="15.75" x14ac:dyDescent="0.2">
      <c r="A1691" s="288"/>
      <c r="B1691" s="311"/>
      <c r="C1691" s="312" t="s">
        <v>666</v>
      </c>
      <c r="D1691" s="313">
        <v>32</v>
      </c>
      <c r="E1691" s="314" t="s">
        <v>518</v>
      </c>
      <c r="F1691" s="418">
        <v>0</v>
      </c>
      <c r="G1691" s="380">
        <v>32</v>
      </c>
      <c r="H1691" s="314" t="s">
        <v>518</v>
      </c>
      <c r="I1691" s="420">
        <v>10</v>
      </c>
      <c r="J1691" s="317"/>
      <c r="K1691" s="421">
        <v>16</v>
      </c>
      <c r="L1691" s="433">
        <v>5.5</v>
      </c>
      <c r="M1691" s="433">
        <v>3</v>
      </c>
      <c r="N1691" s="314"/>
      <c r="O1691" s="313"/>
      <c r="P1691" s="318"/>
      <c r="Q1691" s="315"/>
      <c r="R1691" s="319">
        <f>M1691*L1691*K1691</f>
        <v>264</v>
      </c>
      <c r="S1691" s="398" t="s">
        <v>323</v>
      </c>
      <c r="T1691" s="320">
        <v>16</v>
      </c>
      <c r="U1691" s="321"/>
      <c r="V1691" s="291">
        <f t="shared" ca="1" si="592"/>
        <v>810</v>
      </c>
      <c r="W1691" s="256">
        <f t="shared" ref="W1691:W1712" ca="1" si="593">IF(LEFT(_xlfn.FORMULATEXT(V1691),3)="=SO",1,IF(COUNTA(A1691:U1691)=0,0,2))</f>
        <v>2</v>
      </c>
      <c r="X1691" s="256">
        <f t="shared" ref="X1691:X1712" ca="1" si="594">IF(COUNTA(OFFSET(A1690,1,0))-COUNTA(A1690)=-1,0,1)</f>
        <v>1</v>
      </c>
      <c r="Y1691" s="250"/>
      <c r="Z1691" s="250"/>
    </row>
    <row r="1692" spans="1:29" s="111" customFormat="1" ht="15.75" x14ac:dyDescent="0.2">
      <c r="A1692" s="288"/>
      <c r="B1692" s="311"/>
      <c r="C1692" s="312" t="s">
        <v>666</v>
      </c>
      <c r="D1692" s="313">
        <v>100</v>
      </c>
      <c r="E1692" s="314" t="s">
        <v>518</v>
      </c>
      <c r="F1692" s="418">
        <v>0</v>
      </c>
      <c r="G1692" s="380">
        <v>99</v>
      </c>
      <c r="H1692" s="314" t="s">
        <v>518</v>
      </c>
      <c r="I1692" s="420">
        <v>6.4</v>
      </c>
      <c r="J1692" s="317"/>
      <c r="K1692" s="421">
        <v>15</v>
      </c>
      <c r="L1692" s="433">
        <v>5.5</v>
      </c>
      <c r="M1692" s="433">
        <v>3</v>
      </c>
      <c r="N1692" s="314"/>
      <c r="O1692" s="313"/>
      <c r="P1692" s="318"/>
      <c r="Q1692" s="315"/>
      <c r="R1692" s="319">
        <f>M1692*L1692*K1692</f>
        <v>247.5</v>
      </c>
      <c r="S1692" s="398" t="s">
        <v>323</v>
      </c>
      <c r="T1692" s="320">
        <v>16</v>
      </c>
      <c r="U1692" s="321"/>
      <c r="V1692" s="291">
        <f t="shared" ca="1" si="592"/>
        <v>810</v>
      </c>
      <c r="W1692" s="256">
        <f t="shared" ca="1" si="593"/>
        <v>2</v>
      </c>
      <c r="X1692" s="256">
        <f t="shared" ca="1" si="594"/>
        <v>1</v>
      </c>
      <c r="Y1692" s="250"/>
      <c r="Z1692" s="250"/>
    </row>
    <row r="1693" spans="1:29" s="111" customFormat="1" ht="15.75" x14ac:dyDescent="0.2">
      <c r="A1693" s="288"/>
      <c r="B1693" s="311"/>
      <c r="C1693" s="312" t="s">
        <v>666</v>
      </c>
      <c r="D1693" s="313">
        <v>96</v>
      </c>
      <c r="E1693" s="314" t="s">
        <v>518</v>
      </c>
      <c r="F1693" s="418">
        <v>0</v>
      </c>
      <c r="G1693" s="380">
        <v>99</v>
      </c>
      <c r="H1693" s="314" t="s">
        <v>518</v>
      </c>
      <c r="I1693" s="420">
        <v>6.4</v>
      </c>
      <c r="J1693" s="317"/>
      <c r="K1693" s="421">
        <v>15</v>
      </c>
      <c r="L1693" s="433">
        <v>3</v>
      </c>
      <c r="M1693" s="433">
        <v>3</v>
      </c>
      <c r="N1693" s="314"/>
      <c r="O1693" s="313"/>
      <c r="P1693" s="318"/>
      <c r="Q1693" s="315"/>
      <c r="R1693" s="319">
        <f>M1693*L1693*K1693</f>
        <v>135</v>
      </c>
      <c r="S1693" s="398" t="s">
        <v>323</v>
      </c>
      <c r="T1693" s="320">
        <v>16</v>
      </c>
      <c r="U1693" s="321"/>
      <c r="V1693" s="291">
        <f t="shared" ca="1" si="592"/>
        <v>810</v>
      </c>
      <c r="W1693" s="256">
        <f t="shared" ca="1" si="593"/>
        <v>2</v>
      </c>
      <c r="X1693" s="256">
        <f t="shared" ca="1" si="594"/>
        <v>1</v>
      </c>
      <c r="Y1693" s="250"/>
      <c r="Z1693" s="250"/>
    </row>
    <row r="1694" spans="1:29" s="111" customFormat="1" ht="15.75" x14ac:dyDescent="0.2">
      <c r="A1694" s="288"/>
      <c r="B1694" s="311"/>
      <c r="C1694" s="312" t="s">
        <v>675</v>
      </c>
      <c r="D1694" s="551">
        <v>97</v>
      </c>
      <c r="E1694" s="552" t="s">
        <v>518</v>
      </c>
      <c r="F1694" s="553">
        <v>0</v>
      </c>
      <c r="G1694" s="496">
        <v>99</v>
      </c>
      <c r="H1694" s="497" t="s">
        <v>518</v>
      </c>
      <c r="I1694" s="498">
        <v>6.4</v>
      </c>
      <c r="J1694" s="560"/>
      <c r="K1694" s="500">
        <f>ABS((G1694*20+I1694)-(D1694*20+F1694))</f>
        <v>46.400000000000091</v>
      </c>
      <c r="L1694" s="433">
        <v>4</v>
      </c>
      <c r="M1694" s="433">
        <v>0.9</v>
      </c>
      <c r="N1694" s="750">
        <f>K1694*L1694</f>
        <v>185.60000000000036</v>
      </c>
      <c r="O1694" s="317">
        <f>K1694*L1694*M1694</f>
        <v>167.04000000000033</v>
      </c>
      <c r="P1694" s="318"/>
      <c r="Q1694" s="317"/>
      <c r="R1694" s="319">
        <f>O1694</f>
        <v>167.04000000000033</v>
      </c>
      <c r="S1694" s="317" t="s">
        <v>323</v>
      </c>
      <c r="T1694" s="320">
        <v>18</v>
      </c>
      <c r="U1694" s="321"/>
      <c r="V1694" s="291">
        <f t="shared" ca="1" si="592"/>
        <v>810</v>
      </c>
      <c r="W1694" s="256">
        <f t="shared" ca="1" si="593"/>
        <v>2</v>
      </c>
      <c r="X1694" s="256">
        <f t="shared" ca="1" si="594"/>
        <v>1</v>
      </c>
      <c r="Y1694" s="250"/>
      <c r="Z1694" s="250"/>
    </row>
    <row r="1695" spans="1:29" s="111" customFormat="1" ht="15.75" x14ac:dyDescent="0.2">
      <c r="A1695" s="288"/>
      <c r="B1695" s="311"/>
      <c r="C1695" s="312" t="s">
        <v>677</v>
      </c>
      <c r="D1695" s="419">
        <v>99</v>
      </c>
      <c r="E1695" s="316" t="s">
        <v>518</v>
      </c>
      <c r="F1695" s="420">
        <v>10</v>
      </c>
      <c r="G1695" s="419">
        <v>99</v>
      </c>
      <c r="H1695" s="316" t="s">
        <v>518</v>
      </c>
      <c r="I1695" s="420">
        <v>10</v>
      </c>
      <c r="J1695" s="317"/>
      <c r="K1695" s="500">
        <v>15</v>
      </c>
      <c r="L1695" s="554">
        <f>(((12+5)/2)*4.5)</f>
        <v>38.25</v>
      </c>
      <c r="M1695" s="501"/>
      <c r="N1695" s="501"/>
      <c r="O1695" s="503"/>
      <c r="P1695" s="501"/>
      <c r="Q1695" s="503"/>
      <c r="R1695" s="504">
        <f>L1695*K1695</f>
        <v>573.75</v>
      </c>
      <c r="S1695" s="398" t="s">
        <v>323</v>
      </c>
      <c r="T1695" s="320">
        <v>18</v>
      </c>
      <c r="U1695" s="321"/>
      <c r="V1695" s="291">
        <f t="shared" ca="1" si="592"/>
        <v>810</v>
      </c>
      <c r="W1695" s="256">
        <f t="shared" ca="1" si="593"/>
        <v>2</v>
      </c>
      <c r="X1695" s="256">
        <f t="shared" ca="1" si="594"/>
        <v>1</v>
      </c>
      <c r="Y1695" s="250"/>
      <c r="Z1695" s="250"/>
    </row>
    <row r="1696" spans="1:29" s="111" customFormat="1" ht="15.75" x14ac:dyDescent="0.2">
      <c r="A1696" s="288"/>
      <c r="B1696" s="311"/>
      <c r="C1696" s="312" t="s">
        <v>677</v>
      </c>
      <c r="D1696" s="419">
        <v>96</v>
      </c>
      <c r="E1696" s="316" t="s">
        <v>518</v>
      </c>
      <c r="F1696" s="420">
        <v>0</v>
      </c>
      <c r="G1696" s="419">
        <v>96</v>
      </c>
      <c r="H1696" s="316" t="s">
        <v>518</v>
      </c>
      <c r="I1696" s="420">
        <v>0</v>
      </c>
      <c r="J1696" s="317"/>
      <c r="K1696" s="500">
        <v>15</v>
      </c>
      <c r="L1696" s="554">
        <f>(((12+5)/2)*4.5)</f>
        <v>38.25</v>
      </c>
      <c r="M1696" s="501"/>
      <c r="N1696" s="501"/>
      <c r="O1696" s="503"/>
      <c r="P1696" s="501"/>
      <c r="Q1696" s="503"/>
      <c r="R1696" s="504">
        <f>L1696*K1696</f>
        <v>573.75</v>
      </c>
      <c r="S1696" s="398" t="s">
        <v>323</v>
      </c>
      <c r="T1696" s="320">
        <v>18</v>
      </c>
      <c r="U1696" s="321"/>
      <c r="V1696" s="291">
        <f t="shared" ca="1" si="592"/>
        <v>810</v>
      </c>
      <c r="W1696" s="256">
        <f t="shared" ca="1" si="593"/>
        <v>2</v>
      </c>
      <c r="X1696" s="256">
        <f t="shared" ca="1" si="594"/>
        <v>1</v>
      </c>
      <c r="Y1696" s="250"/>
      <c r="Z1696" s="250"/>
    </row>
    <row r="1697" spans="1:29" s="111" customFormat="1" ht="15.75" x14ac:dyDescent="0.2">
      <c r="A1697" s="288"/>
      <c r="B1697" s="311"/>
      <c r="C1697" s="312" t="s">
        <v>677</v>
      </c>
      <c r="D1697" s="419">
        <v>99</v>
      </c>
      <c r="E1697" s="316" t="s">
        <v>518</v>
      </c>
      <c r="F1697" s="420">
        <v>10</v>
      </c>
      <c r="G1697" s="419">
        <v>99</v>
      </c>
      <c r="H1697" s="316" t="s">
        <v>518</v>
      </c>
      <c r="I1697" s="420">
        <v>10</v>
      </c>
      <c r="J1697" s="317"/>
      <c r="K1697" s="500">
        <v>15</v>
      </c>
      <c r="L1697" s="554">
        <f>(((12+5)/2)*2.5)</f>
        <v>21.25</v>
      </c>
      <c r="M1697" s="501"/>
      <c r="N1697" s="501"/>
      <c r="O1697" s="503"/>
      <c r="P1697" s="501"/>
      <c r="Q1697" s="503"/>
      <c r="R1697" s="504">
        <f>L1697*K1697</f>
        <v>318.75</v>
      </c>
      <c r="S1697" s="398" t="s">
        <v>323</v>
      </c>
      <c r="T1697" s="320">
        <v>18</v>
      </c>
      <c r="U1697" s="321"/>
      <c r="V1697" s="291">
        <f t="shared" ca="1" si="592"/>
        <v>810</v>
      </c>
      <c r="W1697" s="256">
        <f t="shared" ca="1" si="593"/>
        <v>2</v>
      </c>
      <c r="X1697" s="256">
        <f t="shared" ca="1" si="594"/>
        <v>1</v>
      </c>
      <c r="Y1697" s="250"/>
      <c r="Z1697" s="250"/>
    </row>
    <row r="1698" spans="1:29" s="111" customFormat="1" ht="15.75" x14ac:dyDescent="0.2">
      <c r="A1698" s="288"/>
      <c r="B1698" s="311"/>
      <c r="C1698" s="312" t="s">
        <v>677</v>
      </c>
      <c r="D1698" s="419">
        <v>96</v>
      </c>
      <c r="E1698" s="316" t="s">
        <v>518</v>
      </c>
      <c r="F1698" s="420">
        <v>0</v>
      </c>
      <c r="G1698" s="419">
        <v>96</v>
      </c>
      <c r="H1698" s="316" t="s">
        <v>518</v>
      </c>
      <c r="I1698" s="420">
        <v>0</v>
      </c>
      <c r="J1698" s="317"/>
      <c r="K1698" s="500">
        <v>15</v>
      </c>
      <c r="L1698" s="554">
        <f>(((12+5)/2)*2.5)</f>
        <v>21.25</v>
      </c>
      <c r="M1698" s="328"/>
      <c r="N1698" s="328"/>
      <c r="O1698" s="334"/>
      <c r="P1698" s="328"/>
      <c r="Q1698" s="334"/>
      <c r="R1698" s="333">
        <f>L1698*K1698</f>
        <v>318.75</v>
      </c>
      <c r="S1698" s="398" t="s">
        <v>323</v>
      </c>
      <c r="T1698" s="320">
        <v>18</v>
      </c>
      <c r="U1698" s="321"/>
      <c r="V1698" s="291">
        <f t="shared" ca="1" si="592"/>
        <v>810</v>
      </c>
      <c r="W1698" s="256">
        <f t="shared" ca="1" si="593"/>
        <v>2</v>
      </c>
      <c r="X1698" s="256">
        <f t="shared" ca="1" si="594"/>
        <v>1</v>
      </c>
      <c r="Y1698" s="250"/>
      <c r="Z1698" s="250"/>
    </row>
    <row r="1699" spans="1:29" s="111" customFormat="1" ht="15" x14ac:dyDescent="0.2">
      <c r="A1699" s="288"/>
      <c r="B1699" s="322"/>
      <c r="C1699" s="495" t="s">
        <v>839</v>
      </c>
      <c r="D1699" s="324"/>
      <c r="E1699" s="325"/>
      <c r="F1699" s="326"/>
      <c r="G1699" s="324"/>
      <c r="H1699" s="325"/>
      <c r="I1699" s="326"/>
      <c r="J1699" s="317"/>
      <c r="K1699" s="328"/>
      <c r="L1699" s="328"/>
      <c r="M1699" s="328"/>
      <c r="N1699" s="328"/>
      <c r="O1699" s="334"/>
      <c r="P1699" s="328"/>
      <c r="Q1699" s="334"/>
      <c r="R1699" s="333">
        <v>900</v>
      </c>
      <c r="S1699" s="331"/>
      <c r="T1699" s="320">
        <v>19</v>
      </c>
      <c r="U1699" s="335"/>
      <c r="V1699" s="291">
        <f t="shared" ca="1" si="592"/>
        <v>810</v>
      </c>
      <c r="W1699" s="256">
        <f t="shared" ref="W1699:W1708" ca="1" si="595">IF(LEFT(_xlfn.FORMULATEXT(V1699),3)="=SO",1,IF(COUNTA(A1699:U1699)=0,0,2))</f>
        <v>2</v>
      </c>
      <c r="X1699" s="256">
        <f t="shared" ref="X1699:X1708" ca="1" si="596">IF(COUNTA(OFFSET(A1690,1,0))-COUNTA(A1690)=-1,0,1)</f>
        <v>1</v>
      </c>
      <c r="Y1699" s="250"/>
      <c r="Z1699" s="250"/>
    </row>
    <row r="1700" spans="1:29" s="111" customFormat="1" ht="15.75" x14ac:dyDescent="0.2">
      <c r="A1700" s="288"/>
      <c r="B1700" s="562"/>
      <c r="C1700" s="495" t="s">
        <v>891</v>
      </c>
      <c r="D1700" s="419">
        <v>90</v>
      </c>
      <c r="E1700" s="316" t="s">
        <v>518</v>
      </c>
      <c r="F1700" s="420">
        <v>0</v>
      </c>
      <c r="G1700" s="496">
        <v>99</v>
      </c>
      <c r="H1700" s="316" t="s">
        <v>518</v>
      </c>
      <c r="I1700" s="498">
        <v>6.4</v>
      </c>
      <c r="J1700" s="560"/>
      <c r="K1700" s="500">
        <f>ABS((G1700*20+I1700)-(D1700*20+F1700))</f>
        <v>186.40000000000009</v>
      </c>
      <c r="L1700" s="554">
        <v>3.5</v>
      </c>
      <c r="M1700" s="760">
        <v>0.3</v>
      </c>
      <c r="N1700" s="761"/>
      <c r="O1700" s="505"/>
      <c r="P1700" s="501"/>
      <c r="Q1700" s="739"/>
      <c r="R1700" s="504">
        <f>K1700*L1700*M1700</f>
        <v>195.72000000000008</v>
      </c>
      <c r="S1700" s="554"/>
      <c r="T1700" s="506">
        <v>27</v>
      </c>
      <c r="U1700" s="568"/>
      <c r="V1700" s="291">
        <f t="shared" ca="1" si="592"/>
        <v>810</v>
      </c>
      <c r="W1700" s="256">
        <f t="shared" ca="1" si="595"/>
        <v>2</v>
      </c>
      <c r="X1700" s="256">
        <f t="shared" ca="1" si="596"/>
        <v>1</v>
      </c>
      <c r="Y1700" s="250"/>
      <c r="Z1700" s="250"/>
    </row>
    <row r="1701" spans="1:29" s="111" customFormat="1" ht="15.75" x14ac:dyDescent="0.2">
      <c r="A1701" s="288"/>
      <c r="B1701" s="562"/>
      <c r="C1701" s="495" t="s">
        <v>1156</v>
      </c>
      <c r="D1701" s="419">
        <v>80</v>
      </c>
      <c r="E1701" s="316" t="s">
        <v>518</v>
      </c>
      <c r="F1701" s="420">
        <v>6</v>
      </c>
      <c r="G1701" s="496">
        <v>90</v>
      </c>
      <c r="H1701" s="316" t="s">
        <v>518</v>
      </c>
      <c r="I1701" s="498">
        <v>0</v>
      </c>
      <c r="J1701" s="560"/>
      <c r="K1701" s="500">
        <f>ABS((G1701*20+I1701)-(D1701*20+F1701))</f>
        <v>194</v>
      </c>
      <c r="L1701" s="554">
        <v>4</v>
      </c>
      <c r="M1701" s="760">
        <v>0.5</v>
      </c>
      <c r="N1701" s="761">
        <f>K1701*L1701</f>
        <v>776</v>
      </c>
      <c r="O1701" s="505">
        <f>K1701*L1701*M1701</f>
        <v>388</v>
      </c>
      <c r="P1701" s="501"/>
      <c r="Q1701" s="739"/>
      <c r="R1701" s="504">
        <f t="shared" ref="R1701:R1704" si="597">M1701*L1701*K1701</f>
        <v>388</v>
      </c>
      <c r="S1701" s="554" t="s">
        <v>323</v>
      </c>
      <c r="T1701" s="506">
        <v>35</v>
      </c>
      <c r="U1701" s="568"/>
      <c r="V1701" s="291">
        <f t="shared" ca="1" si="592"/>
        <v>810</v>
      </c>
      <c r="W1701" s="256">
        <f t="shared" ca="1" si="595"/>
        <v>2</v>
      </c>
      <c r="X1701" s="256">
        <f t="shared" ca="1" si="596"/>
        <v>1</v>
      </c>
      <c r="Y1701" s="250"/>
      <c r="Z1701" s="250"/>
    </row>
    <row r="1702" spans="1:29" s="111" customFormat="1" ht="15.75" x14ac:dyDescent="0.2">
      <c r="A1702" s="288"/>
      <c r="B1702" s="562"/>
      <c r="C1702" s="495" t="s">
        <v>1157</v>
      </c>
      <c r="D1702" s="419">
        <v>80</v>
      </c>
      <c r="E1702" s="316" t="s">
        <v>518</v>
      </c>
      <c r="F1702" s="420">
        <v>6</v>
      </c>
      <c r="G1702" s="496">
        <v>99</v>
      </c>
      <c r="H1702" s="316" t="s">
        <v>518</v>
      </c>
      <c r="I1702" s="498">
        <v>6.4</v>
      </c>
      <c r="J1702" s="560"/>
      <c r="K1702" s="500">
        <f>ABS((G1702*20+I1702)-(D1702*20+F1702))</f>
        <v>380.40000000000009</v>
      </c>
      <c r="L1702" s="554">
        <v>4</v>
      </c>
      <c r="M1702" s="760">
        <v>0.5</v>
      </c>
      <c r="N1702" s="761">
        <f>K1702*L1702</f>
        <v>1521.6000000000004</v>
      </c>
      <c r="O1702" s="505">
        <f>K1702*L1702*M1702</f>
        <v>760.80000000000018</v>
      </c>
      <c r="P1702" s="501"/>
      <c r="Q1702" s="739"/>
      <c r="R1702" s="504">
        <f t="shared" si="597"/>
        <v>760.80000000000018</v>
      </c>
      <c r="S1702" s="554" t="s">
        <v>323</v>
      </c>
      <c r="T1702" s="506">
        <v>35</v>
      </c>
      <c r="U1702" s="568"/>
      <c r="V1702" s="291">
        <f t="shared" ca="1" si="592"/>
        <v>810</v>
      </c>
      <c r="W1702" s="256">
        <f t="shared" ca="1" si="595"/>
        <v>2</v>
      </c>
      <c r="X1702" s="256">
        <f t="shared" ca="1" si="596"/>
        <v>1</v>
      </c>
      <c r="Y1702" s="250"/>
      <c r="Z1702" s="250"/>
    </row>
    <row r="1703" spans="1:29" s="111" customFormat="1" ht="15.75" x14ac:dyDescent="0.2">
      <c r="A1703" s="288"/>
      <c r="B1703" s="562"/>
      <c r="C1703" s="495" t="s">
        <v>1157</v>
      </c>
      <c r="D1703" s="419">
        <v>69</v>
      </c>
      <c r="E1703" s="316" t="s">
        <v>518</v>
      </c>
      <c r="F1703" s="420">
        <v>0</v>
      </c>
      <c r="G1703" s="496">
        <v>79</v>
      </c>
      <c r="H1703" s="316" t="s">
        <v>518</v>
      </c>
      <c r="I1703" s="498">
        <v>16</v>
      </c>
      <c r="J1703" s="560"/>
      <c r="K1703" s="500">
        <f>ABS((G1703*20+I1703)-(D1703*20+F1703))</f>
        <v>216</v>
      </c>
      <c r="L1703" s="554">
        <v>3</v>
      </c>
      <c r="M1703" s="760">
        <v>0.5</v>
      </c>
      <c r="N1703" s="761">
        <f>K1703*L1703</f>
        <v>648</v>
      </c>
      <c r="O1703" s="505">
        <f>K1703*L1703*M1703</f>
        <v>324</v>
      </c>
      <c r="P1703" s="501"/>
      <c r="Q1703" s="739"/>
      <c r="R1703" s="504">
        <f t="shared" si="597"/>
        <v>324</v>
      </c>
      <c r="S1703" s="554" t="s">
        <v>323</v>
      </c>
      <c r="T1703" s="506">
        <v>35</v>
      </c>
      <c r="U1703" s="568"/>
      <c r="V1703" s="291">
        <f t="shared" ca="1" si="592"/>
        <v>810</v>
      </c>
      <c r="W1703" s="256">
        <f t="shared" ca="1" si="595"/>
        <v>2</v>
      </c>
      <c r="X1703" s="256">
        <f t="shared" ca="1" si="596"/>
        <v>1</v>
      </c>
      <c r="Y1703" s="250"/>
      <c r="Z1703" s="250"/>
    </row>
    <row r="1704" spans="1:29" s="111" customFormat="1" ht="15.75" x14ac:dyDescent="0.2">
      <c r="A1704" s="288"/>
      <c r="B1704" s="562"/>
      <c r="C1704" s="495" t="s">
        <v>1157</v>
      </c>
      <c r="D1704" s="419">
        <v>42</v>
      </c>
      <c r="E1704" s="316" t="s">
        <v>518</v>
      </c>
      <c r="F1704" s="420">
        <v>0</v>
      </c>
      <c r="G1704" s="419">
        <v>69</v>
      </c>
      <c r="H1704" s="316" t="s">
        <v>518</v>
      </c>
      <c r="I1704" s="420">
        <v>0</v>
      </c>
      <c r="J1704" s="1109"/>
      <c r="K1704" s="500">
        <f>ABS((G1704*20+I1704)-(D1704*20+F1704))</f>
        <v>540</v>
      </c>
      <c r="L1704" s="554">
        <v>3</v>
      </c>
      <c r="M1704" s="760">
        <v>0.5</v>
      </c>
      <c r="N1704" s="761">
        <f>K1704*L1704</f>
        <v>1620</v>
      </c>
      <c r="O1704" s="505">
        <f>K1704*L1704*M1704</f>
        <v>810</v>
      </c>
      <c r="P1704" s="501"/>
      <c r="Q1704" s="739"/>
      <c r="R1704" s="1111">
        <f t="shared" si="597"/>
        <v>810</v>
      </c>
      <c r="S1704" s="554" t="s">
        <v>323</v>
      </c>
      <c r="T1704" s="506">
        <v>44</v>
      </c>
      <c r="U1704" s="568"/>
      <c r="V1704" s="291">
        <f t="shared" ca="1" si="592"/>
        <v>810</v>
      </c>
      <c r="W1704" s="256">
        <f t="shared" ca="1" si="595"/>
        <v>2</v>
      </c>
      <c r="X1704" s="256">
        <f t="shared" ca="1" si="596"/>
        <v>1</v>
      </c>
      <c r="Y1704" s="250"/>
      <c r="Z1704" s="250"/>
    </row>
    <row r="1705" spans="1:29" s="111" customFormat="1" ht="15.75" x14ac:dyDescent="0.2">
      <c r="A1705" s="288"/>
      <c r="B1705" s="562"/>
      <c r="C1705" s="495"/>
      <c r="D1705" s="496"/>
      <c r="E1705" s="497"/>
      <c r="F1705" s="498"/>
      <c r="G1705" s="496"/>
      <c r="H1705" s="497"/>
      <c r="I1705" s="498"/>
      <c r="J1705" s="560"/>
      <c r="K1705" s="500"/>
      <c r="L1705" s="554"/>
      <c r="M1705" s="760"/>
      <c r="N1705" s="761"/>
      <c r="O1705" s="505"/>
      <c r="P1705" s="501"/>
      <c r="Q1705" s="739"/>
      <c r="R1705" s="504"/>
      <c r="S1705" s="554"/>
      <c r="T1705" s="506"/>
      <c r="U1705" s="568"/>
      <c r="V1705" s="291">
        <f t="shared" ca="1" si="592"/>
        <v>810</v>
      </c>
      <c r="W1705" s="256">
        <f t="shared" ca="1" si="595"/>
        <v>0</v>
      </c>
      <c r="X1705" s="256">
        <f t="shared" ca="1" si="596"/>
        <v>1</v>
      </c>
      <c r="Y1705" s="250"/>
      <c r="Z1705" s="250"/>
    </row>
    <row r="1706" spans="1:29" s="111" customFormat="1" ht="15.75" x14ac:dyDescent="0.2">
      <c r="A1706" s="288"/>
      <c r="B1706" s="562"/>
      <c r="C1706" s="495"/>
      <c r="D1706" s="496"/>
      <c r="E1706" s="497"/>
      <c r="F1706" s="498"/>
      <c r="G1706" s="496"/>
      <c r="H1706" s="497"/>
      <c r="I1706" s="498"/>
      <c r="J1706" s="560"/>
      <c r="K1706" s="500"/>
      <c r="L1706" s="554"/>
      <c r="M1706" s="760"/>
      <c r="N1706" s="761"/>
      <c r="O1706" s="505"/>
      <c r="P1706" s="501"/>
      <c r="Q1706" s="739"/>
      <c r="R1706" s="504"/>
      <c r="S1706" s="554"/>
      <c r="T1706" s="506"/>
      <c r="U1706" s="568"/>
      <c r="V1706" s="291">
        <f t="shared" ca="1" si="592"/>
        <v>810</v>
      </c>
      <c r="W1706" s="256">
        <f t="shared" ca="1" si="595"/>
        <v>0</v>
      </c>
      <c r="X1706" s="256">
        <f t="shared" ca="1" si="596"/>
        <v>1</v>
      </c>
      <c r="Y1706" s="250"/>
      <c r="Z1706" s="250"/>
    </row>
    <row r="1707" spans="1:29" s="111" customFormat="1" ht="15.75" x14ac:dyDescent="0.2">
      <c r="A1707" s="288"/>
      <c r="B1707" s="562"/>
      <c r="C1707" s="495"/>
      <c r="D1707" s="496"/>
      <c r="E1707" s="497"/>
      <c r="F1707" s="498"/>
      <c r="G1707" s="496"/>
      <c r="H1707" s="497"/>
      <c r="I1707" s="498"/>
      <c r="J1707" s="560"/>
      <c r="K1707" s="500"/>
      <c r="L1707" s="554"/>
      <c r="M1707" s="760"/>
      <c r="N1707" s="761"/>
      <c r="O1707" s="505"/>
      <c r="P1707" s="501"/>
      <c r="Q1707" s="739"/>
      <c r="R1707" s="504"/>
      <c r="S1707" s="554"/>
      <c r="T1707" s="506"/>
      <c r="U1707" s="568"/>
      <c r="V1707" s="291">
        <f t="shared" ca="1" si="592"/>
        <v>810</v>
      </c>
      <c r="W1707" s="256">
        <f t="shared" ca="1" si="595"/>
        <v>0</v>
      </c>
      <c r="X1707" s="256">
        <f t="shared" ca="1" si="596"/>
        <v>1</v>
      </c>
      <c r="Y1707" s="250"/>
      <c r="Z1707" s="250"/>
    </row>
    <row r="1708" spans="1:29" s="111" customFormat="1" ht="15.75" x14ac:dyDescent="0.2">
      <c r="A1708" s="288"/>
      <c r="B1708" s="562"/>
      <c r="C1708" s="495"/>
      <c r="D1708" s="496"/>
      <c r="E1708" s="497"/>
      <c r="F1708" s="498"/>
      <c r="G1708" s="496"/>
      <c r="H1708" s="497"/>
      <c r="I1708" s="498"/>
      <c r="J1708" s="560"/>
      <c r="K1708" s="500"/>
      <c r="L1708" s="554"/>
      <c r="M1708" s="760"/>
      <c r="N1708" s="761"/>
      <c r="O1708" s="505"/>
      <c r="P1708" s="501"/>
      <c r="Q1708" s="739"/>
      <c r="R1708" s="504"/>
      <c r="S1708" s="554"/>
      <c r="T1708" s="506"/>
      <c r="U1708" s="568"/>
      <c r="V1708" s="291">
        <f t="shared" ca="1" si="592"/>
        <v>810</v>
      </c>
      <c r="W1708" s="256">
        <f t="shared" ca="1" si="595"/>
        <v>0</v>
      </c>
      <c r="X1708" s="256">
        <f t="shared" ca="1" si="596"/>
        <v>1</v>
      </c>
      <c r="Y1708" s="250"/>
      <c r="Z1708" s="250"/>
    </row>
    <row r="1709" spans="1:29" s="111" customFormat="1" ht="15" x14ac:dyDescent="0.2">
      <c r="A1709" s="288"/>
      <c r="B1709" s="338"/>
      <c r="C1709" s="339"/>
      <c r="D1709" s="340"/>
      <c r="E1709" s="341"/>
      <c r="F1709" s="342"/>
      <c r="G1709" s="340"/>
      <c r="H1709" s="341"/>
      <c r="I1709" s="342"/>
      <c r="J1709" s="343"/>
      <c r="K1709" s="344"/>
      <c r="L1709" s="345"/>
      <c r="M1709" s="346"/>
      <c r="N1709" s="347"/>
      <c r="O1709" s="348"/>
      <c r="P1709" s="345"/>
      <c r="Q1709" s="349"/>
      <c r="R1709" s="350"/>
      <c r="S1709" s="351"/>
      <c r="T1709" s="352"/>
      <c r="U1709" s="353"/>
      <c r="V1709" s="291">
        <f t="shared" ca="1" si="592"/>
        <v>810</v>
      </c>
      <c r="W1709" s="256">
        <f t="shared" ca="1" si="593"/>
        <v>0</v>
      </c>
      <c r="X1709" s="256">
        <f ca="1">IF(COUNTA(OFFSET(A1700,1,0))-COUNTA(A1700)=-1,0,1)</f>
        <v>1</v>
      </c>
      <c r="Y1709" s="250"/>
      <c r="Z1709" s="250"/>
    </row>
    <row r="1710" spans="1:29" s="111" customFormat="1" ht="15.75" x14ac:dyDescent="0.2">
      <c r="A1710" s="288"/>
      <c r="B1710" s="354"/>
      <c r="C1710" s="355"/>
      <c r="D1710" s="1354" t="s">
        <v>492</v>
      </c>
      <c r="E1710" s="1355"/>
      <c r="F1710" s="1355"/>
      <c r="G1710" s="1355"/>
      <c r="H1710" s="1355"/>
      <c r="I1710" s="1356"/>
      <c r="J1710" s="1357">
        <f>VLOOKUP(A1712,'11 - FINANCEIRO'!_xlnm.Print_Area,6,FALSE)</f>
        <v>7110.44</v>
      </c>
      <c r="K1710" s="1358"/>
      <c r="L1710" s="356" t="str">
        <f>VLOOKUP(A1712,'11 - FINANCEIRO'!_xlnm.Print_Area,4,FALSE)</f>
        <v>m³</v>
      </c>
      <c r="M1710" s="1359" t="s">
        <v>493</v>
      </c>
      <c r="N1710" s="1360"/>
      <c r="O1710" s="1360"/>
      <c r="P1710" s="1360"/>
      <c r="Q1710" s="1361"/>
      <c r="R1710" s="357">
        <f>TRUNC(SUM(R1689:R1709),3)</f>
        <v>6729.2349999999997</v>
      </c>
      <c r="S1710" s="358" t="str">
        <f>L1710</f>
        <v>m³</v>
      </c>
      <c r="T1710" s="1423"/>
      <c r="U1710" s="1424"/>
      <c r="V1710" s="291">
        <f t="shared" ca="1" si="592"/>
        <v>810</v>
      </c>
      <c r="W1710" s="256">
        <f t="shared" ca="1" si="593"/>
        <v>2</v>
      </c>
      <c r="X1710" s="256">
        <f t="shared" ca="1" si="594"/>
        <v>1</v>
      </c>
      <c r="Y1710" s="250"/>
      <c r="Z1710" s="250"/>
    </row>
    <row r="1711" spans="1:29" s="293" customFormat="1" ht="15.75" x14ac:dyDescent="0.2">
      <c r="A1711" s="288"/>
      <c r="B1711" s="354"/>
      <c r="C1711" s="361"/>
      <c r="D1711" s="1362" t="s">
        <v>494</v>
      </c>
      <c r="E1711" s="1363"/>
      <c r="F1711" s="1363"/>
      <c r="G1711" s="1363"/>
      <c r="H1711" s="1363"/>
      <c r="I1711" s="1364"/>
      <c r="J1711" s="1365">
        <f>IF(R1710&gt;J1710,1,R1710/J1710)</f>
        <v>0.94638798724129591</v>
      </c>
      <c r="K1711" s="1366"/>
      <c r="L1711" s="1369"/>
      <c r="M1711" s="1371" t="s">
        <v>495</v>
      </c>
      <c r="N1711" s="1372"/>
      <c r="O1711" s="1372"/>
      <c r="P1711" s="1372"/>
      <c r="Q1711" s="1373"/>
      <c r="R1711" s="362">
        <f>VLOOKUP(A1712,'11 - FINANCEIRO'!_xlnm.Print_Area,8,FALSE)</f>
        <v>5919.2349999999997</v>
      </c>
      <c r="S1711" s="363" t="str">
        <f>L1710</f>
        <v>m³</v>
      </c>
      <c r="T1711" s="1386"/>
      <c r="U1711" s="1387"/>
      <c r="V1711" s="291">
        <f t="shared" ca="1" si="592"/>
        <v>810</v>
      </c>
      <c r="W1711" s="256">
        <f t="shared" ca="1" si="593"/>
        <v>2</v>
      </c>
      <c r="X1711" s="256">
        <f t="shared" ca="1" si="594"/>
        <v>1</v>
      </c>
      <c r="Y1711" s="256"/>
      <c r="Z1711" s="256"/>
      <c r="AA1711" s="292"/>
      <c r="AB1711" s="292"/>
      <c r="AC1711" s="292"/>
    </row>
    <row r="1712" spans="1:29" s="293" customFormat="1" ht="15.75" x14ac:dyDescent="0.2">
      <c r="A1712" s="288" t="s">
        <v>45</v>
      </c>
      <c r="B1712" s="364"/>
      <c r="C1712" s="365"/>
      <c r="D1712" s="1354"/>
      <c r="E1712" s="1355"/>
      <c r="F1712" s="1355"/>
      <c r="G1712" s="1355"/>
      <c r="H1712" s="1355"/>
      <c r="I1712" s="1356"/>
      <c r="J1712" s="1367"/>
      <c r="K1712" s="1368"/>
      <c r="L1712" s="1370"/>
      <c r="M1712" s="1371" t="s">
        <v>496</v>
      </c>
      <c r="N1712" s="1372"/>
      <c r="O1712" s="1372"/>
      <c r="P1712" s="1372"/>
      <c r="Q1712" s="1373"/>
      <c r="R1712" s="362">
        <f>R1710-R1711</f>
        <v>810</v>
      </c>
      <c r="S1712" s="363" t="str">
        <f>L1710</f>
        <v>m³</v>
      </c>
      <c r="T1712" s="1388"/>
      <c r="U1712" s="1389"/>
      <c r="V1712" s="291">
        <f t="shared" ca="1" si="592"/>
        <v>810</v>
      </c>
      <c r="W1712" s="256">
        <f t="shared" ca="1" si="593"/>
        <v>2</v>
      </c>
      <c r="X1712" s="256">
        <f t="shared" ca="1" si="594"/>
        <v>1</v>
      </c>
      <c r="Y1712" s="256"/>
      <c r="Z1712" s="256"/>
      <c r="AA1712" s="292"/>
      <c r="AB1712" s="292"/>
      <c r="AC1712" s="292"/>
    </row>
    <row r="1713" spans="1:29" s="111" customFormat="1" ht="15.75" x14ac:dyDescent="0.2">
      <c r="A1713" s="288"/>
      <c r="B1713" s="368"/>
      <c r="C1713" s="365"/>
      <c r="D1713" s="369"/>
      <c r="E1713" s="370"/>
      <c r="F1713" s="369"/>
      <c r="G1713" s="369"/>
      <c r="H1713" s="369"/>
      <c r="I1713" s="369"/>
      <c r="J1713" s="371"/>
      <c r="K1713" s="372"/>
      <c r="L1713" s="373"/>
      <c r="M1713" s="374"/>
      <c r="N1713" s="374"/>
      <c r="O1713" s="374"/>
      <c r="P1713" s="374"/>
      <c r="Q1713" s="374"/>
      <c r="R1713" s="375"/>
      <c r="S1713" s="376"/>
      <c r="T1713" s="377"/>
      <c r="U1713" s="378"/>
      <c r="V1713" s="379">
        <f ca="1">SUM(V1687:V1712)</f>
        <v>21060</v>
      </c>
      <c r="W1713" s="256">
        <f t="shared" ca="1" si="570"/>
        <v>1</v>
      </c>
      <c r="X1713" s="256">
        <f t="shared" ca="1" si="591"/>
        <v>0</v>
      </c>
      <c r="Y1713" s="250"/>
      <c r="Z1713" s="250"/>
    </row>
    <row r="1714" spans="1:29" s="293" customFormat="1" ht="15.75" x14ac:dyDescent="0.25">
      <c r="A1714" s="288"/>
      <c r="B1714" s="1374" t="str">
        <f>VLOOKUP(A1753,'11 - FINANCEIRO'!_xlnm.Print_Area,1,FALSE)</f>
        <v>2.2.5</v>
      </c>
      <c r="C1714" s="1376" t="str">
        <f>VLOOKUP(A1753,'11 - FINANCEIRO'!_xlnm.Print_Area,3,FALSE)</f>
        <v>Aquisição De Solo De Jazida Comercial (Saibreira)</v>
      </c>
      <c r="D1714" s="1378" t="s">
        <v>477</v>
      </c>
      <c r="E1714" s="1379"/>
      <c r="F1714" s="1379"/>
      <c r="G1714" s="1379"/>
      <c r="H1714" s="1379"/>
      <c r="I1714" s="1380"/>
      <c r="J1714" s="1338" t="s">
        <v>296</v>
      </c>
      <c r="K1714" s="1338" t="s">
        <v>479</v>
      </c>
      <c r="L1714" s="1338" t="s">
        <v>480</v>
      </c>
      <c r="M1714" s="1338" t="s">
        <v>609</v>
      </c>
      <c r="N1714" s="1338" t="s">
        <v>482</v>
      </c>
      <c r="O1714" s="1338" t="s">
        <v>483</v>
      </c>
      <c r="P1714" s="478" t="s">
        <v>607</v>
      </c>
      <c r="Q1714" s="1338" t="s">
        <v>485</v>
      </c>
      <c r="R1714" s="1336" t="s">
        <v>296</v>
      </c>
      <c r="S1714" s="1338" t="s">
        <v>486</v>
      </c>
      <c r="T1714" s="1338" t="s">
        <v>487</v>
      </c>
      <c r="U1714" s="1340" t="s">
        <v>488</v>
      </c>
      <c r="V1714" s="291">
        <f ca="1">IF(OFFSET(V1714,1,1)=1,OFFSET(V1714,0,-4),OFFSET(V1714,1,0))</f>
        <v>4305.2000000000007</v>
      </c>
      <c r="W1714" s="256">
        <f t="shared" ca="1" si="570"/>
        <v>2</v>
      </c>
      <c r="X1714" s="256">
        <f t="shared" ca="1" si="591"/>
        <v>1</v>
      </c>
      <c r="Y1714" s="256"/>
      <c r="Z1714" s="256"/>
      <c r="AA1714" s="292"/>
      <c r="AB1714" s="292"/>
      <c r="AC1714" s="292"/>
    </row>
    <row r="1715" spans="1:29" s="337" customFormat="1" ht="15.75" x14ac:dyDescent="0.2">
      <c r="A1715" s="288"/>
      <c r="B1715" s="1375"/>
      <c r="C1715" s="1377"/>
      <c r="D1715" s="1342" t="s">
        <v>489</v>
      </c>
      <c r="E1715" s="1343"/>
      <c r="F1715" s="1344"/>
      <c r="G1715" s="1345" t="s">
        <v>490</v>
      </c>
      <c r="H1715" s="1346"/>
      <c r="I1715" s="1347"/>
      <c r="J1715" s="1339"/>
      <c r="K1715" s="1339"/>
      <c r="L1715" s="1339"/>
      <c r="M1715" s="1339"/>
      <c r="N1715" s="1339"/>
      <c r="O1715" s="1339"/>
      <c r="P1715" s="295" t="s">
        <v>610</v>
      </c>
      <c r="Q1715" s="1339"/>
      <c r="R1715" s="1337"/>
      <c r="S1715" s="1339"/>
      <c r="T1715" s="1339"/>
      <c r="U1715" s="1341"/>
      <c r="V1715" s="291">
        <f ca="1">IF(OFFSET(V1715,1,1)=1,OFFSET(V1715,0,-4),OFFSET(V1715,1,0))</f>
        <v>4305.2000000000007</v>
      </c>
      <c r="W1715" s="256">
        <f t="shared" ca="1" si="570"/>
        <v>2</v>
      </c>
      <c r="X1715" s="256">
        <f t="shared" ca="1" si="591"/>
        <v>1</v>
      </c>
      <c r="Y1715" s="336"/>
      <c r="Z1715" s="336"/>
    </row>
    <row r="1716" spans="1:29" s="337" customFormat="1" ht="15.75" x14ac:dyDescent="0.2">
      <c r="A1716" s="288"/>
      <c r="B1716" s="296"/>
      <c r="C1716" s="297" t="s">
        <v>611</v>
      </c>
      <c r="D1716" s="412">
        <v>5</v>
      </c>
      <c r="E1716" s="299" t="s">
        <v>518</v>
      </c>
      <c r="F1716" s="413">
        <v>7</v>
      </c>
      <c r="G1716" s="414">
        <v>6</v>
      </c>
      <c r="H1716" s="302" t="s">
        <v>518</v>
      </c>
      <c r="I1716" s="415">
        <v>14</v>
      </c>
      <c r="J1716" s="304"/>
      <c r="K1716" s="416">
        <f>(7.6+7.5)/2</f>
        <v>7.55</v>
      </c>
      <c r="L1716" s="416">
        <f>(6.3+6.5)/2</f>
        <v>6.4</v>
      </c>
      <c r="M1716" s="416">
        <v>1.1000000000000001</v>
      </c>
      <c r="N1716" s="304"/>
      <c r="O1716" s="304"/>
      <c r="P1716" s="306"/>
      <c r="Q1716" s="304"/>
      <c r="R1716" s="307">
        <f t="shared" ref="R1716:R1722" si="598">M1716*L1716*K1716</f>
        <v>53.152000000000008</v>
      </c>
      <c r="S1716" s="308" t="str">
        <f>S1751</f>
        <v>m³</v>
      </c>
      <c r="T1716" s="309">
        <v>2</v>
      </c>
      <c r="U1716" s="534"/>
      <c r="V1716" s="291">
        <f ca="1">IF(OFFSET(V1716,1,1)=1,OFFSET(V1716,0,-4),OFFSET(V1716,1,0))</f>
        <v>4305.2000000000007</v>
      </c>
      <c r="W1716" s="256">
        <f t="shared" ca="1" si="570"/>
        <v>2</v>
      </c>
      <c r="X1716" s="256">
        <f t="shared" ca="1" si="591"/>
        <v>1</v>
      </c>
      <c r="Y1716" s="336"/>
      <c r="Z1716" s="336"/>
    </row>
    <row r="1717" spans="1:29" s="337" customFormat="1" ht="15.75" x14ac:dyDescent="0.2">
      <c r="A1717" s="288"/>
      <c r="B1717" s="311"/>
      <c r="C1717" s="312" t="s">
        <v>611</v>
      </c>
      <c r="D1717" s="417">
        <v>10</v>
      </c>
      <c r="E1717" s="314" t="s">
        <v>518</v>
      </c>
      <c r="F1717" s="418">
        <v>5.5</v>
      </c>
      <c r="G1717" s="419">
        <v>10</v>
      </c>
      <c r="H1717" s="316" t="s">
        <v>518</v>
      </c>
      <c r="I1717" s="420">
        <v>10</v>
      </c>
      <c r="J1717" s="317"/>
      <c r="K1717" s="421">
        <v>10.55</v>
      </c>
      <c r="L1717" s="433">
        <v>3.2</v>
      </c>
      <c r="M1717" s="433">
        <v>1.3</v>
      </c>
      <c r="N1717" s="317"/>
      <c r="O1717" s="317"/>
      <c r="P1717" s="318"/>
      <c r="Q1717" s="317"/>
      <c r="R1717" s="319">
        <f t="shared" si="598"/>
        <v>43.888000000000005</v>
      </c>
      <c r="S1717" s="398" t="str">
        <f>S1752</f>
        <v>m³</v>
      </c>
      <c r="T1717" s="320">
        <v>5</v>
      </c>
      <c r="U1717" s="424"/>
      <c r="V1717" s="291">
        <f ca="1">IF(OFFSET(V1717,1,1)=1,OFFSET(V1717,0,-4),OFFSET(V1717,1,0))</f>
        <v>4305.2000000000007</v>
      </c>
      <c r="W1717" s="256">
        <f t="shared" ca="1" si="570"/>
        <v>2</v>
      </c>
      <c r="X1717" s="256">
        <f t="shared" ca="1" si="591"/>
        <v>1</v>
      </c>
      <c r="Y1717" s="336"/>
      <c r="Z1717" s="336"/>
    </row>
    <row r="1718" spans="1:29" s="111" customFormat="1" ht="15.75" x14ac:dyDescent="0.2">
      <c r="A1718" s="288"/>
      <c r="B1718" s="311"/>
      <c r="C1718" s="312" t="s">
        <v>666</v>
      </c>
      <c r="D1718" s="313">
        <v>29</v>
      </c>
      <c r="E1718" s="314" t="s">
        <v>518</v>
      </c>
      <c r="F1718" s="418">
        <v>15</v>
      </c>
      <c r="G1718" s="380">
        <v>30</v>
      </c>
      <c r="H1718" s="314" t="s">
        <v>518</v>
      </c>
      <c r="I1718" s="420">
        <v>3</v>
      </c>
      <c r="J1718" s="317"/>
      <c r="K1718" s="313">
        <v>11.55</v>
      </c>
      <c r="L1718" s="433">
        <v>5.5</v>
      </c>
      <c r="M1718" s="433">
        <v>3</v>
      </c>
      <c r="N1718" s="314"/>
      <c r="O1718" s="313"/>
      <c r="P1718" s="318"/>
      <c r="Q1718" s="315"/>
      <c r="R1718" s="319">
        <f t="shared" si="598"/>
        <v>190.57500000000002</v>
      </c>
      <c r="S1718" s="398" t="str">
        <f>S1753</f>
        <v>m³</v>
      </c>
      <c r="T1718" s="320">
        <v>16</v>
      </c>
      <c r="U1718" s="321"/>
      <c r="V1718" s="291">
        <f ca="1">IF(OFFSET(V1718,1,1)=1,OFFSET(V1718,0,-4),OFFSET(V1718,1,0))</f>
        <v>4305.2000000000007</v>
      </c>
      <c r="W1718" s="256">
        <f t="shared" ca="1" si="570"/>
        <v>2</v>
      </c>
      <c r="X1718" s="256">
        <f t="shared" ca="1" si="591"/>
        <v>1</v>
      </c>
      <c r="Y1718" s="250"/>
      <c r="Z1718" s="250"/>
    </row>
    <row r="1719" spans="1:29" s="111" customFormat="1" ht="15.75" x14ac:dyDescent="0.2">
      <c r="A1719" s="288"/>
      <c r="B1719" s="311"/>
      <c r="C1719" s="312" t="s">
        <v>666</v>
      </c>
      <c r="D1719" s="313">
        <v>32</v>
      </c>
      <c r="E1719" s="314" t="s">
        <v>518</v>
      </c>
      <c r="F1719" s="418">
        <v>0</v>
      </c>
      <c r="G1719" s="380">
        <v>32</v>
      </c>
      <c r="H1719" s="314" t="s">
        <v>518</v>
      </c>
      <c r="I1719" s="420">
        <v>10</v>
      </c>
      <c r="J1719" s="317"/>
      <c r="K1719" s="421">
        <v>16</v>
      </c>
      <c r="L1719" s="433">
        <v>5.5</v>
      </c>
      <c r="M1719" s="433">
        <v>3</v>
      </c>
      <c r="N1719" s="314"/>
      <c r="O1719" s="313"/>
      <c r="P1719" s="318"/>
      <c r="Q1719" s="315"/>
      <c r="R1719" s="319">
        <f t="shared" si="598"/>
        <v>264</v>
      </c>
      <c r="S1719" s="398" t="s">
        <v>323</v>
      </c>
      <c r="T1719" s="320">
        <v>16</v>
      </c>
      <c r="U1719" s="321"/>
      <c r="V1719" s="291">
        <f t="shared" ref="V1719:V1750" ca="1" si="599">IF(OFFSET(V1719,1,1)=1,OFFSET(V1719,0,-4),OFFSET(V1719,1,0))</f>
        <v>4305.2000000000007</v>
      </c>
      <c r="W1719" s="256">
        <f t="shared" ref="W1719:W1750" ca="1" si="600">IF(LEFT(_xlfn.FORMULATEXT(V1719),3)="=SO",1,IF(COUNTA(A1719:U1719)=0,0,2))</f>
        <v>2</v>
      </c>
      <c r="X1719" s="256">
        <f t="shared" ref="X1719:X1735" ca="1" si="601">IF(COUNTA(OFFSET(A1718,1,0))-COUNTA(A1718)=-1,0,1)</f>
        <v>1</v>
      </c>
      <c r="Y1719" s="250"/>
      <c r="Z1719" s="250"/>
    </row>
    <row r="1720" spans="1:29" s="111" customFormat="1" ht="15.75" x14ac:dyDescent="0.2">
      <c r="A1720" s="288"/>
      <c r="B1720" s="311"/>
      <c r="C1720" s="312" t="s">
        <v>666</v>
      </c>
      <c r="D1720" s="313">
        <v>100</v>
      </c>
      <c r="E1720" s="314" t="s">
        <v>518</v>
      </c>
      <c r="F1720" s="418">
        <v>0</v>
      </c>
      <c r="G1720" s="380">
        <v>99</v>
      </c>
      <c r="H1720" s="314" t="s">
        <v>518</v>
      </c>
      <c r="I1720" s="420">
        <v>6.4</v>
      </c>
      <c r="J1720" s="317"/>
      <c r="K1720" s="421">
        <v>15</v>
      </c>
      <c r="L1720" s="433">
        <v>5.5</v>
      </c>
      <c r="M1720" s="433">
        <v>3</v>
      </c>
      <c r="N1720" s="314"/>
      <c r="O1720" s="313"/>
      <c r="P1720" s="318"/>
      <c r="Q1720" s="315"/>
      <c r="R1720" s="319">
        <f t="shared" si="598"/>
        <v>247.5</v>
      </c>
      <c r="S1720" s="398" t="s">
        <v>323</v>
      </c>
      <c r="T1720" s="320">
        <v>16</v>
      </c>
      <c r="U1720" s="321"/>
      <c r="V1720" s="291">
        <f t="shared" ca="1" si="599"/>
        <v>4305.2000000000007</v>
      </c>
      <c r="W1720" s="256">
        <f t="shared" ca="1" si="600"/>
        <v>2</v>
      </c>
      <c r="X1720" s="256">
        <f t="shared" ca="1" si="601"/>
        <v>1</v>
      </c>
      <c r="Y1720" s="250"/>
      <c r="Z1720" s="250"/>
    </row>
    <row r="1721" spans="1:29" s="111" customFormat="1" ht="15.75" x14ac:dyDescent="0.2">
      <c r="A1721" s="288"/>
      <c r="B1721" s="311"/>
      <c r="C1721" s="312" t="s">
        <v>666</v>
      </c>
      <c r="D1721" s="313">
        <v>96</v>
      </c>
      <c r="E1721" s="314" t="s">
        <v>518</v>
      </c>
      <c r="F1721" s="418">
        <v>0</v>
      </c>
      <c r="G1721" s="380">
        <v>99</v>
      </c>
      <c r="H1721" s="314" t="s">
        <v>518</v>
      </c>
      <c r="I1721" s="420">
        <v>6.4</v>
      </c>
      <c r="J1721" s="317"/>
      <c r="K1721" s="421">
        <v>15</v>
      </c>
      <c r="L1721" s="433">
        <v>3</v>
      </c>
      <c r="M1721" s="433">
        <v>3</v>
      </c>
      <c r="N1721" s="314"/>
      <c r="O1721" s="313"/>
      <c r="P1721" s="318"/>
      <c r="Q1721" s="315"/>
      <c r="R1721" s="319">
        <f t="shared" si="598"/>
        <v>135</v>
      </c>
      <c r="S1721" s="398" t="s">
        <v>323</v>
      </c>
      <c r="T1721" s="320">
        <v>16</v>
      </c>
      <c r="U1721" s="321"/>
      <c r="V1721" s="291">
        <f t="shared" ca="1" si="599"/>
        <v>4305.2000000000007</v>
      </c>
      <c r="W1721" s="256">
        <f t="shared" ca="1" si="600"/>
        <v>2</v>
      </c>
      <c r="X1721" s="256">
        <f t="shared" ca="1" si="601"/>
        <v>1</v>
      </c>
      <c r="Y1721" s="250"/>
      <c r="Z1721" s="250"/>
    </row>
    <row r="1722" spans="1:29" s="111" customFormat="1" ht="15.75" x14ac:dyDescent="0.2">
      <c r="A1722" s="288"/>
      <c r="B1722" s="562"/>
      <c r="C1722" s="495" t="s">
        <v>676</v>
      </c>
      <c r="D1722" s="738">
        <v>6</v>
      </c>
      <c r="E1722" s="552" t="s">
        <v>518</v>
      </c>
      <c r="F1722" s="553">
        <v>12</v>
      </c>
      <c r="G1722" s="751">
        <v>30</v>
      </c>
      <c r="H1722" s="552" t="s">
        <v>518</v>
      </c>
      <c r="I1722" s="498">
        <v>0</v>
      </c>
      <c r="J1722" s="560"/>
      <c r="K1722" s="500">
        <f>ABS((G1722*20+I1722)-(D1722*20+F1722))</f>
        <v>468</v>
      </c>
      <c r="L1722" s="508">
        <v>4</v>
      </c>
      <c r="M1722" s="553">
        <v>0.3</v>
      </c>
      <c r="N1722" s="750">
        <f>K1722*L1722</f>
        <v>1872</v>
      </c>
      <c r="O1722" s="317">
        <f>K1722*L1722*M1722</f>
        <v>561.6</v>
      </c>
      <c r="P1722" s="565"/>
      <c r="Q1722" s="752"/>
      <c r="R1722" s="319">
        <f t="shared" si="598"/>
        <v>561.6</v>
      </c>
      <c r="S1722" s="554" t="s">
        <v>323</v>
      </c>
      <c r="T1722" s="506">
        <v>19</v>
      </c>
      <c r="U1722" s="568"/>
      <c r="V1722" s="291">
        <f t="shared" ca="1" si="599"/>
        <v>4305.2000000000007</v>
      </c>
      <c r="W1722" s="256">
        <f t="shared" ca="1" si="600"/>
        <v>2</v>
      </c>
      <c r="X1722" s="256">
        <f t="shared" ca="1" si="601"/>
        <v>1</v>
      </c>
      <c r="Y1722" s="250"/>
      <c r="Z1722" s="250"/>
    </row>
    <row r="1723" spans="1:29" s="111" customFormat="1" ht="15.75" x14ac:dyDescent="0.2">
      <c r="A1723" s="288"/>
      <c r="B1723" s="311"/>
      <c r="C1723" s="312" t="s">
        <v>675</v>
      </c>
      <c r="D1723" s="551">
        <v>97</v>
      </c>
      <c r="E1723" s="552" t="s">
        <v>518</v>
      </c>
      <c r="F1723" s="553">
        <v>0</v>
      </c>
      <c r="G1723" s="496">
        <v>99</v>
      </c>
      <c r="H1723" s="497" t="s">
        <v>518</v>
      </c>
      <c r="I1723" s="498">
        <v>6.4</v>
      </c>
      <c r="J1723" s="560"/>
      <c r="K1723" s="500">
        <f>ABS((G1723*20+I1723)-(D1723*20+F1723))</f>
        <v>46.400000000000091</v>
      </c>
      <c r="L1723" s="433">
        <v>4</v>
      </c>
      <c r="M1723" s="433">
        <v>0.9</v>
      </c>
      <c r="N1723" s="750">
        <f>K1723*L1723</f>
        <v>185.60000000000036</v>
      </c>
      <c r="O1723" s="317">
        <f>K1723*L1723*M1723</f>
        <v>167.04000000000033</v>
      </c>
      <c r="P1723" s="318"/>
      <c r="Q1723" s="317"/>
      <c r="R1723" s="319">
        <f>O1723</f>
        <v>167.04000000000033</v>
      </c>
      <c r="S1723" s="317" t="s">
        <v>323</v>
      </c>
      <c r="T1723" s="320">
        <v>18</v>
      </c>
      <c r="U1723" s="321"/>
      <c r="V1723" s="291">
        <f t="shared" ca="1" si="599"/>
        <v>4305.2000000000007</v>
      </c>
      <c r="W1723" s="256">
        <f t="shared" ca="1" si="600"/>
        <v>2</v>
      </c>
      <c r="X1723" s="256">
        <f t="shared" ca="1" si="601"/>
        <v>1</v>
      </c>
      <c r="Y1723" s="250"/>
      <c r="Z1723" s="250"/>
    </row>
    <row r="1724" spans="1:29" s="111" customFormat="1" ht="15.75" x14ac:dyDescent="0.2">
      <c r="A1724" s="288"/>
      <c r="B1724" s="311"/>
      <c r="C1724" s="312" t="s">
        <v>677</v>
      </c>
      <c r="D1724" s="419">
        <v>99</v>
      </c>
      <c r="E1724" s="316" t="s">
        <v>518</v>
      </c>
      <c r="F1724" s="420">
        <v>10</v>
      </c>
      <c r="G1724" s="419">
        <v>99</v>
      </c>
      <c r="H1724" s="316" t="s">
        <v>518</v>
      </c>
      <c r="I1724" s="420">
        <v>10</v>
      </c>
      <c r="J1724" s="317"/>
      <c r="K1724" s="500">
        <v>15</v>
      </c>
      <c r="L1724" s="554">
        <f>(((12+5)/2)*4.5)</f>
        <v>38.25</v>
      </c>
      <c r="M1724" s="501"/>
      <c r="N1724" s="501"/>
      <c r="O1724" s="503"/>
      <c r="P1724" s="501"/>
      <c r="Q1724" s="503"/>
      <c r="R1724" s="504">
        <f t="shared" ref="R1724:R1730" si="602">L1724*K1724</f>
        <v>573.75</v>
      </c>
      <c r="S1724" s="398" t="s">
        <v>323</v>
      </c>
      <c r="T1724" s="320">
        <v>18</v>
      </c>
      <c r="U1724" s="321"/>
      <c r="V1724" s="291">
        <f t="shared" ca="1" si="599"/>
        <v>4305.2000000000007</v>
      </c>
      <c r="W1724" s="256">
        <f t="shared" ca="1" si="600"/>
        <v>2</v>
      </c>
      <c r="X1724" s="256">
        <f t="shared" ca="1" si="601"/>
        <v>1</v>
      </c>
      <c r="Y1724" s="250"/>
      <c r="Z1724" s="250"/>
    </row>
    <row r="1725" spans="1:29" s="111" customFormat="1" ht="15.75" x14ac:dyDescent="0.2">
      <c r="A1725" s="288"/>
      <c r="B1725" s="311"/>
      <c r="C1725" s="312" t="s">
        <v>677</v>
      </c>
      <c r="D1725" s="419">
        <v>96</v>
      </c>
      <c r="E1725" s="316" t="s">
        <v>518</v>
      </c>
      <c r="F1725" s="420">
        <v>0</v>
      </c>
      <c r="G1725" s="419">
        <v>96</v>
      </c>
      <c r="H1725" s="316" t="s">
        <v>518</v>
      </c>
      <c r="I1725" s="420">
        <v>0</v>
      </c>
      <c r="J1725" s="317"/>
      <c r="K1725" s="500">
        <v>15</v>
      </c>
      <c r="L1725" s="554">
        <f>(((12+5)/2)*4.5)</f>
        <v>38.25</v>
      </c>
      <c r="M1725" s="501"/>
      <c r="N1725" s="501"/>
      <c r="O1725" s="503"/>
      <c r="P1725" s="501"/>
      <c r="Q1725" s="503"/>
      <c r="R1725" s="504">
        <f t="shared" si="602"/>
        <v>573.75</v>
      </c>
      <c r="S1725" s="398" t="s">
        <v>323</v>
      </c>
      <c r="T1725" s="320">
        <v>18</v>
      </c>
      <c r="U1725" s="321"/>
      <c r="V1725" s="291">
        <f t="shared" ca="1" si="599"/>
        <v>4305.2000000000007</v>
      </c>
      <c r="W1725" s="256">
        <f t="shared" ca="1" si="600"/>
        <v>2</v>
      </c>
      <c r="X1725" s="256">
        <f t="shared" ca="1" si="601"/>
        <v>1</v>
      </c>
      <c r="Y1725" s="250"/>
      <c r="Z1725" s="250"/>
    </row>
    <row r="1726" spans="1:29" s="111" customFormat="1" ht="15.75" x14ac:dyDescent="0.2">
      <c r="A1726" s="288"/>
      <c r="B1726" s="311"/>
      <c r="C1726" s="312" t="s">
        <v>677</v>
      </c>
      <c r="D1726" s="419">
        <v>99</v>
      </c>
      <c r="E1726" s="316" t="s">
        <v>518</v>
      </c>
      <c r="F1726" s="420">
        <v>10</v>
      </c>
      <c r="G1726" s="419">
        <v>99</v>
      </c>
      <c r="H1726" s="316" t="s">
        <v>518</v>
      </c>
      <c r="I1726" s="420">
        <v>10</v>
      </c>
      <c r="J1726" s="317"/>
      <c r="K1726" s="500">
        <v>15</v>
      </c>
      <c r="L1726" s="554">
        <f>(((12+5)/2)*2.5)</f>
        <v>21.25</v>
      </c>
      <c r="M1726" s="501"/>
      <c r="N1726" s="501"/>
      <c r="O1726" s="503"/>
      <c r="P1726" s="501"/>
      <c r="Q1726" s="503"/>
      <c r="R1726" s="504">
        <f t="shared" si="602"/>
        <v>318.75</v>
      </c>
      <c r="S1726" s="398" t="s">
        <v>323</v>
      </c>
      <c r="T1726" s="320">
        <v>18</v>
      </c>
      <c r="U1726" s="321"/>
      <c r="V1726" s="291">
        <f t="shared" ca="1" si="599"/>
        <v>4305.2000000000007</v>
      </c>
      <c r="W1726" s="256">
        <f t="shared" ca="1" si="600"/>
        <v>2</v>
      </c>
      <c r="X1726" s="256">
        <f t="shared" ca="1" si="601"/>
        <v>1</v>
      </c>
      <c r="Y1726" s="250"/>
      <c r="Z1726" s="250"/>
    </row>
    <row r="1727" spans="1:29" s="111" customFormat="1" ht="15.75" x14ac:dyDescent="0.2">
      <c r="A1727" s="288"/>
      <c r="B1727" s="311"/>
      <c r="C1727" s="312" t="s">
        <v>677</v>
      </c>
      <c r="D1727" s="419">
        <v>96</v>
      </c>
      <c r="E1727" s="316" t="s">
        <v>518</v>
      </c>
      <c r="F1727" s="420">
        <v>0</v>
      </c>
      <c r="G1727" s="419">
        <v>96</v>
      </c>
      <c r="H1727" s="316" t="s">
        <v>518</v>
      </c>
      <c r="I1727" s="420">
        <v>0</v>
      </c>
      <c r="J1727" s="317"/>
      <c r="K1727" s="500">
        <v>15</v>
      </c>
      <c r="L1727" s="554">
        <f>(((12+5)/2)*2.5)</f>
        <v>21.25</v>
      </c>
      <c r="M1727" s="328"/>
      <c r="N1727" s="328"/>
      <c r="O1727" s="334"/>
      <c r="P1727" s="328"/>
      <c r="Q1727" s="334"/>
      <c r="R1727" s="333">
        <f t="shared" si="602"/>
        <v>318.75</v>
      </c>
      <c r="S1727" s="398" t="s">
        <v>323</v>
      </c>
      <c r="T1727" s="320">
        <v>18</v>
      </c>
      <c r="U1727" s="321"/>
      <c r="V1727" s="291">
        <f t="shared" ca="1" si="599"/>
        <v>4305.2000000000007</v>
      </c>
      <c r="W1727" s="256">
        <f t="shared" ca="1" si="600"/>
        <v>2</v>
      </c>
      <c r="X1727" s="256">
        <f t="shared" ca="1" si="601"/>
        <v>1</v>
      </c>
      <c r="Y1727" s="250"/>
      <c r="Z1727" s="250"/>
    </row>
    <row r="1728" spans="1:29" s="111" customFormat="1" ht="15.75" x14ac:dyDescent="0.2">
      <c r="A1728" s="288"/>
      <c r="B1728" s="311"/>
      <c r="C1728" s="312" t="s">
        <v>677</v>
      </c>
      <c r="D1728" s="419">
        <v>95</v>
      </c>
      <c r="E1728" s="316" t="s">
        <v>518</v>
      </c>
      <c r="F1728" s="420">
        <v>10</v>
      </c>
      <c r="G1728" s="419">
        <v>95</v>
      </c>
      <c r="H1728" s="316" t="s">
        <v>518</v>
      </c>
      <c r="I1728" s="420">
        <v>10</v>
      </c>
      <c r="J1728" s="317"/>
      <c r="K1728" s="500">
        <v>15</v>
      </c>
      <c r="L1728" s="554">
        <f>(((12+5)/2)*2.5)</f>
        <v>21.25</v>
      </c>
      <c r="M1728" s="328"/>
      <c r="N1728" s="328"/>
      <c r="O1728" s="334"/>
      <c r="P1728" s="328"/>
      <c r="Q1728" s="334"/>
      <c r="R1728" s="333">
        <f t="shared" si="602"/>
        <v>318.75</v>
      </c>
      <c r="S1728" s="398" t="s">
        <v>323</v>
      </c>
      <c r="T1728" s="320">
        <v>18</v>
      </c>
      <c r="U1728" s="321"/>
      <c r="V1728" s="291">
        <f t="shared" ca="1" si="599"/>
        <v>4305.2000000000007</v>
      </c>
      <c r="W1728" s="256">
        <f t="shared" ca="1" si="600"/>
        <v>2</v>
      </c>
      <c r="X1728" s="256">
        <f t="shared" ca="1" si="601"/>
        <v>1</v>
      </c>
      <c r="Y1728" s="250"/>
      <c r="Z1728" s="250"/>
    </row>
    <row r="1729" spans="1:26" s="111" customFormat="1" ht="15.75" x14ac:dyDescent="0.2">
      <c r="A1729" s="288"/>
      <c r="B1729" s="311"/>
      <c r="C1729" s="312" t="s">
        <v>677</v>
      </c>
      <c r="D1729" s="419">
        <v>94</v>
      </c>
      <c r="E1729" s="316" t="s">
        <v>518</v>
      </c>
      <c r="F1729" s="420">
        <v>5</v>
      </c>
      <c r="G1729" s="419">
        <v>94</v>
      </c>
      <c r="H1729" s="316" t="s">
        <v>518</v>
      </c>
      <c r="I1729" s="420">
        <v>5</v>
      </c>
      <c r="J1729" s="317"/>
      <c r="K1729" s="500">
        <v>15</v>
      </c>
      <c r="L1729" s="554">
        <f>(((12+5)/2)*2.5)</f>
        <v>21.25</v>
      </c>
      <c r="M1729" s="328"/>
      <c r="N1729" s="328"/>
      <c r="O1729" s="334"/>
      <c r="P1729" s="328"/>
      <c r="Q1729" s="334"/>
      <c r="R1729" s="333">
        <f t="shared" si="602"/>
        <v>318.75</v>
      </c>
      <c r="S1729" s="398" t="s">
        <v>323</v>
      </c>
      <c r="T1729" s="320">
        <v>18</v>
      </c>
      <c r="U1729" s="321"/>
      <c r="V1729" s="291">
        <f t="shared" ca="1" si="599"/>
        <v>4305.2000000000007</v>
      </c>
      <c r="W1729" s="256">
        <f t="shared" ca="1" si="600"/>
        <v>2</v>
      </c>
      <c r="X1729" s="256">
        <f t="shared" ca="1" si="601"/>
        <v>1</v>
      </c>
      <c r="Y1729" s="250"/>
      <c r="Z1729" s="250"/>
    </row>
    <row r="1730" spans="1:26" s="111" customFormat="1" ht="15.75" x14ac:dyDescent="0.2">
      <c r="A1730" s="288"/>
      <c r="B1730" s="311"/>
      <c r="C1730" s="312" t="s">
        <v>677</v>
      </c>
      <c r="D1730" s="419">
        <v>92</v>
      </c>
      <c r="E1730" s="316" t="s">
        <v>518</v>
      </c>
      <c r="F1730" s="420">
        <v>0</v>
      </c>
      <c r="G1730" s="419">
        <v>92</v>
      </c>
      <c r="H1730" s="316" t="s">
        <v>518</v>
      </c>
      <c r="I1730" s="420">
        <v>0</v>
      </c>
      <c r="J1730" s="317"/>
      <c r="K1730" s="500">
        <v>15</v>
      </c>
      <c r="L1730" s="554">
        <f>(((12+5)/2)*2.5)</f>
        <v>21.25</v>
      </c>
      <c r="M1730" s="328"/>
      <c r="N1730" s="328"/>
      <c r="O1730" s="334"/>
      <c r="P1730" s="328"/>
      <c r="Q1730" s="334"/>
      <c r="R1730" s="333">
        <f t="shared" si="602"/>
        <v>318.75</v>
      </c>
      <c r="S1730" s="398" t="s">
        <v>323</v>
      </c>
      <c r="T1730" s="320">
        <v>18</v>
      </c>
      <c r="U1730" s="321"/>
      <c r="V1730" s="291">
        <f t="shared" ca="1" si="599"/>
        <v>4305.2000000000007</v>
      </c>
      <c r="W1730" s="256">
        <f t="shared" ca="1" si="600"/>
        <v>2</v>
      </c>
      <c r="X1730" s="256">
        <f t="shared" ca="1" si="601"/>
        <v>1</v>
      </c>
      <c r="Y1730" s="250"/>
      <c r="Z1730" s="250"/>
    </row>
    <row r="1731" spans="1:26" s="111" customFormat="1" ht="15.75" x14ac:dyDescent="0.2">
      <c r="A1731" s="288"/>
      <c r="B1731" s="562"/>
      <c r="C1731" s="495" t="s">
        <v>891</v>
      </c>
      <c r="D1731" s="496"/>
      <c r="E1731" s="497"/>
      <c r="F1731" s="498"/>
      <c r="G1731" s="496"/>
      <c r="H1731" s="497"/>
      <c r="I1731" s="498"/>
      <c r="J1731" s="560"/>
      <c r="K1731" s="500"/>
      <c r="L1731" s="554"/>
      <c r="M1731" s="760"/>
      <c r="N1731" s="761"/>
      <c r="O1731" s="505">
        <v>450</v>
      </c>
      <c r="P1731" s="501"/>
      <c r="Q1731" s="739"/>
      <c r="R1731" s="504">
        <f>O1731</f>
        <v>450</v>
      </c>
      <c r="S1731" s="554"/>
      <c r="T1731" s="506">
        <v>19</v>
      </c>
      <c r="U1731" s="568"/>
      <c r="V1731" s="291">
        <f t="shared" ca="1" si="599"/>
        <v>4305.2000000000007</v>
      </c>
      <c r="W1731" s="256">
        <f t="shared" ca="1" si="600"/>
        <v>2</v>
      </c>
      <c r="X1731" s="256">
        <f t="shared" ca="1" si="601"/>
        <v>1</v>
      </c>
      <c r="Y1731" s="250"/>
      <c r="Z1731" s="250"/>
    </row>
    <row r="1732" spans="1:26" s="111" customFormat="1" ht="15.75" x14ac:dyDescent="0.2">
      <c r="A1732" s="288"/>
      <c r="B1732" s="562"/>
      <c r="C1732" s="495" t="s">
        <v>890</v>
      </c>
      <c r="D1732" s="496"/>
      <c r="E1732" s="497"/>
      <c r="F1732" s="498"/>
      <c r="G1732" s="496"/>
      <c r="H1732" s="497"/>
      <c r="I1732" s="498"/>
      <c r="J1732" s="560"/>
      <c r="K1732" s="500"/>
      <c r="L1732" s="554"/>
      <c r="M1732" s="760"/>
      <c r="N1732" s="761"/>
      <c r="O1732" s="505">
        <v>450</v>
      </c>
      <c r="P1732" s="501"/>
      <c r="Q1732" s="739"/>
      <c r="R1732" s="504">
        <f>O1732</f>
        <v>450</v>
      </c>
      <c r="S1732" s="554"/>
      <c r="T1732" s="506">
        <v>19</v>
      </c>
      <c r="U1732" s="568"/>
      <c r="V1732" s="291">
        <f t="shared" ca="1" si="599"/>
        <v>4305.2000000000007</v>
      </c>
      <c r="W1732" s="256">
        <f t="shared" ca="1" si="600"/>
        <v>2</v>
      </c>
      <c r="X1732" s="256">
        <f t="shared" ca="1" si="601"/>
        <v>1</v>
      </c>
      <c r="Y1732" s="250"/>
      <c r="Z1732" s="250"/>
    </row>
    <row r="1733" spans="1:26" s="111" customFormat="1" ht="30" x14ac:dyDescent="0.2">
      <c r="A1733" s="288"/>
      <c r="B1733" s="311"/>
      <c r="C1733" s="312" t="s">
        <v>850</v>
      </c>
      <c r="D1733" s="419">
        <v>99</v>
      </c>
      <c r="E1733" s="316" t="s">
        <v>518</v>
      </c>
      <c r="F1733" s="420">
        <v>10</v>
      </c>
      <c r="G1733" s="419">
        <v>99</v>
      </c>
      <c r="H1733" s="316" t="s">
        <v>518</v>
      </c>
      <c r="I1733" s="420">
        <v>10</v>
      </c>
      <c r="J1733" s="317"/>
      <c r="K1733" s="500">
        <v>15</v>
      </c>
      <c r="L1733" s="554">
        <f>(((12+5)/2)*2.5)</f>
        <v>21.25</v>
      </c>
      <c r="M1733" s="501"/>
      <c r="N1733" s="501"/>
      <c r="O1733" s="503"/>
      <c r="P1733" s="501"/>
      <c r="Q1733" s="503"/>
      <c r="R1733" s="504">
        <f>L1733*K1733</f>
        <v>318.75</v>
      </c>
      <c r="S1733" s="398" t="s">
        <v>323</v>
      </c>
      <c r="T1733" s="320">
        <v>19</v>
      </c>
      <c r="U1733" s="321"/>
      <c r="V1733" s="291">
        <f t="shared" ca="1" si="599"/>
        <v>4305.2000000000007</v>
      </c>
      <c r="W1733" s="256">
        <f t="shared" ca="1" si="600"/>
        <v>2</v>
      </c>
      <c r="X1733" s="256">
        <f t="shared" ca="1" si="601"/>
        <v>1</v>
      </c>
      <c r="Y1733" s="250"/>
      <c r="Z1733" s="250"/>
    </row>
    <row r="1734" spans="1:26" s="111" customFormat="1" ht="30" x14ac:dyDescent="0.2">
      <c r="A1734" s="288"/>
      <c r="B1734" s="311"/>
      <c r="C1734" s="312" t="s">
        <v>851</v>
      </c>
      <c r="D1734" s="419">
        <v>96</v>
      </c>
      <c r="E1734" s="316" t="s">
        <v>518</v>
      </c>
      <c r="F1734" s="420">
        <v>0</v>
      </c>
      <c r="G1734" s="419">
        <v>96</v>
      </c>
      <c r="H1734" s="316" t="s">
        <v>518</v>
      </c>
      <c r="I1734" s="420">
        <v>0</v>
      </c>
      <c r="J1734" s="317"/>
      <c r="K1734" s="500">
        <v>15</v>
      </c>
      <c r="L1734" s="554">
        <f>(((12+5)/2)*2.5)</f>
        <v>21.25</v>
      </c>
      <c r="M1734" s="328"/>
      <c r="N1734" s="328"/>
      <c r="O1734" s="334"/>
      <c r="P1734" s="328"/>
      <c r="Q1734" s="334"/>
      <c r="R1734" s="333">
        <f>L1734*K1734</f>
        <v>318.75</v>
      </c>
      <c r="S1734" s="398" t="s">
        <v>323</v>
      </c>
      <c r="T1734" s="320">
        <v>19</v>
      </c>
      <c r="U1734" s="321"/>
      <c r="V1734" s="291">
        <f t="shared" ca="1" si="599"/>
        <v>4305.2000000000007</v>
      </c>
      <c r="W1734" s="256">
        <f t="shared" ca="1" si="600"/>
        <v>2</v>
      </c>
      <c r="X1734" s="256">
        <f t="shared" ca="1" si="601"/>
        <v>1</v>
      </c>
      <c r="Y1734" s="250"/>
      <c r="Z1734" s="250"/>
    </row>
    <row r="1735" spans="1:26" s="111" customFormat="1" ht="15.75" x14ac:dyDescent="0.2">
      <c r="A1735" s="288"/>
      <c r="B1735" s="562"/>
      <c r="C1735" s="495" t="s">
        <v>891</v>
      </c>
      <c r="D1735" s="419">
        <v>90</v>
      </c>
      <c r="E1735" s="316" t="s">
        <v>518</v>
      </c>
      <c r="F1735" s="420">
        <v>0</v>
      </c>
      <c r="G1735" s="496">
        <v>99</v>
      </c>
      <c r="H1735" s="316" t="s">
        <v>518</v>
      </c>
      <c r="I1735" s="498">
        <v>6.4</v>
      </c>
      <c r="J1735" s="560"/>
      <c r="K1735" s="500">
        <f>ABS((G1735*20+I1735)-(D1735*20+F1735))</f>
        <v>186.40000000000009</v>
      </c>
      <c r="L1735" s="554">
        <v>3.5</v>
      </c>
      <c r="M1735" s="760">
        <v>0.3</v>
      </c>
      <c r="N1735" s="761"/>
      <c r="O1735" s="505"/>
      <c r="P1735" s="501"/>
      <c r="Q1735" s="739"/>
      <c r="R1735" s="504">
        <f>K1735*L1735*M1735</f>
        <v>195.72000000000008</v>
      </c>
      <c r="S1735" s="554"/>
      <c r="T1735" s="506">
        <v>27</v>
      </c>
      <c r="U1735" s="568"/>
      <c r="V1735" s="291">
        <f t="shared" ca="1" si="599"/>
        <v>4305.2000000000007</v>
      </c>
      <c r="W1735" s="256">
        <f t="shared" ca="1" si="600"/>
        <v>2</v>
      </c>
      <c r="X1735" s="256">
        <f t="shared" ca="1" si="601"/>
        <v>1</v>
      </c>
      <c r="Y1735" s="250"/>
      <c r="Z1735" s="250"/>
    </row>
    <row r="1736" spans="1:26" s="111" customFormat="1" ht="15.75" x14ac:dyDescent="0.2">
      <c r="A1736" s="288"/>
      <c r="B1736" s="311"/>
      <c r="C1736" s="312" t="s">
        <v>1027</v>
      </c>
      <c r="D1736" s="419">
        <v>88</v>
      </c>
      <c r="E1736" s="316" t="s">
        <v>518</v>
      </c>
      <c r="F1736" s="420">
        <v>0</v>
      </c>
      <c r="G1736" s="419">
        <v>92</v>
      </c>
      <c r="H1736" s="316" t="s">
        <v>518</v>
      </c>
      <c r="I1736" s="420">
        <v>0</v>
      </c>
      <c r="J1736" s="317"/>
      <c r="K1736" s="500">
        <f>ABS((G1736*20+I1736)-(D1736*20+F1736))</f>
        <v>80</v>
      </c>
      <c r="L1736" s="554">
        <v>15</v>
      </c>
      <c r="M1736" s="328"/>
      <c r="N1736" s="554">
        <f>(((12+5)/2)*2.5)</f>
        <v>21.25</v>
      </c>
      <c r="O1736" s="334"/>
      <c r="P1736" s="328"/>
      <c r="Q1736" s="334"/>
      <c r="R1736" s="333">
        <f>N1736*L1736</f>
        <v>318.75</v>
      </c>
      <c r="S1736" s="398" t="s">
        <v>323</v>
      </c>
      <c r="T1736" s="320">
        <v>27</v>
      </c>
      <c r="U1736" s="321"/>
      <c r="V1736" s="291">
        <f t="shared" ca="1" si="599"/>
        <v>4305.2000000000007</v>
      </c>
      <c r="W1736" s="256">
        <f t="shared" ref="W1736:W1749" ca="1" si="603">IF(LEFT(_xlfn.FORMULATEXT(V1736),3)="=SO",1,IF(COUNTA(A1736:U1736)=0,0,2))</f>
        <v>2</v>
      </c>
      <c r="X1736" s="256">
        <f t="shared" ref="X1736:X1744" ca="1" si="604">IF(COUNTA(OFFSET(A1728,1,0))-COUNTA(A1728)=-1,0,1)</f>
        <v>1</v>
      </c>
      <c r="Y1736" s="250"/>
      <c r="Z1736" s="250"/>
    </row>
    <row r="1737" spans="1:26" s="111" customFormat="1" ht="15.75" x14ac:dyDescent="0.2">
      <c r="A1737" s="288"/>
      <c r="B1737" s="311"/>
      <c r="C1737" s="312" t="s">
        <v>1027</v>
      </c>
      <c r="D1737" s="419">
        <v>84</v>
      </c>
      <c r="E1737" s="316" t="s">
        <v>518</v>
      </c>
      <c r="F1737" s="420">
        <v>0</v>
      </c>
      <c r="G1737" s="419">
        <v>88</v>
      </c>
      <c r="H1737" s="316" t="s">
        <v>518</v>
      </c>
      <c r="I1737" s="420">
        <v>0</v>
      </c>
      <c r="J1737" s="317"/>
      <c r="K1737" s="500">
        <f>ABS((G1737*20+I1737)-(D1737*20+F1737))</f>
        <v>80</v>
      </c>
      <c r="L1737" s="554">
        <v>15</v>
      </c>
      <c r="M1737" s="328"/>
      <c r="N1737" s="554">
        <f>(((12+5)/2)*2.5)</f>
        <v>21.25</v>
      </c>
      <c r="O1737" s="334"/>
      <c r="P1737" s="328"/>
      <c r="Q1737" s="334"/>
      <c r="R1737" s="333">
        <f>N1737*L1737</f>
        <v>318.75</v>
      </c>
      <c r="S1737" s="398" t="s">
        <v>323</v>
      </c>
      <c r="T1737" s="320">
        <v>27</v>
      </c>
      <c r="U1737" s="321"/>
      <c r="V1737" s="291">
        <f t="shared" ca="1" si="599"/>
        <v>4305.2000000000007</v>
      </c>
      <c r="W1737" s="256">
        <f t="shared" ca="1" si="603"/>
        <v>2</v>
      </c>
      <c r="X1737" s="256">
        <f t="shared" ca="1" si="604"/>
        <v>1</v>
      </c>
      <c r="Y1737" s="250"/>
      <c r="Z1737" s="250"/>
    </row>
    <row r="1738" spans="1:26" s="111" customFormat="1" ht="15.75" x14ac:dyDescent="0.2">
      <c r="A1738" s="288"/>
      <c r="B1738" s="311"/>
      <c r="C1738" s="312" t="s">
        <v>1027</v>
      </c>
      <c r="D1738" s="419">
        <v>80</v>
      </c>
      <c r="E1738" s="316" t="s">
        <v>518</v>
      </c>
      <c r="F1738" s="420">
        <v>0</v>
      </c>
      <c r="G1738" s="419">
        <v>84</v>
      </c>
      <c r="H1738" s="316" t="s">
        <v>518</v>
      </c>
      <c r="I1738" s="420">
        <v>0</v>
      </c>
      <c r="J1738" s="317"/>
      <c r="K1738" s="500">
        <f>ABS((G1738*20+I1738)-(D1738*20+F1738))</f>
        <v>80</v>
      </c>
      <c r="L1738" s="554">
        <v>15</v>
      </c>
      <c r="M1738" s="328"/>
      <c r="N1738" s="554">
        <f>(((12+5)/2)*2.5)</f>
        <v>21.25</v>
      </c>
      <c r="O1738" s="334"/>
      <c r="P1738" s="328"/>
      <c r="Q1738" s="334"/>
      <c r="R1738" s="333">
        <f>N1738*L1738</f>
        <v>318.75</v>
      </c>
      <c r="S1738" s="398" t="s">
        <v>323</v>
      </c>
      <c r="T1738" s="320">
        <v>27</v>
      </c>
      <c r="U1738" s="321"/>
      <c r="V1738" s="291">
        <f t="shared" ca="1" si="599"/>
        <v>4305.2000000000007</v>
      </c>
      <c r="W1738" s="256">
        <f t="shared" ca="1" si="603"/>
        <v>2</v>
      </c>
      <c r="X1738" s="256">
        <f t="shared" ca="1" si="604"/>
        <v>1</v>
      </c>
      <c r="Y1738" s="250"/>
      <c r="Z1738" s="250"/>
    </row>
    <row r="1739" spans="1:26" s="111" customFormat="1" ht="15.75" x14ac:dyDescent="0.2">
      <c r="A1739" s="288"/>
      <c r="B1739" s="311"/>
      <c r="C1739" s="312" t="s">
        <v>1027</v>
      </c>
      <c r="D1739" s="419">
        <v>77</v>
      </c>
      <c r="E1739" s="316" t="s">
        <v>518</v>
      </c>
      <c r="F1739" s="420">
        <v>0</v>
      </c>
      <c r="G1739" s="419">
        <v>80</v>
      </c>
      <c r="H1739" s="316" t="s">
        <v>518</v>
      </c>
      <c r="I1739" s="420">
        <v>0</v>
      </c>
      <c r="J1739" s="317"/>
      <c r="K1739" s="500">
        <f>ABS((G1739*20+I1739)-(D1739*20+F1739))</f>
        <v>60</v>
      </c>
      <c r="L1739" s="554">
        <v>15</v>
      </c>
      <c r="M1739" s="328"/>
      <c r="N1739" s="554">
        <f>(((12+5)/2)*2.5)</f>
        <v>21.25</v>
      </c>
      <c r="O1739" s="334"/>
      <c r="P1739" s="328"/>
      <c r="Q1739" s="334"/>
      <c r="R1739" s="333">
        <f>N1739*L1739</f>
        <v>318.75</v>
      </c>
      <c r="S1739" s="398" t="s">
        <v>323</v>
      </c>
      <c r="T1739" s="320">
        <v>27</v>
      </c>
      <c r="U1739" s="321"/>
      <c r="V1739" s="291">
        <f t="shared" ca="1" si="599"/>
        <v>4305.2000000000007</v>
      </c>
      <c r="W1739" s="256">
        <f t="shared" ca="1" si="603"/>
        <v>2</v>
      </c>
      <c r="X1739" s="256">
        <f t="shared" ca="1" si="604"/>
        <v>1</v>
      </c>
      <c r="Y1739" s="250"/>
      <c r="Z1739" s="250"/>
    </row>
    <row r="1740" spans="1:26" s="111" customFormat="1" ht="15.75" x14ac:dyDescent="0.2">
      <c r="A1740" s="288"/>
      <c r="B1740" s="562"/>
      <c r="C1740" s="495" t="s">
        <v>1156</v>
      </c>
      <c r="D1740" s="419">
        <v>80</v>
      </c>
      <c r="E1740" s="316" t="s">
        <v>518</v>
      </c>
      <c r="F1740" s="420">
        <v>6</v>
      </c>
      <c r="G1740" s="496">
        <v>90</v>
      </c>
      <c r="H1740" s="316" t="s">
        <v>518</v>
      </c>
      <c r="I1740" s="498">
        <v>0</v>
      </c>
      <c r="J1740" s="560"/>
      <c r="K1740" s="500">
        <f t="shared" ref="K1740:K1746" si="605">ABS((G1740*20+I1740)-(D1740*20+F1740))</f>
        <v>194</v>
      </c>
      <c r="L1740" s="554">
        <v>4</v>
      </c>
      <c r="M1740" s="760">
        <v>0.5</v>
      </c>
      <c r="N1740" s="761">
        <f>K1740*L1740</f>
        <v>776</v>
      </c>
      <c r="O1740" s="505">
        <f>K1740*L1740*M1740</f>
        <v>388</v>
      </c>
      <c r="P1740" s="501"/>
      <c r="Q1740" s="739"/>
      <c r="R1740" s="504">
        <f t="shared" ref="R1740:R1742" si="606">M1740*L1740*K1740</f>
        <v>388</v>
      </c>
      <c r="S1740" s="554" t="s">
        <v>323</v>
      </c>
      <c r="T1740" s="506">
        <v>35</v>
      </c>
      <c r="U1740" s="568"/>
      <c r="V1740" s="291">
        <f t="shared" ca="1" si="599"/>
        <v>4305.2000000000007</v>
      </c>
      <c r="W1740" s="256">
        <f t="shared" ca="1" si="603"/>
        <v>2</v>
      </c>
      <c r="X1740" s="256">
        <f t="shared" ca="1" si="604"/>
        <v>1</v>
      </c>
      <c r="Y1740" s="250"/>
      <c r="Z1740" s="250"/>
    </row>
    <row r="1741" spans="1:26" s="111" customFormat="1" ht="15.75" x14ac:dyDescent="0.2">
      <c r="A1741" s="288"/>
      <c r="B1741" s="562"/>
      <c r="C1741" s="495" t="s">
        <v>1157</v>
      </c>
      <c r="D1741" s="419">
        <v>80</v>
      </c>
      <c r="E1741" s="316" t="s">
        <v>518</v>
      </c>
      <c r="F1741" s="420">
        <v>6</v>
      </c>
      <c r="G1741" s="496">
        <v>99</v>
      </c>
      <c r="H1741" s="316" t="s">
        <v>518</v>
      </c>
      <c r="I1741" s="498">
        <v>6.4</v>
      </c>
      <c r="J1741" s="560"/>
      <c r="K1741" s="500">
        <f t="shared" si="605"/>
        <v>380.40000000000009</v>
      </c>
      <c r="L1741" s="554">
        <v>4</v>
      </c>
      <c r="M1741" s="760">
        <v>0.5</v>
      </c>
      <c r="N1741" s="761">
        <f>K1741*L1741</f>
        <v>1521.6000000000004</v>
      </c>
      <c r="O1741" s="505">
        <f>K1741*L1741*M1741</f>
        <v>760.80000000000018</v>
      </c>
      <c r="P1741" s="501"/>
      <c r="Q1741" s="739"/>
      <c r="R1741" s="504">
        <f t="shared" si="606"/>
        <v>760.80000000000018</v>
      </c>
      <c r="S1741" s="554" t="s">
        <v>323</v>
      </c>
      <c r="T1741" s="506">
        <v>35</v>
      </c>
      <c r="U1741" s="568"/>
      <c r="V1741" s="291">
        <f t="shared" ca="1" si="599"/>
        <v>4305.2000000000007</v>
      </c>
      <c r="W1741" s="256">
        <f t="shared" ca="1" si="603"/>
        <v>2</v>
      </c>
      <c r="X1741" s="256">
        <f t="shared" ca="1" si="604"/>
        <v>1</v>
      </c>
      <c r="Y1741" s="250"/>
      <c r="Z1741" s="250"/>
    </row>
    <row r="1742" spans="1:26" s="111" customFormat="1" ht="15.75" x14ac:dyDescent="0.2">
      <c r="A1742" s="288"/>
      <c r="B1742" s="562"/>
      <c r="C1742" s="495" t="s">
        <v>1157</v>
      </c>
      <c r="D1742" s="419">
        <v>69</v>
      </c>
      <c r="E1742" s="316" t="s">
        <v>518</v>
      </c>
      <c r="F1742" s="420">
        <v>0</v>
      </c>
      <c r="G1742" s="496">
        <v>79</v>
      </c>
      <c r="H1742" s="316" t="s">
        <v>518</v>
      </c>
      <c r="I1742" s="498">
        <v>16</v>
      </c>
      <c r="J1742" s="560"/>
      <c r="K1742" s="500">
        <f t="shared" si="605"/>
        <v>216</v>
      </c>
      <c r="L1742" s="554">
        <v>3</v>
      </c>
      <c r="M1742" s="760">
        <v>0.5</v>
      </c>
      <c r="N1742" s="761">
        <f>K1742*L1742</f>
        <v>648</v>
      </c>
      <c r="O1742" s="505">
        <f>K1742*L1742*M1742</f>
        <v>324</v>
      </c>
      <c r="P1742" s="501"/>
      <c r="Q1742" s="739"/>
      <c r="R1742" s="504">
        <f t="shared" si="606"/>
        <v>324</v>
      </c>
      <c r="S1742" s="554" t="s">
        <v>323</v>
      </c>
      <c r="T1742" s="506">
        <v>35</v>
      </c>
      <c r="U1742" s="568"/>
      <c r="V1742" s="291">
        <f t="shared" ca="1" si="599"/>
        <v>4305.2000000000007</v>
      </c>
      <c r="W1742" s="256">
        <f t="shared" ca="1" si="603"/>
        <v>2</v>
      </c>
      <c r="X1742" s="256">
        <f t="shared" ca="1" si="604"/>
        <v>1</v>
      </c>
      <c r="Y1742" s="250"/>
      <c r="Z1742" s="250"/>
    </row>
    <row r="1743" spans="1:26" s="111" customFormat="1" ht="15.75" x14ac:dyDescent="0.2">
      <c r="A1743" s="288"/>
      <c r="B1743" s="562"/>
      <c r="C1743" s="495" t="s">
        <v>1158</v>
      </c>
      <c r="D1743" s="419">
        <v>60</v>
      </c>
      <c r="E1743" s="316" t="s">
        <v>518</v>
      </c>
      <c r="F1743" s="420">
        <v>0</v>
      </c>
      <c r="G1743" s="496">
        <v>77</v>
      </c>
      <c r="H1743" s="316" t="s">
        <v>518</v>
      </c>
      <c r="I1743" s="498">
        <v>0</v>
      </c>
      <c r="J1743" s="560"/>
      <c r="K1743" s="500">
        <f t="shared" si="605"/>
        <v>340</v>
      </c>
      <c r="L1743" s="554">
        <v>15</v>
      </c>
      <c r="M1743" s="760"/>
      <c r="N1743" s="761">
        <f>(((12+5)/2)*2.5)</f>
        <v>21.25</v>
      </c>
      <c r="O1743" s="505">
        <f>L1743*N1743</f>
        <v>318.75</v>
      </c>
      <c r="P1743" s="501"/>
      <c r="Q1743" s="739">
        <v>8</v>
      </c>
      <c r="R1743" s="504">
        <f>O1743*Q1743</f>
        <v>2550</v>
      </c>
      <c r="S1743" s="554" t="s">
        <v>323</v>
      </c>
      <c r="T1743" s="506">
        <v>35</v>
      </c>
      <c r="U1743" s="1045"/>
      <c r="V1743" s="291">
        <f t="shared" ca="1" si="599"/>
        <v>4305.2000000000007</v>
      </c>
      <c r="W1743" s="256">
        <f t="shared" ca="1" si="603"/>
        <v>2</v>
      </c>
      <c r="X1743" s="256">
        <f t="shared" ca="1" si="604"/>
        <v>1</v>
      </c>
      <c r="Y1743" s="250"/>
      <c r="Z1743" s="250"/>
    </row>
    <row r="1744" spans="1:26" s="111" customFormat="1" ht="15.75" x14ac:dyDescent="0.2">
      <c r="A1744" s="288"/>
      <c r="B1744" s="562"/>
      <c r="C1744" s="495" t="s">
        <v>1201</v>
      </c>
      <c r="D1744" s="419">
        <v>57</v>
      </c>
      <c r="E1744" s="316" t="s">
        <v>518</v>
      </c>
      <c r="F1744" s="420">
        <v>16</v>
      </c>
      <c r="G1744" s="496">
        <v>60</v>
      </c>
      <c r="H1744" s="497" t="s">
        <v>518</v>
      </c>
      <c r="I1744" s="498">
        <v>0</v>
      </c>
      <c r="J1744" s="560"/>
      <c r="K1744" s="500">
        <f t="shared" si="605"/>
        <v>44</v>
      </c>
      <c r="L1744" s="554">
        <v>20.56</v>
      </c>
      <c r="M1744" s="760"/>
      <c r="N1744" s="761">
        <f>(((12+5)/2)*2.5)</f>
        <v>21.25</v>
      </c>
      <c r="O1744" s="505">
        <f>L1744*N1744</f>
        <v>436.9</v>
      </c>
      <c r="P1744" s="501"/>
      <c r="Q1744" s="739">
        <v>2</v>
      </c>
      <c r="R1744" s="504">
        <f>O1744*Q1744</f>
        <v>873.8</v>
      </c>
      <c r="S1744" s="554" t="str">
        <f>$L$1751</f>
        <v>m³</v>
      </c>
      <c r="T1744" s="506">
        <v>37</v>
      </c>
      <c r="U1744" s="568"/>
      <c r="V1744" s="291">
        <f t="shared" ca="1" si="599"/>
        <v>4305.2000000000007</v>
      </c>
      <c r="W1744" s="256">
        <f t="shared" ca="1" si="603"/>
        <v>2</v>
      </c>
      <c r="X1744" s="256">
        <f t="shared" ca="1" si="604"/>
        <v>1</v>
      </c>
      <c r="Y1744" s="250"/>
      <c r="Z1744" s="250"/>
    </row>
    <row r="1745" spans="1:29" s="111" customFormat="1" ht="15.75" x14ac:dyDescent="0.2">
      <c r="A1745" s="288"/>
      <c r="B1745" s="562"/>
      <c r="C1745" s="495" t="s">
        <v>1202</v>
      </c>
      <c r="D1745" s="496">
        <v>5</v>
      </c>
      <c r="E1745" s="316" t="s">
        <v>518</v>
      </c>
      <c r="F1745" s="420">
        <v>0</v>
      </c>
      <c r="G1745" s="496">
        <v>5</v>
      </c>
      <c r="H1745" s="497" t="s">
        <v>518</v>
      </c>
      <c r="I1745" s="498">
        <v>14.9</v>
      </c>
      <c r="J1745" s="560"/>
      <c r="K1745" s="500">
        <f t="shared" si="605"/>
        <v>14.900000000000006</v>
      </c>
      <c r="L1745" s="554">
        <v>4.5</v>
      </c>
      <c r="M1745" s="760"/>
      <c r="N1745" s="761">
        <f>(((12+5)/2)*2.5)</f>
        <v>21.25</v>
      </c>
      <c r="O1745" s="505">
        <f>L1745*N1745</f>
        <v>95.625</v>
      </c>
      <c r="P1745" s="501"/>
      <c r="Q1745" s="739">
        <v>1</v>
      </c>
      <c r="R1745" s="504">
        <f>O1745*Q1745</f>
        <v>95.625</v>
      </c>
      <c r="S1745" s="554" t="str">
        <f>$L$1751</f>
        <v>m³</v>
      </c>
      <c r="T1745" s="506">
        <v>37</v>
      </c>
      <c r="U1745" s="568" t="s">
        <v>1203</v>
      </c>
      <c r="V1745" s="291">
        <f t="shared" ca="1" si="599"/>
        <v>4305.2000000000007</v>
      </c>
      <c r="W1745" s="256">
        <f t="shared" ref="W1745:W1748" ca="1" si="607">IF(LEFT(_xlfn.FORMULATEXT(V1745),3)="=SO",1,IF(COUNTA(A1745:U1745)=0,0,2))</f>
        <v>2</v>
      </c>
      <c r="X1745" s="256">
        <f t="shared" ref="X1745:X1748" ca="1" si="608">IF(COUNTA(OFFSET(A1737,1,0))-COUNTA(A1737)=-1,0,1)</f>
        <v>1</v>
      </c>
      <c r="Y1745" s="250"/>
      <c r="Z1745" s="250"/>
    </row>
    <row r="1746" spans="1:29" s="111" customFormat="1" ht="15.75" x14ac:dyDescent="0.2">
      <c r="A1746" s="288"/>
      <c r="B1746" s="562"/>
      <c r="C1746" s="495" t="s">
        <v>1201</v>
      </c>
      <c r="D1746" s="419">
        <v>39</v>
      </c>
      <c r="E1746" s="316" t="s">
        <v>518</v>
      </c>
      <c r="F1746" s="420">
        <v>2</v>
      </c>
      <c r="G1746" s="419">
        <v>57</v>
      </c>
      <c r="H1746" s="316" t="s">
        <v>518</v>
      </c>
      <c r="I1746" s="420">
        <v>16</v>
      </c>
      <c r="J1746" s="1109"/>
      <c r="K1746" s="500">
        <f t="shared" si="605"/>
        <v>374</v>
      </c>
      <c r="L1746" s="554">
        <v>20.56</v>
      </c>
      <c r="M1746" s="760"/>
      <c r="N1746" s="761">
        <f>(((12+5)/2)*2.5)</f>
        <v>21.25</v>
      </c>
      <c r="O1746" s="505">
        <f>L1746*N1746</f>
        <v>436.9</v>
      </c>
      <c r="P1746" s="501"/>
      <c r="Q1746" s="739">
        <v>8</v>
      </c>
      <c r="R1746" s="1111">
        <f>O1746*Q1746</f>
        <v>3495.2</v>
      </c>
      <c r="S1746" s="554" t="str">
        <f t="shared" ref="S1746:S1747" si="609">$L$1751</f>
        <v>m³</v>
      </c>
      <c r="T1746" s="506">
        <v>44</v>
      </c>
      <c r="U1746" s="568"/>
      <c r="V1746" s="291">
        <f t="shared" ca="1" si="599"/>
        <v>4305.2000000000007</v>
      </c>
      <c r="W1746" s="256">
        <f t="shared" ca="1" si="607"/>
        <v>2</v>
      </c>
      <c r="X1746" s="256">
        <f t="shared" ca="1" si="608"/>
        <v>1</v>
      </c>
      <c r="Y1746" s="250"/>
      <c r="Z1746" s="250"/>
    </row>
    <row r="1747" spans="1:29" s="111" customFormat="1" ht="15.75" x14ac:dyDescent="0.2">
      <c r="A1747" s="288"/>
      <c r="B1747" s="562"/>
      <c r="C1747" s="495" t="s">
        <v>1157</v>
      </c>
      <c r="D1747" s="419">
        <v>42</v>
      </c>
      <c r="E1747" s="316" t="s">
        <v>518</v>
      </c>
      <c r="F1747" s="420">
        <v>0</v>
      </c>
      <c r="G1747" s="419">
        <v>69</v>
      </c>
      <c r="H1747" s="316" t="s">
        <v>518</v>
      </c>
      <c r="I1747" s="420">
        <v>0</v>
      </c>
      <c r="J1747" s="1109"/>
      <c r="K1747" s="500">
        <f>ABS((G1747*20+I1747)-(D1747*20+F1747))</f>
        <v>540</v>
      </c>
      <c r="L1747" s="554">
        <v>3</v>
      </c>
      <c r="M1747" s="760">
        <v>0.5</v>
      </c>
      <c r="N1747" s="761">
        <f>K1747*L1747</f>
        <v>1620</v>
      </c>
      <c r="O1747" s="505">
        <f>K1747*L1747*M1747</f>
        <v>810</v>
      </c>
      <c r="P1747" s="501"/>
      <c r="Q1747" s="739"/>
      <c r="R1747" s="1111">
        <f t="shared" ref="R1747" si="610">M1747*L1747*K1747</f>
        <v>810</v>
      </c>
      <c r="S1747" s="554" t="str">
        <f t="shared" si="609"/>
        <v>m³</v>
      </c>
      <c r="T1747" s="506">
        <v>44</v>
      </c>
      <c r="U1747" s="568"/>
      <c r="V1747" s="291">
        <f t="shared" ca="1" si="599"/>
        <v>4305.2000000000007</v>
      </c>
      <c r="W1747" s="256">
        <f t="shared" ca="1" si="607"/>
        <v>2</v>
      </c>
      <c r="X1747" s="256">
        <f t="shared" ca="1" si="608"/>
        <v>1</v>
      </c>
      <c r="Y1747" s="250"/>
      <c r="Z1747" s="250"/>
    </row>
    <row r="1748" spans="1:29" s="111" customFormat="1" ht="15.75" x14ac:dyDescent="0.2">
      <c r="A1748" s="288"/>
      <c r="B1748" s="562"/>
      <c r="C1748" s="495"/>
      <c r="D1748" s="496"/>
      <c r="E1748" s="497"/>
      <c r="F1748" s="498"/>
      <c r="G1748" s="496"/>
      <c r="H1748" s="497"/>
      <c r="I1748" s="498"/>
      <c r="J1748" s="560"/>
      <c r="K1748" s="500"/>
      <c r="L1748" s="554"/>
      <c r="M1748" s="760"/>
      <c r="N1748" s="995"/>
      <c r="O1748" s="505"/>
      <c r="P1748" s="501"/>
      <c r="Q1748" s="739"/>
      <c r="R1748" s="504"/>
      <c r="S1748" s="554"/>
      <c r="T1748" s="506"/>
      <c r="U1748" s="568"/>
      <c r="V1748" s="291">
        <f t="shared" ca="1" si="599"/>
        <v>4305.2000000000007</v>
      </c>
      <c r="W1748" s="256">
        <f t="shared" ca="1" si="607"/>
        <v>0</v>
      </c>
      <c r="X1748" s="256">
        <f t="shared" ca="1" si="608"/>
        <v>1</v>
      </c>
      <c r="Y1748" s="250"/>
      <c r="Z1748" s="250"/>
    </row>
    <row r="1749" spans="1:29" s="111" customFormat="1" ht="15.75" x14ac:dyDescent="0.2">
      <c r="A1749" s="288"/>
      <c r="B1749" s="562"/>
      <c r="C1749" s="495"/>
      <c r="D1749" s="496"/>
      <c r="E1749" s="497"/>
      <c r="F1749" s="498"/>
      <c r="G1749" s="496"/>
      <c r="H1749" s="497"/>
      <c r="I1749" s="498"/>
      <c r="J1749" s="560"/>
      <c r="K1749" s="500"/>
      <c r="L1749" s="554"/>
      <c r="M1749" s="760"/>
      <c r="N1749" s="995"/>
      <c r="O1749" s="505"/>
      <c r="P1749" s="501"/>
      <c r="Q1749" s="739"/>
      <c r="R1749" s="504"/>
      <c r="S1749" s="554"/>
      <c r="T1749" s="506"/>
      <c r="U1749" s="568"/>
      <c r="V1749" s="291">
        <f t="shared" ca="1" si="599"/>
        <v>4305.2000000000007</v>
      </c>
      <c r="W1749" s="256">
        <f t="shared" ca="1" si="603"/>
        <v>0</v>
      </c>
      <c r="X1749" s="256">
        <f ca="1">IF(COUNTA(OFFSET(A1738,1,0))-COUNTA(A1738)=-1,0,1)</f>
        <v>1</v>
      </c>
      <c r="Y1749" s="250"/>
      <c r="Z1749" s="250"/>
    </row>
    <row r="1750" spans="1:29" s="111" customFormat="1" ht="15" x14ac:dyDescent="0.2">
      <c r="A1750" s="288"/>
      <c r="B1750" s="338"/>
      <c r="C1750" s="339"/>
      <c r="D1750" s="340"/>
      <c r="E1750" s="341"/>
      <c r="F1750" s="342"/>
      <c r="G1750" s="340"/>
      <c r="H1750" s="341"/>
      <c r="I1750" s="342"/>
      <c r="J1750" s="343"/>
      <c r="K1750" s="344"/>
      <c r="L1750" s="345"/>
      <c r="M1750" s="346"/>
      <c r="N1750" s="347"/>
      <c r="O1750" s="348"/>
      <c r="P1750" s="345"/>
      <c r="Q1750" s="349"/>
      <c r="R1750" s="350"/>
      <c r="S1750" s="351"/>
      <c r="T1750" s="352"/>
      <c r="U1750" s="353"/>
      <c r="V1750" s="291">
        <f t="shared" ca="1" si="599"/>
        <v>4305.2000000000007</v>
      </c>
      <c r="W1750" s="256">
        <f t="shared" ca="1" si="600"/>
        <v>0</v>
      </c>
      <c r="X1750" s="256">
        <f ca="1">IF(COUNTA(OFFSET(A1739,1,0))-COUNTA(A1739)=-1,0,1)</f>
        <v>1</v>
      </c>
      <c r="Y1750" s="250"/>
      <c r="Z1750" s="250"/>
    </row>
    <row r="1751" spans="1:29" s="111" customFormat="1" ht="15.75" x14ac:dyDescent="0.2">
      <c r="A1751" s="288"/>
      <c r="B1751" s="354"/>
      <c r="C1751" s="355"/>
      <c r="D1751" s="1354" t="s">
        <v>492</v>
      </c>
      <c r="E1751" s="1355"/>
      <c r="F1751" s="1355"/>
      <c r="G1751" s="1355"/>
      <c r="H1751" s="1355"/>
      <c r="I1751" s="1356"/>
      <c r="J1751" s="1357">
        <f>VLOOKUP(A1753,'11 - FINANCEIRO'!_xlnm.Print_Area,6,FALSE)</f>
        <v>17330.03</v>
      </c>
      <c r="K1751" s="1358"/>
      <c r="L1751" s="356" t="str">
        <f>VLOOKUP(A1753,'11 - FINANCEIRO'!_xlnm.Print_Area,4,FALSE)</f>
        <v>m³</v>
      </c>
      <c r="M1751" s="1359" t="s">
        <v>493</v>
      </c>
      <c r="N1751" s="1360"/>
      <c r="O1751" s="1360"/>
      <c r="P1751" s="1360"/>
      <c r="Q1751" s="1361"/>
      <c r="R1751" s="357">
        <f>TRUNC(SUM(R1716:R1750),3)</f>
        <v>16709.650000000001</v>
      </c>
      <c r="S1751" s="358" t="str">
        <f>L1751</f>
        <v>m³</v>
      </c>
      <c r="T1751" s="1423"/>
      <c r="U1751" s="1424"/>
      <c r="V1751" s="291">
        <f ca="1">IF(OFFSET(V1751,1,1)=1,OFFSET(V1751,0,-4),OFFSET(V1751,1,0))</f>
        <v>4305.2000000000007</v>
      </c>
      <c r="W1751" s="256">
        <f t="shared" ca="1" si="570"/>
        <v>2</v>
      </c>
      <c r="X1751" s="256">
        <f t="shared" ca="1" si="591"/>
        <v>1</v>
      </c>
      <c r="Y1751" s="250"/>
      <c r="Z1751" s="250"/>
    </row>
    <row r="1752" spans="1:29" s="293" customFormat="1" ht="15.75" x14ac:dyDescent="0.2">
      <c r="A1752" s="288"/>
      <c r="B1752" s="354"/>
      <c r="C1752" s="361"/>
      <c r="D1752" s="1362" t="s">
        <v>494</v>
      </c>
      <c r="E1752" s="1363"/>
      <c r="F1752" s="1363"/>
      <c r="G1752" s="1363"/>
      <c r="H1752" s="1363"/>
      <c r="I1752" s="1364"/>
      <c r="J1752" s="1365">
        <f>IF(R1751&gt;J1751,1,R1751/J1751)</f>
        <v>0.96420202388570608</v>
      </c>
      <c r="K1752" s="1366"/>
      <c r="L1752" s="1369"/>
      <c r="M1752" s="1371" t="s">
        <v>495</v>
      </c>
      <c r="N1752" s="1372"/>
      <c r="O1752" s="1372"/>
      <c r="P1752" s="1372"/>
      <c r="Q1752" s="1373"/>
      <c r="R1752" s="362">
        <f>VLOOKUP(A1753,'11 - FINANCEIRO'!_xlnm.Print_Area,8,FALSE)</f>
        <v>12404.45</v>
      </c>
      <c r="S1752" s="363" t="str">
        <f>L1751</f>
        <v>m³</v>
      </c>
      <c r="T1752" s="1386"/>
      <c r="U1752" s="1387"/>
      <c r="V1752" s="291">
        <f ca="1">IF(OFFSET(V1752,1,1)=1,OFFSET(V1752,0,-4),OFFSET(V1752,1,0))</f>
        <v>4305.2000000000007</v>
      </c>
      <c r="W1752" s="256">
        <f t="shared" ca="1" si="570"/>
        <v>2</v>
      </c>
      <c r="X1752" s="256">
        <f t="shared" ca="1" si="591"/>
        <v>1</v>
      </c>
      <c r="Y1752" s="256"/>
      <c r="Z1752" s="256"/>
      <c r="AA1752" s="292"/>
      <c r="AB1752" s="292"/>
      <c r="AC1752" s="292"/>
    </row>
    <row r="1753" spans="1:29" s="293" customFormat="1" ht="15.75" x14ac:dyDescent="0.2">
      <c r="A1753" s="288" t="s">
        <v>46</v>
      </c>
      <c r="B1753" s="364"/>
      <c r="C1753" s="365"/>
      <c r="D1753" s="1354"/>
      <c r="E1753" s="1355"/>
      <c r="F1753" s="1355"/>
      <c r="G1753" s="1355"/>
      <c r="H1753" s="1355"/>
      <c r="I1753" s="1356"/>
      <c r="J1753" s="1367"/>
      <c r="K1753" s="1368"/>
      <c r="L1753" s="1370"/>
      <c r="M1753" s="1371" t="s">
        <v>496</v>
      </c>
      <c r="N1753" s="1372"/>
      <c r="O1753" s="1372"/>
      <c r="P1753" s="1372"/>
      <c r="Q1753" s="1373"/>
      <c r="R1753" s="362">
        <f>R1751-R1752</f>
        <v>4305.2000000000007</v>
      </c>
      <c r="S1753" s="363" t="str">
        <f>L1751</f>
        <v>m³</v>
      </c>
      <c r="T1753" s="1388"/>
      <c r="U1753" s="1389"/>
      <c r="V1753" s="291">
        <f ca="1">IF(OFFSET(V1753,1,1)=1,OFFSET(V1753,0,-4),OFFSET(V1753,1,0))</f>
        <v>4305.2000000000007</v>
      </c>
      <c r="W1753" s="256">
        <f t="shared" ca="1" si="570"/>
        <v>2</v>
      </c>
      <c r="X1753" s="256">
        <f t="shared" ca="1" si="591"/>
        <v>1</v>
      </c>
      <c r="Y1753" s="256"/>
      <c r="Z1753" s="256"/>
      <c r="AA1753" s="292"/>
      <c r="AB1753" s="292"/>
      <c r="AC1753" s="292"/>
    </row>
    <row r="1754" spans="1:29" s="111" customFormat="1" ht="15.75" x14ac:dyDescent="0.2">
      <c r="A1754" s="288"/>
      <c r="B1754" s="368"/>
      <c r="C1754" s="365"/>
      <c r="D1754" s="369"/>
      <c r="E1754" s="370"/>
      <c r="F1754" s="369"/>
      <c r="G1754" s="369"/>
      <c r="H1754" s="369"/>
      <c r="I1754" s="369"/>
      <c r="J1754" s="371"/>
      <c r="K1754" s="372"/>
      <c r="L1754" s="373"/>
      <c r="M1754" s="374"/>
      <c r="N1754" s="374"/>
      <c r="O1754" s="374"/>
      <c r="P1754" s="374"/>
      <c r="Q1754" s="374"/>
      <c r="R1754" s="375"/>
      <c r="S1754" s="376"/>
      <c r="T1754" s="377"/>
      <c r="U1754" s="378"/>
      <c r="V1754" s="379">
        <f ca="1">SUM(V1714:V1753)</f>
        <v>172208.00000000006</v>
      </c>
      <c r="W1754" s="256">
        <f t="shared" ca="1" si="570"/>
        <v>1</v>
      </c>
      <c r="X1754" s="256">
        <f t="shared" ca="1" si="591"/>
        <v>0</v>
      </c>
      <c r="Y1754" s="250"/>
      <c r="Z1754" s="250"/>
    </row>
    <row r="1755" spans="1:29" s="293" customFormat="1" ht="15.75" customHeight="1" x14ac:dyDescent="0.25">
      <c r="A1755" s="288"/>
      <c r="B1755" s="1374" t="str">
        <f>VLOOKUP(A1782,'11 - FINANCEIRO'!_xlnm.Print_Area,1,FALSE)</f>
        <v>2.2.6</v>
      </c>
      <c r="C1755" s="1376" t="str">
        <f>VLOOKUP(A1782,'11 - FINANCEIRO'!_xlnm.Print_Area,3,FALSE)</f>
        <v>Transporte De Material De 3ª Categoria Com Caminhão Basculante De 12 M³ Para Rocha - Rodovia Pavimentada</v>
      </c>
      <c r="D1755" s="1378" t="s">
        <v>477</v>
      </c>
      <c r="E1755" s="1379"/>
      <c r="F1755" s="1379"/>
      <c r="G1755" s="1379"/>
      <c r="H1755" s="1379"/>
      <c r="I1755" s="1380"/>
      <c r="J1755" s="1338" t="s">
        <v>478</v>
      </c>
      <c r="K1755" s="1338" t="s">
        <v>483</v>
      </c>
      <c r="L1755" s="290" t="s">
        <v>484</v>
      </c>
      <c r="M1755" s="1338" t="s">
        <v>612</v>
      </c>
      <c r="N1755" s="1338" t="s">
        <v>613</v>
      </c>
      <c r="O1755" s="1338"/>
      <c r="P1755" s="1338"/>
      <c r="Q1755" s="1338"/>
      <c r="R1755" s="1336" t="s">
        <v>296</v>
      </c>
      <c r="S1755" s="1338" t="s">
        <v>486</v>
      </c>
      <c r="T1755" s="1338" t="s">
        <v>487</v>
      </c>
      <c r="U1755" s="1340" t="s">
        <v>488</v>
      </c>
      <c r="V1755" s="291">
        <f t="shared" ref="V1755:V1815" ca="1" si="611">IF(OFFSET(V1755,1,1)=1,OFFSET(V1755,0,-4),OFFSET(V1755,1,0))</f>
        <v>-820413.85600000003</v>
      </c>
      <c r="W1755" s="256">
        <f t="shared" ca="1" si="570"/>
        <v>2</v>
      </c>
      <c r="X1755" s="256">
        <f t="shared" ca="1" si="591"/>
        <v>1</v>
      </c>
      <c r="Y1755" s="256"/>
      <c r="Z1755" s="256"/>
      <c r="AA1755" s="292"/>
      <c r="AB1755" s="292"/>
      <c r="AC1755" s="292"/>
    </row>
    <row r="1756" spans="1:29" s="337" customFormat="1" ht="15.75" x14ac:dyDescent="0.2">
      <c r="A1756" s="288"/>
      <c r="B1756" s="1375"/>
      <c r="C1756" s="1421"/>
      <c r="D1756" s="1342" t="s">
        <v>489</v>
      </c>
      <c r="E1756" s="1343"/>
      <c r="F1756" s="1344"/>
      <c r="G1756" s="1345" t="s">
        <v>490</v>
      </c>
      <c r="H1756" s="1346"/>
      <c r="I1756" s="1347"/>
      <c r="J1756" s="1339"/>
      <c r="K1756" s="1339"/>
      <c r="L1756" s="295" t="s">
        <v>491</v>
      </c>
      <c r="M1756" s="1339"/>
      <c r="N1756" s="1339"/>
      <c r="O1756" s="1339"/>
      <c r="P1756" s="1339"/>
      <c r="Q1756" s="1339"/>
      <c r="R1756" s="1337"/>
      <c r="S1756" s="1339"/>
      <c r="T1756" s="1339"/>
      <c r="U1756" s="1341"/>
      <c r="V1756" s="291">
        <f t="shared" ca="1" si="611"/>
        <v>-820413.85600000003</v>
      </c>
      <c r="W1756" s="256">
        <f t="shared" ca="1" si="570"/>
        <v>2</v>
      </c>
      <c r="X1756" s="256">
        <f t="shared" ca="1" si="591"/>
        <v>1</v>
      </c>
      <c r="Y1756" s="336"/>
      <c r="Z1756" s="336"/>
    </row>
    <row r="1757" spans="1:29" s="111" customFormat="1" ht="15.75" x14ac:dyDescent="0.2">
      <c r="A1757" s="288"/>
      <c r="B1757" s="296"/>
      <c r="C1757" s="297" t="s">
        <v>614</v>
      </c>
      <c r="D1757" s="298"/>
      <c r="E1757" s="299"/>
      <c r="F1757" s="300"/>
      <c r="G1757" s="301"/>
      <c r="H1757" s="302"/>
      <c r="I1757" s="303"/>
      <c r="J1757" s="304"/>
      <c r="K1757" s="305">
        <f>R1751</f>
        <v>16709.650000000001</v>
      </c>
      <c r="L1757" s="569">
        <v>1.6</v>
      </c>
      <c r="M1757" s="305">
        <v>6.4</v>
      </c>
      <c r="N1757" s="416">
        <f>K1757*L1757*M1757</f>
        <v>171106.81600000002</v>
      </c>
      <c r="O1757" s="304"/>
      <c r="P1757" s="304"/>
      <c r="Q1757" s="304"/>
      <c r="R1757" s="307">
        <f>N1757</f>
        <v>171106.81600000002</v>
      </c>
      <c r="S1757" s="308" t="str">
        <f>$L$1780</f>
        <v>tkm</v>
      </c>
      <c r="T1757" s="309">
        <v>18</v>
      </c>
      <c r="U1757" s="547" t="s">
        <v>615</v>
      </c>
      <c r="V1757" s="291">
        <f ca="1">IF(OFFSET(V1757,1,1)=1,OFFSET(V1757,0,-4),OFFSET(V1757,1,0))</f>
        <v>-820413.85600000003</v>
      </c>
      <c r="W1757" s="256">
        <f ca="1">IF(LEFT(_xlfn.FORMULATEXT(V1757),3)="=SO",1,IF(COUNTA(A1757:U1757)=0,0,2))</f>
        <v>2</v>
      </c>
      <c r="X1757" s="256">
        <f ca="1">IF(COUNTA(OFFSET(A1756,1,0))-COUNTA(A1756)=-1,0,1)</f>
        <v>1</v>
      </c>
      <c r="Y1757" s="250"/>
      <c r="Z1757" s="250"/>
    </row>
    <row r="1758" spans="1:29" s="111" customFormat="1" ht="15" x14ac:dyDescent="0.2">
      <c r="A1758" s="288"/>
      <c r="B1758" s="494"/>
      <c r="C1758" s="550" t="s">
        <v>616</v>
      </c>
      <c r="D1758" s="551">
        <v>28</v>
      </c>
      <c r="E1758" s="552" t="s">
        <v>518</v>
      </c>
      <c r="F1758" s="553">
        <v>10</v>
      </c>
      <c r="G1758" s="496">
        <v>32</v>
      </c>
      <c r="H1758" s="497" t="s">
        <v>518</v>
      </c>
      <c r="I1758" s="498">
        <v>0</v>
      </c>
      <c r="J1758" s="560"/>
      <c r="K1758" s="570"/>
      <c r="L1758" s="571"/>
      <c r="M1758" s="572">
        <v>18</v>
      </c>
      <c r="N1758" s="573">
        <f>O1633</f>
        <v>3148.95</v>
      </c>
      <c r="O1758" s="560"/>
      <c r="P1758" s="560"/>
      <c r="Q1758" s="560"/>
      <c r="R1758" s="504">
        <f>N1758*M1758</f>
        <v>56681.1</v>
      </c>
      <c r="S1758" s="398" t="str">
        <f t="shared" ref="S1758:S1769" si="612">$L$1780</f>
        <v>tkm</v>
      </c>
      <c r="T1758" s="506">
        <v>16</v>
      </c>
      <c r="U1758" s="574"/>
      <c r="V1758" s="291">
        <f t="shared" ca="1" si="611"/>
        <v>-820413.85600000003</v>
      </c>
      <c r="W1758" s="256">
        <f ca="1">IF(LEFT(_xlfn.FORMULATEXT(V1758),3)="=SO",1,IF(COUNTA(A1758:U1758)=0,0,2))</f>
        <v>2</v>
      </c>
      <c r="X1758" s="256">
        <f t="shared" ca="1" si="591"/>
        <v>1</v>
      </c>
      <c r="Y1758" s="250"/>
      <c r="Z1758" s="250"/>
    </row>
    <row r="1759" spans="1:29" s="111" customFormat="1" ht="15" x14ac:dyDescent="0.2">
      <c r="A1759" s="288"/>
      <c r="B1759" s="494"/>
      <c r="C1759" s="550" t="s">
        <v>616</v>
      </c>
      <c r="D1759" s="551">
        <v>79</v>
      </c>
      <c r="E1759" s="552" t="s">
        <v>518</v>
      </c>
      <c r="F1759" s="553">
        <v>16</v>
      </c>
      <c r="G1759" s="496">
        <v>99</v>
      </c>
      <c r="H1759" s="497" t="s">
        <v>518</v>
      </c>
      <c r="I1759" s="498">
        <v>6.4</v>
      </c>
      <c r="J1759" s="560"/>
      <c r="K1759" s="570"/>
      <c r="L1759" s="571"/>
      <c r="M1759" s="572">
        <v>18</v>
      </c>
      <c r="N1759" s="573">
        <f>O1634</f>
        <v>13154.050000000001</v>
      </c>
      <c r="O1759" s="560"/>
      <c r="P1759" s="560"/>
      <c r="Q1759" s="560"/>
      <c r="R1759" s="504">
        <f>N1759*M1759</f>
        <v>236772.90000000002</v>
      </c>
      <c r="S1759" s="398" t="str">
        <f t="shared" si="612"/>
        <v>tkm</v>
      </c>
      <c r="T1759" s="506">
        <v>27</v>
      </c>
      <c r="U1759" s="574"/>
      <c r="V1759" s="817">
        <f ca="1">IF(OFFSET(V1759,1,1)=1,OFFSET(V1759,0,-4),OFFSET(V1759,1,0))</f>
        <v>-820413.85600000003</v>
      </c>
      <c r="W1759" s="250">
        <f ca="1">IF(LEFT(_xlfn.FORMULATEXT(V1759),3)="=SO",1,IF(COUNTA(A1759:U1759)=0,0,2))</f>
        <v>2</v>
      </c>
      <c r="X1759" s="250">
        <f ca="1">IF(COUNTA(OFFSET(A1758,1,0))-COUNTA(A1758)=-1,0,1)</f>
        <v>1</v>
      </c>
      <c r="Y1759" s="250"/>
      <c r="Z1759" s="250"/>
    </row>
    <row r="1760" spans="1:29" s="111" customFormat="1" ht="15" x14ac:dyDescent="0.2">
      <c r="A1760" s="288"/>
      <c r="B1760" s="494"/>
      <c r="C1760" s="818" t="s">
        <v>669</v>
      </c>
      <c r="D1760" s="819"/>
      <c r="E1760" s="820"/>
      <c r="F1760" s="821"/>
      <c r="G1760" s="819"/>
      <c r="H1760" s="820"/>
      <c r="I1760" s="822"/>
      <c r="J1760" s="738"/>
      <c r="K1760" s="570">
        <f>R1432</f>
        <v>7179.576</v>
      </c>
      <c r="L1760" s="571">
        <v>1.5</v>
      </c>
      <c r="M1760" s="572">
        <v>18.8</v>
      </c>
      <c r="N1760" s="573">
        <f>K1760*L1760*M1760</f>
        <v>202464.04319999999</v>
      </c>
      <c r="O1760" s="560"/>
      <c r="P1760" s="554"/>
      <c r="Q1760" s="560"/>
      <c r="R1760" s="504">
        <f>N1760</f>
        <v>202464.04319999999</v>
      </c>
      <c r="S1760" s="398" t="str">
        <f t="shared" si="612"/>
        <v>tkm</v>
      </c>
      <c r="T1760" s="506">
        <v>40</v>
      </c>
      <c r="U1760" s="823"/>
      <c r="V1760" s="291">
        <f t="shared" ca="1" si="611"/>
        <v>-820413.85600000003</v>
      </c>
      <c r="W1760" s="256">
        <f t="shared" ref="W1760:W1781" ca="1" si="613">IF(LEFT(_xlfn.FORMULATEXT(V1760),3)="=SO",1,IF(COUNTA(A1760:U1760)=0,0,2))</f>
        <v>2</v>
      </c>
      <c r="X1760" s="256">
        <f t="shared" ref="X1760:X1781" ca="1" si="614">IF(COUNTA(OFFSET(A1759,1,0))-COUNTA(A1759)=-1,0,1)</f>
        <v>1</v>
      </c>
      <c r="Y1760" s="250"/>
      <c r="Z1760" s="250"/>
    </row>
    <row r="1761" spans="1:26" s="111" customFormat="1" ht="15" x14ac:dyDescent="0.2">
      <c r="A1761" s="288"/>
      <c r="B1761" s="494"/>
      <c r="C1761" s="818" t="s">
        <v>971</v>
      </c>
      <c r="D1761" s="819"/>
      <c r="E1761" s="820"/>
      <c r="F1761" s="821"/>
      <c r="G1761" s="819"/>
      <c r="H1761" s="820"/>
      <c r="I1761" s="822"/>
      <c r="J1761" s="738"/>
      <c r="K1761" s="570">
        <f>R4650*1.15</f>
        <v>24271.505549999998</v>
      </c>
      <c r="L1761" s="571">
        <v>1.7</v>
      </c>
      <c r="M1761" s="572">
        <v>18.8</v>
      </c>
      <c r="N1761" s="573">
        <f>K1761*L1761*M1761</f>
        <v>775717.31737799989</v>
      </c>
      <c r="O1761" s="560"/>
      <c r="P1761" s="554"/>
      <c r="Q1761" s="560"/>
      <c r="R1761" s="504">
        <f>N1761</f>
        <v>775717.31737799989</v>
      </c>
      <c r="S1761" s="398" t="str">
        <f t="shared" si="612"/>
        <v>tkm</v>
      </c>
      <c r="T1761" s="506">
        <v>37</v>
      </c>
      <c r="U1761" s="823"/>
      <c r="V1761" s="817">
        <f t="shared" ca="1" si="611"/>
        <v>-820413.85600000003</v>
      </c>
      <c r="W1761" s="250">
        <f t="shared" ca="1" si="613"/>
        <v>2</v>
      </c>
      <c r="X1761" s="250">
        <f t="shared" ca="1" si="614"/>
        <v>1</v>
      </c>
      <c r="Y1761" s="250"/>
      <c r="Z1761" s="250"/>
    </row>
    <row r="1762" spans="1:26" s="111" customFormat="1" ht="15" x14ac:dyDescent="0.2">
      <c r="A1762" s="288"/>
      <c r="B1762" s="494"/>
      <c r="C1762" s="818" t="s">
        <v>972</v>
      </c>
      <c r="D1762" s="819"/>
      <c r="E1762" s="820"/>
      <c r="F1762" s="821"/>
      <c r="G1762" s="819"/>
      <c r="H1762" s="820"/>
      <c r="I1762" s="822"/>
      <c r="J1762" s="738"/>
      <c r="K1762" s="570">
        <f>R4690</f>
        <v>9651.0139999999992</v>
      </c>
      <c r="L1762" s="571">
        <v>1.5</v>
      </c>
      <c r="M1762" s="572">
        <v>4</v>
      </c>
      <c r="N1762" s="573">
        <f>K1762*L1762*M1762</f>
        <v>57906.083999999995</v>
      </c>
      <c r="O1762" s="560"/>
      <c r="P1762" s="554"/>
      <c r="Q1762" s="560"/>
      <c r="R1762" s="504">
        <f>N1762</f>
        <v>57906.083999999995</v>
      </c>
      <c r="S1762" s="398" t="str">
        <f t="shared" si="612"/>
        <v>tkm</v>
      </c>
      <c r="T1762" s="506">
        <v>37</v>
      </c>
      <c r="U1762" s="823"/>
      <c r="V1762" s="291">
        <f t="shared" ca="1" si="611"/>
        <v>-820413.85600000003</v>
      </c>
      <c r="W1762" s="256">
        <f t="shared" ca="1" si="613"/>
        <v>2</v>
      </c>
      <c r="X1762" s="256">
        <f t="shared" ca="1" si="614"/>
        <v>1</v>
      </c>
      <c r="Y1762" s="250"/>
      <c r="Z1762" s="250"/>
    </row>
    <row r="1763" spans="1:26" s="111" customFormat="1" ht="15" x14ac:dyDescent="0.2">
      <c r="A1763" s="288"/>
      <c r="B1763" s="494"/>
      <c r="C1763" s="818" t="s">
        <v>1046</v>
      </c>
      <c r="D1763" s="819"/>
      <c r="E1763" s="820"/>
      <c r="F1763" s="821"/>
      <c r="G1763" s="819"/>
      <c r="H1763" s="820"/>
      <c r="I1763" s="822"/>
      <c r="J1763" s="738"/>
      <c r="K1763" s="570">
        <f>R4821</f>
        <v>5923.3770000000004</v>
      </c>
      <c r="L1763" s="571">
        <v>1.7</v>
      </c>
      <c r="M1763" s="572">
        <v>2</v>
      </c>
      <c r="N1763" s="573">
        <f>K1763*L1763*M1763</f>
        <v>20139.481800000001</v>
      </c>
      <c r="O1763" s="560"/>
      <c r="P1763" s="554"/>
      <c r="Q1763" s="560"/>
      <c r="R1763" s="504">
        <f>N1763</f>
        <v>20139.481800000001</v>
      </c>
      <c r="S1763" s="398" t="str">
        <f t="shared" si="612"/>
        <v>tkm</v>
      </c>
      <c r="T1763" s="506">
        <v>37</v>
      </c>
      <c r="U1763" s="823"/>
      <c r="V1763" s="817">
        <f t="shared" ca="1" si="611"/>
        <v>-820413.85600000003</v>
      </c>
      <c r="W1763" s="250">
        <f t="shared" ca="1" si="613"/>
        <v>2</v>
      </c>
      <c r="X1763" s="250">
        <f t="shared" ca="1" si="614"/>
        <v>1</v>
      </c>
      <c r="Y1763" s="250"/>
      <c r="Z1763" s="250"/>
    </row>
    <row r="1764" spans="1:26" s="111" customFormat="1" ht="15" x14ac:dyDescent="0.2">
      <c r="A1764" s="288"/>
      <c r="B1764" s="494"/>
      <c r="C1764" s="550" t="s">
        <v>616</v>
      </c>
      <c r="D1764" s="551">
        <v>73</v>
      </c>
      <c r="E1764" s="552" t="s">
        <v>518</v>
      </c>
      <c r="F1764" s="553">
        <v>10</v>
      </c>
      <c r="G1764" s="496">
        <v>79</v>
      </c>
      <c r="H1764" s="497" t="s">
        <v>518</v>
      </c>
      <c r="I1764" s="498">
        <v>16</v>
      </c>
      <c r="J1764" s="560"/>
      <c r="K1764" s="570"/>
      <c r="L1764" s="571"/>
      <c r="M1764" s="572">
        <v>18</v>
      </c>
      <c r="N1764" s="573">
        <f>O1647</f>
        <v>990.15</v>
      </c>
      <c r="O1764" s="560"/>
      <c r="P1764" s="560"/>
      <c r="Q1764" s="560"/>
      <c r="R1764" s="504">
        <f>N1764*M1764</f>
        <v>17822.7</v>
      </c>
      <c r="S1764" s="398" t="str">
        <f t="shared" si="612"/>
        <v>tkm</v>
      </c>
      <c r="T1764" s="506">
        <v>31</v>
      </c>
      <c r="U1764" s="574"/>
      <c r="V1764" s="291">
        <f t="shared" ca="1" si="611"/>
        <v>-820413.85600000003</v>
      </c>
      <c r="W1764" s="256">
        <f t="shared" ca="1" si="613"/>
        <v>2</v>
      </c>
      <c r="X1764" s="256">
        <f t="shared" ca="1" si="614"/>
        <v>1</v>
      </c>
      <c r="Y1764" s="250"/>
      <c r="Z1764" s="250"/>
    </row>
    <row r="1765" spans="1:26" s="111" customFormat="1" ht="15" x14ac:dyDescent="0.2">
      <c r="A1765" s="288"/>
      <c r="B1765" s="494"/>
      <c r="C1765" s="550" t="s">
        <v>616</v>
      </c>
      <c r="D1765" s="551">
        <v>71</v>
      </c>
      <c r="E1765" s="552" t="s">
        <v>518</v>
      </c>
      <c r="F1765" s="553">
        <v>7</v>
      </c>
      <c r="G1765" s="551">
        <v>73</v>
      </c>
      <c r="H1765" s="552" t="s">
        <v>518</v>
      </c>
      <c r="I1765" s="553">
        <v>10</v>
      </c>
      <c r="J1765" s="560"/>
      <c r="K1765" s="570"/>
      <c r="L1765" s="571"/>
      <c r="M1765" s="572">
        <v>18</v>
      </c>
      <c r="N1765" s="573">
        <f>K1650</f>
        <v>2372.39</v>
      </c>
      <c r="O1765" s="560"/>
      <c r="P1765" s="560"/>
      <c r="Q1765" s="560"/>
      <c r="R1765" s="504">
        <f>N1765*M1765</f>
        <v>42703.02</v>
      </c>
      <c r="S1765" s="398" t="str">
        <f t="shared" si="612"/>
        <v>tkm</v>
      </c>
      <c r="T1765" s="506">
        <v>32</v>
      </c>
      <c r="U1765" s="823"/>
      <c r="V1765" s="817">
        <f t="shared" ca="1" si="611"/>
        <v>-820413.85600000003</v>
      </c>
      <c r="W1765" s="250">
        <f t="shared" ca="1" si="613"/>
        <v>2</v>
      </c>
      <c r="X1765" s="250">
        <f t="shared" ca="1" si="614"/>
        <v>1</v>
      </c>
      <c r="Y1765" s="250"/>
      <c r="Z1765" s="250"/>
    </row>
    <row r="1766" spans="1:26" s="111" customFormat="1" ht="15" x14ac:dyDescent="0.2">
      <c r="A1766" s="288"/>
      <c r="B1766" s="494"/>
      <c r="C1766" s="550" t="s">
        <v>616</v>
      </c>
      <c r="D1766" s="551">
        <v>70</v>
      </c>
      <c r="E1766" s="552" t="s">
        <v>518</v>
      </c>
      <c r="F1766" s="553">
        <v>0</v>
      </c>
      <c r="G1766" s="551">
        <v>71</v>
      </c>
      <c r="H1766" s="552" t="s">
        <v>518</v>
      </c>
      <c r="I1766" s="553">
        <v>7</v>
      </c>
      <c r="J1766" s="560"/>
      <c r="K1766" s="570"/>
      <c r="L1766" s="571"/>
      <c r="M1766" s="572">
        <v>18</v>
      </c>
      <c r="N1766" s="573">
        <f>R1651</f>
        <v>408.93</v>
      </c>
      <c r="O1766" s="560"/>
      <c r="P1766" s="560"/>
      <c r="Q1766" s="560"/>
      <c r="R1766" s="504">
        <f>N1766*M1766</f>
        <v>7360.74</v>
      </c>
      <c r="S1766" s="398" t="str">
        <f>$L$1780</f>
        <v>tkm</v>
      </c>
      <c r="T1766" s="506">
        <v>33</v>
      </c>
      <c r="U1766" s="823"/>
      <c r="V1766" s="291">
        <f t="shared" ca="1" si="611"/>
        <v>-820413.85600000003</v>
      </c>
      <c r="W1766" s="256">
        <f t="shared" ca="1" si="613"/>
        <v>2</v>
      </c>
      <c r="X1766" s="256">
        <f t="shared" ca="1" si="614"/>
        <v>1</v>
      </c>
      <c r="Y1766" s="250"/>
      <c r="Z1766" s="250"/>
    </row>
    <row r="1767" spans="1:26" s="111" customFormat="1" ht="15" x14ac:dyDescent="0.2">
      <c r="A1767" s="288"/>
      <c r="B1767" s="494"/>
      <c r="C1767" s="550" t="s">
        <v>616</v>
      </c>
      <c r="D1767" s="551"/>
      <c r="E1767" s="552"/>
      <c r="F1767" s="553"/>
      <c r="G1767" s="551"/>
      <c r="H1767" s="552"/>
      <c r="I1767" s="553"/>
      <c r="J1767" s="560"/>
      <c r="K1767" s="570"/>
      <c r="L1767" s="571"/>
      <c r="M1767" s="572">
        <v>18</v>
      </c>
      <c r="N1767" s="573">
        <v>462.71</v>
      </c>
      <c r="O1767" s="560"/>
      <c r="P1767" s="560"/>
      <c r="Q1767" s="560"/>
      <c r="R1767" s="504">
        <v>8328.7799999999988</v>
      </c>
      <c r="S1767" s="398" t="s">
        <v>351</v>
      </c>
      <c r="T1767" s="506">
        <v>35</v>
      </c>
      <c r="U1767" s="823"/>
      <c r="V1767" s="291">
        <f t="shared" ca="1" si="611"/>
        <v>-820413.85600000003</v>
      </c>
      <c r="W1767" s="256">
        <f t="shared" ref="W1767:W1769" ca="1" si="615">IF(LEFT(_xlfn.FORMULATEXT(V1767),3)="=SO",1,IF(COUNTA(A1767:U1767)=0,0,2))</f>
        <v>2</v>
      </c>
      <c r="X1767" s="256">
        <f t="shared" ref="X1767:X1769" ca="1" si="616">IF(COUNTA(OFFSET(A1766,1,0))-COUNTA(A1766)=-1,0,1)</f>
        <v>1</v>
      </c>
      <c r="Y1767" s="250"/>
      <c r="Z1767" s="250"/>
    </row>
    <row r="1768" spans="1:26" s="111" customFormat="1" ht="15" x14ac:dyDescent="0.2">
      <c r="A1768" s="288"/>
      <c r="B1768" s="494"/>
      <c r="C1768" s="550" t="s">
        <v>616</v>
      </c>
      <c r="D1768" s="551"/>
      <c r="E1768" s="552"/>
      <c r="F1768" s="553"/>
      <c r="G1768" s="551"/>
      <c r="H1768" s="552"/>
      <c r="I1768" s="553"/>
      <c r="J1768" s="560"/>
      <c r="K1768" s="570"/>
      <c r="L1768" s="571"/>
      <c r="M1768" s="572">
        <v>18</v>
      </c>
      <c r="N1768" s="573">
        <v>1276.67</v>
      </c>
      <c r="O1768" s="560"/>
      <c r="P1768" s="560"/>
      <c r="Q1768" s="560"/>
      <c r="R1768" s="504">
        <v>22980.06</v>
      </c>
      <c r="S1768" s="398" t="s">
        <v>351</v>
      </c>
      <c r="T1768" s="506">
        <v>35</v>
      </c>
      <c r="U1768" s="823"/>
      <c r="V1768" s="291">
        <f t="shared" ca="1" si="611"/>
        <v>-820413.85600000003</v>
      </c>
      <c r="W1768" s="256">
        <f t="shared" ca="1" si="615"/>
        <v>2</v>
      </c>
      <c r="X1768" s="256">
        <f t="shared" ca="1" si="616"/>
        <v>1</v>
      </c>
      <c r="Y1768" s="250"/>
      <c r="Z1768" s="250"/>
    </row>
    <row r="1769" spans="1:26" s="111" customFormat="1" ht="15" x14ac:dyDescent="0.2">
      <c r="A1769" s="288"/>
      <c r="B1769" s="494"/>
      <c r="C1769" s="550" t="s">
        <v>616</v>
      </c>
      <c r="D1769" s="551"/>
      <c r="E1769" s="552"/>
      <c r="F1769" s="553"/>
      <c r="G1769" s="551"/>
      <c r="H1769" s="552"/>
      <c r="I1769" s="553"/>
      <c r="J1769" s="560"/>
      <c r="K1769" s="570"/>
      <c r="L1769" s="571"/>
      <c r="M1769" s="572">
        <v>18</v>
      </c>
      <c r="N1769" s="573">
        <v>1032.54</v>
      </c>
      <c r="O1769" s="560"/>
      <c r="P1769" s="560"/>
      <c r="Q1769" s="560"/>
      <c r="R1769" s="504">
        <f t="shared" ref="R1769:R1774" si="617">N1769*M1769</f>
        <v>18585.72</v>
      </c>
      <c r="S1769" s="398" t="str">
        <f t="shared" si="612"/>
        <v>tkm</v>
      </c>
      <c r="T1769" s="506">
        <v>35</v>
      </c>
      <c r="U1769" s="823"/>
      <c r="V1769" s="291">
        <f t="shared" ca="1" si="611"/>
        <v>-820413.85600000003</v>
      </c>
      <c r="W1769" s="256">
        <f t="shared" ca="1" si="615"/>
        <v>2</v>
      </c>
      <c r="X1769" s="256">
        <f t="shared" ca="1" si="616"/>
        <v>1</v>
      </c>
      <c r="Y1769" s="250"/>
      <c r="Z1769" s="250"/>
    </row>
    <row r="1770" spans="1:26" s="111" customFormat="1" ht="15" x14ac:dyDescent="0.2">
      <c r="A1770" s="288"/>
      <c r="B1770" s="494"/>
      <c r="C1770" s="550" t="s">
        <v>616</v>
      </c>
      <c r="D1770" s="551"/>
      <c r="E1770" s="552"/>
      <c r="F1770" s="553"/>
      <c r="G1770" s="551"/>
      <c r="H1770" s="552"/>
      <c r="I1770" s="553"/>
      <c r="J1770" s="560"/>
      <c r="K1770" s="570"/>
      <c r="L1770" s="571"/>
      <c r="M1770" s="572">
        <v>18</v>
      </c>
      <c r="N1770" s="573">
        <v>3498.48</v>
      </c>
      <c r="O1770" s="560"/>
      <c r="P1770" s="560"/>
      <c r="Q1770" s="560"/>
      <c r="R1770" s="504">
        <f t="shared" si="617"/>
        <v>62972.639999999999</v>
      </c>
      <c r="S1770" s="398" t="str">
        <f t="shared" ref="S1770:S1775" si="618">$L$1780</f>
        <v>tkm</v>
      </c>
      <c r="T1770" s="506">
        <v>36</v>
      </c>
      <c r="U1770" s="823"/>
      <c r="V1770" s="291">
        <f t="shared" ca="1" si="611"/>
        <v>-820413.85600000003</v>
      </c>
      <c r="W1770" s="256">
        <f t="shared" ref="W1770:W1779" ca="1" si="619">IF(LEFT(_xlfn.FORMULATEXT(V1770),3)="=SO",1,IF(COUNTA(A1770:U1770)=0,0,2))</f>
        <v>2</v>
      </c>
      <c r="X1770" s="256">
        <f t="shared" ref="X1770:X1779" ca="1" si="620">IF(COUNTA(OFFSET(A1769,1,0))-COUNTA(A1769)=-1,0,1)</f>
        <v>1</v>
      </c>
      <c r="Y1770" s="250"/>
      <c r="Z1770" s="250"/>
    </row>
    <row r="1771" spans="1:26" s="111" customFormat="1" ht="15" x14ac:dyDescent="0.2">
      <c r="A1771" s="288"/>
      <c r="B1771" s="494"/>
      <c r="C1771" s="550" t="s">
        <v>616</v>
      </c>
      <c r="D1771" s="551"/>
      <c r="E1771" s="552"/>
      <c r="F1771" s="553"/>
      <c r="G1771" s="551"/>
      <c r="H1771" s="552"/>
      <c r="I1771" s="553"/>
      <c r="J1771" s="560"/>
      <c r="K1771" s="570"/>
      <c r="L1771" s="571"/>
      <c r="M1771" s="572">
        <v>18</v>
      </c>
      <c r="N1771" s="573">
        <v>4549.0600000000004</v>
      </c>
      <c r="O1771" s="560"/>
      <c r="P1771" s="560"/>
      <c r="Q1771" s="560"/>
      <c r="R1771" s="504">
        <f t="shared" si="617"/>
        <v>81883.08</v>
      </c>
      <c r="S1771" s="398" t="str">
        <f t="shared" si="618"/>
        <v>tkm</v>
      </c>
      <c r="T1771" s="506">
        <v>37</v>
      </c>
      <c r="U1771" s="823"/>
      <c r="V1771" s="291">
        <f t="shared" ca="1" si="611"/>
        <v>-820413.85600000003</v>
      </c>
      <c r="W1771" s="256">
        <f t="shared" ref="W1771:W1775" ca="1" si="621">IF(LEFT(_xlfn.FORMULATEXT(V1771),3)="=SO",1,IF(COUNTA(A1771:U1771)=0,0,2))</f>
        <v>2</v>
      </c>
      <c r="X1771" s="256">
        <f t="shared" ref="X1771:X1775" ca="1" si="622">IF(COUNTA(OFFSET(A1770,1,0))-COUNTA(A1770)=-1,0,1)</f>
        <v>1</v>
      </c>
      <c r="Y1771" s="250"/>
      <c r="Z1771" s="250"/>
    </row>
    <row r="1772" spans="1:26" s="111" customFormat="1" ht="15" x14ac:dyDescent="0.2">
      <c r="A1772" s="288"/>
      <c r="B1772" s="494"/>
      <c r="C1772" s="550" t="s">
        <v>616</v>
      </c>
      <c r="D1772" s="551"/>
      <c r="E1772" s="552"/>
      <c r="F1772" s="553"/>
      <c r="G1772" s="551"/>
      <c r="H1772" s="552"/>
      <c r="I1772" s="553"/>
      <c r="J1772" s="560"/>
      <c r="K1772" s="570"/>
      <c r="L1772" s="571"/>
      <c r="M1772" s="572">
        <v>18</v>
      </c>
      <c r="N1772" s="573">
        <f>SUM(K1662:K1663)</f>
        <v>4835.1499999999996</v>
      </c>
      <c r="O1772" s="560"/>
      <c r="P1772" s="560"/>
      <c r="Q1772" s="560"/>
      <c r="R1772" s="504">
        <f t="shared" si="617"/>
        <v>87032.7</v>
      </c>
      <c r="S1772" s="398" t="str">
        <f t="shared" si="618"/>
        <v>tkm</v>
      </c>
      <c r="T1772" s="506">
        <v>38</v>
      </c>
      <c r="U1772" s="823"/>
      <c r="V1772" s="291">
        <f t="shared" ca="1" si="611"/>
        <v>-820413.85600000003</v>
      </c>
      <c r="W1772" s="256">
        <f t="shared" ca="1" si="621"/>
        <v>2</v>
      </c>
      <c r="X1772" s="256">
        <f t="shared" ca="1" si="622"/>
        <v>1</v>
      </c>
      <c r="Y1772" s="250"/>
      <c r="Z1772" s="250"/>
    </row>
    <row r="1773" spans="1:26" s="111" customFormat="1" ht="15" x14ac:dyDescent="0.2">
      <c r="A1773" s="288"/>
      <c r="B1773" s="494"/>
      <c r="C1773" s="1101" t="s">
        <v>616</v>
      </c>
      <c r="D1773" s="551"/>
      <c r="E1773" s="552"/>
      <c r="F1773" s="834"/>
      <c r="G1773" s="551"/>
      <c r="H1773" s="552"/>
      <c r="I1773" s="553"/>
      <c r="J1773" s="738"/>
      <c r="K1773" s="570"/>
      <c r="L1773" s="571"/>
      <c r="M1773" s="572">
        <v>18</v>
      </c>
      <c r="N1773" s="573">
        <f>SUM(R1664:R1668)</f>
        <v>2771.24</v>
      </c>
      <c r="O1773" s="1102"/>
      <c r="P1773" s="1102"/>
      <c r="Q1773" s="1102"/>
      <c r="R1773" s="1104">
        <f t="shared" si="617"/>
        <v>49882.319999999992</v>
      </c>
      <c r="S1773" s="398" t="str">
        <f t="shared" si="618"/>
        <v>tkm</v>
      </c>
      <c r="T1773" s="506">
        <v>39</v>
      </c>
      <c r="U1773" s="823"/>
      <c r="V1773" s="291">
        <f t="shared" ca="1" si="611"/>
        <v>-820413.85600000003</v>
      </c>
      <c r="W1773" s="256">
        <f t="shared" ca="1" si="621"/>
        <v>2</v>
      </c>
      <c r="X1773" s="256">
        <f t="shared" ca="1" si="622"/>
        <v>1</v>
      </c>
      <c r="Y1773" s="250"/>
      <c r="Z1773" s="250"/>
    </row>
    <row r="1774" spans="1:26" s="111" customFormat="1" ht="15" x14ac:dyDescent="0.2">
      <c r="A1774" s="288"/>
      <c r="B1774" s="494"/>
      <c r="C1774" s="1108" t="s">
        <v>616</v>
      </c>
      <c r="D1774" s="551"/>
      <c r="E1774" s="552"/>
      <c r="F1774" s="834"/>
      <c r="G1774" s="551"/>
      <c r="H1774" s="552"/>
      <c r="I1774" s="553"/>
      <c r="J1774" s="738"/>
      <c r="K1774" s="570"/>
      <c r="L1774" s="571"/>
      <c r="M1774" s="572">
        <v>18</v>
      </c>
      <c r="N1774" s="573">
        <v>5492.71</v>
      </c>
      <c r="O1774" s="1109"/>
      <c r="P1774" s="1109"/>
      <c r="Q1774" s="1109"/>
      <c r="R1774" s="1111">
        <f t="shared" si="617"/>
        <v>98868.78</v>
      </c>
      <c r="S1774" s="398" t="str">
        <f t="shared" si="618"/>
        <v>tkm</v>
      </c>
      <c r="T1774" s="506">
        <v>40</v>
      </c>
      <c r="U1774" s="823"/>
      <c r="V1774" s="291">
        <f t="shared" ca="1" si="611"/>
        <v>-820413.85600000003</v>
      </c>
      <c r="W1774" s="256">
        <f t="shared" ca="1" si="621"/>
        <v>2</v>
      </c>
      <c r="X1774" s="256">
        <f t="shared" ca="1" si="622"/>
        <v>1</v>
      </c>
      <c r="Y1774" s="250"/>
      <c r="Z1774" s="250"/>
    </row>
    <row r="1775" spans="1:26" s="111" customFormat="1" ht="15" x14ac:dyDescent="0.2">
      <c r="A1775" s="288"/>
      <c r="B1775" s="494"/>
      <c r="C1775" s="1108" t="s">
        <v>616</v>
      </c>
      <c r="D1775" s="551"/>
      <c r="E1775" s="552"/>
      <c r="F1775" s="834"/>
      <c r="G1775" s="551"/>
      <c r="H1775" s="552"/>
      <c r="I1775" s="553"/>
      <c r="J1775" s="738"/>
      <c r="K1775" s="570"/>
      <c r="L1775" s="571"/>
      <c r="M1775" s="572">
        <v>18</v>
      </c>
      <c r="N1775" s="573">
        <v>4003.85</v>
      </c>
      <c r="O1775" s="560"/>
      <c r="P1775" s="560"/>
      <c r="Q1775" s="560"/>
      <c r="R1775" s="504">
        <v>48901.368999999999</v>
      </c>
      <c r="S1775" s="398" t="str">
        <f t="shared" si="618"/>
        <v>tkm</v>
      </c>
      <c r="T1775" s="506">
        <v>41</v>
      </c>
      <c r="U1775" s="823"/>
      <c r="V1775" s="291">
        <f t="shared" ca="1" si="611"/>
        <v>-820413.85600000003</v>
      </c>
      <c r="W1775" s="256">
        <f t="shared" ca="1" si="621"/>
        <v>2</v>
      </c>
      <c r="X1775" s="256">
        <f t="shared" ca="1" si="622"/>
        <v>1</v>
      </c>
      <c r="Y1775" s="250"/>
      <c r="Z1775" s="250"/>
    </row>
    <row r="1776" spans="1:26" s="111" customFormat="1" ht="15" x14ac:dyDescent="0.2">
      <c r="A1776" s="288"/>
      <c r="B1776" s="494"/>
      <c r="C1776" s="1108"/>
      <c r="D1776" s="551"/>
      <c r="E1776" s="552"/>
      <c r="F1776" s="834"/>
      <c r="G1776" s="551"/>
      <c r="H1776" s="552"/>
      <c r="I1776" s="553"/>
      <c r="J1776" s="738"/>
      <c r="K1776" s="570"/>
      <c r="L1776" s="571"/>
      <c r="M1776" s="572"/>
      <c r="N1776" s="573"/>
      <c r="O1776" s="1109"/>
      <c r="P1776" s="1109"/>
      <c r="Q1776" s="1109"/>
      <c r="R1776" s="1111"/>
      <c r="S1776" s="398"/>
      <c r="T1776" s="506"/>
      <c r="U1776" s="823"/>
      <c r="V1776" s="291">
        <f t="shared" ca="1" si="611"/>
        <v>-820413.85600000003</v>
      </c>
      <c r="W1776" s="256">
        <f t="shared" ca="1" si="619"/>
        <v>0</v>
      </c>
      <c r="X1776" s="256">
        <f t="shared" ca="1" si="620"/>
        <v>1</v>
      </c>
      <c r="Y1776" s="250"/>
      <c r="Z1776" s="250"/>
    </row>
    <row r="1777" spans="1:29" s="111" customFormat="1" ht="15.75" x14ac:dyDescent="0.2">
      <c r="A1777" s="288"/>
      <c r="B1777" s="494"/>
      <c r="C1777" s="818" t="s">
        <v>1378</v>
      </c>
      <c r="D1777" s="551"/>
      <c r="E1777" s="552"/>
      <c r="F1777" s="834"/>
      <c r="G1777" s="551"/>
      <c r="H1777" s="552"/>
      <c r="I1777" s="553"/>
      <c r="J1777" s="738"/>
      <c r="K1777" s="570"/>
      <c r="L1777" s="571"/>
      <c r="M1777" s="572"/>
      <c r="N1777" s="573"/>
      <c r="O1777" s="560"/>
      <c r="P1777" s="560"/>
      <c r="Q1777" s="560"/>
      <c r="R1777" s="504">
        <f>-(R1757+R1758+R1759+R1763+SUM(R1764:R1775))</f>
        <v>-1032022.2068</v>
      </c>
      <c r="S1777" s="739"/>
      <c r="T1777" s="506">
        <v>44</v>
      </c>
      <c r="U1777" s="1216" t="s">
        <v>1379</v>
      </c>
      <c r="V1777" s="291">
        <f t="shared" ca="1" si="611"/>
        <v>-820413.85600000003</v>
      </c>
      <c r="W1777" s="256">
        <f t="shared" ca="1" si="619"/>
        <v>2</v>
      </c>
      <c r="X1777" s="256">
        <f t="shared" ca="1" si="620"/>
        <v>1</v>
      </c>
      <c r="Y1777" s="250"/>
      <c r="Z1777" s="250"/>
    </row>
    <row r="1778" spans="1:29" s="111" customFormat="1" ht="15" x14ac:dyDescent="0.2">
      <c r="A1778" s="288"/>
      <c r="B1778" s="494"/>
      <c r="C1778" s="818"/>
      <c r="D1778" s="551"/>
      <c r="E1778" s="552"/>
      <c r="F1778" s="834"/>
      <c r="G1778" s="551"/>
      <c r="H1778" s="552"/>
      <c r="I1778" s="553"/>
      <c r="J1778" s="738"/>
      <c r="K1778" s="570"/>
      <c r="L1778" s="571"/>
      <c r="M1778" s="572"/>
      <c r="N1778" s="573"/>
      <c r="O1778" s="560"/>
      <c r="P1778" s="560"/>
      <c r="Q1778" s="560"/>
      <c r="R1778" s="504"/>
      <c r="S1778" s="739"/>
      <c r="T1778" s="506"/>
      <c r="U1778" s="823"/>
      <c r="V1778" s="291">
        <f t="shared" ca="1" si="611"/>
        <v>-820413.85600000003</v>
      </c>
      <c r="W1778" s="256">
        <f t="shared" ca="1" si="619"/>
        <v>0</v>
      </c>
      <c r="X1778" s="256">
        <f t="shared" ca="1" si="620"/>
        <v>1</v>
      </c>
      <c r="Y1778" s="250"/>
      <c r="Z1778" s="250"/>
    </row>
    <row r="1779" spans="1:29" s="111" customFormat="1" ht="15" x14ac:dyDescent="0.2">
      <c r="A1779" s="288"/>
      <c r="B1779" s="338"/>
      <c r="C1779" s="575"/>
      <c r="D1779" s="340"/>
      <c r="E1779" s="341"/>
      <c r="F1779" s="576"/>
      <c r="G1779" s="340"/>
      <c r="H1779" s="341"/>
      <c r="I1779" s="342"/>
      <c r="J1779" s="577"/>
      <c r="K1779" s="578"/>
      <c r="L1779" s="579"/>
      <c r="M1779" s="578"/>
      <c r="N1779" s="578"/>
      <c r="O1779" s="343"/>
      <c r="P1779" s="343"/>
      <c r="Q1779" s="343"/>
      <c r="R1779" s="350"/>
      <c r="S1779" s="349"/>
      <c r="T1779" s="352"/>
      <c r="U1779" s="580"/>
      <c r="V1779" s="291">
        <f t="shared" ca="1" si="611"/>
        <v>-820413.85600000003</v>
      </c>
      <c r="W1779" s="256">
        <f t="shared" ca="1" si="619"/>
        <v>0</v>
      </c>
      <c r="X1779" s="256">
        <f t="shared" ca="1" si="620"/>
        <v>1</v>
      </c>
      <c r="Y1779" s="250">
        <v>72069.3</v>
      </c>
      <c r="Z1779" s="250"/>
    </row>
    <row r="1780" spans="1:29" s="111" customFormat="1" ht="15.75" x14ac:dyDescent="0.2">
      <c r="A1780" s="288"/>
      <c r="B1780" s="354"/>
      <c r="C1780" s="355"/>
      <c r="D1780" s="1354" t="s">
        <v>492</v>
      </c>
      <c r="E1780" s="1355"/>
      <c r="F1780" s="1355"/>
      <c r="G1780" s="1355"/>
      <c r="H1780" s="1355"/>
      <c r="I1780" s="1356"/>
      <c r="J1780" s="1357">
        <f>VLOOKUP(A1782,'11 - FINANCEIRO'!_xlnm.Print_Area,6,FALSE)</f>
        <v>1856501.3</v>
      </c>
      <c r="K1780" s="1358"/>
      <c r="L1780" s="356" t="str">
        <f>VLOOKUP(A1782,'11 - FINANCEIRO'!_xlnm.Print_Area,4,FALSE)</f>
        <v>tkm</v>
      </c>
      <c r="M1780" s="1359" t="s">
        <v>493</v>
      </c>
      <c r="N1780" s="1360"/>
      <c r="O1780" s="1360"/>
      <c r="P1780" s="1360"/>
      <c r="Q1780" s="1361"/>
      <c r="R1780" s="357">
        <f>TRUNC(SUM(R1757:R1779),3)</f>
        <v>1036087.444</v>
      </c>
      <c r="S1780" s="358" t="str">
        <f>L1780</f>
        <v>tkm</v>
      </c>
      <c r="T1780" s="1423"/>
      <c r="U1780" s="1424"/>
      <c r="V1780" s="291">
        <f t="shared" ca="1" si="611"/>
        <v>-820413.85600000003</v>
      </c>
      <c r="W1780" s="256">
        <f t="shared" ca="1" si="613"/>
        <v>2</v>
      </c>
      <c r="X1780" s="256">
        <f t="shared" ca="1" si="614"/>
        <v>1</v>
      </c>
      <c r="Y1780" s="1046">
        <f>Y1779-R1775</f>
        <v>23167.931000000004</v>
      </c>
      <c r="Z1780" s="250"/>
    </row>
    <row r="1781" spans="1:29" s="293" customFormat="1" ht="15.75" x14ac:dyDescent="0.2">
      <c r="A1781" s="288"/>
      <c r="B1781" s="354"/>
      <c r="C1781" s="361"/>
      <c r="D1781" s="1362" t="s">
        <v>494</v>
      </c>
      <c r="E1781" s="1363"/>
      <c r="F1781" s="1363"/>
      <c r="G1781" s="1363"/>
      <c r="H1781" s="1363"/>
      <c r="I1781" s="1364"/>
      <c r="J1781" s="1365">
        <f>IF(R1780&gt;J1780,1,R1780/J1780)</f>
        <v>0.55808603204317708</v>
      </c>
      <c r="K1781" s="1366"/>
      <c r="L1781" s="1369"/>
      <c r="M1781" s="1371" t="s">
        <v>495</v>
      </c>
      <c r="N1781" s="1372"/>
      <c r="O1781" s="1372"/>
      <c r="P1781" s="1372"/>
      <c r="Q1781" s="1373"/>
      <c r="R1781" s="362">
        <f>VLOOKUP(A1782,'11 - FINANCEIRO'!_xlnm.Print_Area,8,FALSE)</f>
        <v>1856501.3</v>
      </c>
      <c r="S1781" s="363" t="str">
        <f>L1780</f>
        <v>tkm</v>
      </c>
      <c r="T1781" s="1386"/>
      <c r="U1781" s="1387"/>
      <c r="V1781" s="817">
        <f t="shared" ca="1" si="611"/>
        <v>-820413.85600000003</v>
      </c>
      <c r="W1781" s="250">
        <f t="shared" ca="1" si="613"/>
        <v>2</v>
      </c>
      <c r="X1781" s="250">
        <f t="shared" ca="1" si="614"/>
        <v>1</v>
      </c>
      <c r="Y1781" s="859"/>
      <c r="Z1781" s="256"/>
      <c r="AA1781" s="292"/>
      <c r="AB1781" s="292"/>
      <c r="AC1781" s="292"/>
    </row>
    <row r="1782" spans="1:29" s="293" customFormat="1" ht="15.75" x14ac:dyDescent="0.2">
      <c r="A1782" s="288" t="s">
        <v>47</v>
      </c>
      <c r="B1782" s="364"/>
      <c r="C1782" s="365"/>
      <c r="D1782" s="1354"/>
      <c r="E1782" s="1355"/>
      <c r="F1782" s="1355"/>
      <c r="G1782" s="1355"/>
      <c r="H1782" s="1355"/>
      <c r="I1782" s="1356"/>
      <c r="J1782" s="1367"/>
      <c r="K1782" s="1368"/>
      <c r="L1782" s="1370"/>
      <c r="M1782" s="1371" t="s">
        <v>496</v>
      </c>
      <c r="N1782" s="1372"/>
      <c r="O1782" s="1372"/>
      <c r="P1782" s="1372"/>
      <c r="Q1782" s="1373"/>
      <c r="R1782" s="362">
        <f>R1780-R1781</f>
        <v>-820413.85600000003</v>
      </c>
      <c r="S1782" s="363" t="str">
        <f>L1780</f>
        <v>tkm</v>
      </c>
      <c r="T1782" s="1388"/>
      <c r="U1782" s="1389"/>
      <c r="V1782" s="291">
        <f t="shared" ca="1" si="611"/>
        <v>-820413.85600000003</v>
      </c>
      <c r="W1782" s="256">
        <f t="shared" ca="1" si="570"/>
        <v>2</v>
      </c>
      <c r="X1782" s="256">
        <f t="shared" ca="1" si="591"/>
        <v>1</v>
      </c>
      <c r="Y1782" s="860"/>
      <c r="Z1782" s="256"/>
      <c r="AA1782" s="292"/>
      <c r="AB1782" s="292"/>
      <c r="AC1782" s="292"/>
    </row>
    <row r="1783" spans="1:29" s="111" customFormat="1" ht="15.75" x14ac:dyDescent="0.2">
      <c r="A1783" s="288"/>
      <c r="B1783" s="368"/>
      <c r="C1783" s="365"/>
      <c r="D1783" s="369"/>
      <c r="E1783" s="370"/>
      <c r="F1783" s="369"/>
      <c r="G1783" s="369"/>
      <c r="H1783" s="369"/>
      <c r="I1783" s="369"/>
      <c r="J1783" s="371"/>
      <c r="K1783" s="372"/>
      <c r="L1783" s="373"/>
      <c r="M1783" s="374"/>
      <c r="N1783" s="374"/>
      <c r="O1783" s="374"/>
      <c r="P1783" s="374"/>
      <c r="Q1783" s="374"/>
      <c r="R1783" s="375"/>
      <c r="S1783" s="376"/>
      <c r="T1783" s="377"/>
      <c r="U1783" s="378"/>
      <c r="V1783" s="379">
        <f ca="1">SUM(V1755:V1782)</f>
        <v>-22971587.967999995</v>
      </c>
      <c r="W1783" s="256">
        <f t="shared" ca="1" si="570"/>
        <v>1</v>
      </c>
      <c r="X1783" s="256">
        <f t="shared" ca="1" si="591"/>
        <v>0</v>
      </c>
      <c r="Y1783" s="1046"/>
      <c r="Z1783" s="250"/>
    </row>
    <row r="1784" spans="1:29" s="293" customFormat="1" ht="15.75" customHeight="1" x14ac:dyDescent="0.2">
      <c r="A1784" s="288"/>
      <c r="B1784" s="1374" t="str">
        <f>VLOOKUP(A1815,'11 - FINANCEIRO'!_xlnm.Print_Area,1,FALSE)</f>
        <v>2.2.7</v>
      </c>
      <c r="C1784" s="1376" t="str">
        <f>VLOOKUP(A1815,'11 - FINANCEIRO'!_xlnm.Print_Area,3,FALSE)</f>
        <v>Aterro Com Areia Em Áreas De Calçada, Inclusive Fornecimento E Adensamento</v>
      </c>
      <c r="D1784" s="1378" t="s">
        <v>477</v>
      </c>
      <c r="E1784" s="1379"/>
      <c r="F1784" s="1379"/>
      <c r="G1784" s="1379"/>
      <c r="H1784" s="1379"/>
      <c r="I1784" s="1380"/>
      <c r="J1784" s="1338"/>
      <c r="K1784" s="1338" t="s">
        <v>479</v>
      </c>
      <c r="L1784" s="1338" t="s">
        <v>483</v>
      </c>
      <c r="M1784" s="1338"/>
      <c r="N1784" s="1338"/>
      <c r="O1784" s="1338"/>
      <c r="P1784" s="1338"/>
      <c r="Q1784" s="1338" t="s">
        <v>485</v>
      </c>
      <c r="R1784" s="1336" t="s">
        <v>296</v>
      </c>
      <c r="S1784" s="1338" t="s">
        <v>486</v>
      </c>
      <c r="T1784" s="1338" t="s">
        <v>487</v>
      </c>
      <c r="U1784" s="1340" t="s">
        <v>488</v>
      </c>
      <c r="V1784" s="291">
        <f t="shared" ca="1" si="611"/>
        <v>2067.7410000000018</v>
      </c>
      <c r="W1784" s="256">
        <f t="shared" ref="W1784" ca="1" si="623">IF(LEFT(_xlfn.FORMULATEXT(V1784),3)="=SO",1,IF(COUNTA(A1784:U1784)=0,0,2))</f>
        <v>2</v>
      </c>
      <c r="X1784" s="256">
        <f t="shared" ref="X1784" ca="1" si="624">IF(COUNTA(OFFSET(A1783,1,0))-COUNTA(A1783)=-1,0,1)</f>
        <v>1</v>
      </c>
      <c r="Y1784" s="256"/>
      <c r="Z1784" s="256"/>
      <c r="AA1784" s="292"/>
      <c r="AB1784" s="292"/>
      <c r="AC1784" s="292"/>
    </row>
    <row r="1785" spans="1:29" s="337" customFormat="1" ht="15.75" x14ac:dyDescent="0.2">
      <c r="A1785" s="288"/>
      <c r="B1785" s="1420"/>
      <c r="C1785" s="1421"/>
      <c r="D1785" s="1427" t="s">
        <v>489</v>
      </c>
      <c r="E1785" s="1428"/>
      <c r="F1785" s="1429"/>
      <c r="G1785" s="1430" t="s">
        <v>490</v>
      </c>
      <c r="H1785" s="1431"/>
      <c r="I1785" s="1432"/>
      <c r="J1785" s="1422"/>
      <c r="K1785" s="1422"/>
      <c r="L1785" s="1422"/>
      <c r="M1785" s="1422"/>
      <c r="N1785" s="1422"/>
      <c r="O1785" s="1422"/>
      <c r="P1785" s="1422"/>
      <c r="Q1785" s="1339"/>
      <c r="R1785" s="1425"/>
      <c r="S1785" s="1422"/>
      <c r="T1785" s="1422"/>
      <c r="U1785" s="1426"/>
      <c r="V1785" s="291">
        <f t="shared" ca="1" si="611"/>
        <v>2067.7410000000018</v>
      </c>
      <c r="W1785" s="256">
        <f t="shared" ref="W1785:W1793" ca="1" si="625">IF(LEFT(_xlfn.FORMULATEXT(V1785),3)="=SO",1,IF(COUNTA(A1785:U1785)=0,0,2))</f>
        <v>2</v>
      </c>
      <c r="X1785" s="256">
        <f t="shared" ref="X1785:X1793" ca="1" si="626">IF(COUNTA(OFFSET(A1784,1,0))-COUNTA(A1784)=-1,0,1)</f>
        <v>1</v>
      </c>
      <c r="Y1785" s="336"/>
      <c r="Z1785" s="336"/>
    </row>
    <row r="1786" spans="1:29" s="292" customFormat="1" ht="25.5" x14ac:dyDescent="0.2">
      <c r="A1786" s="399"/>
      <c r="B1786" s="581"/>
      <c r="C1786" s="582" t="s">
        <v>617</v>
      </c>
      <c r="D1786" s="583">
        <v>5</v>
      </c>
      <c r="E1786" s="584" t="s">
        <v>518</v>
      </c>
      <c r="F1786" s="585">
        <v>5</v>
      </c>
      <c r="G1786" s="586">
        <v>31</v>
      </c>
      <c r="H1786" s="587" t="s">
        <v>518</v>
      </c>
      <c r="I1786" s="588">
        <v>10</v>
      </c>
      <c r="J1786" s="589"/>
      <c r="K1786" s="590">
        <f t="shared" ref="K1786:K1791" si="627">ABS((G1786*20+I1786)-(D1786*20+F1786))</f>
        <v>525</v>
      </c>
      <c r="L1786" s="591">
        <v>5307.79</v>
      </c>
      <c r="M1786" s="589"/>
      <c r="N1786" s="589"/>
      <c r="O1786" s="589"/>
      <c r="P1786" s="589"/>
      <c r="Q1786" s="589"/>
      <c r="R1786" s="592">
        <f t="shared" ref="R1786:R1791" si="628">L1786</f>
        <v>5307.79</v>
      </c>
      <c r="S1786" s="589" t="s">
        <v>323</v>
      </c>
      <c r="T1786" s="593">
        <v>15</v>
      </c>
      <c r="U1786" s="594" t="s">
        <v>596</v>
      </c>
      <c r="V1786" s="291">
        <f t="shared" ca="1" si="611"/>
        <v>2067.7410000000018</v>
      </c>
      <c r="W1786" s="256">
        <f t="shared" ca="1" si="625"/>
        <v>2</v>
      </c>
      <c r="X1786" s="256">
        <f t="shared" ca="1" si="626"/>
        <v>1</v>
      </c>
      <c r="Y1786" s="256"/>
      <c r="Z1786" s="256"/>
    </row>
    <row r="1787" spans="1:29" s="111" customFormat="1" ht="25.5" x14ac:dyDescent="0.2">
      <c r="A1787" s="399"/>
      <c r="B1787" s="311"/>
      <c r="C1787" s="312" t="s">
        <v>843</v>
      </c>
      <c r="D1787" s="417">
        <v>18</v>
      </c>
      <c r="E1787" s="314" t="s">
        <v>518</v>
      </c>
      <c r="F1787" s="418">
        <v>2</v>
      </c>
      <c r="G1787" s="419">
        <v>19</v>
      </c>
      <c r="H1787" s="316" t="s">
        <v>518</v>
      </c>
      <c r="I1787" s="420">
        <v>8</v>
      </c>
      <c r="J1787" s="317"/>
      <c r="K1787" s="433">
        <f t="shared" si="627"/>
        <v>26</v>
      </c>
      <c r="L1787" s="1220">
        <f>26*5.1*3.6</f>
        <v>477.36</v>
      </c>
      <c r="M1787" s="315"/>
      <c r="N1787" s="314"/>
      <c r="O1787" s="313"/>
      <c r="P1787" s="317"/>
      <c r="Q1787" s="315"/>
      <c r="R1787" s="319">
        <f>L1787</f>
        <v>477.36</v>
      </c>
      <c r="S1787" s="317" t="s">
        <v>323</v>
      </c>
      <c r="T1787" s="320">
        <v>31</v>
      </c>
      <c r="U1787" s="828" t="s">
        <v>1087</v>
      </c>
      <c r="V1787" s="291">
        <f t="shared" ca="1" si="611"/>
        <v>2067.7410000000018</v>
      </c>
      <c r="W1787" s="256">
        <f t="shared" ca="1" si="625"/>
        <v>2</v>
      </c>
      <c r="X1787" s="256">
        <f t="shared" ca="1" si="626"/>
        <v>1</v>
      </c>
      <c r="Y1787" s="250"/>
      <c r="Z1787" s="250"/>
    </row>
    <row r="1788" spans="1:29" s="111" customFormat="1" ht="15.75" x14ac:dyDescent="0.2">
      <c r="A1788" s="399"/>
      <c r="B1788" s="562"/>
      <c r="C1788" s="495" t="s">
        <v>617</v>
      </c>
      <c r="D1788" s="417">
        <v>94</v>
      </c>
      <c r="E1788" s="314" t="s">
        <v>518</v>
      </c>
      <c r="F1788" s="418">
        <v>13</v>
      </c>
      <c r="G1788" s="419">
        <v>99</v>
      </c>
      <c r="H1788" s="316" t="s">
        <v>518</v>
      </c>
      <c r="I1788" s="420">
        <v>6.4</v>
      </c>
      <c r="J1788" s="560"/>
      <c r="K1788" s="433">
        <f t="shared" si="627"/>
        <v>93.400000000000091</v>
      </c>
      <c r="L1788" s="1094">
        <v>1291.7729999999999</v>
      </c>
      <c r="M1788" s="752"/>
      <c r="N1788" s="552"/>
      <c r="O1788" s="738"/>
      <c r="P1788" s="560"/>
      <c r="Q1788" s="752"/>
      <c r="R1788" s="558">
        <f t="shared" si="628"/>
        <v>1291.7729999999999</v>
      </c>
      <c r="S1788" s="560"/>
      <c r="T1788" s="506">
        <v>21</v>
      </c>
      <c r="U1788" s="825"/>
      <c r="V1788" s="291">
        <f t="shared" ca="1" si="611"/>
        <v>2067.7410000000018</v>
      </c>
      <c r="W1788" s="256">
        <f t="shared" ca="1" si="625"/>
        <v>2</v>
      </c>
      <c r="X1788" s="256">
        <f t="shared" ca="1" si="626"/>
        <v>1</v>
      </c>
      <c r="Y1788" s="250"/>
      <c r="Z1788" s="250"/>
    </row>
    <row r="1789" spans="1:29" s="111" customFormat="1" ht="15.75" x14ac:dyDescent="0.2">
      <c r="A1789" s="399"/>
      <c r="B1789" s="562"/>
      <c r="C1789" s="495" t="s">
        <v>617</v>
      </c>
      <c r="D1789" s="417">
        <v>94</v>
      </c>
      <c r="E1789" s="314" t="s">
        <v>518</v>
      </c>
      <c r="F1789" s="418">
        <v>0</v>
      </c>
      <c r="G1789" s="419">
        <v>94</v>
      </c>
      <c r="H1789" s="316" t="s">
        <v>518</v>
      </c>
      <c r="I1789" s="420">
        <v>13</v>
      </c>
      <c r="J1789" s="560"/>
      <c r="K1789" s="433">
        <f t="shared" si="627"/>
        <v>13</v>
      </c>
      <c r="L1789" s="1094">
        <v>169.50399999999999</v>
      </c>
      <c r="M1789" s="752"/>
      <c r="N1789" s="552"/>
      <c r="O1789" s="738"/>
      <c r="P1789" s="560"/>
      <c r="Q1789" s="752"/>
      <c r="R1789" s="558">
        <f t="shared" si="628"/>
        <v>169.50399999999999</v>
      </c>
      <c r="S1789" s="560"/>
      <c r="T1789" s="506">
        <v>22</v>
      </c>
      <c r="U1789" s="825"/>
      <c r="V1789" s="291">
        <f t="shared" ca="1" si="611"/>
        <v>2067.7410000000018</v>
      </c>
      <c r="W1789" s="256">
        <f t="shared" ca="1" si="625"/>
        <v>2</v>
      </c>
      <c r="X1789" s="256">
        <f t="shared" ca="1" si="626"/>
        <v>1</v>
      </c>
      <c r="Y1789" s="250"/>
      <c r="Z1789" s="250"/>
    </row>
    <row r="1790" spans="1:29" s="111" customFormat="1" ht="15.75" x14ac:dyDescent="0.2">
      <c r="A1790" s="399"/>
      <c r="B1790" s="562"/>
      <c r="C1790" s="495" t="s">
        <v>617</v>
      </c>
      <c r="D1790" s="417">
        <v>94</v>
      </c>
      <c r="E1790" s="314" t="s">
        <v>518</v>
      </c>
      <c r="F1790" s="418">
        <v>0</v>
      </c>
      <c r="G1790" s="419">
        <v>91</v>
      </c>
      <c r="H1790" s="316" t="s">
        <v>518</v>
      </c>
      <c r="I1790" s="420">
        <v>0</v>
      </c>
      <c r="J1790" s="560"/>
      <c r="K1790" s="433">
        <f t="shared" si="627"/>
        <v>60</v>
      </c>
      <c r="L1790" s="1094">
        <v>581.91099999999994</v>
      </c>
      <c r="M1790" s="752"/>
      <c r="N1790" s="552"/>
      <c r="O1790" s="738"/>
      <c r="P1790" s="560"/>
      <c r="Q1790" s="752"/>
      <c r="R1790" s="558">
        <f t="shared" si="628"/>
        <v>581.91099999999994</v>
      </c>
      <c r="S1790" s="560"/>
      <c r="T1790" s="506">
        <v>23</v>
      </c>
      <c r="U1790" s="825"/>
      <c r="V1790" s="291">
        <f t="shared" ca="1" si="611"/>
        <v>2067.7410000000018</v>
      </c>
      <c r="W1790" s="256">
        <f t="shared" ca="1" si="625"/>
        <v>2</v>
      </c>
      <c r="X1790" s="256">
        <f t="shared" ca="1" si="626"/>
        <v>1</v>
      </c>
      <c r="Y1790" s="250"/>
      <c r="Z1790" s="250"/>
    </row>
    <row r="1791" spans="1:29" s="111" customFormat="1" ht="15.75" x14ac:dyDescent="0.2">
      <c r="A1791" s="399"/>
      <c r="B1791" s="562"/>
      <c r="C1791" s="495" t="s">
        <v>617</v>
      </c>
      <c r="D1791" s="417">
        <v>91</v>
      </c>
      <c r="E1791" s="314" t="s">
        <v>518</v>
      </c>
      <c r="F1791" s="418">
        <v>0</v>
      </c>
      <c r="G1791" s="419">
        <v>88</v>
      </c>
      <c r="H1791" s="316" t="s">
        <v>518</v>
      </c>
      <c r="I1791" s="420">
        <v>0</v>
      </c>
      <c r="J1791" s="560"/>
      <c r="K1791" s="433">
        <f t="shared" si="627"/>
        <v>60</v>
      </c>
      <c r="L1791" s="1220">
        <v>603.70000000000005</v>
      </c>
      <c r="M1791" s="752"/>
      <c r="N1791" s="552"/>
      <c r="O1791" s="738"/>
      <c r="P1791" s="560"/>
      <c r="Q1791" s="752"/>
      <c r="R1791" s="558">
        <f t="shared" si="628"/>
        <v>603.70000000000005</v>
      </c>
      <c r="S1791" s="560"/>
      <c r="T1791" s="506">
        <v>25</v>
      </c>
      <c r="U1791" s="825"/>
      <c r="V1791" s="291">
        <f t="shared" ca="1" si="611"/>
        <v>2067.7410000000018</v>
      </c>
      <c r="W1791" s="256">
        <f t="shared" ca="1" si="625"/>
        <v>2</v>
      </c>
      <c r="X1791" s="256">
        <f t="shared" ca="1" si="626"/>
        <v>1</v>
      </c>
      <c r="Y1791" s="250"/>
      <c r="Z1791" s="250"/>
    </row>
    <row r="1792" spans="1:29" s="111" customFormat="1" ht="15.75" x14ac:dyDescent="0.2">
      <c r="A1792" s="399"/>
      <c r="B1792" s="562"/>
      <c r="C1792" s="495" t="s">
        <v>617</v>
      </c>
      <c r="D1792" s="419">
        <v>88</v>
      </c>
      <c r="E1792" s="316" t="s">
        <v>518</v>
      </c>
      <c r="F1792" s="420">
        <v>0</v>
      </c>
      <c r="G1792" s="419">
        <v>83</v>
      </c>
      <c r="H1792" s="316" t="s">
        <v>518</v>
      </c>
      <c r="I1792" s="420">
        <v>10</v>
      </c>
      <c r="J1792" s="560"/>
      <c r="K1792" s="433">
        <f>ABS((G1792*20+I1792)-(D1792*20+F1792))</f>
        <v>90</v>
      </c>
      <c r="L1792" s="824"/>
      <c r="M1792" s="752">
        <v>0.8</v>
      </c>
      <c r="N1792" s="552">
        <v>3</v>
      </c>
      <c r="O1792" s="738">
        <v>2</v>
      </c>
      <c r="P1792" s="560"/>
      <c r="Q1792" s="752"/>
      <c r="R1792" s="558">
        <f>K1792*M1792*N1792*O1792</f>
        <v>432</v>
      </c>
      <c r="S1792" s="560"/>
      <c r="T1792" s="506">
        <v>26</v>
      </c>
      <c r="U1792" s="825"/>
      <c r="V1792" s="291">
        <f t="shared" ca="1" si="611"/>
        <v>2067.7410000000018</v>
      </c>
      <c r="W1792" s="256">
        <f t="shared" ca="1" si="625"/>
        <v>2</v>
      </c>
      <c r="X1792" s="256">
        <f t="shared" ca="1" si="626"/>
        <v>1</v>
      </c>
      <c r="Y1792" s="250"/>
      <c r="Z1792" s="250"/>
    </row>
    <row r="1793" spans="1:26" s="111" customFormat="1" ht="38.25" x14ac:dyDescent="0.2">
      <c r="A1793" s="399"/>
      <c r="B1793" s="562"/>
      <c r="C1793" s="495" t="s">
        <v>617</v>
      </c>
      <c r="D1793" s="419">
        <v>88</v>
      </c>
      <c r="E1793" s="316" t="s">
        <v>518</v>
      </c>
      <c r="F1793" s="420">
        <v>0</v>
      </c>
      <c r="G1793" s="419">
        <v>83</v>
      </c>
      <c r="H1793" s="316" t="s">
        <v>518</v>
      </c>
      <c r="I1793" s="420">
        <v>10</v>
      </c>
      <c r="J1793" s="560"/>
      <c r="K1793" s="433">
        <f>ABS((G1793*20+I1793)-(D1793*20+F1793))</f>
        <v>90</v>
      </c>
      <c r="L1793" s="824">
        <f>1200.63-432</f>
        <v>768.63000000000011</v>
      </c>
      <c r="M1793" s="752"/>
      <c r="N1793" s="552"/>
      <c r="O1793" s="738"/>
      <c r="P1793" s="560"/>
      <c r="Q1793" s="857"/>
      <c r="R1793" s="558">
        <f>L1793</f>
        <v>768.63000000000011</v>
      </c>
      <c r="S1793" s="560"/>
      <c r="T1793" s="506">
        <v>31</v>
      </c>
      <c r="U1793" s="825" t="s">
        <v>1088</v>
      </c>
      <c r="V1793" s="291">
        <f t="shared" ca="1" si="611"/>
        <v>2067.7410000000018</v>
      </c>
      <c r="W1793" s="256">
        <f t="shared" ca="1" si="625"/>
        <v>2</v>
      </c>
      <c r="X1793" s="256">
        <f t="shared" ca="1" si="626"/>
        <v>1</v>
      </c>
      <c r="Y1793" s="250"/>
      <c r="Z1793" s="250"/>
    </row>
    <row r="1794" spans="1:26" s="111" customFormat="1" ht="15.75" x14ac:dyDescent="0.2">
      <c r="A1794" s="399"/>
      <c r="B1794" s="562"/>
      <c r="C1794" s="495" t="s">
        <v>617</v>
      </c>
      <c r="D1794" s="419">
        <v>65</v>
      </c>
      <c r="E1794" s="316" t="s">
        <v>518</v>
      </c>
      <c r="F1794" s="420">
        <v>5</v>
      </c>
      <c r="G1794" s="419">
        <v>70</v>
      </c>
      <c r="H1794" s="316" t="s">
        <v>518</v>
      </c>
      <c r="I1794" s="420">
        <v>0</v>
      </c>
      <c r="J1794" s="560"/>
      <c r="K1794" s="433">
        <f>ABS((G1794*20+I1794)-(D1794*20+F1794))</f>
        <v>95</v>
      </c>
      <c r="L1794" s="824">
        <v>1504.479</v>
      </c>
      <c r="M1794" s="752"/>
      <c r="N1794" s="552"/>
      <c r="O1794" s="738"/>
      <c r="P1794" s="560"/>
      <c r="Q1794" s="752"/>
      <c r="R1794" s="558">
        <f t="shared" ref="R1794:R1810" si="629">L1794</f>
        <v>1504.479</v>
      </c>
      <c r="S1794" s="560"/>
      <c r="T1794" s="506">
        <v>34</v>
      </c>
      <c r="U1794" s="825"/>
      <c r="V1794" s="291">
        <f t="shared" ca="1" si="611"/>
        <v>2067.7410000000018</v>
      </c>
      <c r="W1794" s="256">
        <f t="shared" ref="W1794:W1815" ca="1" si="630">IF(LEFT(_xlfn.FORMULATEXT(V1794),3)="=SO",1,IF(COUNTA(A1794:U1794)=0,0,2))</f>
        <v>2</v>
      </c>
      <c r="X1794" s="256">
        <f t="shared" ref="X1794:X1815" ca="1" si="631">IF(COUNTA(OFFSET(A1793,1,0))-COUNTA(A1793)=-1,0,1)</f>
        <v>1</v>
      </c>
      <c r="Y1794" s="250"/>
      <c r="Z1794" s="250"/>
    </row>
    <row r="1795" spans="1:26" s="111" customFormat="1" ht="15.75" x14ac:dyDescent="0.2">
      <c r="A1795" s="399"/>
      <c r="B1795" s="562"/>
      <c r="C1795" s="495" t="s">
        <v>617</v>
      </c>
      <c r="D1795" s="419">
        <v>62</v>
      </c>
      <c r="E1795" s="316" t="s">
        <v>518</v>
      </c>
      <c r="F1795" s="420">
        <v>5</v>
      </c>
      <c r="G1795" s="419">
        <v>65</v>
      </c>
      <c r="H1795" s="316" t="s">
        <v>518</v>
      </c>
      <c r="I1795" s="420">
        <v>5</v>
      </c>
      <c r="J1795" s="560"/>
      <c r="K1795" s="433">
        <f>ABS((G1795*20+I1795)-(D1795*20+F1795))</f>
        <v>60</v>
      </c>
      <c r="L1795" s="824">
        <v>575.18799999999999</v>
      </c>
      <c r="M1795" s="752"/>
      <c r="N1795" s="552"/>
      <c r="O1795" s="738"/>
      <c r="P1795" s="560"/>
      <c r="Q1795" s="752"/>
      <c r="R1795" s="558">
        <f t="shared" si="629"/>
        <v>575.18799999999999</v>
      </c>
      <c r="S1795" s="560"/>
      <c r="T1795" s="506">
        <v>35</v>
      </c>
      <c r="U1795" s="825"/>
      <c r="V1795" s="291">
        <f t="shared" ca="1" si="611"/>
        <v>2067.7410000000018</v>
      </c>
      <c r="W1795" s="256">
        <f t="shared" ca="1" si="630"/>
        <v>2</v>
      </c>
      <c r="X1795" s="256">
        <f t="shared" ca="1" si="631"/>
        <v>1</v>
      </c>
      <c r="Y1795" s="250"/>
      <c r="Z1795" s="250"/>
    </row>
    <row r="1796" spans="1:26" s="111" customFormat="1" ht="15.75" x14ac:dyDescent="0.2">
      <c r="A1796" s="399"/>
      <c r="B1796" s="562"/>
      <c r="C1796" s="495" t="s">
        <v>617</v>
      </c>
      <c r="D1796" s="419">
        <v>60</v>
      </c>
      <c r="E1796" s="316" t="s">
        <v>518</v>
      </c>
      <c r="F1796" s="420">
        <v>0</v>
      </c>
      <c r="G1796" s="419">
        <v>62</v>
      </c>
      <c r="H1796" s="316" t="s">
        <v>518</v>
      </c>
      <c r="I1796" s="420">
        <v>5</v>
      </c>
      <c r="J1796" s="560"/>
      <c r="K1796" s="433">
        <f>ABS((G1796*20+I1796)-(D1796*20+F1796))</f>
        <v>45</v>
      </c>
      <c r="L1796" s="824">
        <v>532.39800000000002</v>
      </c>
      <c r="M1796" s="752"/>
      <c r="N1796" s="552"/>
      <c r="O1796" s="738"/>
      <c r="P1796" s="560"/>
      <c r="Q1796" s="752"/>
      <c r="R1796" s="558">
        <f t="shared" si="629"/>
        <v>532.39800000000002</v>
      </c>
      <c r="S1796" s="560"/>
      <c r="T1796" s="506">
        <v>36</v>
      </c>
      <c r="U1796" s="825"/>
      <c r="V1796" s="291">
        <f t="shared" ca="1" si="611"/>
        <v>2067.7410000000018</v>
      </c>
      <c r="W1796" s="256">
        <f t="shared" ca="1" si="630"/>
        <v>2</v>
      </c>
      <c r="X1796" s="256">
        <f t="shared" ca="1" si="631"/>
        <v>1</v>
      </c>
      <c r="Y1796" s="250"/>
      <c r="Z1796" s="250"/>
    </row>
    <row r="1797" spans="1:26" s="111" customFormat="1" ht="15.75" x14ac:dyDescent="0.2">
      <c r="A1797" s="399"/>
      <c r="B1797" s="562"/>
      <c r="C1797" s="495" t="s">
        <v>617</v>
      </c>
      <c r="D1797" s="419">
        <v>57</v>
      </c>
      <c r="E1797" s="316" t="s">
        <v>518</v>
      </c>
      <c r="F1797" s="420">
        <v>16</v>
      </c>
      <c r="G1797" s="419">
        <v>60</v>
      </c>
      <c r="H1797" s="316" t="s">
        <v>518</v>
      </c>
      <c r="I1797" s="420">
        <v>0</v>
      </c>
      <c r="J1797" s="560"/>
      <c r="K1797" s="433">
        <f t="shared" ref="K1797:K1810" si="632">ABS((G1797*20+I1797)-(D1797*20+F1797))</f>
        <v>44</v>
      </c>
      <c r="L1797" s="824">
        <v>643.50099999999998</v>
      </c>
      <c r="M1797" s="752"/>
      <c r="N1797" s="552"/>
      <c r="O1797" s="738"/>
      <c r="P1797" s="560"/>
      <c r="Q1797" s="752"/>
      <c r="R1797" s="558">
        <f t="shared" si="629"/>
        <v>643.50099999999998</v>
      </c>
      <c r="S1797" s="560"/>
      <c r="T1797" s="506">
        <v>37</v>
      </c>
      <c r="U1797" s="825"/>
      <c r="V1797" s="291">
        <f t="shared" ca="1" si="611"/>
        <v>2067.7410000000018</v>
      </c>
      <c r="W1797" s="256">
        <f t="shared" ca="1" si="630"/>
        <v>2</v>
      </c>
      <c r="X1797" s="256">
        <f t="shared" ca="1" si="631"/>
        <v>1</v>
      </c>
      <c r="Y1797" s="250"/>
      <c r="Z1797" s="250"/>
    </row>
    <row r="1798" spans="1:26" s="111" customFormat="1" ht="15.75" x14ac:dyDescent="0.2">
      <c r="A1798" s="399"/>
      <c r="B1798" s="562"/>
      <c r="C1798" s="495" t="s">
        <v>617</v>
      </c>
      <c r="D1798" s="419">
        <v>55</v>
      </c>
      <c r="E1798" s="316" t="s">
        <v>518</v>
      </c>
      <c r="F1798" s="420">
        <v>10</v>
      </c>
      <c r="G1798" s="419">
        <v>57</v>
      </c>
      <c r="H1798" s="316" t="s">
        <v>518</v>
      </c>
      <c r="I1798" s="420">
        <v>16</v>
      </c>
      <c r="J1798" s="560"/>
      <c r="K1798" s="433">
        <f t="shared" si="632"/>
        <v>46</v>
      </c>
      <c r="L1798" s="824">
        <v>371.91</v>
      </c>
      <c r="M1798" s="752"/>
      <c r="N1798" s="552"/>
      <c r="O1798" s="738"/>
      <c r="P1798" s="560"/>
      <c r="Q1798" s="752"/>
      <c r="R1798" s="558">
        <f t="shared" si="629"/>
        <v>371.91</v>
      </c>
      <c r="S1798" s="560"/>
      <c r="T1798" s="506">
        <v>38</v>
      </c>
      <c r="U1798" s="825"/>
      <c r="V1798" s="291">
        <f t="shared" ca="1" si="611"/>
        <v>2067.7410000000018</v>
      </c>
      <c r="W1798" s="256">
        <f t="shared" ca="1" si="630"/>
        <v>2</v>
      </c>
      <c r="X1798" s="256">
        <f t="shared" ca="1" si="631"/>
        <v>1</v>
      </c>
      <c r="Y1798" s="250"/>
      <c r="Z1798" s="250"/>
    </row>
    <row r="1799" spans="1:26" s="111" customFormat="1" ht="15.75" x14ac:dyDescent="0.2">
      <c r="A1799" s="399"/>
      <c r="B1799" s="562"/>
      <c r="C1799" s="495" t="s">
        <v>617</v>
      </c>
      <c r="D1799" s="419">
        <v>51</v>
      </c>
      <c r="E1799" s="316" t="s">
        <v>518</v>
      </c>
      <c r="F1799" s="420">
        <v>8</v>
      </c>
      <c r="G1799" s="419">
        <v>55</v>
      </c>
      <c r="H1799" s="316" t="s">
        <v>518</v>
      </c>
      <c r="I1799" s="420">
        <v>10</v>
      </c>
      <c r="J1799" s="1102"/>
      <c r="K1799" s="433">
        <f t="shared" si="632"/>
        <v>82</v>
      </c>
      <c r="L1799" s="824">
        <v>865.75</v>
      </c>
      <c r="M1799" s="1219" t="s">
        <v>1394</v>
      </c>
      <c r="N1799" s="1219" t="s">
        <v>1395</v>
      </c>
      <c r="O1799" s="738"/>
      <c r="P1799" s="1102"/>
      <c r="Q1799" s="752"/>
      <c r="R1799" s="558">
        <f t="shared" si="629"/>
        <v>865.75</v>
      </c>
      <c r="S1799" s="1102"/>
      <c r="T1799" s="506">
        <v>39</v>
      </c>
      <c r="U1799" s="825"/>
      <c r="V1799" s="291">
        <f t="shared" ca="1" si="611"/>
        <v>2067.7410000000018</v>
      </c>
      <c r="W1799" s="256">
        <f t="shared" ca="1" si="630"/>
        <v>2</v>
      </c>
      <c r="X1799" s="256">
        <f t="shared" ca="1" si="631"/>
        <v>1</v>
      </c>
      <c r="Y1799" s="250"/>
      <c r="Z1799" s="250"/>
    </row>
    <row r="1800" spans="1:26" s="111" customFormat="1" ht="15.75" x14ac:dyDescent="0.2">
      <c r="A1800" s="399"/>
      <c r="B1800" s="562"/>
      <c r="C1800" s="495" t="s">
        <v>617</v>
      </c>
      <c r="D1800" s="419">
        <v>49</v>
      </c>
      <c r="E1800" s="316" t="s">
        <v>518</v>
      </c>
      <c r="F1800" s="420">
        <v>13</v>
      </c>
      <c r="G1800" s="419">
        <v>51</v>
      </c>
      <c r="H1800" s="316" t="s">
        <v>518</v>
      </c>
      <c r="I1800" s="420">
        <v>8</v>
      </c>
      <c r="J1800" s="1109"/>
      <c r="K1800" s="433">
        <f t="shared" si="632"/>
        <v>35</v>
      </c>
      <c r="L1800" s="824">
        <v>469.54899999999998</v>
      </c>
      <c r="M1800" s="786">
        <v>211.24299999999999</v>
      </c>
      <c r="N1800" s="1218">
        <f>L1800-M1800</f>
        <v>258.30599999999998</v>
      </c>
      <c r="O1800" s="738"/>
      <c r="P1800" s="1109"/>
      <c r="Q1800" s="752"/>
      <c r="R1800" s="558">
        <f>N1800</f>
        <v>258.30599999999998</v>
      </c>
      <c r="S1800" s="1109"/>
      <c r="T1800" s="506">
        <v>40</v>
      </c>
      <c r="U1800" s="825"/>
      <c r="V1800" s="291">
        <f t="shared" ca="1" si="611"/>
        <v>2067.7410000000018</v>
      </c>
      <c r="W1800" s="256">
        <f t="shared" ca="1" si="630"/>
        <v>2</v>
      </c>
      <c r="X1800" s="256">
        <f t="shared" ca="1" si="631"/>
        <v>1</v>
      </c>
      <c r="Y1800" s="250"/>
      <c r="Z1800" s="250"/>
    </row>
    <row r="1801" spans="1:26" s="111" customFormat="1" ht="15.75" x14ac:dyDescent="0.2">
      <c r="A1801" s="399"/>
      <c r="B1801" s="562"/>
      <c r="C1801" s="495" t="s">
        <v>617</v>
      </c>
      <c r="D1801" s="419">
        <v>48</v>
      </c>
      <c r="E1801" s="316" t="s">
        <v>518</v>
      </c>
      <c r="F1801" s="420">
        <v>8</v>
      </c>
      <c r="G1801" s="419">
        <v>49</v>
      </c>
      <c r="H1801" s="316" t="s">
        <v>518</v>
      </c>
      <c r="I1801" s="420">
        <v>13</v>
      </c>
      <c r="J1801" s="1109"/>
      <c r="K1801" s="433">
        <f t="shared" si="632"/>
        <v>25</v>
      </c>
      <c r="L1801" s="824">
        <v>322.38200000000001</v>
      </c>
      <c r="M1801" s="752">
        <v>271.70999999999998</v>
      </c>
      <c r="N1801" s="1169">
        <f>L1801-M1801</f>
        <v>50.672000000000025</v>
      </c>
      <c r="O1801" s="738"/>
      <c r="P1801" s="1109"/>
      <c r="Q1801" s="752"/>
      <c r="R1801" s="558">
        <f t="shared" ref="R1801:R1802" si="633">N1801</f>
        <v>50.672000000000025</v>
      </c>
      <c r="S1801" s="1109"/>
      <c r="T1801" s="506">
        <v>41</v>
      </c>
      <c r="U1801" s="825"/>
      <c r="V1801" s="291">
        <f t="shared" ca="1" si="611"/>
        <v>2067.7410000000018</v>
      </c>
      <c r="W1801" s="256">
        <f t="shared" ca="1" si="630"/>
        <v>2</v>
      </c>
      <c r="X1801" s="256">
        <f t="shared" ca="1" si="631"/>
        <v>1</v>
      </c>
      <c r="Y1801" s="250"/>
      <c r="Z1801" s="250"/>
    </row>
    <row r="1802" spans="1:26" s="111" customFormat="1" ht="15.75" x14ac:dyDescent="0.2">
      <c r="A1802" s="399"/>
      <c r="B1802" s="562"/>
      <c r="C1802" s="495" t="s">
        <v>617</v>
      </c>
      <c r="D1802" s="419">
        <v>45</v>
      </c>
      <c r="E1802" s="316" t="s">
        <v>518</v>
      </c>
      <c r="F1802" s="420">
        <v>6</v>
      </c>
      <c r="G1802" s="419">
        <v>48</v>
      </c>
      <c r="H1802" s="316" t="s">
        <v>518</v>
      </c>
      <c r="I1802" s="420">
        <v>8</v>
      </c>
      <c r="J1802" s="1109"/>
      <c r="K1802" s="433">
        <f t="shared" si="632"/>
        <v>62</v>
      </c>
      <c r="L1802" s="824">
        <v>588.94299999999998</v>
      </c>
      <c r="M1802" s="752">
        <v>251.56100000000001</v>
      </c>
      <c r="N1802" s="1169">
        <f>L1802-M1802</f>
        <v>337.38199999999995</v>
      </c>
      <c r="O1802" s="738"/>
      <c r="P1802" s="1109"/>
      <c r="Q1802" s="752"/>
      <c r="R1802" s="558">
        <f t="shared" si="633"/>
        <v>337.38199999999995</v>
      </c>
      <c r="S1802" s="1109"/>
      <c r="T1802" s="506">
        <v>42</v>
      </c>
      <c r="U1802" s="825"/>
      <c r="V1802" s="291">
        <f t="shared" ca="1" si="611"/>
        <v>2067.7410000000018</v>
      </c>
      <c r="W1802" s="256">
        <f t="shared" ca="1" si="630"/>
        <v>2</v>
      </c>
      <c r="X1802" s="256">
        <f t="shared" ca="1" si="631"/>
        <v>1</v>
      </c>
      <c r="Y1802" s="250"/>
      <c r="Z1802" s="250"/>
    </row>
    <row r="1803" spans="1:26" s="111" customFormat="1" ht="15.75" x14ac:dyDescent="0.2">
      <c r="A1803" s="399"/>
      <c r="B1803" s="562"/>
      <c r="C1803" s="495" t="s">
        <v>617</v>
      </c>
      <c r="D1803" s="419">
        <v>39</v>
      </c>
      <c r="E1803" s="316" t="s">
        <v>518</v>
      </c>
      <c r="F1803" s="420">
        <v>2</v>
      </c>
      <c r="G1803" s="419">
        <v>45</v>
      </c>
      <c r="H1803" s="316" t="s">
        <v>518</v>
      </c>
      <c r="I1803" s="420">
        <v>6</v>
      </c>
      <c r="J1803" s="1109"/>
      <c r="K1803" s="433">
        <f t="shared" si="632"/>
        <v>124</v>
      </c>
      <c r="L1803" s="824">
        <v>1463.039</v>
      </c>
      <c r="M1803" s="752">
        <v>662.13199999999995</v>
      </c>
      <c r="N1803" s="1169">
        <f>L1803-M1803</f>
        <v>800.90700000000004</v>
      </c>
      <c r="O1803" s="738"/>
      <c r="P1803" s="1109"/>
      <c r="Q1803" s="752"/>
      <c r="R1803" s="558">
        <f t="shared" ref="R1803" si="634">N1803</f>
        <v>800.90700000000004</v>
      </c>
      <c r="S1803" s="1109"/>
      <c r="T1803" s="506">
        <v>44</v>
      </c>
      <c r="U1803" s="825"/>
      <c r="V1803" s="291">
        <f t="shared" ca="1" si="611"/>
        <v>2067.7410000000018</v>
      </c>
      <c r="W1803" s="256">
        <f t="shared" ca="1" si="630"/>
        <v>2</v>
      </c>
      <c r="X1803" s="256">
        <f t="shared" ca="1" si="631"/>
        <v>1</v>
      </c>
      <c r="Y1803" s="250"/>
      <c r="Z1803" s="250"/>
    </row>
    <row r="1804" spans="1:26" s="111" customFormat="1" ht="15.75" x14ac:dyDescent="0.2">
      <c r="A1804" s="399"/>
      <c r="B1804" s="562"/>
      <c r="C1804" s="495"/>
      <c r="D1804" s="419"/>
      <c r="E1804" s="316"/>
      <c r="F1804" s="420"/>
      <c r="G1804" s="419"/>
      <c r="H1804" s="316"/>
      <c r="I1804" s="420"/>
      <c r="J1804" s="1109"/>
      <c r="K1804" s="433"/>
      <c r="L1804" s="824"/>
      <c r="M1804" s="752"/>
      <c r="N1804" s="552"/>
      <c r="O1804" s="738"/>
      <c r="P1804" s="1109"/>
      <c r="Q1804" s="752"/>
      <c r="R1804" s="558"/>
      <c r="S1804" s="1109"/>
      <c r="T1804" s="506"/>
      <c r="U1804" s="825"/>
      <c r="V1804" s="291">
        <f t="shared" ca="1" si="611"/>
        <v>2067.7410000000018</v>
      </c>
      <c r="W1804" s="256">
        <f t="shared" ca="1" si="630"/>
        <v>0</v>
      </c>
      <c r="X1804" s="256">
        <f t="shared" ca="1" si="631"/>
        <v>1</v>
      </c>
      <c r="Y1804" s="250"/>
      <c r="Z1804" s="250"/>
    </row>
    <row r="1805" spans="1:26" s="111" customFormat="1" ht="15.75" x14ac:dyDescent="0.2">
      <c r="A1805" s="399"/>
      <c r="B1805" s="562"/>
      <c r="C1805" s="495"/>
      <c r="D1805" s="419"/>
      <c r="E1805" s="316"/>
      <c r="F1805" s="420"/>
      <c r="G1805" s="419"/>
      <c r="H1805" s="316"/>
      <c r="I1805" s="420"/>
      <c r="J1805" s="1109"/>
      <c r="K1805" s="433"/>
      <c r="L1805" s="824"/>
      <c r="M1805" s="752"/>
      <c r="N1805" s="552"/>
      <c r="O1805" s="738"/>
      <c r="P1805" s="1109"/>
      <c r="Q1805" s="752"/>
      <c r="R1805" s="558"/>
      <c r="S1805" s="1109"/>
      <c r="T1805" s="506"/>
      <c r="U1805" s="825"/>
      <c r="V1805" s="291">
        <f t="shared" ca="1" si="611"/>
        <v>2067.7410000000018</v>
      </c>
      <c r="W1805" s="256">
        <f t="shared" ca="1" si="630"/>
        <v>0</v>
      </c>
      <c r="X1805" s="256">
        <f t="shared" ca="1" si="631"/>
        <v>1</v>
      </c>
      <c r="Y1805" s="250"/>
      <c r="Z1805" s="250"/>
    </row>
    <row r="1806" spans="1:26" s="111" customFormat="1" ht="15.75" x14ac:dyDescent="0.2">
      <c r="A1806" s="399"/>
      <c r="B1806" s="562"/>
      <c r="C1806" s="495" t="s">
        <v>1228</v>
      </c>
      <c r="D1806" s="419">
        <v>0</v>
      </c>
      <c r="E1806" s="316" t="s">
        <v>518</v>
      </c>
      <c r="F1806" s="420">
        <v>16</v>
      </c>
      <c r="G1806" s="419">
        <v>2</v>
      </c>
      <c r="H1806" s="316" t="s">
        <v>518</v>
      </c>
      <c r="I1806" s="420">
        <v>6</v>
      </c>
      <c r="J1806" s="1109"/>
      <c r="K1806" s="433">
        <f t="shared" ref="K1806:K1808" si="635">ABS((G1806*20+I1806)-(D1806*20+F1806))</f>
        <v>30</v>
      </c>
      <c r="L1806" s="824">
        <v>351.54899999999998</v>
      </c>
      <c r="M1806" s="752"/>
      <c r="N1806" s="552"/>
      <c r="O1806" s="738"/>
      <c r="P1806" s="1109"/>
      <c r="Q1806" s="752"/>
      <c r="R1806" s="558">
        <f t="shared" ref="R1806:R1808" si="636">L1806</f>
        <v>351.54899999999998</v>
      </c>
      <c r="S1806" s="1109"/>
      <c r="T1806" s="506">
        <v>44</v>
      </c>
      <c r="U1806" s="825"/>
      <c r="V1806" s="291">
        <f t="shared" ca="1" si="611"/>
        <v>2067.7410000000018</v>
      </c>
      <c r="W1806" s="256">
        <f t="shared" ca="1" si="630"/>
        <v>2</v>
      </c>
      <c r="X1806" s="256">
        <f t="shared" ca="1" si="631"/>
        <v>1</v>
      </c>
      <c r="Y1806" s="250"/>
      <c r="Z1806" s="250"/>
    </row>
    <row r="1807" spans="1:26" s="111" customFormat="1" ht="15.75" x14ac:dyDescent="0.2">
      <c r="A1807" s="399"/>
      <c r="B1807" s="562"/>
      <c r="C1807" s="495" t="s">
        <v>1228</v>
      </c>
      <c r="D1807" s="419">
        <v>2</v>
      </c>
      <c r="E1807" s="316" t="s">
        <v>518</v>
      </c>
      <c r="F1807" s="420">
        <v>6</v>
      </c>
      <c r="G1807" s="419">
        <v>3</v>
      </c>
      <c r="H1807" s="316" t="s">
        <v>518</v>
      </c>
      <c r="I1807" s="420">
        <v>4</v>
      </c>
      <c r="J1807" s="1109"/>
      <c r="K1807" s="433">
        <f t="shared" si="635"/>
        <v>18</v>
      </c>
      <c r="L1807" s="824">
        <v>138.85400000000001</v>
      </c>
      <c r="M1807" s="752"/>
      <c r="N1807" s="552"/>
      <c r="O1807" s="738"/>
      <c r="P1807" s="1109"/>
      <c r="Q1807" s="752"/>
      <c r="R1807" s="558">
        <f t="shared" si="636"/>
        <v>138.85400000000001</v>
      </c>
      <c r="S1807" s="1109"/>
      <c r="T1807" s="506">
        <v>44</v>
      </c>
      <c r="U1807" s="825"/>
      <c r="V1807" s="291">
        <f t="shared" ca="1" si="611"/>
        <v>2067.7410000000018</v>
      </c>
      <c r="W1807" s="256">
        <f t="shared" ca="1" si="630"/>
        <v>2</v>
      </c>
      <c r="X1807" s="256">
        <f t="shared" ca="1" si="631"/>
        <v>1</v>
      </c>
      <c r="Y1807" s="250"/>
      <c r="Z1807" s="250"/>
    </row>
    <row r="1808" spans="1:26" s="111" customFormat="1" ht="15.75" x14ac:dyDescent="0.2">
      <c r="A1808" s="399"/>
      <c r="B1808" s="562"/>
      <c r="C1808" s="495" t="s">
        <v>1228</v>
      </c>
      <c r="D1808" s="419">
        <v>3</v>
      </c>
      <c r="E1808" s="316" t="s">
        <v>518</v>
      </c>
      <c r="F1808" s="420">
        <v>4</v>
      </c>
      <c r="G1808" s="419">
        <v>4</v>
      </c>
      <c r="H1808" s="316" t="s">
        <v>518</v>
      </c>
      <c r="I1808" s="420">
        <v>0</v>
      </c>
      <c r="J1808" s="1109"/>
      <c r="K1808" s="433">
        <f t="shared" si="635"/>
        <v>16</v>
      </c>
      <c r="L1808" s="824">
        <v>120.78100000000001</v>
      </c>
      <c r="M1808" s="752"/>
      <c r="N1808" s="552"/>
      <c r="O1808" s="738"/>
      <c r="P1808" s="1109"/>
      <c r="Q1808" s="752"/>
      <c r="R1808" s="558">
        <f t="shared" si="636"/>
        <v>120.78100000000001</v>
      </c>
      <c r="S1808" s="1109"/>
      <c r="T1808" s="506">
        <v>44</v>
      </c>
      <c r="U1808" s="825"/>
      <c r="V1808" s="291">
        <f t="shared" ca="1" si="611"/>
        <v>2067.7410000000018</v>
      </c>
      <c r="W1808" s="256">
        <f t="shared" ca="1" si="630"/>
        <v>2</v>
      </c>
      <c r="X1808" s="256">
        <f t="shared" ca="1" si="631"/>
        <v>1</v>
      </c>
      <c r="Y1808" s="250"/>
      <c r="Z1808" s="250"/>
    </row>
    <row r="1809" spans="1:29" s="111" customFormat="1" ht="15.75" x14ac:dyDescent="0.2">
      <c r="A1809" s="399"/>
      <c r="B1809" s="562"/>
      <c r="C1809" s="495" t="s">
        <v>1228</v>
      </c>
      <c r="D1809" s="419">
        <v>4</v>
      </c>
      <c r="E1809" s="316" t="s">
        <v>518</v>
      </c>
      <c r="F1809" s="420">
        <v>0</v>
      </c>
      <c r="G1809" s="419">
        <v>4</v>
      </c>
      <c r="H1809" s="316" t="s">
        <v>518</v>
      </c>
      <c r="I1809" s="420">
        <v>16</v>
      </c>
      <c r="J1809" s="1102"/>
      <c r="K1809" s="433">
        <f t="shared" si="632"/>
        <v>16</v>
      </c>
      <c r="L1809" s="824">
        <v>330.03100000000001</v>
      </c>
      <c r="M1809" s="752"/>
      <c r="N1809" s="552"/>
      <c r="O1809" s="738"/>
      <c r="P1809" s="1102"/>
      <c r="Q1809" s="752"/>
      <c r="R1809" s="558">
        <f t="shared" si="629"/>
        <v>330.03100000000001</v>
      </c>
      <c r="S1809" s="1102"/>
      <c r="T1809" s="506">
        <v>39</v>
      </c>
      <c r="U1809" s="825"/>
      <c r="V1809" s="291">
        <f t="shared" ca="1" si="611"/>
        <v>2067.7410000000018</v>
      </c>
      <c r="W1809" s="256">
        <f t="shared" ca="1" si="630"/>
        <v>2</v>
      </c>
      <c r="X1809" s="256">
        <f t="shared" ca="1" si="631"/>
        <v>1</v>
      </c>
      <c r="Y1809" s="250"/>
      <c r="Z1809" s="250"/>
    </row>
    <row r="1810" spans="1:29" s="111" customFormat="1" ht="15.75" x14ac:dyDescent="0.2">
      <c r="A1810" s="399"/>
      <c r="B1810" s="562"/>
      <c r="C1810" s="495" t="s">
        <v>1228</v>
      </c>
      <c r="D1810" s="419">
        <v>4</v>
      </c>
      <c r="E1810" s="316" t="s">
        <v>518</v>
      </c>
      <c r="F1810" s="420">
        <v>16</v>
      </c>
      <c r="G1810" s="419">
        <v>5</v>
      </c>
      <c r="H1810" s="316" t="s">
        <v>518</v>
      </c>
      <c r="I1810" s="420">
        <v>14.5</v>
      </c>
      <c r="J1810" s="560"/>
      <c r="K1810" s="433">
        <f t="shared" si="632"/>
        <v>18.5</v>
      </c>
      <c r="L1810" s="824">
        <v>224.11500000000001</v>
      </c>
      <c r="M1810" s="752"/>
      <c r="N1810" s="552"/>
      <c r="O1810" s="738"/>
      <c r="P1810" s="560"/>
      <c r="Q1810" s="752"/>
      <c r="R1810" s="558">
        <f t="shared" si="629"/>
        <v>224.11500000000001</v>
      </c>
      <c r="S1810" s="560"/>
      <c r="T1810" s="506">
        <v>38</v>
      </c>
      <c r="U1810" s="825"/>
      <c r="V1810" s="291">
        <f t="shared" ca="1" si="611"/>
        <v>2067.7410000000018</v>
      </c>
      <c r="W1810" s="256">
        <f t="shared" ca="1" si="630"/>
        <v>2</v>
      </c>
      <c r="X1810" s="256">
        <f t="shared" ca="1" si="631"/>
        <v>1</v>
      </c>
      <c r="Y1810" s="250"/>
      <c r="Z1810" s="250"/>
    </row>
    <row r="1811" spans="1:29" s="111" customFormat="1" ht="15.75" x14ac:dyDescent="0.2">
      <c r="A1811" s="399"/>
      <c r="B1811" s="562"/>
      <c r="C1811" s="495"/>
      <c r="D1811" s="496"/>
      <c r="E1811" s="497"/>
      <c r="F1811" s="498"/>
      <c r="G1811" s="496"/>
      <c r="H1811" s="497"/>
      <c r="I1811" s="498"/>
      <c r="J1811" s="560"/>
      <c r="K1811" s="500"/>
      <c r="L1811" s="564"/>
      <c r="M1811" s="752"/>
      <c r="N1811" s="552"/>
      <c r="O1811" s="738"/>
      <c r="P1811" s="560"/>
      <c r="Q1811" s="752"/>
      <c r="R1811" s="558"/>
      <c r="S1811" s="560"/>
      <c r="T1811" s="506"/>
      <c r="U1811" s="825"/>
      <c r="V1811" s="291">
        <f t="shared" ca="1" si="611"/>
        <v>2067.7410000000018</v>
      </c>
      <c r="W1811" s="256">
        <f t="shared" ca="1" si="630"/>
        <v>0</v>
      </c>
      <c r="X1811" s="256">
        <f t="shared" ca="1" si="631"/>
        <v>1</v>
      </c>
      <c r="Y1811" s="250"/>
      <c r="Z1811" s="250"/>
    </row>
    <row r="1812" spans="1:29" s="111" customFormat="1" ht="15" x14ac:dyDescent="0.2">
      <c r="A1812" s="288"/>
      <c r="B1812" s="338"/>
      <c r="C1812" s="339"/>
      <c r="D1812" s="340"/>
      <c r="E1812" s="341"/>
      <c r="F1812" s="342"/>
      <c r="G1812" s="340"/>
      <c r="H1812" s="341"/>
      <c r="I1812" s="342"/>
      <c r="J1812" s="343"/>
      <c r="K1812" s="344"/>
      <c r="L1812" s="345"/>
      <c r="M1812" s="346"/>
      <c r="N1812" s="347"/>
      <c r="O1812" s="348"/>
      <c r="P1812" s="345"/>
      <c r="Q1812" s="349"/>
      <c r="R1812" s="350"/>
      <c r="S1812" s="351"/>
      <c r="T1812" s="352"/>
      <c r="U1812" s="353"/>
      <c r="V1812" s="291">
        <f t="shared" ca="1" si="611"/>
        <v>2067.7410000000018</v>
      </c>
      <c r="W1812" s="256">
        <f t="shared" ca="1" si="630"/>
        <v>0</v>
      </c>
      <c r="X1812" s="256">
        <f t="shared" ca="1" si="631"/>
        <v>1</v>
      </c>
      <c r="Y1812" s="250"/>
      <c r="Z1812" s="250"/>
    </row>
    <row r="1813" spans="1:29" s="111" customFormat="1" ht="15.75" x14ac:dyDescent="0.2">
      <c r="A1813" s="288"/>
      <c r="B1813" s="354"/>
      <c r="C1813" s="355"/>
      <c r="D1813" s="1354" t="s">
        <v>492</v>
      </c>
      <c r="E1813" s="1355"/>
      <c r="F1813" s="1355"/>
      <c r="G1813" s="1355"/>
      <c r="H1813" s="1355"/>
      <c r="I1813" s="1356"/>
      <c r="J1813" s="1357">
        <f>VLOOKUP(A1815,'11 - FINANCEIRO'!_xlnm.Print_Area,6,FALSE)</f>
        <v>20932.650000000001</v>
      </c>
      <c r="K1813" s="1358"/>
      <c r="L1813" s="356" t="str">
        <f>VLOOKUP(A1815,'11 - FINANCEIRO'!_xlnm.Print_Area,4,FALSE)</f>
        <v>m³</v>
      </c>
      <c r="M1813" s="1359" t="s">
        <v>493</v>
      </c>
      <c r="N1813" s="1360"/>
      <c r="O1813" s="1360"/>
      <c r="P1813" s="1360"/>
      <c r="Q1813" s="1361"/>
      <c r="R1813" s="357">
        <f>TRUNC(SUM(R1786:R1812),3)</f>
        <v>16738.491000000002</v>
      </c>
      <c r="S1813" s="358" t="str">
        <f>L1813</f>
        <v>m³</v>
      </c>
      <c r="T1813" s="1423"/>
      <c r="U1813" s="1424"/>
      <c r="V1813" s="291">
        <f t="shared" ca="1" si="611"/>
        <v>2067.7410000000018</v>
      </c>
      <c r="W1813" s="256">
        <f t="shared" ca="1" si="630"/>
        <v>2</v>
      </c>
      <c r="X1813" s="256">
        <f t="shared" ca="1" si="631"/>
        <v>1</v>
      </c>
      <c r="Y1813" s="250"/>
      <c r="Z1813" s="250"/>
    </row>
    <row r="1814" spans="1:29" s="395" customFormat="1" ht="15.75" x14ac:dyDescent="0.25">
      <c r="A1814" s="276"/>
      <c r="B1814" s="354"/>
      <c r="C1814" s="361"/>
      <c r="D1814" s="1362" t="s">
        <v>494</v>
      </c>
      <c r="E1814" s="1363"/>
      <c r="F1814" s="1363"/>
      <c r="G1814" s="1363"/>
      <c r="H1814" s="1363"/>
      <c r="I1814" s="1364"/>
      <c r="J1814" s="1365">
        <f>R1813/J1813</f>
        <v>0.79963554542783644</v>
      </c>
      <c r="K1814" s="1366"/>
      <c r="L1814" s="1369"/>
      <c r="M1814" s="1371" t="s">
        <v>495</v>
      </c>
      <c r="N1814" s="1372"/>
      <c r="O1814" s="1372"/>
      <c r="P1814" s="1372"/>
      <c r="Q1814" s="1373"/>
      <c r="R1814" s="362">
        <f>VLOOKUP(A1815,'11 - FINANCEIRO'!_xlnm.Print_Area,8,FALSE)</f>
        <v>14670.75</v>
      </c>
      <c r="S1814" s="363" t="str">
        <f>L1813</f>
        <v>m³</v>
      </c>
      <c r="T1814" s="1386"/>
      <c r="U1814" s="1387"/>
      <c r="V1814" s="291">
        <f t="shared" ca="1" si="611"/>
        <v>2067.7410000000018</v>
      </c>
      <c r="W1814" s="256">
        <f t="shared" ca="1" si="630"/>
        <v>2</v>
      </c>
      <c r="X1814" s="256">
        <f t="shared" ca="1" si="631"/>
        <v>1</v>
      </c>
    </row>
    <row r="1815" spans="1:29" s="293" customFormat="1" ht="15.75" x14ac:dyDescent="0.2">
      <c r="A1815" s="288" t="s">
        <v>48</v>
      </c>
      <c r="B1815" s="364"/>
      <c r="C1815" s="365"/>
      <c r="D1815" s="1354"/>
      <c r="E1815" s="1355"/>
      <c r="F1815" s="1355"/>
      <c r="G1815" s="1355"/>
      <c r="H1815" s="1355"/>
      <c r="I1815" s="1356"/>
      <c r="J1815" s="1367"/>
      <c r="K1815" s="1368"/>
      <c r="L1815" s="1370"/>
      <c r="M1815" s="1371" t="s">
        <v>496</v>
      </c>
      <c r="N1815" s="1372"/>
      <c r="O1815" s="1372"/>
      <c r="P1815" s="1372"/>
      <c r="Q1815" s="1373"/>
      <c r="R1815" s="362">
        <f>R1813-R1814</f>
        <v>2067.7410000000018</v>
      </c>
      <c r="S1815" s="363" t="str">
        <f>L1813</f>
        <v>m³</v>
      </c>
      <c r="T1815" s="1388"/>
      <c r="U1815" s="1389"/>
      <c r="V1815" s="291">
        <f t="shared" ca="1" si="611"/>
        <v>2067.7410000000018</v>
      </c>
      <c r="W1815" s="256">
        <f t="shared" ca="1" si="630"/>
        <v>2</v>
      </c>
      <c r="X1815" s="256">
        <f t="shared" ca="1" si="631"/>
        <v>1</v>
      </c>
      <c r="Y1815" s="256"/>
      <c r="Z1815" s="256"/>
      <c r="AA1815" s="292"/>
      <c r="AB1815" s="292"/>
      <c r="AC1815" s="292"/>
    </row>
    <row r="1816" spans="1:29" s="111" customFormat="1" ht="15.75" x14ac:dyDescent="0.2">
      <c r="A1816" s="288"/>
      <c r="B1816" s="368"/>
      <c r="C1816" s="365"/>
      <c r="D1816" s="369"/>
      <c r="E1816" s="370"/>
      <c r="F1816" s="369"/>
      <c r="G1816" s="369"/>
      <c r="H1816" s="369"/>
      <c r="I1816" s="369"/>
      <c r="J1816" s="371"/>
      <c r="K1816" s="372"/>
      <c r="L1816" s="373"/>
      <c r="M1816" s="374"/>
      <c r="N1816" s="374"/>
      <c r="O1816" s="374"/>
      <c r="P1816" s="374"/>
      <c r="Q1816" s="374"/>
      <c r="R1816" s="375"/>
      <c r="S1816" s="376"/>
      <c r="T1816" s="377"/>
      <c r="U1816" s="378"/>
      <c r="V1816" s="379">
        <f ca="1">SUM(V1784:V1815)</f>
        <v>66167.712000000058</v>
      </c>
      <c r="W1816" s="256">
        <f t="shared" ref="W1816:W1878" ca="1" si="637">IF(LEFT(_xlfn.FORMULATEXT(V1816),3)="=SO",1,IF(COUNTA(A1816:U1816)=0,0,2))</f>
        <v>1</v>
      </c>
      <c r="X1816" s="256">
        <f t="shared" ca="1" si="591"/>
        <v>0</v>
      </c>
      <c r="Y1816" s="250"/>
      <c r="Z1816" s="250"/>
    </row>
    <row r="1817" spans="1:29" s="293" customFormat="1" ht="15.75" x14ac:dyDescent="0.2">
      <c r="A1817" s="288"/>
      <c r="B1817" s="385" t="str">
        <f>LEFT(A1825,5)</f>
        <v>2.3</v>
      </c>
      <c r="C1817" s="386" t="str">
        <f>VLOOKUP(LEFT(A1825,5),'11 - FINANCEIRO'!_xlnm.Print_Area,2,FALSE)</f>
        <v>Drenagem Pluvial</v>
      </c>
      <c r="D1817" s="386"/>
      <c r="E1817" s="387"/>
      <c r="F1817" s="386"/>
      <c r="G1817" s="1395"/>
      <c r="H1817" s="1395"/>
      <c r="I1817" s="1395"/>
      <c r="J1817" s="1395"/>
      <c r="K1817" s="1395"/>
      <c r="L1817" s="1395"/>
      <c r="M1817" s="389"/>
      <c r="N1817" s="390"/>
      <c r="O1817" s="1418"/>
      <c r="P1817" s="1418"/>
      <c r="Q1817" s="1418"/>
      <c r="R1817" s="1419"/>
      <c r="S1817" s="407"/>
      <c r="T1817" s="408"/>
      <c r="U1817" s="409"/>
      <c r="V1817" s="549">
        <f ca="1">SUM(V1818:V1827)</f>
        <v>18</v>
      </c>
      <c r="W1817" s="256">
        <f t="shared" ca="1" si="637"/>
        <v>1</v>
      </c>
      <c r="X1817" s="256">
        <f t="shared" ca="1" si="591"/>
        <v>1</v>
      </c>
      <c r="Y1817" s="256"/>
      <c r="Z1817" s="256"/>
      <c r="AA1817" s="292"/>
      <c r="AB1817" s="292"/>
      <c r="AC1817" s="292"/>
    </row>
    <row r="1818" spans="1:29" s="293" customFormat="1" ht="15.75" customHeight="1" x14ac:dyDescent="0.25">
      <c r="A1818" s="288"/>
      <c r="B1818" s="1374" t="str">
        <f>VLOOKUP(A1826,'11 - FINANCEIRO'!_xlnm.Print_Area,1,FALSE)</f>
        <v>2.3.1</v>
      </c>
      <c r="C1818" s="1376" t="str">
        <f>VLOOKUP(A1826,'11 - FINANCEIRO'!_xlnm.Print_Area,3,FALSE)</f>
        <v>Tampão Fofo Articulado, Classe B125 Carga Max 12,5 T, Redondo Tampa 600 Mm, Rede Pluvial/Esgoto, P = Chamine Cx Areia / Poco Visita Assentado Com Arg Cim/Areia 1:4, Fornecimento E Assentamento</v>
      </c>
      <c r="D1818" s="1378" t="s">
        <v>477</v>
      </c>
      <c r="E1818" s="1379"/>
      <c r="F1818" s="1379"/>
      <c r="G1818" s="1379"/>
      <c r="H1818" s="1379"/>
      <c r="I1818" s="1380"/>
      <c r="J1818" s="1338" t="s">
        <v>296</v>
      </c>
      <c r="K1818" s="1338" t="s">
        <v>479</v>
      </c>
      <c r="L1818" s="1338" t="s">
        <v>480</v>
      </c>
      <c r="M1818" s="1338" t="s">
        <v>481</v>
      </c>
      <c r="N1818" s="1338" t="s">
        <v>482</v>
      </c>
      <c r="O1818" s="1338" t="s">
        <v>483</v>
      </c>
      <c r="P1818" s="478" t="s">
        <v>605</v>
      </c>
      <c r="Q1818" s="1338" t="s">
        <v>485</v>
      </c>
      <c r="R1818" s="1336" t="s">
        <v>296</v>
      </c>
      <c r="S1818" s="1338" t="s">
        <v>486</v>
      </c>
      <c r="T1818" s="1338" t="s">
        <v>487</v>
      </c>
      <c r="U1818" s="1340" t="s">
        <v>488</v>
      </c>
      <c r="V1818" s="291">
        <f t="shared" ref="V1818:V1826" ca="1" si="638">IF(OFFSET(V1818,1,1)=1,OFFSET(V1818,0,-4),OFFSET(V1818,1,0))</f>
        <v>1</v>
      </c>
      <c r="W1818" s="256">
        <f t="shared" ca="1" si="637"/>
        <v>2</v>
      </c>
      <c r="X1818" s="256">
        <f t="shared" ca="1" si="591"/>
        <v>1</v>
      </c>
      <c r="Y1818" s="256"/>
      <c r="Z1818" s="256"/>
      <c r="AA1818" s="292"/>
      <c r="AB1818" s="292"/>
      <c r="AC1818" s="292"/>
    </row>
    <row r="1819" spans="1:29" s="337" customFormat="1" ht="15.75" x14ac:dyDescent="0.2">
      <c r="A1819" s="288"/>
      <c r="B1819" s="1375" t="e">
        <f>LEFT(#REF!,5)</f>
        <v>#REF!</v>
      </c>
      <c r="C1819" s="1377" t="e">
        <f>VLOOKUP(LEFT(#REF!,5),'11 - FINANCEIRO'!_xlnm.Print_Area,2,FALSE)</f>
        <v>#REF!</v>
      </c>
      <c r="D1819" s="1342" t="s">
        <v>489</v>
      </c>
      <c r="E1819" s="1343"/>
      <c r="F1819" s="1344"/>
      <c r="G1819" s="1345" t="s">
        <v>490</v>
      </c>
      <c r="H1819" s="1346"/>
      <c r="I1819" s="1347"/>
      <c r="J1819" s="1339"/>
      <c r="K1819" s="1339"/>
      <c r="L1819" s="1339"/>
      <c r="M1819" s="1339"/>
      <c r="N1819" s="1339"/>
      <c r="O1819" s="1339"/>
      <c r="P1819" s="295" t="s">
        <v>618</v>
      </c>
      <c r="Q1819" s="1339"/>
      <c r="R1819" s="1337"/>
      <c r="S1819" s="1339"/>
      <c r="T1819" s="1339"/>
      <c r="U1819" s="1341"/>
      <c r="V1819" s="291">
        <f t="shared" ca="1" si="638"/>
        <v>1</v>
      </c>
      <c r="W1819" s="256">
        <f t="shared" ca="1" si="637"/>
        <v>2</v>
      </c>
      <c r="X1819" s="256">
        <f t="shared" ca="1" si="591"/>
        <v>1</v>
      </c>
      <c r="Y1819" s="336"/>
      <c r="Z1819" s="336"/>
    </row>
    <row r="1820" spans="1:29" s="337" customFormat="1" ht="15.75" x14ac:dyDescent="0.2">
      <c r="A1820" s="288"/>
      <c r="B1820" s="296"/>
      <c r="C1820" s="297" t="s">
        <v>751</v>
      </c>
      <c r="D1820" s="298"/>
      <c r="E1820" s="299"/>
      <c r="F1820" s="300"/>
      <c r="G1820" s="301"/>
      <c r="H1820" s="302"/>
      <c r="I1820" s="303"/>
      <c r="J1820" s="304"/>
      <c r="K1820" s="304"/>
      <c r="L1820" s="304"/>
      <c r="M1820" s="304"/>
      <c r="N1820" s="304"/>
      <c r="O1820" s="304"/>
      <c r="P1820" s="306"/>
      <c r="Q1820" s="304"/>
      <c r="R1820" s="307">
        <v>1</v>
      </c>
      <c r="S1820" s="304" t="s">
        <v>356</v>
      </c>
      <c r="T1820" s="309">
        <v>44</v>
      </c>
      <c r="U1820" s="310"/>
      <c r="V1820" s="291">
        <f t="shared" ca="1" si="638"/>
        <v>1</v>
      </c>
      <c r="W1820" s="256">
        <f t="shared" ca="1" si="637"/>
        <v>2</v>
      </c>
      <c r="X1820" s="256">
        <f t="shared" ca="1" si="591"/>
        <v>1</v>
      </c>
      <c r="Y1820" s="336"/>
      <c r="Z1820" s="336"/>
    </row>
    <row r="1821" spans="1:29" s="595" customFormat="1" ht="15.75" x14ac:dyDescent="0.2">
      <c r="A1821" s="288"/>
      <c r="B1821" s="311"/>
      <c r="C1821" s="312"/>
      <c r="D1821" s="313"/>
      <c r="E1821" s="314"/>
      <c r="F1821" s="315"/>
      <c r="G1821" s="380"/>
      <c r="H1821" s="316"/>
      <c r="I1821" s="381"/>
      <c r="J1821" s="317"/>
      <c r="K1821" s="313"/>
      <c r="L1821" s="317"/>
      <c r="M1821" s="315"/>
      <c r="N1821" s="314"/>
      <c r="O1821" s="313"/>
      <c r="P1821" s="318"/>
      <c r="Q1821" s="315"/>
      <c r="R1821" s="319"/>
      <c r="S1821" s="317"/>
      <c r="T1821" s="320"/>
      <c r="U1821" s="321"/>
      <c r="V1821" s="291">
        <f t="shared" ca="1" si="638"/>
        <v>1</v>
      </c>
      <c r="W1821" s="256">
        <f t="shared" ca="1" si="637"/>
        <v>0</v>
      </c>
      <c r="X1821" s="256">
        <f t="shared" ca="1" si="591"/>
        <v>1</v>
      </c>
      <c r="Y1821" s="249"/>
      <c r="Z1821" s="249"/>
    </row>
    <row r="1822" spans="1:29" s="595" customFormat="1" ht="15" x14ac:dyDescent="0.2">
      <c r="A1822" s="288"/>
      <c r="B1822" s="322"/>
      <c r="C1822" s="382"/>
      <c r="D1822" s="324"/>
      <c r="E1822" s="325"/>
      <c r="F1822" s="326"/>
      <c r="G1822" s="324"/>
      <c r="H1822" s="325"/>
      <c r="I1822" s="326"/>
      <c r="J1822" s="317"/>
      <c r="K1822" s="328"/>
      <c r="L1822" s="328"/>
      <c r="M1822" s="328"/>
      <c r="N1822" s="328"/>
      <c r="O1822" s="334"/>
      <c r="P1822" s="328"/>
      <c r="Q1822" s="334"/>
      <c r="R1822" s="333"/>
      <c r="S1822" s="331"/>
      <c r="T1822" s="320"/>
      <c r="U1822" s="335"/>
      <c r="V1822" s="291">
        <f t="shared" ca="1" si="638"/>
        <v>1</v>
      </c>
      <c r="W1822" s="256">
        <f t="shared" ca="1" si="637"/>
        <v>0</v>
      </c>
      <c r="X1822" s="256">
        <f t="shared" ca="1" si="591"/>
        <v>1</v>
      </c>
      <c r="Y1822" s="249"/>
      <c r="Z1822" s="249"/>
    </row>
    <row r="1823" spans="1:29" s="595" customFormat="1" ht="15" x14ac:dyDescent="0.2">
      <c r="A1823" s="288"/>
      <c r="B1823" s="338"/>
      <c r="C1823" s="339"/>
      <c r="D1823" s="340"/>
      <c r="E1823" s="341"/>
      <c r="F1823" s="342"/>
      <c r="G1823" s="340"/>
      <c r="H1823" s="341"/>
      <c r="I1823" s="342"/>
      <c r="J1823" s="343"/>
      <c r="K1823" s="344"/>
      <c r="L1823" s="345"/>
      <c r="M1823" s="346"/>
      <c r="N1823" s="347"/>
      <c r="O1823" s="348"/>
      <c r="P1823" s="345"/>
      <c r="Q1823" s="349"/>
      <c r="R1823" s="350"/>
      <c r="S1823" s="351"/>
      <c r="T1823" s="352"/>
      <c r="U1823" s="353"/>
      <c r="V1823" s="291">
        <f t="shared" ca="1" si="638"/>
        <v>1</v>
      </c>
      <c r="W1823" s="256">
        <f t="shared" ca="1" si="637"/>
        <v>0</v>
      </c>
      <c r="X1823" s="256">
        <f t="shared" ca="1" si="591"/>
        <v>1</v>
      </c>
      <c r="Y1823" s="249"/>
      <c r="Z1823" s="249"/>
    </row>
    <row r="1824" spans="1:29" s="111" customFormat="1" ht="15.75" x14ac:dyDescent="0.2">
      <c r="A1824" s="288"/>
      <c r="B1824" s="354"/>
      <c r="C1824" s="355"/>
      <c r="D1824" s="1354" t="s">
        <v>492</v>
      </c>
      <c r="E1824" s="1355"/>
      <c r="F1824" s="1355"/>
      <c r="G1824" s="1355"/>
      <c r="H1824" s="1355"/>
      <c r="I1824" s="1356"/>
      <c r="J1824" s="1357">
        <f>VLOOKUP(A1826,'11 - FINANCEIRO'!_xlnm.Print_Area,6,FALSE)</f>
        <v>1</v>
      </c>
      <c r="K1824" s="1358"/>
      <c r="L1824" s="356" t="str">
        <f>VLOOKUP(A1826,'11 - FINANCEIRO'!_xlnm.Print_Area,4,FALSE)</f>
        <v>UN</v>
      </c>
      <c r="M1824" s="1359" t="s">
        <v>493</v>
      </c>
      <c r="N1824" s="1360"/>
      <c r="O1824" s="1360"/>
      <c r="P1824" s="1360"/>
      <c r="Q1824" s="1361"/>
      <c r="R1824" s="357">
        <f>TRUNC(SUM(R1820:R1823),3)</f>
        <v>1</v>
      </c>
      <c r="S1824" s="358" t="str">
        <f>L1824</f>
        <v>UN</v>
      </c>
      <c r="T1824" s="359"/>
      <c r="U1824" s="360"/>
      <c r="V1824" s="291">
        <f t="shared" ca="1" si="638"/>
        <v>1</v>
      </c>
      <c r="W1824" s="256">
        <f t="shared" ca="1" si="637"/>
        <v>2</v>
      </c>
      <c r="X1824" s="256">
        <f t="shared" ca="1" si="591"/>
        <v>1</v>
      </c>
      <c r="Y1824" s="250"/>
      <c r="Z1824" s="250"/>
    </row>
    <row r="1825" spans="1:29" s="395" customFormat="1" ht="15.75" x14ac:dyDescent="0.2">
      <c r="A1825" s="288" t="s">
        <v>49</v>
      </c>
      <c r="B1825" s="354"/>
      <c r="C1825" s="361"/>
      <c r="D1825" s="1362" t="s">
        <v>494</v>
      </c>
      <c r="E1825" s="1363"/>
      <c r="F1825" s="1363"/>
      <c r="G1825" s="1363"/>
      <c r="H1825" s="1363"/>
      <c r="I1825" s="1364"/>
      <c r="J1825" s="1365">
        <f>R1824/J1824</f>
        <v>1</v>
      </c>
      <c r="K1825" s="1366"/>
      <c r="L1825" s="1369"/>
      <c r="M1825" s="1371" t="s">
        <v>495</v>
      </c>
      <c r="N1825" s="1372"/>
      <c r="O1825" s="1372"/>
      <c r="P1825" s="1372"/>
      <c r="Q1825" s="1373"/>
      <c r="R1825" s="362">
        <f>VLOOKUP(A1826,'11 - FINANCEIRO'!_xlnm.Print_Area,8,FALSE)</f>
        <v>0</v>
      </c>
      <c r="S1825" s="363" t="str">
        <f>L1824</f>
        <v>UN</v>
      </c>
      <c r="T1825" s="359"/>
      <c r="U1825" s="360"/>
      <c r="V1825" s="291">
        <f t="shared" ca="1" si="638"/>
        <v>1</v>
      </c>
      <c r="W1825" s="256">
        <f t="shared" ca="1" si="637"/>
        <v>2</v>
      </c>
      <c r="X1825" s="256">
        <f t="shared" ca="1" si="591"/>
        <v>1</v>
      </c>
    </row>
    <row r="1826" spans="1:29" s="293" customFormat="1" ht="15.75" x14ac:dyDescent="0.2">
      <c r="A1826" s="288" t="s">
        <v>50</v>
      </c>
      <c r="B1826" s="364"/>
      <c r="C1826" s="365"/>
      <c r="D1826" s="1354"/>
      <c r="E1826" s="1355"/>
      <c r="F1826" s="1355"/>
      <c r="G1826" s="1355"/>
      <c r="H1826" s="1355"/>
      <c r="I1826" s="1356"/>
      <c r="J1826" s="1367"/>
      <c r="K1826" s="1368"/>
      <c r="L1826" s="1370"/>
      <c r="M1826" s="1371" t="s">
        <v>496</v>
      </c>
      <c r="N1826" s="1372"/>
      <c r="O1826" s="1372"/>
      <c r="P1826" s="1372"/>
      <c r="Q1826" s="1373"/>
      <c r="R1826" s="362">
        <f>R1824-R1825</f>
        <v>1</v>
      </c>
      <c r="S1826" s="363" t="str">
        <f>L1824</f>
        <v>UN</v>
      </c>
      <c r="T1826" s="366"/>
      <c r="U1826" s="367"/>
      <c r="V1826" s="291">
        <f t="shared" ca="1" si="638"/>
        <v>1</v>
      </c>
      <c r="W1826" s="256">
        <f t="shared" ca="1" si="637"/>
        <v>2</v>
      </c>
      <c r="X1826" s="256">
        <f t="shared" ca="1" si="591"/>
        <v>1</v>
      </c>
      <c r="Y1826" s="256"/>
      <c r="Z1826" s="256"/>
      <c r="AA1826" s="292"/>
      <c r="AB1826" s="292"/>
      <c r="AC1826" s="292"/>
    </row>
    <row r="1827" spans="1:29" s="111" customFormat="1" ht="15.75" x14ac:dyDescent="0.2">
      <c r="A1827" s="288"/>
      <c r="B1827" s="368"/>
      <c r="C1827" s="365"/>
      <c r="D1827" s="369"/>
      <c r="E1827" s="370"/>
      <c r="F1827" s="369"/>
      <c r="G1827" s="369"/>
      <c r="H1827" s="369"/>
      <c r="I1827" s="369"/>
      <c r="J1827" s="371"/>
      <c r="K1827" s="372"/>
      <c r="L1827" s="373"/>
      <c r="M1827" s="374"/>
      <c r="N1827" s="374"/>
      <c r="O1827" s="374"/>
      <c r="P1827" s="374"/>
      <c r="Q1827" s="374"/>
      <c r="R1827" s="375"/>
      <c r="S1827" s="376"/>
      <c r="T1827" s="377"/>
      <c r="U1827" s="378"/>
      <c r="V1827" s="379">
        <f ca="1">SUM(V1818:V1826)</f>
        <v>9</v>
      </c>
      <c r="W1827" s="256">
        <f t="shared" ca="1" si="637"/>
        <v>1</v>
      </c>
      <c r="X1827" s="256">
        <f t="shared" ca="1" si="591"/>
        <v>0</v>
      </c>
      <c r="Y1827" s="250"/>
      <c r="Z1827" s="250"/>
    </row>
    <row r="1828" spans="1:29" s="293" customFormat="1" ht="15.75" x14ac:dyDescent="0.2">
      <c r="A1828" s="288"/>
      <c r="B1828" s="385" t="str">
        <f>LEFT(A1836,5)</f>
        <v>2.4</v>
      </c>
      <c r="C1828" s="386" t="str">
        <f>VLOOKUP(LEFT(A1836,5),'11 - FINANCEIRO'!_xlnm.Print_Area,2,FALSE)</f>
        <v>Obras Complementares</v>
      </c>
      <c r="D1828" s="386"/>
      <c r="E1828" s="387"/>
      <c r="F1828" s="386"/>
      <c r="G1828" s="1395"/>
      <c r="H1828" s="1395"/>
      <c r="I1828" s="1395"/>
      <c r="J1828" s="1395"/>
      <c r="K1828" s="1395"/>
      <c r="L1828" s="1395"/>
      <c r="M1828" s="389"/>
      <c r="N1828" s="390"/>
      <c r="O1828" s="1418"/>
      <c r="P1828" s="1418"/>
      <c r="Q1828" s="1418"/>
      <c r="R1828" s="1419"/>
      <c r="S1828" s="407"/>
      <c r="T1828" s="408"/>
      <c r="U1828" s="409"/>
      <c r="V1828" s="549">
        <f ca="1">SUM(V1829:V2037)</f>
        <v>1474.7400000000005</v>
      </c>
      <c r="W1828" s="256">
        <f t="shared" ca="1" si="637"/>
        <v>1</v>
      </c>
      <c r="X1828" s="256">
        <f t="shared" ca="1" si="591"/>
        <v>1</v>
      </c>
      <c r="Y1828" s="256"/>
      <c r="Z1828" s="256"/>
      <c r="AA1828" s="292"/>
      <c r="AB1828" s="292"/>
      <c r="AC1828" s="292"/>
    </row>
    <row r="1829" spans="1:29" s="293" customFormat="1" ht="15.75" hidden="1" customHeight="1" x14ac:dyDescent="0.25">
      <c r="A1829" s="288"/>
      <c r="B1829" s="1374" t="str">
        <f>VLOOKUP(A1837,'11 - FINANCEIRO'!_xlnm.Print_Area,1,FALSE)</f>
        <v>2.4.1</v>
      </c>
      <c r="C1829" s="1376" t="str">
        <f>VLOOKUP(A1837,'11 - FINANCEIRO'!_xlnm.Print_Area,3,FALSE)</f>
        <v>Índice De Preço Para Remoção De Entulho Decorrente Da Execução De Obras (Classe A Conama - Nbr 10.004 - Classe Ii-B), Incluindo Aluguel Da Caçamba, Carga, Transporte E Descarga Em Área Licenciada</v>
      </c>
      <c r="D1829" s="1378" t="s">
        <v>477</v>
      </c>
      <c r="E1829" s="1379"/>
      <c r="F1829" s="1379"/>
      <c r="G1829" s="1379"/>
      <c r="H1829" s="1379"/>
      <c r="I1829" s="1380"/>
      <c r="J1829" s="1338" t="s">
        <v>478</v>
      </c>
      <c r="K1829" s="1338" t="s">
        <v>479</v>
      </c>
      <c r="L1829" s="1338" t="s">
        <v>480</v>
      </c>
      <c r="M1829" s="1338" t="s">
        <v>481</v>
      </c>
      <c r="N1829" s="1338" t="s">
        <v>482</v>
      </c>
      <c r="O1829" s="1338" t="s">
        <v>483</v>
      </c>
      <c r="P1829" s="290" t="s">
        <v>484</v>
      </c>
      <c r="Q1829" s="1338" t="s">
        <v>485</v>
      </c>
      <c r="R1829" s="1336" t="s">
        <v>296</v>
      </c>
      <c r="S1829" s="1338" t="s">
        <v>486</v>
      </c>
      <c r="T1829" s="1338" t="s">
        <v>487</v>
      </c>
      <c r="U1829" s="1340" t="s">
        <v>488</v>
      </c>
      <c r="V1829" s="291">
        <f t="shared" ref="V1829:V1837" ca="1" si="639">IF(OFFSET(V1829,1,1)=1,OFFSET(V1829,0,-4),OFFSET(V1829,1,0))</f>
        <v>0</v>
      </c>
      <c r="W1829" s="256">
        <f t="shared" ca="1" si="637"/>
        <v>2</v>
      </c>
      <c r="X1829" s="256">
        <f t="shared" ca="1" si="591"/>
        <v>1</v>
      </c>
      <c r="Y1829" s="256"/>
      <c r="Z1829" s="256"/>
      <c r="AA1829" s="292"/>
      <c r="AB1829" s="292"/>
      <c r="AC1829" s="292"/>
    </row>
    <row r="1830" spans="1:29" s="337" customFormat="1" ht="15.75" hidden="1" x14ac:dyDescent="0.2">
      <c r="A1830" s="288"/>
      <c r="B1830" s="1375" t="e">
        <f>LEFT(#REF!,5)</f>
        <v>#REF!</v>
      </c>
      <c r="C1830" s="1377" t="e">
        <f>VLOOKUP(LEFT(#REF!,5),'11 - FINANCEIRO'!_xlnm.Print_Area,2,FALSE)</f>
        <v>#REF!</v>
      </c>
      <c r="D1830" s="1342" t="s">
        <v>489</v>
      </c>
      <c r="E1830" s="1343"/>
      <c r="F1830" s="1344"/>
      <c r="G1830" s="1345" t="s">
        <v>490</v>
      </c>
      <c r="H1830" s="1346"/>
      <c r="I1830" s="1347"/>
      <c r="J1830" s="1339"/>
      <c r="K1830" s="1339"/>
      <c r="L1830" s="1339"/>
      <c r="M1830" s="1339"/>
      <c r="N1830" s="1339"/>
      <c r="O1830" s="1339"/>
      <c r="P1830" s="295" t="s">
        <v>491</v>
      </c>
      <c r="Q1830" s="1339"/>
      <c r="R1830" s="1337"/>
      <c r="S1830" s="1339"/>
      <c r="T1830" s="1339"/>
      <c r="U1830" s="1341"/>
      <c r="V1830" s="291">
        <f t="shared" ca="1" si="639"/>
        <v>0</v>
      </c>
      <c r="W1830" s="256">
        <f t="shared" ca="1" si="637"/>
        <v>2</v>
      </c>
      <c r="X1830" s="256">
        <f t="shared" ca="1" si="591"/>
        <v>1</v>
      </c>
      <c r="Y1830" s="336"/>
      <c r="Z1830" s="336"/>
    </row>
    <row r="1831" spans="1:29" s="337" customFormat="1" ht="15.75" hidden="1" x14ac:dyDescent="0.2">
      <c r="A1831" s="288"/>
      <c r="B1831" s="296"/>
      <c r="C1831" s="297"/>
      <c r="D1831" s="298"/>
      <c r="E1831" s="299"/>
      <c r="F1831" s="300"/>
      <c r="G1831" s="301"/>
      <c r="H1831" s="302"/>
      <c r="I1831" s="303"/>
      <c r="J1831" s="304"/>
      <c r="K1831" s="304"/>
      <c r="L1831" s="304"/>
      <c r="M1831" s="304"/>
      <c r="N1831" s="304"/>
      <c r="O1831" s="304"/>
      <c r="P1831" s="306"/>
      <c r="Q1831" s="304"/>
      <c r="R1831" s="307"/>
      <c r="S1831" s="304"/>
      <c r="T1831" s="309"/>
      <c r="U1831" s="310"/>
      <c r="V1831" s="291">
        <f t="shared" ca="1" si="639"/>
        <v>0</v>
      </c>
      <c r="W1831" s="256">
        <f t="shared" ca="1" si="637"/>
        <v>0</v>
      </c>
      <c r="X1831" s="256">
        <f t="shared" ca="1" si="591"/>
        <v>1</v>
      </c>
      <c r="Y1831" s="336"/>
      <c r="Z1831" s="336"/>
    </row>
    <row r="1832" spans="1:29" s="111" customFormat="1" ht="15.75" hidden="1" x14ac:dyDescent="0.2">
      <c r="A1832" s="288"/>
      <c r="B1832" s="311"/>
      <c r="C1832" s="312"/>
      <c r="D1832" s="313"/>
      <c r="E1832" s="314"/>
      <c r="F1832" s="315"/>
      <c r="G1832" s="380"/>
      <c r="H1832" s="316"/>
      <c r="I1832" s="381"/>
      <c r="J1832" s="317"/>
      <c r="K1832" s="313"/>
      <c r="L1832" s="317"/>
      <c r="M1832" s="315"/>
      <c r="N1832" s="314"/>
      <c r="O1832" s="313"/>
      <c r="P1832" s="318"/>
      <c r="Q1832" s="315"/>
      <c r="R1832" s="319"/>
      <c r="S1832" s="317"/>
      <c r="T1832" s="320"/>
      <c r="U1832" s="321"/>
      <c r="V1832" s="291">
        <f t="shared" ca="1" si="639"/>
        <v>0</v>
      </c>
      <c r="W1832" s="256">
        <f t="shared" ca="1" si="637"/>
        <v>0</v>
      </c>
      <c r="X1832" s="256">
        <f t="shared" ca="1" si="591"/>
        <v>1</v>
      </c>
      <c r="Y1832" s="250"/>
      <c r="Z1832" s="250"/>
    </row>
    <row r="1833" spans="1:29" s="111" customFormat="1" ht="15" hidden="1" x14ac:dyDescent="0.2">
      <c r="A1833" s="288"/>
      <c r="B1833" s="322"/>
      <c r="C1833" s="382"/>
      <c r="D1833" s="324"/>
      <c r="E1833" s="325"/>
      <c r="F1833" s="326"/>
      <c r="G1833" s="324"/>
      <c r="H1833" s="325"/>
      <c r="I1833" s="326"/>
      <c r="J1833" s="317"/>
      <c r="K1833" s="328"/>
      <c r="L1833" s="328"/>
      <c r="M1833" s="328"/>
      <c r="N1833" s="328"/>
      <c r="O1833" s="334"/>
      <c r="P1833" s="328"/>
      <c r="Q1833" s="334"/>
      <c r="R1833" s="333"/>
      <c r="S1833" s="331"/>
      <c r="T1833" s="320"/>
      <c r="U1833" s="335"/>
      <c r="V1833" s="291">
        <f t="shared" ca="1" si="639"/>
        <v>0</v>
      </c>
      <c r="W1833" s="256">
        <f t="shared" ca="1" si="637"/>
        <v>0</v>
      </c>
      <c r="X1833" s="256">
        <f t="shared" ca="1" si="591"/>
        <v>1</v>
      </c>
      <c r="Y1833" s="250"/>
      <c r="Z1833" s="250"/>
    </row>
    <row r="1834" spans="1:29" s="111" customFormat="1" ht="15" hidden="1" x14ac:dyDescent="0.2">
      <c r="A1834" s="288"/>
      <c r="B1834" s="338"/>
      <c r="C1834" s="339"/>
      <c r="D1834" s="340"/>
      <c r="E1834" s="341"/>
      <c r="F1834" s="342"/>
      <c r="G1834" s="340"/>
      <c r="H1834" s="341"/>
      <c r="I1834" s="342"/>
      <c r="J1834" s="343"/>
      <c r="K1834" s="344"/>
      <c r="L1834" s="345"/>
      <c r="M1834" s="346"/>
      <c r="N1834" s="347"/>
      <c r="O1834" s="348"/>
      <c r="P1834" s="345"/>
      <c r="Q1834" s="349"/>
      <c r="R1834" s="350"/>
      <c r="S1834" s="351"/>
      <c r="T1834" s="352"/>
      <c r="U1834" s="353"/>
      <c r="V1834" s="291">
        <f t="shared" ca="1" si="639"/>
        <v>0</v>
      </c>
      <c r="W1834" s="256">
        <f t="shared" ca="1" si="637"/>
        <v>0</v>
      </c>
      <c r="X1834" s="256">
        <f t="shared" ca="1" si="591"/>
        <v>1</v>
      </c>
      <c r="Y1834" s="250"/>
      <c r="Z1834" s="250"/>
    </row>
    <row r="1835" spans="1:29" s="111" customFormat="1" ht="15.75" hidden="1" x14ac:dyDescent="0.2">
      <c r="A1835" s="288"/>
      <c r="B1835" s="354"/>
      <c r="C1835" s="355"/>
      <c r="D1835" s="1354" t="s">
        <v>492</v>
      </c>
      <c r="E1835" s="1355"/>
      <c r="F1835" s="1355"/>
      <c r="G1835" s="1355"/>
      <c r="H1835" s="1355"/>
      <c r="I1835" s="1356"/>
      <c r="J1835" s="1357">
        <f>VLOOKUP(A1837,'11 - FINANCEIRO'!_xlnm.Print_Area,6,FALSE)</f>
        <v>204</v>
      </c>
      <c r="K1835" s="1358"/>
      <c r="L1835" s="356" t="str">
        <f>VLOOKUP(A1837,'11 - FINANCEIRO'!_xlnm.Print_Area,4,FALSE)</f>
        <v>m³</v>
      </c>
      <c r="M1835" s="1359" t="s">
        <v>493</v>
      </c>
      <c r="N1835" s="1360"/>
      <c r="O1835" s="1360"/>
      <c r="P1835" s="1360"/>
      <c r="Q1835" s="1361"/>
      <c r="R1835" s="357">
        <f>TRUNC(SUM(R1831:R1834),3)</f>
        <v>0</v>
      </c>
      <c r="S1835" s="358" t="str">
        <f>L1835</f>
        <v>m³</v>
      </c>
      <c r="T1835" s="359"/>
      <c r="U1835" s="360"/>
      <c r="V1835" s="291">
        <f t="shared" ca="1" si="639"/>
        <v>0</v>
      </c>
      <c r="W1835" s="256">
        <f t="shared" ca="1" si="637"/>
        <v>2</v>
      </c>
      <c r="X1835" s="256">
        <f t="shared" ca="1" si="591"/>
        <v>1</v>
      </c>
      <c r="Y1835" s="250"/>
      <c r="Z1835" s="250"/>
    </row>
    <row r="1836" spans="1:29" s="293" customFormat="1" ht="15.75" hidden="1" x14ac:dyDescent="0.2">
      <c r="A1836" s="288" t="s">
        <v>51</v>
      </c>
      <c r="B1836" s="354"/>
      <c r="C1836" s="361"/>
      <c r="D1836" s="1362" t="s">
        <v>494</v>
      </c>
      <c r="E1836" s="1363"/>
      <c r="F1836" s="1363"/>
      <c r="G1836" s="1363"/>
      <c r="H1836" s="1363"/>
      <c r="I1836" s="1364"/>
      <c r="J1836" s="1365">
        <f>R1835/J1835</f>
        <v>0</v>
      </c>
      <c r="K1836" s="1366"/>
      <c r="L1836" s="1369"/>
      <c r="M1836" s="1371" t="s">
        <v>495</v>
      </c>
      <c r="N1836" s="1372"/>
      <c r="O1836" s="1372"/>
      <c r="P1836" s="1372"/>
      <c r="Q1836" s="1373"/>
      <c r="R1836" s="362">
        <f>VLOOKUP(A1837,'11 - FINANCEIRO'!_xlnm.Print_Area,8,FALSE)</f>
        <v>0</v>
      </c>
      <c r="S1836" s="363" t="str">
        <f>L1835</f>
        <v>m³</v>
      </c>
      <c r="T1836" s="359"/>
      <c r="U1836" s="360"/>
      <c r="V1836" s="291">
        <f t="shared" ca="1" si="639"/>
        <v>0</v>
      </c>
      <c r="W1836" s="256">
        <f t="shared" ca="1" si="637"/>
        <v>2</v>
      </c>
      <c r="X1836" s="256">
        <f t="shared" ca="1" si="591"/>
        <v>1</v>
      </c>
      <c r="Y1836" s="256"/>
      <c r="Z1836" s="256"/>
      <c r="AA1836" s="292"/>
      <c r="AB1836" s="292"/>
      <c r="AC1836" s="292"/>
    </row>
    <row r="1837" spans="1:29" s="293" customFormat="1" ht="15.75" hidden="1" x14ac:dyDescent="0.2">
      <c r="A1837" s="288" t="s">
        <v>52</v>
      </c>
      <c r="B1837" s="364"/>
      <c r="C1837" s="365"/>
      <c r="D1837" s="1354"/>
      <c r="E1837" s="1355"/>
      <c r="F1837" s="1355"/>
      <c r="G1837" s="1355"/>
      <c r="H1837" s="1355"/>
      <c r="I1837" s="1356"/>
      <c r="J1837" s="1367"/>
      <c r="K1837" s="1368"/>
      <c r="L1837" s="1370"/>
      <c r="M1837" s="1371" t="s">
        <v>496</v>
      </c>
      <c r="N1837" s="1372"/>
      <c r="O1837" s="1372"/>
      <c r="P1837" s="1372"/>
      <c r="Q1837" s="1373"/>
      <c r="R1837" s="362">
        <f>R1835-R1836</f>
        <v>0</v>
      </c>
      <c r="S1837" s="363" t="str">
        <f>L1835</f>
        <v>m³</v>
      </c>
      <c r="T1837" s="366"/>
      <c r="U1837" s="367"/>
      <c r="V1837" s="291">
        <f t="shared" ca="1" si="639"/>
        <v>0</v>
      </c>
      <c r="W1837" s="256">
        <f t="shared" ca="1" si="637"/>
        <v>2</v>
      </c>
      <c r="X1837" s="256">
        <f t="shared" ca="1" si="591"/>
        <v>1</v>
      </c>
      <c r="Y1837" s="256"/>
      <c r="Z1837" s="256"/>
      <c r="AA1837" s="292"/>
      <c r="AB1837" s="292"/>
      <c r="AC1837" s="292"/>
    </row>
    <row r="1838" spans="1:29" s="111" customFormat="1" ht="15.75" hidden="1" x14ac:dyDescent="0.2">
      <c r="A1838" s="288"/>
      <c r="B1838" s="368"/>
      <c r="C1838" s="365"/>
      <c r="D1838" s="369"/>
      <c r="E1838" s="370"/>
      <c r="F1838" s="369"/>
      <c r="G1838" s="369"/>
      <c r="H1838" s="369"/>
      <c r="I1838" s="369"/>
      <c r="J1838" s="371"/>
      <c r="K1838" s="372"/>
      <c r="L1838" s="373"/>
      <c r="M1838" s="374"/>
      <c r="N1838" s="374"/>
      <c r="O1838" s="374"/>
      <c r="P1838" s="374"/>
      <c r="Q1838" s="374"/>
      <c r="R1838" s="375"/>
      <c r="S1838" s="376"/>
      <c r="T1838" s="377"/>
      <c r="U1838" s="378"/>
      <c r="V1838" s="379">
        <f ca="1">SUM(V1829:V1837)</f>
        <v>0</v>
      </c>
      <c r="W1838" s="256">
        <f t="shared" ca="1" si="637"/>
        <v>1</v>
      </c>
      <c r="X1838" s="256">
        <f t="shared" ca="1" si="591"/>
        <v>0</v>
      </c>
      <c r="Y1838" s="250"/>
      <c r="Z1838" s="250"/>
    </row>
    <row r="1839" spans="1:29" s="293" customFormat="1" ht="15.75" hidden="1" customHeight="1" x14ac:dyDescent="0.25">
      <c r="A1839" s="288"/>
      <c r="B1839" s="1374" t="str">
        <f>VLOOKUP(A1847,'11 - FINANCEIRO'!_xlnm.Print_Area,1,FALSE)</f>
        <v>2.4.2</v>
      </c>
      <c r="C1839" s="1376" t="str">
        <f>VLOOKUP(A1847,'11 - FINANCEIRO'!_xlnm.Print_Area,3,FALSE)</f>
        <v>Assentamento De Tubo De Ferro Fundido Para Rede De Água, Dn 300 Mm, Junta Elástica, Instalado Em Local Com Nível Baixo De Interferências (Não Inclui Fornecimento). Af_11/2017</v>
      </c>
      <c r="D1839" s="1378" t="s">
        <v>477</v>
      </c>
      <c r="E1839" s="1379"/>
      <c r="F1839" s="1379"/>
      <c r="G1839" s="1379"/>
      <c r="H1839" s="1379"/>
      <c r="I1839" s="1380"/>
      <c r="J1839" s="1338" t="s">
        <v>478</v>
      </c>
      <c r="K1839" s="1338" t="s">
        <v>479</v>
      </c>
      <c r="L1839" s="1338" t="s">
        <v>480</v>
      </c>
      <c r="M1839" s="1338" t="s">
        <v>481</v>
      </c>
      <c r="N1839" s="1338" t="s">
        <v>482</v>
      </c>
      <c r="O1839" s="1338" t="s">
        <v>483</v>
      </c>
      <c r="P1839" s="290" t="s">
        <v>484</v>
      </c>
      <c r="Q1839" s="1338" t="s">
        <v>485</v>
      </c>
      <c r="R1839" s="1336" t="s">
        <v>296</v>
      </c>
      <c r="S1839" s="1338" t="s">
        <v>486</v>
      </c>
      <c r="T1839" s="1338" t="s">
        <v>487</v>
      </c>
      <c r="U1839" s="1340" t="s">
        <v>488</v>
      </c>
      <c r="V1839" s="291">
        <f t="shared" ref="V1839:V1847" ca="1" si="640">IF(OFFSET(V1839,1,1)=1,OFFSET(V1839,0,-4),OFFSET(V1839,1,0))</f>
        <v>0</v>
      </c>
      <c r="W1839" s="256">
        <f t="shared" ca="1" si="637"/>
        <v>2</v>
      </c>
      <c r="X1839" s="256">
        <f t="shared" ref="X1839:X1902" ca="1" si="641">IF(COUNTA(OFFSET(A1838,1,0))-COUNTA(A1838)=-1,0,1)</f>
        <v>1</v>
      </c>
      <c r="Y1839" s="256"/>
      <c r="Z1839" s="256"/>
      <c r="AA1839" s="292"/>
      <c r="AB1839" s="292"/>
      <c r="AC1839" s="292"/>
    </row>
    <row r="1840" spans="1:29" s="337" customFormat="1" ht="15.75" hidden="1" x14ac:dyDescent="0.2">
      <c r="A1840" s="288"/>
      <c r="B1840" s="1375" t="e">
        <f>LEFT(#REF!,5)</f>
        <v>#REF!</v>
      </c>
      <c r="C1840" s="1377" t="e">
        <f>VLOOKUP(LEFT(#REF!,5),'11 - FINANCEIRO'!_xlnm.Print_Area,2,FALSE)</f>
        <v>#REF!</v>
      </c>
      <c r="D1840" s="1342" t="s">
        <v>489</v>
      </c>
      <c r="E1840" s="1343"/>
      <c r="F1840" s="1344"/>
      <c r="G1840" s="1345" t="s">
        <v>490</v>
      </c>
      <c r="H1840" s="1346"/>
      <c r="I1840" s="1347"/>
      <c r="J1840" s="1339"/>
      <c r="K1840" s="1339"/>
      <c r="L1840" s="1339"/>
      <c r="M1840" s="1339"/>
      <c r="N1840" s="1339"/>
      <c r="O1840" s="1339"/>
      <c r="P1840" s="295" t="s">
        <v>491</v>
      </c>
      <c r="Q1840" s="1339"/>
      <c r="R1840" s="1337"/>
      <c r="S1840" s="1339"/>
      <c r="T1840" s="1339"/>
      <c r="U1840" s="1341"/>
      <c r="V1840" s="291">
        <f t="shared" ca="1" si="640"/>
        <v>0</v>
      </c>
      <c r="W1840" s="256">
        <f t="shared" ca="1" si="637"/>
        <v>2</v>
      </c>
      <c r="X1840" s="256">
        <f t="shared" ca="1" si="641"/>
        <v>1</v>
      </c>
      <c r="Y1840" s="336"/>
      <c r="Z1840" s="336"/>
    </row>
    <row r="1841" spans="1:29" s="337" customFormat="1" ht="15.75" hidden="1" x14ac:dyDescent="0.2">
      <c r="A1841" s="288"/>
      <c r="B1841" s="296"/>
      <c r="C1841" s="297"/>
      <c r="D1841" s="298"/>
      <c r="E1841" s="299"/>
      <c r="F1841" s="300"/>
      <c r="G1841" s="301"/>
      <c r="H1841" s="302"/>
      <c r="I1841" s="303"/>
      <c r="J1841" s="304"/>
      <c r="K1841" s="304"/>
      <c r="L1841" s="304"/>
      <c r="M1841" s="304"/>
      <c r="N1841" s="304"/>
      <c r="O1841" s="304"/>
      <c r="P1841" s="306"/>
      <c r="Q1841" s="304"/>
      <c r="R1841" s="307"/>
      <c r="S1841" s="304"/>
      <c r="T1841" s="309"/>
      <c r="U1841" s="310"/>
      <c r="V1841" s="291">
        <f t="shared" ca="1" si="640"/>
        <v>0</v>
      </c>
      <c r="W1841" s="256">
        <f t="shared" ca="1" si="637"/>
        <v>0</v>
      </c>
      <c r="X1841" s="256">
        <f t="shared" ca="1" si="641"/>
        <v>1</v>
      </c>
      <c r="Y1841" s="336"/>
      <c r="Z1841" s="336"/>
    </row>
    <row r="1842" spans="1:29" s="111" customFormat="1" ht="15.75" hidden="1" x14ac:dyDescent="0.2">
      <c r="A1842" s="288"/>
      <c r="B1842" s="311"/>
      <c r="C1842" s="312"/>
      <c r="D1842" s="313"/>
      <c r="E1842" s="314"/>
      <c r="F1842" s="315"/>
      <c r="G1842" s="380"/>
      <c r="H1842" s="316"/>
      <c r="I1842" s="381"/>
      <c r="J1842" s="317"/>
      <c r="K1842" s="313"/>
      <c r="L1842" s="317"/>
      <c r="M1842" s="315"/>
      <c r="N1842" s="314"/>
      <c r="O1842" s="313"/>
      <c r="P1842" s="318"/>
      <c r="Q1842" s="315"/>
      <c r="R1842" s="319"/>
      <c r="S1842" s="317"/>
      <c r="T1842" s="320"/>
      <c r="U1842" s="321"/>
      <c r="V1842" s="291">
        <f t="shared" ca="1" si="640"/>
        <v>0</v>
      </c>
      <c r="W1842" s="256">
        <f t="shared" ca="1" si="637"/>
        <v>0</v>
      </c>
      <c r="X1842" s="256">
        <f t="shared" ca="1" si="641"/>
        <v>1</v>
      </c>
      <c r="Y1842" s="250"/>
      <c r="Z1842" s="250"/>
    </row>
    <row r="1843" spans="1:29" s="111" customFormat="1" ht="15" hidden="1" x14ac:dyDescent="0.2">
      <c r="A1843" s="288"/>
      <c r="B1843" s="322"/>
      <c r="C1843" s="382"/>
      <c r="D1843" s="324"/>
      <c r="E1843" s="325"/>
      <c r="F1843" s="326"/>
      <c r="G1843" s="324"/>
      <c r="H1843" s="325"/>
      <c r="I1843" s="326"/>
      <c r="J1843" s="317"/>
      <c r="K1843" s="328"/>
      <c r="L1843" s="328"/>
      <c r="M1843" s="328"/>
      <c r="N1843" s="328"/>
      <c r="O1843" s="334"/>
      <c r="P1843" s="328"/>
      <c r="Q1843" s="334"/>
      <c r="R1843" s="333"/>
      <c r="S1843" s="331"/>
      <c r="T1843" s="320"/>
      <c r="U1843" s="335"/>
      <c r="V1843" s="291">
        <f t="shared" ca="1" si="640"/>
        <v>0</v>
      </c>
      <c r="W1843" s="256">
        <f t="shared" ca="1" si="637"/>
        <v>0</v>
      </c>
      <c r="X1843" s="256">
        <f t="shared" ca="1" si="641"/>
        <v>1</v>
      </c>
      <c r="Y1843" s="250"/>
      <c r="Z1843" s="250"/>
    </row>
    <row r="1844" spans="1:29" s="111" customFormat="1" ht="15" hidden="1" x14ac:dyDescent="0.2">
      <c r="A1844" s="288"/>
      <c r="B1844" s="338"/>
      <c r="C1844" s="339"/>
      <c r="D1844" s="340"/>
      <c r="E1844" s="341"/>
      <c r="F1844" s="342"/>
      <c r="G1844" s="340"/>
      <c r="H1844" s="341"/>
      <c r="I1844" s="342"/>
      <c r="J1844" s="343"/>
      <c r="K1844" s="344"/>
      <c r="L1844" s="345"/>
      <c r="M1844" s="346"/>
      <c r="N1844" s="347"/>
      <c r="O1844" s="348"/>
      <c r="P1844" s="345"/>
      <c r="Q1844" s="349"/>
      <c r="R1844" s="350"/>
      <c r="S1844" s="351"/>
      <c r="T1844" s="352"/>
      <c r="U1844" s="353"/>
      <c r="V1844" s="291">
        <f t="shared" ca="1" si="640"/>
        <v>0</v>
      </c>
      <c r="W1844" s="256">
        <f t="shared" ca="1" si="637"/>
        <v>0</v>
      </c>
      <c r="X1844" s="256">
        <f t="shared" ca="1" si="641"/>
        <v>1</v>
      </c>
      <c r="Y1844" s="250"/>
      <c r="Z1844" s="250"/>
    </row>
    <row r="1845" spans="1:29" s="111" customFormat="1" ht="15.75" hidden="1" x14ac:dyDescent="0.2">
      <c r="A1845" s="288"/>
      <c r="B1845" s="354"/>
      <c r="C1845" s="355"/>
      <c r="D1845" s="1354" t="s">
        <v>492</v>
      </c>
      <c r="E1845" s="1355"/>
      <c r="F1845" s="1355"/>
      <c r="G1845" s="1355"/>
      <c r="H1845" s="1355"/>
      <c r="I1845" s="1356"/>
      <c r="J1845" s="1357">
        <f>VLOOKUP(A1847,'11 - FINANCEIRO'!_xlnm.Print_Area,6,FALSE)</f>
        <v>12</v>
      </c>
      <c r="K1845" s="1358"/>
      <c r="L1845" s="356" t="str">
        <f>VLOOKUP(A1847,'11 - FINANCEIRO'!_xlnm.Print_Area,4,FALSE)</f>
        <v>m</v>
      </c>
      <c r="M1845" s="1359" t="s">
        <v>493</v>
      </c>
      <c r="N1845" s="1360"/>
      <c r="O1845" s="1360"/>
      <c r="P1845" s="1360"/>
      <c r="Q1845" s="1361"/>
      <c r="R1845" s="357">
        <f>TRUNC(SUM(R1841:R1844),3)</f>
        <v>0</v>
      </c>
      <c r="S1845" s="358" t="str">
        <f>L1845</f>
        <v>m</v>
      </c>
      <c r="T1845" s="359"/>
      <c r="U1845" s="360"/>
      <c r="V1845" s="291">
        <f t="shared" ca="1" si="640"/>
        <v>0</v>
      </c>
      <c r="W1845" s="256">
        <f t="shared" ca="1" si="637"/>
        <v>2</v>
      </c>
      <c r="X1845" s="256">
        <f t="shared" ca="1" si="641"/>
        <v>1</v>
      </c>
      <c r="Y1845" s="250"/>
      <c r="Z1845" s="250"/>
    </row>
    <row r="1846" spans="1:29" s="293" customFormat="1" ht="15.75" hidden="1" x14ac:dyDescent="0.2">
      <c r="A1846" s="288"/>
      <c r="B1846" s="354"/>
      <c r="C1846" s="361"/>
      <c r="D1846" s="1362" t="s">
        <v>494</v>
      </c>
      <c r="E1846" s="1363"/>
      <c r="F1846" s="1363"/>
      <c r="G1846" s="1363"/>
      <c r="H1846" s="1363"/>
      <c r="I1846" s="1364"/>
      <c r="J1846" s="1365">
        <f>R1845/J1845</f>
        <v>0</v>
      </c>
      <c r="K1846" s="1366"/>
      <c r="L1846" s="1369"/>
      <c r="M1846" s="1371" t="s">
        <v>495</v>
      </c>
      <c r="N1846" s="1372"/>
      <c r="O1846" s="1372"/>
      <c r="P1846" s="1372"/>
      <c r="Q1846" s="1373"/>
      <c r="R1846" s="362">
        <f>VLOOKUP(A1847,'11 - FINANCEIRO'!_xlnm.Print_Area,8,FALSE)</f>
        <v>0</v>
      </c>
      <c r="S1846" s="363" t="str">
        <f>L1845</f>
        <v>m</v>
      </c>
      <c r="T1846" s="359"/>
      <c r="U1846" s="360"/>
      <c r="V1846" s="291">
        <f t="shared" ca="1" si="640"/>
        <v>0</v>
      </c>
      <c r="W1846" s="256">
        <f t="shared" ca="1" si="637"/>
        <v>2</v>
      </c>
      <c r="X1846" s="256">
        <f t="shared" ca="1" si="641"/>
        <v>1</v>
      </c>
      <c r="Y1846" s="256"/>
      <c r="Z1846" s="256"/>
      <c r="AA1846" s="292"/>
      <c r="AB1846" s="292"/>
      <c r="AC1846" s="292"/>
    </row>
    <row r="1847" spans="1:29" s="293" customFormat="1" ht="15.75" hidden="1" x14ac:dyDescent="0.2">
      <c r="A1847" s="288" t="s">
        <v>53</v>
      </c>
      <c r="B1847" s="364"/>
      <c r="C1847" s="365"/>
      <c r="D1847" s="1354"/>
      <c r="E1847" s="1355"/>
      <c r="F1847" s="1355"/>
      <c r="G1847" s="1355"/>
      <c r="H1847" s="1355"/>
      <c r="I1847" s="1356"/>
      <c r="J1847" s="1367"/>
      <c r="K1847" s="1368"/>
      <c r="L1847" s="1370"/>
      <c r="M1847" s="1371" t="s">
        <v>496</v>
      </c>
      <c r="N1847" s="1372"/>
      <c r="O1847" s="1372"/>
      <c r="P1847" s="1372"/>
      <c r="Q1847" s="1373"/>
      <c r="R1847" s="362">
        <f>R1845-R1846</f>
        <v>0</v>
      </c>
      <c r="S1847" s="363" t="str">
        <f>L1845</f>
        <v>m</v>
      </c>
      <c r="T1847" s="366"/>
      <c r="U1847" s="367"/>
      <c r="V1847" s="291">
        <f t="shared" ca="1" si="640"/>
        <v>0</v>
      </c>
      <c r="W1847" s="256">
        <f t="shared" ca="1" si="637"/>
        <v>2</v>
      </c>
      <c r="X1847" s="256">
        <f t="shared" ca="1" si="641"/>
        <v>1</v>
      </c>
      <c r="Y1847" s="256"/>
      <c r="Z1847" s="256"/>
      <c r="AA1847" s="292"/>
      <c r="AB1847" s="292"/>
      <c r="AC1847" s="292"/>
    </row>
    <row r="1848" spans="1:29" s="111" customFormat="1" ht="15.75" hidden="1" x14ac:dyDescent="0.2">
      <c r="A1848" s="288"/>
      <c r="B1848" s="368"/>
      <c r="C1848" s="365"/>
      <c r="D1848" s="369"/>
      <c r="E1848" s="370"/>
      <c r="F1848" s="369"/>
      <c r="G1848" s="369"/>
      <c r="H1848" s="369"/>
      <c r="I1848" s="369"/>
      <c r="J1848" s="371"/>
      <c r="K1848" s="372"/>
      <c r="L1848" s="373"/>
      <c r="M1848" s="374"/>
      <c r="N1848" s="374"/>
      <c r="O1848" s="374"/>
      <c r="P1848" s="374"/>
      <c r="Q1848" s="374"/>
      <c r="R1848" s="375"/>
      <c r="S1848" s="376"/>
      <c r="T1848" s="377"/>
      <c r="U1848" s="378"/>
      <c r="V1848" s="379">
        <f ca="1">SUM(V1839:V1847)</f>
        <v>0</v>
      </c>
      <c r="W1848" s="256">
        <f t="shared" ca="1" si="637"/>
        <v>1</v>
      </c>
      <c r="X1848" s="256">
        <f t="shared" ca="1" si="641"/>
        <v>0</v>
      </c>
      <c r="Y1848" s="250"/>
      <c r="Z1848" s="250"/>
    </row>
    <row r="1849" spans="1:29" s="293" customFormat="1" ht="15.75" hidden="1" customHeight="1" x14ac:dyDescent="0.25">
      <c r="A1849" s="288"/>
      <c r="B1849" s="1374" t="str">
        <f>VLOOKUP(A1857,'11 - FINANCEIRO'!_xlnm.Print_Area,1,FALSE)</f>
        <v>2.4.3</v>
      </c>
      <c r="C1849" s="1376" t="str">
        <f>VLOOKUP(A1857,'11 - FINANCEIRO'!_xlnm.Print_Area,3,FALSE)</f>
        <v>Assentamento De Tubo De Ferro Fundido Para Rede De Água, Dn 400 Mm, Junta Elástica, Instalado Em Local Com Nível Baixo De Interferências (Não Inclui Fornecimento). Af_11/2017</v>
      </c>
      <c r="D1849" s="1378" t="s">
        <v>477</v>
      </c>
      <c r="E1849" s="1379"/>
      <c r="F1849" s="1379"/>
      <c r="G1849" s="1379"/>
      <c r="H1849" s="1379"/>
      <c r="I1849" s="1380"/>
      <c r="J1849" s="1338" t="s">
        <v>478</v>
      </c>
      <c r="K1849" s="1338" t="s">
        <v>479</v>
      </c>
      <c r="L1849" s="1338" t="s">
        <v>480</v>
      </c>
      <c r="M1849" s="1338" t="s">
        <v>481</v>
      </c>
      <c r="N1849" s="1338" t="s">
        <v>482</v>
      </c>
      <c r="O1849" s="1338" t="s">
        <v>483</v>
      </c>
      <c r="P1849" s="290" t="s">
        <v>484</v>
      </c>
      <c r="Q1849" s="1338" t="s">
        <v>485</v>
      </c>
      <c r="R1849" s="1336" t="s">
        <v>296</v>
      </c>
      <c r="S1849" s="1338" t="s">
        <v>486</v>
      </c>
      <c r="T1849" s="1338" t="s">
        <v>487</v>
      </c>
      <c r="U1849" s="1340" t="s">
        <v>488</v>
      </c>
      <c r="V1849" s="291">
        <f t="shared" ref="V1849:V1857" ca="1" si="642">IF(OFFSET(V1849,1,1)=1,OFFSET(V1849,0,-4),OFFSET(V1849,1,0))</f>
        <v>0</v>
      </c>
      <c r="W1849" s="256">
        <f t="shared" ca="1" si="637"/>
        <v>2</v>
      </c>
      <c r="X1849" s="256">
        <f t="shared" ca="1" si="641"/>
        <v>1</v>
      </c>
      <c r="Y1849" s="256"/>
      <c r="Z1849" s="256"/>
      <c r="AA1849" s="292"/>
      <c r="AB1849" s="292"/>
      <c r="AC1849" s="292"/>
    </row>
    <row r="1850" spans="1:29" s="337" customFormat="1" ht="15.75" hidden="1" x14ac:dyDescent="0.2">
      <c r="A1850" s="288"/>
      <c r="B1850" s="1375" t="e">
        <f>LEFT(#REF!,5)</f>
        <v>#REF!</v>
      </c>
      <c r="C1850" s="1377" t="e">
        <f>VLOOKUP(LEFT(#REF!,5),'11 - FINANCEIRO'!_xlnm.Print_Area,2,FALSE)</f>
        <v>#REF!</v>
      </c>
      <c r="D1850" s="1342" t="s">
        <v>489</v>
      </c>
      <c r="E1850" s="1343"/>
      <c r="F1850" s="1344"/>
      <c r="G1850" s="1345" t="s">
        <v>490</v>
      </c>
      <c r="H1850" s="1346"/>
      <c r="I1850" s="1347"/>
      <c r="J1850" s="1339"/>
      <c r="K1850" s="1339"/>
      <c r="L1850" s="1339"/>
      <c r="M1850" s="1339"/>
      <c r="N1850" s="1339"/>
      <c r="O1850" s="1339"/>
      <c r="P1850" s="295" t="s">
        <v>491</v>
      </c>
      <c r="Q1850" s="1339"/>
      <c r="R1850" s="1337"/>
      <c r="S1850" s="1339"/>
      <c r="T1850" s="1339"/>
      <c r="U1850" s="1341"/>
      <c r="V1850" s="291">
        <f t="shared" ca="1" si="642"/>
        <v>0</v>
      </c>
      <c r="W1850" s="256">
        <f t="shared" ca="1" si="637"/>
        <v>2</v>
      </c>
      <c r="X1850" s="256">
        <f t="shared" ca="1" si="641"/>
        <v>1</v>
      </c>
      <c r="Y1850" s="336"/>
      <c r="Z1850" s="336"/>
    </row>
    <row r="1851" spans="1:29" s="337" customFormat="1" ht="15.75" hidden="1" x14ac:dyDescent="0.2">
      <c r="A1851" s="288"/>
      <c r="B1851" s="296"/>
      <c r="C1851" s="297"/>
      <c r="D1851" s="298"/>
      <c r="E1851" s="299"/>
      <c r="F1851" s="300"/>
      <c r="G1851" s="301"/>
      <c r="H1851" s="302"/>
      <c r="I1851" s="303"/>
      <c r="J1851" s="304"/>
      <c r="K1851" s="304"/>
      <c r="L1851" s="304"/>
      <c r="M1851" s="304"/>
      <c r="N1851" s="304"/>
      <c r="O1851" s="304"/>
      <c r="P1851" s="306"/>
      <c r="Q1851" s="304"/>
      <c r="R1851" s="307"/>
      <c r="S1851" s="304"/>
      <c r="T1851" s="309"/>
      <c r="U1851" s="310"/>
      <c r="V1851" s="291">
        <f t="shared" ca="1" si="642"/>
        <v>0</v>
      </c>
      <c r="W1851" s="256">
        <f t="shared" ca="1" si="637"/>
        <v>0</v>
      </c>
      <c r="X1851" s="256">
        <f t="shared" ca="1" si="641"/>
        <v>1</v>
      </c>
      <c r="Y1851" s="336"/>
      <c r="Z1851" s="336"/>
    </row>
    <row r="1852" spans="1:29" s="111" customFormat="1" ht="15.75" hidden="1" x14ac:dyDescent="0.2">
      <c r="A1852" s="288"/>
      <c r="B1852" s="311"/>
      <c r="C1852" s="312"/>
      <c r="D1852" s="313"/>
      <c r="E1852" s="314"/>
      <c r="F1852" s="315"/>
      <c r="G1852" s="380"/>
      <c r="H1852" s="316"/>
      <c r="I1852" s="381"/>
      <c r="J1852" s="317"/>
      <c r="K1852" s="313"/>
      <c r="L1852" s="317"/>
      <c r="M1852" s="315"/>
      <c r="N1852" s="314"/>
      <c r="O1852" s="313"/>
      <c r="P1852" s="318"/>
      <c r="Q1852" s="315"/>
      <c r="R1852" s="319"/>
      <c r="S1852" s="317"/>
      <c r="T1852" s="320"/>
      <c r="U1852" s="321"/>
      <c r="V1852" s="291">
        <f t="shared" ca="1" si="642"/>
        <v>0</v>
      </c>
      <c r="W1852" s="256">
        <f t="shared" ca="1" si="637"/>
        <v>0</v>
      </c>
      <c r="X1852" s="256">
        <f t="shared" ca="1" si="641"/>
        <v>1</v>
      </c>
      <c r="Y1852" s="250"/>
      <c r="Z1852" s="250"/>
    </row>
    <row r="1853" spans="1:29" s="111" customFormat="1" ht="15" hidden="1" x14ac:dyDescent="0.2">
      <c r="A1853" s="288"/>
      <c r="B1853" s="322"/>
      <c r="C1853" s="382"/>
      <c r="D1853" s="324"/>
      <c r="E1853" s="325"/>
      <c r="F1853" s="326"/>
      <c r="G1853" s="324"/>
      <c r="H1853" s="325"/>
      <c r="I1853" s="326"/>
      <c r="J1853" s="317"/>
      <c r="K1853" s="328"/>
      <c r="L1853" s="328"/>
      <c r="M1853" s="328"/>
      <c r="N1853" s="328"/>
      <c r="O1853" s="334"/>
      <c r="P1853" s="328"/>
      <c r="Q1853" s="334"/>
      <c r="R1853" s="333"/>
      <c r="S1853" s="331"/>
      <c r="T1853" s="320"/>
      <c r="U1853" s="335"/>
      <c r="V1853" s="291">
        <f t="shared" ca="1" si="642"/>
        <v>0</v>
      </c>
      <c r="W1853" s="256">
        <f t="shared" ca="1" si="637"/>
        <v>0</v>
      </c>
      <c r="X1853" s="256">
        <f t="shared" ca="1" si="641"/>
        <v>1</v>
      </c>
      <c r="Y1853" s="250"/>
      <c r="Z1853" s="250"/>
    </row>
    <row r="1854" spans="1:29" s="111" customFormat="1" ht="15" hidden="1" x14ac:dyDescent="0.2">
      <c r="A1854" s="288"/>
      <c r="B1854" s="338"/>
      <c r="C1854" s="339"/>
      <c r="D1854" s="340"/>
      <c r="E1854" s="341"/>
      <c r="F1854" s="342"/>
      <c r="G1854" s="340"/>
      <c r="H1854" s="341"/>
      <c r="I1854" s="342"/>
      <c r="J1854" s="343"/>
      <c r="K1854" s="344"/>
      <c r="L1854" s="345"/>
      <c r="M1854" s="346"/>
      <c r="N1854" s="347"/>
      <c r="O1854" s="348"/>
      <c r="P1854" s="345"/>
      <c r="Q1854" s="349"/>
      <c r="R1854" s="350"/>
      <c r="S1854" s="351"/>
      <c r="T1854" s="352"/>
      <c r="U1854" s="353"/>
      <c r="V1854" s="291">
        <f t="shared" ca="1" si="642"/>
        <v>0</v>
      </c>
      <c r="W1854" s="256">
        <f t="shared" ca="1" si="637"/>
        <v>0</v>
      </c>
      <c r="X1854" s="256">
        <f t="shared" ca="1" si="641"/>
        <v>1</v>
      </c>
      <c r="Y1854" s="250"/>
      <c r="Z1854" s="250"/>
    </row>
    <row r="1855" spans="1:29" s="111" customFormat="1" ht="15.75" hidden="1" customHeight="1" x14ac:dyDescent="0.2">
      <c r="A1855" s="288"/>
      <c r="B1855" s="354"/>
      <c r="C1855" s="355"/>
      <c r="D1855" s="1354" t="s">
        <v>492</v>
      </c>
      <c r="E1855" s="1355"/>
      <c r="F1855" s="1355"/>
      <c r="G1855" s="1355"/>
      <c r="H1855" s="1355"/>
      <c r="I1855" s="1356"/>
      <c r="J1855" s="1357">
        <f>VLOOKUP(A1857,'11 - FINANCEIRO'!_xlnm.Print_Area,6,FALSE)</f>
        <v>18</v>
      </c>
      <c r="K1855" s="1358"/>
      <c r="L1855" s="356" t="str">
        <f>VLOOKUP(A1857,'11 - FINANCEIRO'!_xlnm.Print_Area,4,FALSE)</f>
        <v>m</v>
      </c>
      <c r="M1855" s="1359" t="s">
        <v>493</v>
      </c>
      <c r="N1855" s="1360"/>
      <c r="O1855" s="1360"/>
      <c r="P1855" s="1360"/>
      <c r="Q1855" s="1361"/>
      <c r="R1855" s="357">
        <f>TRUNC(SUM(R1851:R1854),3)</f>
        <v>0</v>
      </c>
      <c r="S1855" s="358" t="str">
        <f>L1855</f>
        <v>m</v>
      </c>
      <c r="T1855" s="359"/>
      <c r="U1855" s="360"/>
      <c r="V1855" s="291">
        <f t="shared" ca="1" si="642"/>
        <v>0</v>
      </c>
      <c r="W1855" s="256">
        <f t="shared" ca="1" si="637"/>
        <v>2</v>
      </c>
      <c r="X1855" s="256">
        <f t="shared" ca="1" si="641"/>
        <v>1</v>
      </c>
      <c r="Y1855" s="250"/>
      <c r="Z1855" s="250"/>
    </row>
    <row r="1856" spans="1:29" s="596" customFormat="1" ht="15.75" hidden="1" customHeight="1" x14ac:dyDescent="0.2">
      <c r="A1856" s="288"/>
      <c r="B1856" s="354"/>
      <c r="C1856" s="361"/>
      <c r="D1856" s="1362" t="s">
        <v>494</v>
      </c>
      <c r="E1856" s="1363"/>
      <c r="F1856" s="1363"/>
      <c r="G1856" s="1363"/>
      <c r="H1856" s="1363"/>
      <c r="I1856" s="1364"/>
      <c r="J1856" s="1365">
        <f>R1855/J1855</f>
        <v>0</v>
      </c>
      <c r="K1856" s="1366"/>
      <c r="L1856" s="1369"/>
      <c r="M1856" s="1371" t="s">
        <v>495</v>
      </c>
      <c r="N1856" s="1372"/>
      <c r="O1856" s="1372"/>
      <c r="P1856" s="1372"/>
      <c r="Q1856" s="1373"/>
      <c r="R1856" s="362">
        <f>VLOOKUP(A1857,'11 - FINANCEIRO'!_xlnm.Print_Area,8,FALSE)</f>
        <v>0</v>
      </c>
      <c r="S1856" s="363" t="str">
        <f>L1855</f>
        <v>m</v>
      </c>
      <c r="T1856" s="359"/>
      <c r="U1856" s="360"/>
      <c r="V1856" s="291">
        <f t="shared" ca="1" si="642"/>
        <v>0</v>
      </c>
      <c r="W1856" s="256">
        <f t="shared" ca="1" si="637"/>
        <v>2</v>
      </c>
      <c r="X1856" s="256">
        <f t="shared" ca="1" si="641"/>
        <v>1</v>
      </c>
      <c r="Y1856" s="336"/>
      <c r="Z1856" s="336"/>
      <c r="AA1856" s="337"/>
      <c r="AB1856" s="337"/>
      <c r="AC1856" s="337"/>
    </row>
    <row r="1857" spans="1:29" s="596" customFormat="1" ht="15.75" hidden="1" customHeight="1" x14ac:dyDescent="0.2">
      <c r="A1857" s="288" t="s">
        <v>54</v>
      </c>
      <c r="B1857" s="364"/>
      <c r="C1857" s="365"/>
      <c r="D1857" s="1354"/>
      <c r="E1857" s="1355"/>
      <c r="F1857" s="1355"/>
      <c r="G1857" s="1355"/>
      <c r="H1857" s="1355"/>
      <c r="I1857" s="1356"/>
      <c r="J1857" s="1367"/>
      <c r="K1857" s="1368"/>
      <c r="L1857" s="1370"/>
      <c r="M1857" s="1371" t="s">
        <v>496</v>
      </c>
      <c r="N1857" s="1372"/>
      <c r="O1857" s="1372"/>
      <c r="P1857" s="1372"/>
      <c r="Q1857" s="1373"/>
      <c r="R1857" s="362">
        <f>R1855-R1856</f>
        <v>0</v>
      </c>
      <c r="S1857" s="363" t="str">
        <f>L1855</f>
        <v>m</v>
      </c>
      <c r="T1857" s="366"/>
      <c r="U1857" s="367"/>
      <c r="V1857" s="291">
        <f t="shared" ca="1" si="642"/>
        <v>0</v>
      </c>
      <c r="W1857" s="256">
        <f t="shared" ca="1" si="637"/>
        <v>2</v>
      </c>
      <c r="X1857" s="256">
        <f t="shared" ca="1" si="641"/>
        <v>1</v>
      </c>
      <c r="Y1857" s="336"/>
      <c r="Z1857" s="336"/>
      <c r="AA1857" s="337"/>
      <c r="AB1857" s="337"/>
      <c r="AC1857" s="337"/>
    </row>
    <row r="1858" spans="1:29" s="111" customFormat="1" ht="15.75" hidden="1" x14ac:dyDescent="0.2">
      <c r="A1858" s="288"/>
      <c r="B1858" s="368"/>
      <c r="C1858" s="365"/>
      <c r="D1858" s="369"/>
      <c r="E1858" s="370"/>
      <c r="F1858" s="369"/>
      <c r="G1858" s="369"/>
      <c r="H1858" s="369"/>
      <c r="I1858" s="369"/>
      <c r="J1858" s="371"/>
      <c r="K1858" s="372"/>
      <c r="L1858" s="373"/>
      <c r="M1858" s="374"/>
      <c r="N1858" s="374"/>
      <c r="O1858" s="374"/>
      <c r="P1858" s="374"/>
      <c r="Q1858" s="374"/>
      <c r="R1858" s="375"/>
      <c r="S1858" s="376"/>
      <c r="T1858" s="377"/>
      <c r="U1858" s="378"/>
      <c r="V1858" s="379">
        <f ca="1">SUM(V1849:V1857)</f>
        <v>0</v>
      </c>
      <c r="W1858" s="256">
        <f t="shared" ca="1" si="637"/>
        <v>1</v>
      </c>
      <c r="X1858" s="256">
        <f t="shared" ca="1" si="641"/>
        <v>0</v>
      </c>
      <c r="Y1858" s="250"/>
      <c r="Z1858" s="250"/>
    </row>
    <row r="1859" spans="1:29" s="293" customFormat="1" ht="15.75" hidden="1" customHeight="1" x14ac:dyDescent="0.25">
      <c r="A1859" s="288"/>
      <c r="B1859" s="1374" t="str">
        <f>VLOOKUP(A1867,'11 - FINANCEIRO'!_xlnm.Print_Area,1,FALSE)</f>
        <v>2.4.4</v>
      </c>
      <c r="C1859" s="1376" t="str">
        <f>VLOOKUP(A1867,'11 - FINANCEIRO'!_xlnm.Print_Area,3,FALSE)</f>
        <v>Assentamento De Tubo De Ferro Fundido Para Rede De Água, Dn 450 Mm, Junta Elástica, Instalado Em Local Com Nível Alto De Interferências (Não Inclui Fornecimento). Af_11/2017</v>
      </c>
      <c r="D1859" s="1378" t="s">
        <v>477</v>
      </c>
      <c r="E1859" s="1379"/>
      <c r="F1859" s="1379"/>
      <c r="G1859" s="1379"/>
      <c r="H1859" s="1379"/>
      <c r="I1859" s="1380"/>
      <c r="J1859" s="1338" t="s">
        <v>478</v>
      </c>
      <c r="K1859" s="1338" t="s">
        <v>479</v>
      </c>
      <c r="L1859" s="1338" t="s">
        <v>480</v>
      </c>
      <c r="M1859" s="1338" t="s">
        <v>481</v>
      </c>
      <c r="N1859" s="1338" t="s">
        <v>482</v>
      </c>
      <c r="O1859" s="1338" t="s">
        <v>483</v>
      </c>
      <c r="P1859" s="290" t="s">
        <v>484</v>
      </c>
      <c r="Q1859" s="1338" t="s">
        <v>485</v>
      </c>
      <c r="R1859" s="1336" t="s">
        <v>296</v>
      </c>
      <c r="S1859" s="1338" t="s">
        <v>486</v>
      </c>
      <c r="T1859" s="1338" t="s">
        <v>487</v>
      </c>
      <c r="U1859" s="1340" t="s">
        <v>488</v>
      </c>
      <c r="V1859" s="291">
        <f t="shared" ref="V1859:V1867" ca="1" si="643">IF(OFFSET(V1859,1,1)=1,OFFSET(V1859,0,-4),OFFSET(V1859,1,0))</f>
        <v>0</v>
      </c>
      <c r="W1859" s="256">
        <f t="shared" ca="1" si="637"/>
        <v>2</v>
      </c>
      <c r="X1859" s="256">
        <f t="shared" ca="1" si="641"/>
        <v>1</v>
      </c>
      <c r="Y1859" s="256"/>
      <c r="Z1859" s="256"/>
      <c r="AA1859" s="292"/>
      <c r="AB1859" s="292"/>
      <c r="AC1859" s="292"/>
    </row>
    <row r="1860" spans="1:29" s="337" customFormat="1" ht="15.75" hidden="1" x14ac:dyDescent="0.2">
      <c r="A1860" s="288"/>
      <c r="B1860" s="1375" t="e">
        <f>LEFT(#REF!,5)</f>
        <v>#REF!</v>
      </c>
      <c r="C1860" s="1377" t="e">
        <f>VLOOKUP(LEFT(#REF!,5),'11 - FINANCEIRO'!_xlnm.Print_Area,2,FALSE)</f>
        <v>#REF!</v>
      </c>
      <c r="D1860" s="1342" t="s">
        <v>489</v>
      </c>
      <c r="E1860" s="1343"/>
      <c r="F1860" s="1344"/>
      <c r="G1860" s="1345" t="s">
        <v>490</v>
      </c>
      <c r="H1860" s="1346"/>
      <c r="I1860" s="1347"/>
      <c r="J1860" s="1339"/>
      <c r="K1860" s="1339"/>
      <c r="L1860" s="1339"/>
      <c r="M1860" s="1339"/>
      <c r="N1860" s="1339"/>
      <c r="O1860" s="1339"/>
      <c r="P1860" s="295" t="s">
        <v>491</v>
      </c>
      <c r="Q1860" s="1339"/>
      <c r="R1860" s="1337"/>
      <c r="S1860" s="1339"/>
      <c r="T1860" s="1339"/>
      <c r="U1860" s="1341"/>
      <c r="V1860" s="291">
        <f t="shared" ca="1" si="643"/>
        <v>0</v>
      </c>
      <c r="W1860" s="256">
        <f t="shared" ca="1" si="637"/>
        <v>2</v>
      </c>
      <c r="X1860" s="256">
        <f t="shared" ca="1" si="641"/>
        <v>1</v>
      </c>
      <c r="Y1860" s="336"/>
      <c r="Z1860" s="336"/>
    </row>
    <row r="1861" spans="1:29" s="337" customFormat="1" ht="15.75" hidden="1" x14ac:dyDescent="0.2">
      <c r="A1861" s="288"/>
      <c r="B1861" s="296"/>
      <c r="C1861" s="297"/>
      <c r="D1861" s="298"/>
      <c r="E1861" s="299"/>
      <c r="F1861" s="300"/>
      <c r="G1861" s="301"/>
      <c r="H1861" s="302"/>
      <c r="I1861" s="303"/>
      <c r="J1861" s="304"/>
      <c r="K1861" s="304"/>
      <c r="L1861" s="304"/>
      <c r="M1861" s="304"/>
      <c r="N1861" s="304"/>
      <c r="O1861" s="304"/>
      <c r="P1861" s="306"/>
      <c r="Q1861" s="304"/>
      <c r="R1861" s="307"/>
      <c r="S1861" s="304"/>
      <c r="T1861" s="309"/>
      <c r="U1861" s="310"/>
      <c r="V1861" s="291">
        <f t="shared" ca="1" si="643"/>
        <v>0</v>
      </c>
      <c r="W1861" s="256">
        <f t="shared" ca="1" si="637"/>
        <v>0</v>
      </c>
      <c r="X1861" s="256">
        <f t="shared" ca="1" si="641"/>
        <v>1</v>
      </c>
      <c r="Y1861" s="336"/>
      <c r="Z1861" s="336"/>
    </row>
    <row r="1862" spans="1:29" s="111" customFormat="1" ht="15.75" hidden="1" x14ac:dyDescent="0.2">
      <c r="A1862" s="288"/>
      <c r="B1862" s="311"/>
      <c r="C1862" s="312"/>
      <c r="D1862" s="313"/>
      <c r="E1862" s="314"/>
      <c r="F1862" s="315"/>
      <c r="G1862" s="380"/>
      <c r="H1862" s="316"/>
      <c r="I1862" s="381"/>
      <c r="J1862" s="317"/>
      <c r="K1862" s="313"/>
      <c r="L1862" s="317"/>
      <c r="M1862" s="315"/>
      <c r="N1862" s="314"/>
      <c r="O1862" s="313"/>
      <c r="P1862" s="318"/>
      <c r="Q1862" s="315"/>
      <c r="R1862" s="319"/>
      <c r="S1862" s="317"/>
      <c r="T1862" s="320"/>
      <c r="U1862" s="321"/>
      <c r="V1862" s="291">
        <f t="shared" ca="1" si="643"/>
        <v>0</v>
      </c>
      <c r="W1862" s="256">
        <f t="shared" ca="1" si="637"/>
        <v>0</v>
      </c>
      <c r="X1862" s="256">
        <f t="shared" ca="1" si="641"/>
        <v>1</v>
      </c>
      <c r="Y1862" s="250"/>
      <c r="Z1862" s="250"/>
    </row>
    <row r="1863" spans="1:29" s="111" customFormat="1" ht="15" hidden="1" x14ac:dyDescent="0.2">
      <c r="A1863" s="288"/>
      <c r="B1863" s="322"/>
      <c r="C1863" s="382"/>
      <c r="D1863" s="324"/>
      <c r="E1863" s="325"/>
      <c r="F1863" s="326"/>
      <c r="G1863" s="324"/>
      <c r="H1863" s="325"/>
      <c r="I1863" s="326"/>
      <c r="J1863" s="317"/>
      <c r="K1863" s="328"/>
      <c r="L1863" s="328"/>
      <c r="M1863" s="328"/>
      <c r="N1863" s="328"/>
      <c r="O1863" s="334"/>
      <c r="P1863" s="328"/>
      <c r="Q1863" s="334"/>
      <c r="R1863" s="333"/>
      <c r="S1863" s="331"/>
      <c r="T1863" s="320"/>
      <c r="U1863" s="335"/>
      <c r="V1863" s="291">
        <f t="shared" ca="1" si="643"/>
        <v>0</v>
      </c>
      <c r="W1863" s="256">
        <f t="shared" ca="1" si="637"/>
        <v>0</v>
      </c>
      <c r="X1863" s="256">
        <f t="shared" ca="1" si="641"/>
        <v>1</v>
      </c>
      <c r="Y1863" s="250"/>
      <c r="Z1863" s="250"/>
    </row>
    <row r="1864" spans="1:29" s="111" customFormat="1" ht="15" hidden="1" x14ac:dyDescent="0.2">
      <c r="A1864" s="288"/>
      <c r="B1864" s="338"/>
      <c r="C1864" s="339"/>
      <c r="D1864" s="340"/>
      <c r="E1864" s="341"/>
      <c r="F1864" s="342"/>
      <c r="G1864" s="340"/>
      <c r="H1864" s="341"/>
      <c r="I1864" s="342"/>
      <c r="J1864" s="343"/>
      <c r="K1864" s="344"/>
      <c r="L1864" s="345"/>
      <c r="M1864" s="346"/>
      <c r="N1864" s="347"/>
      <c r="O1864" s="348"/>
      <c r="P1864" s="345"/>
      <c r="Q1864" s="349"/>
      <c r="R1864" s="350"/>
      <c r="S1864" s="351"/>
      <c r="T1864" s="352"/>
      <c r="U1864" s="353"/>
      <c r="V1864" s="291">
        <f t="shared" ca="1" si="643"/>
        <v>0</v>
      </c>
      <c r="W1864" s="256">
        <f t="shared" ca="1" si="637"/>
        <v>0</v>
      </c>
      <c r="X1864" s="256">
        <f t="shared" ca="1" si="641"/>
        <v>1</v>
      </c>
      <c r="Y1864" s="250"/>
      <c r="Z1864" s="250"/>
    </row>
    <row r="1865" spans="1:29" s="111" customFormat="1" ht="15.75" hidden="1" customHeight="1" x14ac:dyDescent="0.2">
      <c r="A1865" s="288"/>
      <c r="B1865" s="354"/>
      <c r="C1865" s="355"/>
      <c r="D1865" s="1354" t="s">
        <v>492</v>
      </c>
      <c r="E1865" s="1355"/>
      <c r="F1865" s="1355"/>
      <c r="G1865" s="1355"/>
      <c r="H1865" s="1355"/>
      <c r="I1865" s="1356"/>
      <c r="J1865" s="1357">
        <f>VLOOKUP(A1867,'11 - FINANCEIRO'!_xlnm.Print_Area,6,FALSE)</f>
        <v>24</v>
      </c>
      <c r="K1865" s="1358"/>
      <c r="L1865" s="356" t="str">
        <f>VLOOKUP(A1867,'11 - FINANCEIRO'!_xlnm.Print_Area,4,FALSE)</f>
        <v>m</v>
      </c>
      <c r="M1865" s="1359" t="s">
        <v>493</v>
      </c>
      <c r="N1865" s="1360"/>
      <c r="O1865" s="1360"/>
      <c r="P1865" s="1360"/>
      <c r="Q1865" s="1361"/>
      <c r="R1865" s="357">
        <f>TRUNC(SUM(R1861:R1864),3)</f>
        <v>0</v>
      </c>
      <c r="S1865" s="358" t="str">
        <f>L1865</f>
        <v>m</v>
      </c>
      <c r="T1865" s="359"/>
      <c r="U1865" s="360"/>
      <c r="V1865" s="291">
        <f t="shared" ca="1" si="643"/>
        <v>0</v>
      </c>
      <c r="W1865" s="256">
        <f t="shared" ca="1" si="637"/>
        <v>2</v>
      </c>
      <c r="X1865" s="256">
        <f t="shared" ca="1" si="641"/>
        <v>1</v>
      </c>
      <c r="Y1865" s="250"/>
      <c r="Z1865" s="250"/>
    </row>
    <row r="1866" spans="1:29" s="293" customFormat="1" ht="15.75" hidden="1" customHeight="1" x14ac:dyDescent="0.2">
      <c r="A1866" s="288"/>
      <c r="B1866" s="354"/>
      <c r="C1866" s="361"/>
      <c r="D1866" s="1362" t="s">
        <v>494</v>
      </c>
      <c r="E1866" s="1363"/>
      <c r="F1866" s="1363"/>
      <c r="G1866" s="1363"/>
      <c r="H1866" s="1363"/>
      <c r="I1866" s="1364"/>
      <c r="J1866" s="1365">
        <f>R1865/J1865</f>
        <v>0</v>
      </c>
      <c r="K1866" s="1366"/>
      <c r="L1866" s="1369"/>
      <c r="M1866" s="1371" t="s">
        <v>495</v>
      </c>
      <c r="N1866" s="1372"/>
      <c r="O1866" s="1372"/>
      <c r="P1866" s="1372"/>
      <c r="Q1866" s="1373"/>
      <c r="R1866" s="362">
        <f>VLOOKUP(A1867,'11 - FINANCEIRO'!_xlnm.Print_Area,8,FALSE)</f>
        <v>0</v>
      </c>
      <c r="S1866" s="363" t="str">
        <f>L1865</f>
        <v>m</v>
      </c>
      <c r="T1866" s="359"/>
      <c r="U1866" s="360"/>
      <c r="V1866" s="291">
        <f t="shared" ca="1" si="643"/>
        <v>0</v>
      </c>
      <c r="W1866" s="256">
        <f t="shared" ca="1" si="637"/>
        <v>2</v>
      </c>
      <c r="X1866" s="256">
        <f t="shared" ca="1" si="641"/>
        <v>1</v>
      </c>
      <c r="Y1866" s="256"/>
      <c r="Z1866" s="256"/>
      <c r="AA1866" s="292"/>
      <c r="AB1866" s="292"/>
      <c r="AC1866" s="292"/>
    </row>
    <row r="1867" spans="1:29" s="293" customFormat="1" ht="15.75" hidden="1" customHeight="1" x14ac:dyDescent="0.2">
      <c r="A1867" s="288" t="s">
        <v>55</v>
      </c>
      <c r="B1867" s="364"/>
      <c r="C1867" s="365"/>
      <c r="D1867" s="1354"/>
      <c r="E1867" s="1355"/>
      <c r="F1867" s="1355"/>
      <c r="G1867" s="1355"/>
      <c r="H1867" s="1355"/>
      <c r="I1867" s="1356"/>
      <c r="J1867" s="1367"/>
      <c r="K1867" s="1368"/>
      <c r="L1867" s="1370"/>
      <c r="M1867" s="1371" t="s">
        <v>496</v>
      </c>
      <c r="N1867" s="1372"/>
      <c r="O1867" s="1372"/>
      <c r="P1867" s="1372"/>
      <c r="Q1867" s="1373"/>
      <c r="R1867" s="362">
        <f>R1865-R1866</f>
        <v>0</v>
      </c>
      <c r="S1867" s="363" t="str">
        <f>L1865</f>
        <v>m</v>
      </c>
      <c r="T1867" s="366"/>
      <c r="U1867" s="367"/>
      <c r="V1867" s="291">
        <f t="shared" ca="1" si="643"/>
        <v>0</v>
      </c>
      <c r="W1867" s="256">
        <f t="shared" ca="1" si="637"/>
        <v>2</v>
      </c>
      <c r="X1867" s="256">
        <f t="shared" ca="1" si="641"/>
        <v>1</v>
      </c>
      <c r="Y1867" s="256"/>
      <c r="Z1867" s="256"/>
      <c r="AA1867" s="292"/>
      <c r="AB1867" s="292"/>
      <c r="AC1867" s="292"/>
    </row>
    <row r="1868" spans="1:29" s="111" customFormat="1" ht="15.75" hidden="1" x14ac:dyDescent="0.2">
      <c r="A1868" s="288"/>
      <c r="B1868" s="368"/>
      <c r="C1868" s="365"/>
      <c r="D1868" s="369"/>
      <c r="E1868" s="370"/>
      <c r="F1868" s="369"/>
      <c r="G1868" s="369"/>
      <c r="H1868" s="369"/>
      <c r="I1868" s="369"/>
      <c r="J1868" s="371"/>
      <c r="K1868" s="372"/>
      <c r="L1868" s="373"/>
      <c r="M1868" s="374"/>
      <c r="N1868" s="374"/>
      <c r="O1868" s="374"/>
      <c r="P1868" s="374"/>
      <c r="Q1868" s="374"/>
      <c r="R1868" s="375"/>
      <c r="S1868" s="376"/>
      <c r="T1868" s="377"/>
      <c r="U1868" s="378"/>
      <c r="V1868" s="379">
        <f ca="1">SUM(V1859:V1867)</f>
        <v>0</v>
      </c>
      <c r="W1868" s="256">
        <f t="shared" ca="1" si="637"/>
        <v>1</v>
      </c>
      <c r="X1868" s="256">
        <f t="shared" ca="1" si="641"/>
        <v>0</v>
      </c>
      <c r="Y1868" s="250"/>
      <c r="Z1868" s="250"/>
    </row>
    <row r="1869" spans="1:29" s="293" customFormat="1" ht="15.75" hidden="1" x14ac:dyDescent="0.25">
      <c r="A1869" s="288"/>
      <c r="B1869" s="1374" t="str">
        <f>VLOOKUP(A1877,'11 - FINANCEIRO'!_xlnm.Print_Area,1,FALSE)</f>
        <v>2.4.5</v>
      </c>
      <c r="C1869" s="1376" t="str">
        <f>VLOOKUP(A1877,'11 - FINANCEIRO'!_xlnm.Print_Area,3,FALSE)</f>
        <v>Pecas Em Chapas/Perfil/Barra Em Aco Para Interferencias - 25,54 Kg</v>
      </c>
      <c r="D1869" s="1378" t="s">
        <v>477</v>
      </c>
      <c r="E1869" s="1379"/>
      <c r="F1869" s="1379"/>
      <c r="G1869" s="1379"/>
      <c r="H1869" s="1379"/>
      <c r="I1869" s="1380"/>
      <c r="J1869" s="1338" t="s">
        <v>478</v>
      </c>
      <c r="K1869" s="1338" t="s">
        <v>479</v>
      </c>
      <c r="L1869" s="1338" t="s">
        <v>480</v>
      </c>
      <c r="M1869" s="1338" t="s">
        <v>481</v>
      </c>
      <c r="N1869" s="1338" t="s">
        <v>482</v>
      </c>
      <c r="O1869" s="1338" t="s">
        <v>483</v>
      </c>
      <c r="P1869" s="290" t="s">
        <v>484</v>
      </c>
      <c r="Q1869" s="1338" t="s">
        <v>485</v>
      </c>
      <c r="R1869" s="1336" t="s">
        <v>296</v>
      </c>
      <c r="S1869" s="1338" t="s">
        <v>486</v>
      </c>
      <c r="T1869" s="1338" t="s">
        <v>487</v>
      </c>
      <c r="U1869" s="1340" t="s">
        <v>488</v>
      </c>
      <c r="V1869" s="291">
        <f t="shared" ref="V1869:V1877" ca="1" si="644">IF(OFFSET(V1869,1,1)=1,OFFSET(V1869,0,-4),OFFSET(V1869,1,0))</f>
        <v>0</v>
      </c>
      <c r="W1869" s="256">
        <f t="shared" ca="1" si="637"/>
        <v>2</v>
      </c>
      <c r="X1869" s="256">
        <f t="shared" ca="1" si="641"/>
        <v>1</v>
      </c>
      <c r="Y1869" s="256"/>
      <c r="Z1869" s="256"/>
      <c r="AA1869" s="292"/>
      <c r="AB1869" s="292"/>
      <c r="AC1869" s="292"/>
    </row>
    <row r="1870" spans="1:29" s="337" customFormat="1" ht="15.75" hidden="1" x14ac:dyDescent="0.2">
      <c r="A1870" s="288"/>
      <c r="B1870" s="1375" t="e">
        <f>LEFT(#REF!,5)</f>
        <v>#REF!</v>
      </c>
      <c r="C1870" s="1377" t="e">
        <f>VLOOKUP(LEFT(#REF!,5),'11 - FINANCEIRO'!_xlnm.Print_Area,2,FALSE)</f>
        <v>#REF!</v>
      </c>
      <c r="D1870" s="1342" t="s">
        <v>489</v>
      </c>
      <c r="E1870" s="1343"/>
      <c r="F1870" s="1344"/>
      <c r="G1870" s="1345" t="s">
        <v>490</v>
      </c>
      <c r="H1870" s="1346"/>
      <c r="I1870" s="1347"/>
      <c r="J1870" s="1339"/>
      <c r="K1870" s="1339"/>
      <c r="L1870" s="1339"/>
      <c r="M1870" s="1339"/>
      <c r="N1870" s="1339"/>
      <c r="O1870" s="1339"/>
      <c r="P1870" s="295" t="s">
        <v>491</v>
      </c>
      <c r="Q1870" s="1339"/>
      <c r="R1870" s="1337"/>
      <c r="S1870" s="1339"/>
      <c r="T1870" s="1339"/>
      <c r="U1870" s="1341"/>
      <c r="V1870" s="291">
        <f t="shared" ca="1" si="644"/>
        <v>0</v>
      </c>
      <c r="W1870" s="256">
        <f t="shared" ca="1" si="637"/>
        <v>2</v>
      </c>
      <c r="X1870" s="256">
        <f t="shared" ca="1" si="641"/>
        <v>1</v>
      </c>
      <c r="Y1870" s="336"/>
      <c r="Z1870" s="336"/>
    </row>
    <row r="1871" spans="1:29" s="337" customFormat="1" ht="15.75" hidden="1" x14ac:dyDescent="0.2">
      <c r="A1871" s="288"/>
      <c r="B1871" s="296"/>
      <c r="C1871" s="297"/>
      <c r="D1871" s="298"/>
      <c r="E1871" s="299"/>
      <c r="F1871" s="300"/>
      <c r="G1871" s="301"/>
      <c r="H1871" s="302"/>
      <c r="I1871" s="303"/>
      <c r="J1871" s="304"/>
      <c r="K1871" s="304"/>
      <c r="L1871" s="304"/>
      <c r="M1871" s="304"/>
      <c r="N1871" s="304"/>
      <c r="O1871" s="304"/>
      <c r="P1871" s="306"/>
      <c r="Q1871" s="304"/>
      <c r="R1871" s="307"/>
      <c r="S1871" s="304"/>
      <c r="T1871" s="309"/>
      <c r="U1871" s="310"/>
      <c r="V1871" s="291">
        <f t="shared" ca="1" si="644"/>
        <v>0</v>
      </c>
      <c r="W1871" s="256">
        <f t="shared" ca="1" si="637"/>
        <v>0</v>
      </c>
      <c r="X1871" s="256">
        <f t="shared" ca="1" si="641"/>
        <v>1</v>
      </c>
      <c r="Y1871" s="336"/>
      <c r="Z1871" s="336"/>
    </row>
    <row r="1872" spans="1:29" s="111" customFormat="1" ht="15.75" hidden="1" x14ac:dyDescent="0.2">
      <c r="A1872" s="288"/>
      <c r="B1872" s="311"/>
      <c r="C1872" s="312"/>
      <c r="D1872" s="313"/>
      <c r="E1872" s="314"/>
      <c r="F1872" s="315"/>
      <c r="G1872" s="380"/>
      <c r="H1872" s="316"/>
      <c r="I1872" s="381"/>
      <c r="J1872" s="317"/>
      <c r="K1872" s="313"/>
      <c r="L1872" s="317"/>
      <c r="M1872" s="315"/>
      <c r="N1872" s="314"/>
      <c r="O1872" s="313"/>
      <c r="P1872" s="318"/>
      <c r="Q1872" s="315"/>
      <c r="R1872" s="319"/>
      <c r="S1872" s="317"/>
      <c r="T1872" s="320"/>
      <c r="U1872" s="321"/>
      <c r="V1872" s="291">
        <f t="shared" ca="1" si="644"/>
        <v>0</v>
      </c>
      <c r="W1872" s="256">
        <f t="shared" ca="1" si="637"/>
        <v>0</v>
      </c>
      <c r="X1872" s="256">
        <f t="shared" ca="1" si="641"/>
        <v>1</v>
      </c>
      <c r="Y1872" s="250"/>
      <c r="Z1872" s="250"/>
    </row>
    <row r="1873" spans="1:29" s="111" customFormat="1" ht="15" hidden="1" x14ac:dyDescent="0.2">
      <c r="A1873" s="288"/>
      <c r="B1873" s="322"/>
      <c r="C1873" s="382"/>
      <c r="D1873" s="324"/>
      <c r="E1873" s="325"/>
      <c r="F1873" s="326"/>
      <c r="G1873" s="324"/>
      <c r="H1873" s="325"/>
      <c r="I1873" s="326"/>
      <c r="J1873" s="317"/>
      <c r="K1873" s="328"/>
      <c r="L1873" s="328"/>
      <c r="M1873" s="328"/>
      <c r="N1873" s="328"/>
      <c r="O1873" s="334"/>
      <c r="P1873" s="328"/>
      <c r="Q1873" s="334"/>
      <c r="R1873" s="333"/>
      <c r="S1873" s="331"/>
      <c r="T1873" s="320"/>
      <c r="U1873" s="335"/>
      <c r="V1873" s="291">
        <f t="shared" ca="1" si="644"/>
        <v>0</v>
      </c>
      <c r="W1873" s="256">
        <f t="shared" ca="1" si="637"/>
        <v>0</v>
      </c>
      <c r="X1873" s="256">
        <f t="shared" ca="1" si="641"/>
        <v>1</v>
      </c>
      <c r="Y1873" s="250"/>
      <c r="Z1873" s="250"/>
    </row>
    <row r="1874" spans="1:29" s="111" customFormat="1" ht="15" hidden="1" x14ac:dyDescent="0.2">
      <c r="A1874" s="288"/>
      <c r="B1874" s="338"/>
      <c r="C1874" s="339"/>
      <c r="D1874" s="340"/>
      <c r="E1874" s="341"/>
      <c r="F1874" s="342"/>
      <c r="G1874" s="340"/>
      <c r="H1874" s="341"/>
      <c r="I1874" s="342"/>
      <c r="J1874" s="343"/>
      <c r="K1874" s="344"/>
      <c r="L1874" s="345"/>
      <c r="M1874" s="346"/>
      <c r="N1874" s="347"/>
      <c r="O1874" s="348"/>
      <c r="P1874" s="345"/>
      <c r="Q1874" s="349"/>
      <c r="R1874" s="350"/>
      <c r="S1874" s="351"/>
      <c r="T1874" s="352"/>
      <c r="U1874" s="353"/>
      <c r="V1874" s="291">
        <f t="shared" ca="1" si="644"/>
        <v>0</v>
      </c>
      <c r="W1874" s="256">
        <f t="shared" ca="1" si="637"/>
        <v>0</v>
      </c>
      <c r="X1874" s="256">
        <f t="shared" ca="1" si="641"/>
        <v>1</v>
      </c>
      <c r="Y1874" s="250"/>
      <c r="Z1874" s="250"/>
    </row>
    <row r="1875" spans="1:29" s="111" customFormat="1" ht="15.75" hidden="1" x14ac:dyDescent="0.2">
      <c r="A1875" s="288"/>
      <c r="B1875" s="354"/>
      <c r="C1875" s="355"/>
      <c r="D1875" s="1354" t="s">
        <v>492</v>
      </c>
      <c r="E1875" s="1355"/>
      <c r="F1875" s="1355"/>
      <c r="G1875" s="1355"/>
      <c r="H1875" s="1355"/>
      <c r="I1875" s="1356"/>
      <c r="J1875" s="1357">
        <f>VLOOKUP(A1877,'11 - FINANCEIRO'!_xlnm.Print_Area,6,FALSE)</f>
        <v>1</v>
      </c>
      <c r="K1875" s="1358"/>
      <c r="L1875" s="356" t="str">
        <f>VLOOKUP(A1877,'11 - FINANCEIRO'!_xlnm.Print_Area,4,FALSE)</f>
        <v>un</v>
      </c>
      <c r="M1875" s="1359" t="s">
        <v>493</v>
      </c>
      <c r="N1875" s="1360"/>
      <c r="O1875" s="1360"/>
      <c r="P1875" s="1360"/>
      <c r="Q1875" s="1361"/>
      <c r="R1875" s="357">
        <f>TRUNC(SUM(R1871:R1874),3)</f>
        <v>0</v>
      </c>
      <c r="S1875" s="358" t="str">
        <f>L1875</f>
        <v>un</v>
      </c>
      <c r="T1875" s="359"/>
      <c r="U1875" s="360"/>
      <c r="V1875" s="291">
        <f t="shared" ca="1" si="644"/>
        <v>0</v>
      </c>
      <c r="W1875" s="256">
        <f t="shared" ca="1" si="637"/>
        <v>2</v>
      </c>
      <c r="X1875" s="256">
        <f t="shared" ca="1" si="641"/>
        <v>1</v>
      </c>
      <c r="Y1875" s="250"/>
      <c r="Z1875" s="250"/>
    </row>
    <row r="1876" spans="1:29" s="293" customFormat="1" ht="15.75" hidden="1" x14ac:dyDescent="0.2">
      <c r="A1876" s="288"/>
      <c r="B1876" s="354"/>
      <c r="C1876" s="361"/>
      <c r="D1876" s="1362" t="s">
        <v>494</v>
      </c>
      <c r="E1876" s="1363"/>
      <c r="F1876" s="1363"/>
      <c r="G1876" s="1363"/>
      <c r="H1876" s="1363"/>
      <c r="I1876" s="1364"/>
      <c r="J1876" s="1365">
        <f>R1875/J1875</f>
        <v>0</v>
      </c>
      <c r="K1876" s="1366"/>
      <c r="L1876" s="1369"/>
      <c r="M1876" s="1371" t="s">
        <v>495</v>
      </c>
      <c r="N1876" s="1372"/>
      <c r="O1876" s="1372"/>
      <c r="P1876" s="1372"/>
      <c r="Q1876" s="1373"/>
      <c r="R1876" s="362">
        <f>VLOOKUP(A1877,'11 - FINANCEIRO'!_xlnm.Print_Area,8,FALSE)</f>
        <v>0</v>
      </c>
      <c r="S1876" s="363" t="str">
        <f>L1875</f>
        <v>un</v>
      </c>
      <c r="T1876" s="359"/>
      <c r="U1876" s="360"/>
      <c r="V1876" s="291">
        <f t="shared" ca="1" si="644"/>
        <v>0</v>
      </c>
      <c r="W1876" s="256">
        <f t="shared" ca="1" si="637"/>
        <v>2</v>
      </c>
      <c r="X1876" s="256">
        <f t="shared" ca="1" si="641"/>
        <v>1</v>
      </c>
      <c r="Y1876" s="256"/>
      <c r="Z1876" s="256"/>
      <c r="AA1876" s="292"/>
      <c r="AB1876" s="292"/>
      <c r="AC1876" s="292"/>
    </row>
    <row r="1877" spans="1:29" s="293" customFormat="1" ht="15.75" hidden="1" x14ac:dyDescent="0.2">
      <c r="A1877" s="288" t="s">
        <v>56</v>
      </c>
      <c r="B1877" s="364"/>
      <c r="C1877" s="365"/>
      <c r="D1877" s="1354"/>
      <c r="E1877" s="1355"/>
      <c r="F1877" s="1355"/>
      <c r="G1877" s="1355"/>
      <c r="H1877" s="1355"/>
      <c r="I1877" s="1356"/>
      <c r="J1877" s="1367"/>
      <c r="K1877" s="1368"/>
      <c r="L1877" s="1370"/>
      <c r="M1877" s="1371" t="s">
        <v>496</v>
      </c>
      <c r="N1877" s="1372"/>
      <c r="O1877" s="1372"/>
      <c r="P1877" s="1372"/>
      <c r="Q1877" s="1373"/>
      <c r="R1877" s="362">
        <f>R1875-R1876</f>
        <v>0</v>
      </c>
      <c r="S1877" s="363" t="str">
        <f>L1875</f>
        <v>un</v>
      </c>
      <c r="T1877" s="366"/>
      <c r="U1877" s="367"/>
      <c r="V1877" s="291">
        <f t="shared" ca="1" si="644"/>
        <v>0</v>
      </c>
      <c r="W1877" s="256">
        <f t="shared" ca="1" si="637"/>
        <v>2</v>
      </c>
      <c r="X1877" s="256">
        <f t="shared" ca="1" si="641"/>
        <v>1</v>
      </c>
      <c r="Y1877" s="256"/>
      <c r="Z1877" s="256"/>
      <c r="AA1877" s="292"/>
      <c r="AB1877" s="292"/>
      <c r="AC1877" s="292"/>
    </row>
    <row r="1878" spans="1:29" s="111" customFormat="1" ht="15.75" hidden="1" x14ac:dyDescent="0.2">
      <c r="A1878" s="288"/>
      <c r="B1878" s="368"/>
      <c r="C1878" s="365"/>
      <c r="D1878" s="369"/>
      <c r="E1878" s="370"/>
      <c r="F1878" s="369"/>
      <c r="G1878" s="369"/>
      <c r="H1878" s="369"/>
      <c r="I1878" s="369"/>
      <c r="J1878" s="371"/>
      <c r="K1878" s="372"/>
      <c r="L1878" s="373"/>
      <c r="M1878" s="374"/>
      <c r="N1878" s="374"/>
      <c r="O1878" s="374"/>
      <c r="P1878" s="374"/>
      <c r="Q1878" s="374"/>
      <c r="R1878" s="375"/>
      <c r="S1878" s="376"/>
      <c r="T1878" s="377"/>
      <c r="U1878" s="378"/>
      <c r="V1878" s="379">
        <f ca="1">SUM(V1869:V1877)</f>
        <v>0</v>
      </c>
      <c r="W1878" s="256">
        <f t="shared" ca="1" si="637"/>
        <v>1</v>
      </c>
      <c r="X1878" s="256">
        <f t="shared" ca="1" si="641"/>
        <v>0</v>
      </c>
      <c r="Y1878" s="250"/>
      <c r="Z1878" s="250"/>
    </row>
    <row r="1879" spans="1:29" s="293" customFormat="1" ht="15.75" hidden="1" customHeight="1" x14ac:dyDescent="0.25">
      <c r="A1879" s="288"/>
      <c r="B1879" s="1374" t="str">
        <f>VLOOKUP(A1887,'11 - FINANCEIRO'!_xlnm.Print_Area,1,FALSE)</f>
        <v>2.4.6</v>
      </c>
      <c r="C1879" s="1376" t="str">
        <f>VLOOKUP(A1887,'11 - FINANCEIRO'!_xlnm.Print_Area,3,FALSE)</f>
        <v>Tubo De Pead Corrugado De Dupla Parede Para Rede Coletora De Esgoto, Dn 250 Mm, Junta Elástica Integrada, Instalado Em Local Com Nível Alto De Interferências - Fornecimento E Assentamento.</v>
      </c>
      <c r="D1879" s="1378" t="s">
        <v>477</v>
      </c>
      <c r="E1879" s="1379"/>
      <c r="F1879" s="1379"/>
      <c r="G1879" s="1379"/>
      <c r="H1879" s="1379"/>
      <c r="I1879" s="1380"/>
      <c r="J1879" s="1338" t="s">
        <v>478</v>
      </c>
      <c r="K1879" s="1338" t="s">
        <v>479</v>
      </c>
      <c r="L1879" s="1338" t="s">
        <v>480</v>
      </c>
      <c r="M1879" s="1338" t="s">
        <v>481</v>
      </c>
      <c r="N1879" s="1338" t="s">
        <v>482</v>
      </c>
      <c r="O1879" s="1338" t="s">
        <v>483</v>
      </c>
      <c r="P1879" s="290" t="s">
        <v>484</v>
      </c>
      <c r="Q1879" s="1338" t="s">
        <v>485</v>
      </c>
      <c r="R1879" s="1336" t="s">
        <v>296</v>
      </c>
      <c r="S1879" s="1338" t="s">
        <v>486</v>
      </c>
      <c r="T1879" s="1338" t="s">
        <v>487</v>
      </c>
      <c r="U1879" s="1340" t="s">
        <v>488</v>
      </c>
      <c r="V1879" s="291">
        <f t="shared" ref="V1879:V1887" ca="1" si="645">IF(OFFSET(V1879,1,1)=1,OFFSET(V1879,0,-4),OFFSET(V1879,1,0))</f>
        <v>0</v>
      </c>
      <c r="W1879" s="256">
        <f t="shared" ref="W1879:W1942" ca="1" si="646">IF(LEFT(_xlfn.FORMULATEXT(V1879),3)="=SO",1,IF(COUNTA(A1879:U1879)=0,0,2))</f>
        <v>2</v>
      </c>
      <c r="X1879" s="256">
        <f t="shared" ca="1" si="641"/>
        <v>1</v>
      </c>
      <c r="Y1879" s="256"/>
      <c r="Z1879" s="256"/>
      <c r="AA1879" s="292"/>
      <c r="AB1879" s="292"/>
      <c r="AC1879" s="292"/>
    </row>
    <row r="1880" spans="1:29" s="337" customFormat="1" ht="15.75" hidden="1" x14ac:dyDescent="0.2">
      <c r="A1880" s="288"/>
      <c r="B1880" s="1375" t="e">
        <f>LEFT(#REF!,5)</f>
        <v>#REF!</v>
      </c>
      <c r="C1880" s="1377" t="e">
        <f>VLOOKUP(LEFT(#REF!,5),'11 - FINANCEIRO'!_xlnm.Print_Area,2,FALSE)</f>
        <v>#REF!</v>
      </c>
      <c r="D1880" s="1342" t="s">
        <v>489</v>
      </c>
      <c r="E1880" s="1343"/>
      <c r="F1880" s="1344"/>
      <c r="G1880" s="1345" t="s">
        <v>490</v>
      </c>
      <c r="H1880" s="1346"/>
      <c r="I1880" s="1347"/>
      <c r="J1880" s="1339"/>
      <c r="K1880" s="1339"/>
      <c r="L1880" s="1339"/>
      <c r="M1880" s="1339"/>
      <c r="N1880" s="1339"/>
      <c r="O1880" s="1339"/>
      <c r="P1880" s="295" t="s">
        <v>491</v>
      </c>
      <c r="Q1880" s="1339"/>
      <c r="R1880" s="1337"/>
      <c r="S1880" s="1339"/>
      <c r="T1880" s="1339"/>
      <c r="U1880" s="1341"/>
      <c r="V1880" s="291">
        <f t="shared" ca="1" si="645"/>
        <v>0</v>
      </c>
      <c r="W1880" s="256">
        <f t="shared" ca="1" si="646"/>
        <v>2</v>
      </c>
      <c r="X1880" s="256">
        <f t="shared" ca="1" si="641"/>
        <v>1</v>
      </c>
      <c r="Y1880" s="336"/>
      <c r="Z1880" s="336"/>
    </row>
    <row r="1881" spans="1:29" s="337" customFormat="1" ht="15.75" hidden="1" x14ac:dyDescent="0.2">
      <c r="A1881" s="288"/>
      <c r="B1881" s="296"/>
      <c r="C1881" s="297"/>
      <c r="D1881" s="298"/>
      <c r="E1881" s="299"/>
      <c r="F1881" s="300"/>
      <c r="G1881" s="301"/>
      <c r="H1881" s="302"/>
      <c r="I1881" s="303"/>
      <c r="J1881" s="304"/>
      <c r="K1881" s="304"/>
      <c r="L1881" s="304"/>
      <c r="M1881" s="304"/>
      <c r="N1881" s="304"/>
      <c r="O1881" s="304"/>
      <c r="P1881" s="306"/>
      <c r="Q1881" s="304"/>
      <c r="R1881" s="307"/>
      <c r="S1881" s="304"/>
      <c r="T1881" s="309"/>
      <c r="U1881" s="310"/>
      <c r="V1881" s="291">
        <f t="shared" ca="1" si="645"/>
        <v>0</v>
      </c>
      <c r="W1881" s="256">
        <f t="shared" ca="1" si="646"/>
        <v>0</v>
      </c>
      <c r="X1881" s="256">
        <f t="shared" ca="1" si="641"/>
        <v>1</v>
      </c>
      <c r="Y1881" s="336"/>
      <c r="Z1881" s="336"/>
    </row>
    <row r="1882" spans="1:29" s="111" customFormat="1" ht="15.75" hidden="1" x14ac:dyDescent="0.2">
      <c r="A1882" s="288"/>
      <c r="B1882" s="311"/>
      <c r="C1882" s="312"/>
      <c r="D1882" s="313"/>
      <c r="E1882" s="314"/>
      <c r="F1882" s="315"/>
      <c r="G1882" s="380"/>
      <c r="H1882" s="316"/>
      <c r="I1882" s="381"/>
      <c r="J1882" s="317"/>
      <c r="K1882" s="313"/>
      <c r="L1882" s="317"/>
      <c r="M1882" s="315"/>
      <c r="N1882" s="314"/>
      <c r="O1882" s="313"/>
      <c r="P1882" s="318"/>
      <c r="Q1882" s="315"/>
      <c r="R1882" s="319"/>
      <c r="S1882" s="317"/>
      <c r="T1882" s="320"/>
      <c r="U1882" s="321"/>
      <c r="V1882" s="291">
        <f t="shared" ca="1" si="645"/>
        <v>0</v>
      </c>
      <c r="W1882" s="256">
        <f t="shared" ca="1" si="646"/>
        <v>0</v>
      </c>
      <c r="X1882" s="256">
        <f t="shared" ca="1" si="641"/>
        <v>1</v>
      </c>
      <c r="Y1882" s="250"/>
      <c r="Z1882" s="250"/>
    </row>
    <row r="1883" spans="1:29" s="111" customFormat="1" ht="15" hidden="1" x14ac:dyDescent="0.2">
      <c r="A1883" s="288"/>
      <c r="B1883" s="322"/>
      <c r="C1883" s="382"/>
      <c r="D1883" s="324"/>
      <c r="E1883" s="325"/>
      <c r="F1883" s="326"/>
      <c r="G1883" s="324"/>
      <c r="H1883" s="325"/>
      <c r="I1883" s="326"/>
      <c r="J1883" s="317"/>
      <c r="K1883" s="328"/>
      <c r="L1883" s="328"/>
      <c r="M1883" s="328"/>
      <c r="N1883" s="328"/>
      <c r="O1883" s="334"/>
      <c r="P1883" s="328"/>
      <c r="Q1883" s="334"/>
      <c r="R1883" s="333"/>
      <c r="S1883" s="331"/>
      <c r="T1883" s="320"/>
      <c r="U1883" s="335"/>
      <c r="V1883" s="291">
        <f t="shared" ca="1" si="645"/>
        <v>0</v>
      </c>
      <c r="W1883" s="256">
        <f t="shared" ca="1" si="646"/>
        <v>0</v>
      </c>
      <c r="X1883" s="256">
        <f t="shared" ca="1" si="641"/>
        <v>1</v>
      </c>
      <c r="Y1883" s="250"/>
      <c r="Z1883" s="250"/>
    </row>
    <row r="1884" spans="1:29" s="111" customFormat="1" ht="15" hidden="1" x14ac:dyDescent="0.2">
      <c r="A1884" s="288"/>
      <c r="B1884" s="338"/>
      <c r="C1884" s="339"/>
      <c r="D1884" s="340"/>
      <c r="E1884" s="341"/>
      <c r="F1884" s="342"/>
      <c r="G1884" s="340"/>
      <c r="H1884" s="341"/>
      <c r="I1884" s="342"/>
      <c r="J1884" s="343"/>
      <c r="K1884" s="344"/>
      <c r="L1884" s="345"/>
      <c r="M1884" s="346"/>
      <c r="N1884" s="347"/>
      <c r="O1884" s="348"/>
      <c r="P1884" s="345"/>
      <c r="Q1884" s="349"/>
      <c r="R1884" s="350"/>
      <c r="S1884" s="351"/>
      <c r="T1884" s="352"/>
      <c r="U1884" s="353"/>
      <c r="V1884" s="291">
        <f t="shared" ca="1" si="645"/>
        <v>0</v>
      </c>
      <c r="W1884" s="256">
        <f t="shared" ca="1" si="646"/>
        <v>0</v>
      </c>
      <c r="X1884" s="256">
        <f t="shared" ca="1" si="641"/>
        <v>1</v>
      </c>
      <c r="Y1884" s="250"/>
      <c r="Z1884" s="250"/>
    </row>
    <row r="1885" spans="1:29" s="111" customFormat="1" ht="15.75" hidden="1" customHeight="1" x14ac:dyDescent="0.2">
      <c r="A1885" s="288"/>
      <c r="B1885" s="354"/>
      <c r="C1885" s="355"/>
      <c r="D1885" s="1354" t="s">
        <v>492</v>
      </c>
      <c r="E1885" s="1355"/>
      <c r="F1885" s="1355"/>
      <c r="G1885" s="1355"/>
      <c r="H1885" s="1355"/>
      <c r="I1885" s="1356"/>
      <c r="J1885" s="1357">
        <f>VLOOKUP(A1887,'11 - FINANCEIRO'!_xlnm.Print_Area,6,FALSE)</f>
        <v>12</v>
      </c>
      <c r="K1885" s="1358"/>
      <c r="L1885" s="356" t="str">
        <f>VLOOKUP(A1887,'11 - FINANCEIRO'!_xlnm.Print_Area,4,FALSE)</f>
        <v>m</v>
      </c>
      <c r="M1885" s="1359" t="s">
        <v>493</v>
      </c>
      <c r="N1885" s="1360"/>
      <c r="O1885" s="1360"/>
      <c r="P1885" s="1360"/>
      <c r="Q1885" s="1361"/>
      <c r="R1885" s="357">
        <f>TRUNC(SUM(R1881:R1884),3)</f>
        <v>0</v>
      </c>
      <c r="S1885" s="358" t="str">
        <f>L1885</f>
        <v>m</v>
      </c>
      <c r="T1885" s="359"/>
      <c r="U1885" s="360"/>
      <c r="V1885" s="291">
        <f t="shared" ca="1" si="645"/>
        <v>0</v>
      </c>
      <c r="W1885" s="256">
        <f t="shared" ca="1" si="646"/>
        <v>2</v>
      </c>
      <c r="X1885" s="256">
        <f t="shared" ca="1" si="641"/>
        <v>1</v>
      </c>
      <c r="Y1885" s="250"/>
      <c r="Z1885" s="250"/>
    </row>
    <row r="1886" spans="1:29" s="293" customFormat="1" ht="15.75" hidden="1" customHeight="1" x14ac:dyDescent="0.2">
      <c r="A1886" s="288"/>
      <c r="B1886" s="354"/>
      <c r="C1886" s="361"/>
      <c r="D1886" s="1362" t="s">
        <v>494</v>
      </c>
      <c r="E1886" s="1363"/>
      <c r="F1886" s="1363"/>
      <c r="G1886" s="1363"/>
      <c r="H1886" s="1363"/>
      <c r="I1886" s="1364"/>
      <c r="J1886" s="1365">
        <f>R1885/J1885</f>
        <v>0</v>
      </c>
      <c r="K1886" s="1366"/>
      <c r="L1886" s="1369"/>
      <c r="M1886" s="1371" t="s">
        <v>495</v>
      </c>
      <c r="N1886" s="1372"/>
      <c r="O1886" s="1372"/>
      <c r="P1886" s="1372"/>
      <c r="Q1886" s="1373"/>
      <c r="R1886" s="362">
        <f>VLOOKUP(A1887,'11 - FINANCEIRO'!_xlnm.Print_Area,8,FALSE)</f>
        <v>0</v>
      </c>
      <c r="S1886" s="363" t="str">
        <f>L1885</f>
        <v>m</v>
      </c>
      <c r="T1886" s="359"/>
      <c r="U1886" s="360"/>
      <c r="V1886" s="291">
        <f t="shared" ca="1" si="645"/>
        <v>0</v>
      </c>
      <c r="W1886" s="256">
        <f t="shared" ca="1" si="646"/>
        <v>2</v>
      </c>
      <c r="X1886" s="256">
        <f t="shared" ca="1" si="641"/>
        <v>1</v>
      </c>
      <c r="Y1886" s="256"/>
      <c r="Z1886" s="256"/>
      <c r="AA1886" s="292"/>
      <c r="AB1886" s="292"/>
      <c r="AC1886" s="292"/>
    </row>
    <row r="1887" spans="1:29" s="293" customFormat="1" ht="15.75" hidden="1" customHeight="1" x14ac:dyDescent="0.2">
      <c r="A1887" s="288" t="s">
        <v>57</v>
      </c>
      <c r="B1887" s="364"/>
      <c r="C1887" s="365"/>
      <c r="D1887" s="1354"/>
      <c r="E1887" s="1355"/>
      <c r="F1887" s="1355"/>
      <c r="G1887" s="1355"/>
      <c r="H1887" s="1355"/>
      <c r="I1887" s="1356"/>
      <c r="J1887" s="1367"/>
      <c r="K1887" s="1368"/>
      <c r="L1887" s="1370"/>
      <c r="M1887" s="1371" t="s">
        <v>496</v>
      </c>
      <c r="N1887" s="1372"/>
      <c r="O1887" s="1372"/>
      <c r="P1887" s="1372"/>
      <c r="Q1887" s="1373"/>
      <c r="R1887" s="362">
        <f>R1885-R1886</f>
        <v>0</v>
      </c>
      <c r="S1887" s="363" t="str">
        <f>L1885</f>
        <v>m</v>
      </c>
      <c r="T1887" s="366"/>
      <c r="U1887" s="367"/>
      <c r="V1887" s="291">
        <f t="shared" ca="1" si="645"/>
        <v>0</v>
      </c>
      <c r="W1887" s="256">
        <f t="shared" ca="1" si="646"/>
        <v>2</v>
      </c>
      <c r="X1887" s="256">
        <f t="shared" ca="1" si="641"/>
        <v>1</v>
      </c>
      <c r="Y1887" s="256"/>
      <c r="Z1887" s="256"/>
      <c r="AA1887" s="292"/>
      <c r="AB1887" s="292"/>
      <c r="AC1887" s="292"/>
    </row>
    <row r="1888" spans="1:29" s="111" customFormat="1" ht="15.75" hidden="1" x14ac:dyDescent="0.2">
      <c r="A1888" s="288"/>
      <c r="B1888" s="368"/>
      <c r="C1888" s="365"/>
      <c r="D1888" s="369"/>
      <c r="E1888" s="370"/>
      <c r="F1888" s="369"/>
      <c r="G1888" s="369"/>
      <c r="H1888" s="369"/>
      <c r="I1888" s="369"/>
      <c r="J1888" s="371"/>
      <c r="K1888" s="372"/>
      <c r="L1888" s="373"/>
      <c r="M1888" s="374"/>
      <c r="N1888" s="374"/>
      <c r="O1888" s="374"/>
      <c r="P1888" s="374"/>
      <c r="Q1888" s="374"/>
      <c r="R1888" s="375"/>
      <c r="S1888" s="376"/>
      <c r="T1888" s="377"/>
      <c r="U1888" s="378"/>
      <c r="V1888" s="379">
        <f ca="1">SUM(V1879:V1887)</f>
        <v>0</v>
      </c>
      <c r="W1888" s="256">
        <f t="shared" ca="1" si="646"/>
        <v>1</v>
      </c>
      <c r="X1888" s="256">
        <f t="shared" ca="1" si="641"/>
        <v>0</v>
      </c>
      <c r="Y1888" s="250"/>
      <c r="Z1888" s="250"/>
    </row>
    <row r="1889" spans="1:29" s="293" customFormat="1" ht="15.75" hidden="1" customHeight="1" x14ac:dyDescent="0.25">
      <c r="A1889" s="288"/>
      <c r="B1889" s="1374" t="str">
        <f>VLOOKUP(A1897,'11 - FINANCEIRO'!_xlnm.Print_Area,1,FALSE)</f>
        <v>2.4.7</v>
      </c>
      <c r="C1889" s="1376" t="str">
        <f>VLOOKUP(A1897,'11 - FINANCEIRO'!_xlnm.Print_Area,3,FALSE)</f>
        <v>Tubo Pead Pe 100 Pn 8 Com Flanges - D = 450 Mm</v>
      </c>
      <c r="D1889" s="1378" t="s">
        <v>477</v>
      </c>
      <c r="E1889" s="1379"/>
      <c r="F1889" s="1379"/>
      <c r="G1889" s="1379"/>
      <c r="H1889" s="1379"/>
      <c r="I1889" s="1380"/>
      <c r="J1889" s="1338" t="s">
        <v>478</v>
      </c>
      <c r="K1889" s="1338" t="s">
        <v>479</v>
      </c>
      <c r="L1889" s="1338" t="s">
        <v>480</v>
      </c>
      <c r="M1889" s="1338" t="s">
        <v>481</v>
      </c>
      <c r="N1889" s="1338" t="s">
        <v>482</v>
      </c>
      <c r="O1889" s="1338" t="s">
        <v>483</v>
      </c>
      <c r="P1889" s="290" t="s">
        <v>484</v>
      </c>
      <c r="Q1889" s="1338" t="s">
        <v>485</v>
      </c>
      <c r="R1889" s="1336" t="s">
        <v>296</v>
      </c>
      <c r="S1889" s="1338" t="s">
        <v>486</v>
      </c>
      <c r="T1889" s="1338" t="s">
        <v>487</v>
      </c>
      <c r="U1889" s="1340" t="s">
        <v>488</v>
      </c>
      <c r="V1889" s="291">
        <f t="shared" ref="V1889:V1897" ca="1" si="647">IF(OFFSET(V1889,1,1)=1,OFFSET(V1889,0,-4),OFFSET(V1889,1,0))</f>
        <v>0</v>
      </c>
      <c r="W1889" s="256">
        <f t="shared" ca="1" si="646"/>
        <v>2</v>
      </c>
      <c r="X1889" s="256">
        <f t="shared" ca="1" si="641"/>
        <v>1</v>
      </c>
      <c r="Y1889" s="256"/>
      <c r="Z1889" s="256"/>
      <c r="AA1889" s="292"/>
      <c r="AB1889" s="292"/>
      <c r="AC1889" s="292"/>
    </row>
    <row r="1890" spans="1:29" s="337" customFormat="1" ht="15.75" hidden="1" x14ac:dyDescent="0.2">
      <c r="A1890" s="288"/>
      <c r="B1890" s="1375" t="e">
        <f>LEFT(#REF!,5)</f>
        <v>#REF!</v>
      </c>
      <c r="C1890" s="1377" t="e">
        <f>VLOOKUP(LEFT(#REF!,5),'11 - FINANCEIRO'!_xlnm.Print_Area,2,FALSE)</f>
        <v>#REF!</v>
      </c>
      <c r="D1890" s="1342" t="s">
        <v>489</v>
      </c>
      <c r="E1890" s="1343"/>
      <c r="F1890" s="1344"/>
      <c r="G1890" s="1345" t="s">
        <v>490</v>
      </c>
      <c r="H1890" s="1346"/>
      <c r="I1890" s="1347"/>
      <c r="J1890" s="1339"/>
      <c r="K1890" s="1339"/>
      <c r="L1890" s="1339"/>
      <c r="M1890" s="1339"/>
      <c r="N1890" s="1339"/>
      <c r="O1890" s="1339"/>
      <c r="P1890" s="295" t="s">
        <v>491</v>
      </c>
      <c r="Q1890" s="1339"/>
      <c r="R1890" s="1337"/>
      <c r="S1890" s="1339"/>
      <c r="T1890" s="1339"/>
      <c r="U1890" s="1341"/>
      <c r="V1890" s="291">
        <f t="shared" ca="1" si="647"/>
        <v>0</v>
      </c>
      <c r="W1890" s="256">
        <f t="shared" ca="1" si="646"/>
        <v>2</v>
      </c>
      <c r="X1890" s="256">
        <f t="shared" ca="1" si="641"/>
        <v>1</v>
      </c>
      <c r="Y1890" s="336"/>
      <c r="Z1890" s="336"/>
    </row>
    <row r="1891" spans="1:29" s="337" customFormat="1" ht="15.75" hidden="1" x14ac:dyDescent="0.2">
      <c r="A1891" s="288"/>
      <c r="B1891" s="296"/>
      <c r="C1891" s="297"/>
      <c r="D1891" s="298"/>
      <c r="E1891" s="299"/>
      <c r="F1891" s="300"/>
      <c r="G1891" s="301"/>
      <c r="H1891" s="302"/>
      <c r="I1891" s="303"/>
      <c r="J1891" s="304"/>
      <c r="K1891" s="304"/>
      <c r="L1891" s="304"/>
      <c r="M1891" s="304"/>
      <c r="N1891" s="304"/>
      <c r="O1891" s="304"/>
      <c r="P1891" s="306"/>
      <c r="Q1891" s="304"/>
      <c r="R1891" s="307"/>
      <c r="S1891" s="304"/>
      <c r="T1891" s="309"/>
      <c r="U1891" s="310"/>
      <c r="V1891" s="291">
        <f t="shared" ca="1" si="647"/>
        <v>0</v>
      </c>
      <c r="W1891" s="256">
        <f t="shared" ca="1" si="646"/>
        <v>0</v>
      </c>
      <c r="X1891" s="256">
        <f t="shared" ca="1" si="641"/>
        <v>1</v>
      </c>
      <c r="Y1891" s="336"/>
      <c r="Z1891" s="336"/>
    </row>
    <row r="1892" spans="1:29" s="111" customFormat="1" ht="15.75" hidden="1" x14ac:dyDescent="0.2">
      <c r="A1892" s="288"/>
      <c r="B1892" s="311"/>
      <c r="C1892" s="312"/>
      <c r="D1892" s="313"/>
      <c r="E1892" s="314"/>
      <c r="F1892" s="315"/>
      <c r="G1892" s="380"/>
      <c r="H1892" s="316"/>
      <c r="I1892" s="381"/>
      <c r="J1892" s="317"/>
      <c r="K1892" s="313"/>
      <c r="L1892" s="317"/>
      <c r="M1892" s="315"/>
      <c r="N1892" s="314"/>
      <c r="O1892" s="313"/>
      <c r="P1892" s="318"/>
      <c r="Q1892" s="315"/>
      <c r="R1892" s="319"/>
      <c r="S1892" s="317"/>
      <c r="T1892" s="320"/>
      <c r="U1892" s="321"/>
      <c r="V1892" s="291">
        <f t="shared" ca="1" si="647"/>
        <v>0</v>
      </c>
      <c r="W1892" s="256">
        <f t="shared" ca="1" si="646"/>
        <v>0</v>
      </c>
      <c r="X1892" s="256">
        <f t="shared" ca="1" si="641"/>
        <v>1</v>
      </c>
      <c r="Y1892" s="250"/>
      <c r="Z1892" s="250"/>
    </row>
    <row r="1893" spans="1:29" s="111" customFormat="1" ht="15" hidden="1" x14ac:dyDescent="0.2">
      <c r="A1893" s="288"/>
      <c r="B1893" s="322"/>
      <c r="C1893" s="382"/>
      <c r="D1893" s="324"/>
      <c r="E1893" s="325"/>
      <c r="F1893" s="326"/>
      <c r="G1893" s="324"/>
      <c r="H1893" s="325"/>
      <c r="I1893" s="326"/>
      <c r="J1893" s="317"/>
      <c r="K1893" s="328"/>
      <c r="L1893" s="328"/>
      <c r="M1893" s="328"/>
      <c r="N1893" s="328"/>
      <c r="O1893" s="334"/>
      <c r="P1893" s="328"/>
      <c r="Q1893" s="334"/>
      <c r="R1893" s="333"/>
      <c r="S1893" s="331"/>
      <c r="T1893" s="320"/>
      <c r="U1893" s="335"/>
      <c r="V1893" s="291">
        <f t="shared" ca="1" si="647"/>
        <v>0</v>
      </c>
      <c r="W1893" s="256">
        <f t="shared" ca="1" si="646"/>
        <v>0</v>
      </c>
      <c r="X1893" s="256">
        <f t="shared" ca="1" si="641"/>
        <v>1</v>
      </c>
      <c r="Y1893" s="250"/>
      <c r="Z1893" s="250"/>
    </row>
    <row r="1894" spans="1:29" s="111" customFormat="1" ht="15" hidden="1" x14ac:dyDescent="0.2">
      <c r="A1894" s="288"/>
      <c r="B1894" s="338"/>
      <c r="C1894" s="339"/>
      <c r="D1894" s="340"/>
      <c r="E1894" s="341"/>
      <c r="F1894" s="342"/>
      <c r="G1894" s="340"/>
      <c r="H1894" s="341"/>
      <c r="I1894" s="342"/>
      <c r="J1894" s="343"/>
      <c r="K1894" s="344"/>
      <c r="L1894" s="345"/>
      <c r="M1894" s="346"/>
      <c r="N1894" s="347"/>
      <c r="O1894" s="348"/>
      <c r="P1894" s="345"/>
      <c r="Q1894" s="349"/>
      <c r="R1894" s="350"/>
      <c r="S1894" s="351"/>
      <c r="T1894" s="352"/>
      <c r="U1894" s="353"/>
      <c r="V1894" s="291">
        <f t="shared" ca="1" si="647"/>
        <v>0</v>
      </c>
      <c r="W1894" s="256">
        <f t="shared" ca="1" si="646"/>
        <v>0</v>
      </c>
      <c r="X1894" s="256">
        <f t="shared" ca="1" si="641"/>
        <v>1</v>
      </c>
      <c r="Y1894" s="250"/>
      <c r="Z1894" s="250"/>
    </row>
    <row r="1895" spans="1:29" s="111" customFormat="1" ht="15.75" hidden="1" customHeight="1" x14ac:dyDescent="0.2">
      <c r="A1895" s="288"/>
      <c r="B1895" s="354"/>
      <c r="C1895" s="355"/>
      <c r="D1895" s="1354" t="s">
        <v>492</v>
      </c>
      <c r="E1895" s="1355"/>
      <c r="F1895" s="1355"/>
      <c r="G1895" s="1355"/>
      <c r="H1895" s="1355"/>
      <c r="I1895" s="1356"/>
      <c r="J1895" s="1357">
        <f>VLOOKUP(A1897,'11 - FINANCEIRO'!_xlnm.Print_Area,6,FALSE)</f>
        <v>24</v>
      </c>
      <c r="K1895" s="1358"/>
      <c r="L1895" s="356" t="str">
        <f>VLOOKUP(A1897,'11 - FINANCEIRO'!_xlnm.Print_Area,4,FALSE)</f>
        <v>m</v>
      </c>
      <c r="M1895" s="1359" t="s">
        <v>493</v>
      </c>
      <c r="N1895" s="1360"/>
      <c r="O1895" s="1360"/>
      <c r="P1895" s="1360"/>
      <c r="Q1895" s="1361"/>
      <c r="R1895" s="357">
        <f>TRUNC(SUM(R1891:R1894),3)</f>
        <v>0</v>
      </c>
      <c r="S1895" s="358" t="str">
        <f>L1895</f>
        <v>m</v>
      </c>
      <c r="T1895" s="359"/>
      <c r="U1895" s="360"/>
      <c r="V1895" s="291">
        <f t="shared" ca="1" si="647"/>
        <v>0</v>
      </c>
      <c r="W1895" s="256">
        <f t="shared" ca="1" si="646"/>
        <v>2</v>
      </c>
      <c r="X1895" s="256">
        <f t="shared" ca="1" si="641"/>
        <v>1</v>
      </c>
      <c r="Y1895" s="250"/>
      <c r="Z1895" s="250"/>
    </row>
    <row r="1896" spans="1:29" s="293" customFormat="1" ht="15.75" hidden="1" customHeight="1" x14ac:dyDescent="0.2">
      <c r="A1896" s="288"/>
      <c r="B1896" s="354"/>
      <c r="C1896" s="361"/>
      <c r="D1896" s="1362" t="s">
        <v>494</v>
      </c>
      <c r="E1896" s="1363"/>
      <c r="F1896" s="1363"/>
      <c r="G1896" s="1363"/>
      <c r="H1896" s="1363"/>
      <c r="I1896" s="1364"/>
      <c r="J1896" s="1365">
        <f>R1895/J1895</f>
        <v>0</v>
      </c>
      <c r="K1896" s="1366"/>
      <c r="L1896" s="1369"/>
      <c r="M1896" s="1371" t="s">
        <v>495</v>
      </c>
      <c r="N1896" s="1372"/>
      <c r="O1896" s="1372"/>
      <c r="P1896" s="1372"/>
      <c r="Q1896" s="1373"/>
      <c r="R1896" s="362">
        <f>VLOOKUP(A1897,'11 - FINANCEIRO'!_xlnm.Print_Area,8,FALSE)</f>
        <v>0</v>
      </c>
      <c r="S1896" s="363" t="str">
        <f>L1895</f>
        <v>m</v>
      </c>
      <c r="T1896" s="359"/>
      <c r="U1896" s="360"/>
      <c r="V1896" s="291">
        <f t="shared" ca="1" si="647"/>
        <v>0</v>
      </c>
      <c r="W1896" s="256">
        <f t="shared" ca="1" si="646"/>
        <v>2</v>
      </c>
      <c r="X1896" s="256">
        <f t="shared" ca="1" si="641"/>
        <v>1</v>
      </c>
      <c r="Y1896" s="256"/>
      <c r="Z1896" s="256"/>
      <c r="AA1896" s="292"/>
      <c r="AB1896" s="292"/>
      <c r="AC1896" s="292"/>
    </row>
    <row r="1897" spans="1:29" s="293" customFormat="1" ht="15.75" hidden="1" customHeight="1" x14ac:dyDescent="0.2">
      <c r="A1897" s="288" t="s">
        <v>58</v>
      </c>
      <c r="B1897" s="364"/>
      <c r="C1897" s="365"/>
      <c r="D1897" s="1354"/>
      <c r="E1897" s="1355"/>
      <c r="F1897" s="1355"/>
      <c r="G1897" s="1355"/>
      <c r="H1897" s="1355"/>
      <c r="I1897" s="1356"/>
      <c r="J1897" s="1367"/>
      <c r="K1897" s="1368"/>
      <c r="L1897" s="1370"/>
      <c r="M1897" s="1371" t="s">
        <v>496</v>
      </c>
      <c r="N1897" s="1372"/>
      <c r="O1897" s="1372"/>
      <c r="P1897" s="1372"/>
      <c r="Q1897" s="1373"/>
      <c r="R1897" s="362">
        <f>R1895-R1896</f>
        <v>0</v>
      </c>
      <c r="S1897" s="363" t="str">
        <f>L1895</f>
        <v>m</v>
      </c>
      <c r="T1897" s="366"/>
      <c r="U1897" s="367"/>
      <c r="V1897" s="291">
        <f t="shared" ca="1" si="647"/>
        <v>0</v>
      </c>
      <c r="W1897" s="256">
        <f t="shared" ca="1" si="646"/>
        <v>2</v>
      </c>
      <c r="X1897" s="256">
        <f t="shared" ca="1" si="641"/>
        <v>1</v>
      </c>
      <c r="Y1897" s="256"/>
      <c r="Z1897" s="256"/>
      <c r="AA1897" s="292"/>
      <c r="AB1897" s="292"/>
      <c r="AC1897" s="292"/>
    </row>
    <row r="1898" spans="1:29" s="111" customFormat="1" ht="15.75" hidden="1" x14ac:dyDescent="0.2">
      <c r="A1898" s="288"/>
      <c r="B1898" s="368"/>
      <c r="C1898" s="365"/>
      <c r="D1898" s="369"/>
      <c r="E1898" s="370"/>
      <c r="F1898" s="369"/>
      <c r="G1898" s="369"/>
      <c r="H1898" s="369"/>
      <c r="I1898" s="369"/>
      <c r="J1898" s="371"/>
      <c r="K1898" s="372"/>
      <c r="L1898" s="373"/>
      <c r="M1898" s="374"/>
      <c r="N1898" s="374"/>
      <c r="O1898" s="374"/>
      <c r="P1898" s="374"/>
      <c r="Q1898" s="374"/>
      <c r="R1898" s="375"/>
      <c r="S1898" s="376"/>
      <c r="T1898" s="377"/>
      <c r="U1898" s="378"/>
      <c r="V1898" s="379">
        <f ca="1">SUM(V1889:V1897)</f>
        <v>0</v>
      </c>
      <c r="W1898" s="256">
        <f t="shared" ca="1" si="646"/>
        <v>1</v>
      </c>
      <c r="X1898" s="256">
        <f t="shared" ca="1" si="641"/>
        <v>0</v>
      </c>
      <c r="Y1898" s="250"/>
      <c r="Z1898" s="250"/>
    </row>
    <row r="1899" spans="1:29" s="293" customFormat="1" ht="15.75" hidden="1" customHeight="1" x14ac:dyDescent="0.25">
      <c r="A1899" s="288"/>
      <c r="B1899" s="1374" t="str">
        <f>VLOOKUP(A1907,'11 - FINANCEIRO'!_xlnm.Print_Area,1,FALSE)</f>
        <v>2.4.8</v>
      </c>
      <c r="C1899" s="1376" t="str">
        <f>VLOOKUP(A1907,'11 - FINANCEIRO'!_xlnm.Print_Area,3,FALSE)</f>
        <v>Assentamento De Tubo De Pead Corrugado De Dupla Parede Para Rede Coletora De Esgoto, Dn 450 Mm, Junta Elástica Integrada (Não Inclui Fornecimento). Af_01/2021</v>
      </c>
      <c r="D1899" s="1378" t="s">
        <v>477</v>
      </c>
      <c r="E1899" s="1379"/>
      <c r="F1899" s="1379"/>
      <c r="G1899" s="1379"/>
      <c r="H1899" s="1379"/>
      <c r="I1899" s="1380"/>
      <c r="J1899" s="1338" t="s">
        <v>478</v>
      </c>
      <c r="K1899" s="1338" t="s">
        <v>479</v>
      </c>
      <c r="L1899" s="1338" t="s">
        <v>480</v>
      </c>
      <c r="M1899" s="1338" t="s">
        <v>481</v>
      </c>
      <c r="N1899" s="1338" t="s">
        <v>482</v>
      </c>
      <c r="O1899" s="1338" t="s">
        <v>483</v>
      </c>
      <c r="P1899" s="290" t="s">
        <v>605</v>
      </c>
      <c r="Q1899" s="1338" t="s">
        <v>485</v>
      </c>
      <c r="R1899" s="1336" t="s">
        <v>296</v>
      </c>
      <c r="S1899" s="1338" t="s">
        <v>486</v>
      </c>
      <c r="T1899" s="1338" t="s">
        <v>487</v>
      </c>
      <c r="U1899" s="1340" t="s">
        <v>488</v>
      </c>
      <c r="V1899" s="291">
        <f t="shared" ref="V1899:V1907" ca="1" si="648">IF(OFFSET(V1899,1,1)=1,OFFSET(V1899,0,-4),OFFSET(V1899,1,0))</f>
        <v>0</v>
      </c>
      <c r="W1899" s="256">
        <f t="shared" ca="1" si="646"/>
        <v>2</v>
      </c>
      <c r="X1899" s="256">
        <f t="shared" ca="1" si="641"/>
        <v>1</v>
      </c>
      <c r="Y1899" s="256"/>
      <c r="Z1899" s="256"/>
      <c r="AA1899" s="292"/>
      <c r="AB1899" s="292"/>
      <c r="AC1899" s="292"/>
    </row>
    <row r="1900" spans="1:29" s="337" customFormat="1" ht="15.75" hidden="1" x14ac:dyDescent="0.2">
      <c r="A1900" s="288"/>
      <c r="B1900" s="1375" t="e">
        <f>LEFT(#REF!,5)</f>
        <v>#REF!</v>
      </c>
      <c r="C1900" s="1377" t="e">
        <f>VLOOKUP(LEFT(#REF!,5),'11 - FINANCEIRO'!_xlnm.Print_Area,2,FALSE)</f>
        <v>#REF!</v>
      </c>
      <c r="D1900" s="1342" t="s">
        <v>489</v>
      </c>
      <c r="E1900" s="1343"/>
      <c r="F1900" s="1344"/>
      <c r="G1900" s="1345" t="s">
        <v>490</v>
      </c>
      <c r="H1900" s="1346"/>
      <c r="I1900" s="1347"/>
      <c r="J1900" s="1339"/>
      <c r="K1900" s="1339"/>
      <c r="L1900" s="1339"/>
      <c r="M1900" s="1339"/>
      <c r="N1900" s="1339"/>
      <c r="O1900" s="1339"/>
      <c r="P1900" s="295" t="s">
        <v>618</v>
      </c>
      <c r="Q1900" s="1339"/>
      <c r="R1900" s="1337"/>
      <c r="S1900" s="1339"/>
      <c r="T1900" s="1339"/>
      <c r="U1900" s="1341"/>
      <c r="V1900" s="291">
        <f t="shared" ca="1" si="648"/>
        <v>0</v>
      </c>
      <c r="W1900" s="256">
        <f t="shared" ca="1" si="646"/>
        <v>2</v>
      </c>
      <c r="X1900" s="256">
        <f t="shared" ca="1" si="641"/>
        <v>1</v>
      </c>
      <c r="Y1900" s="336"/>
      <c r="Z1900" s="336"/>
    </row>
    <row r="1901" spans="1:29" s="337" customFormat="1" ht="15.75" hidden="1" x14ac:dyDescent="0.2">
      <c r="A1901" s="288"/>
      <c r="B1901" s="296"/>
      <c r="C1901" s="297"/>
      <c r="D1901" s="298"/>
      <c r="E1901" s="299"/>
      <c r="F1901" s="300"/>
      <c r="G1901" s="301"/>
      <c r="H1901" s="302"/>
      <c r="I1901" s="303"/>
      <c r="J1901" s="304"/>
      <c r="K1901" s="304"/>
      <c r="L1901" s="304"/>
      <c r="M1901" s="304"/>
      <c r="N1901" s="304"/>
      <c r="O1901" s="304"/>
      <c r="P1901" s="306"/>
      <c r="Q1901" s="304"/>
      <c r="R1901" s="307"/>
      <c r="S1901" s="304"/>
      <c r="T1901" s="309"/>
      <c r="U1901" s="310"/>
      <c r="V1901" s="291">
        <f t="shared" ca="1" si="648"/>
        <v>0</v>
      </c>
      <c r="W1901" s="256">
        <f t="shared" ca="1" si="646"/>
        <v>0</v>
      </c>
      <c r="X1901" s="256">
        <f t="shared" ca="1" si="641"/>
        <v>1</v>
      </c>
      <c r="Y1901" s="336"/>
      <c r="Z1901" s="336"/>
    </row>
    <row r="1902" spans="1:29" s="111" customFormat="1" ht="15.75" hidden="1" x14ac:dyDescent="0.2">
      <c r="A1902" s="288"/>
      <c r="B1902" s="311"/>
      <c r="C1902" s="312"/>
      <c r="D1902" s="313"/>
      <c r="E1902" s="314"/>
      <c r="F1902" s="315"/>
      <c r="G1902" s="380"/>
      <c r="H1902" s="316"/>
      <c r="I1902" s="381"/>
      <c r="J1902" s="317"/>
      <c r="K1902" s="313"/>
      <c r="L1902" s="317"/>
      <c r="M1902" s="315"/>
      <c r="N1902" s="314"/>
      <c r="O1902" s="313"/>
      <c r="P1902" s="318"/>
      <c r="Q1902" s="315"/>
      <c r="R1902" s="319"/>
      <c r="S1902" s="317"/>
      <c r="T1902" s="320"/>
      <c r="U1902" s="321"/>
      <c r="V1902" s="291">
        <f t="shared" ca="1" si="648"/>
        <v>0</v>
      </c>
      <c r="W1902" s="256">
        <f t="shared" ca="1" si="646"/>
        <v>0</v>
      </c>
      <c r="X1902" s="256">
        <f t="shared" ca="1" si="641"/>
        <v>1</v>
      </c>
      <c r="Y1902" s="250"/>
      <c r="Z1902" s="250"/>
    </row>
    <row r="1903" spans="1:29" s="111" customFormat="1" ht="15" hidden="1" x14ac:dyDescent="0.2">
      <c r="A1903" s="288"/>
      <c r="B1903" s="322"/>
      <c r="C1903" s="382"/>
      <c r="D1903" s="324"/>
      <c r="E1903" s="325"/>
      <c r="F1903" s="326"/>
      <c r="G1903" s="324"/>
      <c r="H1903" s="325"/>
      <c r="I1903" s="326"/>
      <c r="J1903" s="317"/>
      <c r="K1903" s="328"/>
      <c r="L1903" s="328"/>
      <c r="M1903" s="328"/>
      <c r="N1903" s="328"/>
      <c r="O1903" s="334"/>
      <c r="P1903" s="328"/>
      <c r="Q1903" s="334"/>
      <c r="R1903" s="333"/>
      <c r="S1903" s="331"/>
      <c r="T1903" s="320"/>
      <c r="U1903" s="335"/>
      <c r="V1903" s="291">
        <f t="shared" ca="1" si="648"/>
        <v>0</v>
      </c>
      <c r="W1903" s="256">
        <f t="shared" ca="1" si="646"/>
        <v>0</v>
      </c>
      <c r="X1903" s="256">
        <f t="shared" ref="X1903:X1986" ca="1" si="649">IF(COUNTA(OFFSET(A1902,1,0))-COUNTA(A1902)=-1,0,1)</f>
        <v>1</v>
      </c>
      <c r="Y1903" s="250"/>
      <c r="Z1903" s="250"/>
    </row>
    <row r="1904" spans="1:29" s="111" customFormat="1" ht="15" hidden="1" x14ac:dyDescent="0.2">
      <c r="A1904" s="288"/>
      <c r="B1904" s="338"/>
      <c r="C1904" s="339"/>
      <c r="D1904" s="340"/>
      <c r="E1904" s="341"/>
      <c r="F1904" s="342"/>
      <c r="G1904" s="340"/>
      <c r="H1904" s="341"/>
      <c r="I1904" s="342"/>
      <c r="J1904" s="343"/>
      <c r="K1904" s="344"/>
      <c r="L1904" s="345"/>
      <c r="M1904" s="346"/>
      <c r="N1904" s="347"/>
      <c r="O1904" s="348"/>
      <c r="P1904" s="345"/>
      <c r="Q1904" s="349"/>
      <c r="R1904" s="350"/>
      <c r="S1904" s="351"/>
      <c r="T1904" s="352"/>
      <c r="U1904" s="353"/>
      <c r="V1904" s="291">
        <f t="shared" ca="1" si="648"/>
        <v>0</v>
      </c>
      <c r="W1904" s="256">
        <f t="shared" ca="1" si="646"/>
        <v>0</v>
      </c>
      <c r="X1904" s="256">
        <f t="shared" ca="1" si="649"/>
        <v>1</v>
      </c>
      <c r="Y1904" s="250"/>
      <c r="Z1904" s="250"/>
    </row>
    <row r="1905" spans="1:29" s="111" customFormat="1" ht="15.75" hidden="1" customHeight="1" x14ac:dyDescent="0.2">
      <c r="A1905" s="288"/>
      <c r="B1905" s="354"/>
      <c r="C1905" s="355"/>
      <c r="D1905" s="1354" t="s">
        <v>492</v>
      </c>
      <c r="E1905" s="1355"/>
      <c r="F1905" s="1355"/>
      <c r="G1905" s="1355"/>
      <c r="H1905" s="1355"/>
      <c r="I1905" s="1356"/>
      <c r="J1905" s="1357">
        <f>VLOOKUP(A1907,'11 - FINANCEIRO'!_xlnm.Print_Area,6,FALSE)</f>
        <v>24</v>
      </c>
      <c r="K1905" s="1358"/>
      <c r="L1905" s="356" t="str">
        <f>VLOOKUP(A1907,'11 - FINANCEIRO'!_xlnm.Print_Area,4,FALSE)</f>
        <v>m</v>
      </c>
      <c r="M1905" s="1359" t="s">
        <v>493</v>
      </c>
      <c r="N1905" s="1360"/>
      <c r="O1905" s="1360"/>
      <c r="P1905" s="1360"/>
      <c r="Q1905" s="1361"/>
      <c r="R1905" s="357">
        <f>TRUNC(SUM(R1901:R1904),3)</f>
        <v>0</v>
      </c>
      <c r="S1905" s="358" t="str">
        <f>L1905</f>
        <v>m</v>
      </c>
      <c r="T1905" s="359"/>
      <c r="U1905" s="360"/>
      <c r="V1905" s="291">
        <f t="shared" ca="1" si="648"/>
        <v>0</v>
      </c>
      <c r="W1905" s="256">
        <f t="shared" ca="1" si="646"/>
        <v>2</v>
      </c>
      <c r="X1905" s="256">
        <f t="shared" ca="1" si="649"/>
        <v>1</v>
      </c>
      <c r="Y1905" s="250"/>
      <c r="Z1905" s="250"/>
    </row>
    <row r="1906" spans="1:29" s="293" customFormat="1" ht="15.75" hidden="1" customHeight="1" x14ac:dyDescent="0.2">
      <c r="A1906" s="288"/>
      <c r="B1906" s="354"/>
      <c r="C1906" s="361"/>
      <c r="D1906" s="1362" t="s">
        <v>494</v>
      </c>
      <c r="E1906" s="1363"/>
      <c r="F1906" s="1363"/>
      <c r="G1906" s="1363"/>
      <c r="H1906" s="1363"/>
      <c r="I1906" s="1364"/>
      <c r="J1906" s="1365">
        <f>R1905/J1905</f>
        <v>0</v>
      </c>
      <c r="K1906" s="1366"/>
      <c r="L1906" s="1369"/>
      <c r="M1906" s="1371" t="s">
        <v>495</v>
      </c>
      <c r="N1906" s="1372"/>
      <c r="O1906" s="1372"/>
      <c r="P1906" s="1372"/>
      <c r="Q1906" s="1373"/>
      <c r="R1906" s="362">
        <f>VLOOKUP(A1907,'11 - FINANCEIRO'!_xlnm.Print_Area,8,FALSE)</f>
        <v>0</v>
      </c>
      <c r="S1906" s="363" t="str">
        <f>L1905</f>
        <v>m</v>
      </c>
      <c r="T1906" s="359"/>
      <c r="U1906" s="360"/>
      <c r="V1906" s="291">
        <f t="shared" ca="1" si="648"/>
        <v>0</v>
      </c>
      <c r="W1906" s="256">
        <f t="shared" ca="1" si="646"/>
        <v>2</v>
      </c>
      <c r="X1906" s="256">
        <f t="shared" ca="1" si="649"/>
        <v>1</v>
      </c>
      <c r="Y1906" s="256"/>
      <c r="Z1906" s="256"/>
      <c r="AA1906" s="292"/>
      <c r="AB1906" s="292"/>
      <c r="AC1906" s="292"/>
    </row>
    <row r="1907" spans="1:29" s="293" customFormat="1" ht="15.75" hidden="1" customHeight="1" x14ac:dyDescent="0.2">
      <c r="A1907" s="288" t="s">
        <v>59</v>
      </c>
      <c r="B1907" s="364"/>
      <c r="C1907" s="365"/>
      <c r="D1907" s="1354"/>
      <c r="E1907" s="1355"/>
      <c r="F1907" s="1355"/>
      <c r="G1907" s="1355"/>
      <c r="H1907" s="1355"/>
      <c r="I1907" s="1356"/>
      <c r="J1907" s="1367"/>
      <c r="K1907" s="1368"/>
      <c r="L1907" s="1370"/>
      <c r="M1907" s="1371" t="s">
        <v>496</v>
      </c>
      <c r="N1907" s="1372"/>
      <c r="O1907" s="1372"/>
      <c r="P1907" s="1372"/>
      <c r="Q1907" s="1373"/>
      <c r="R1907" s="362">
        <f>R1905-R1906</f>
        <v>0</v>
      </c>
      <c r="S1907" s="363" t="str">
        <f>L1905</f>
        <v>m</v>
      </c>
      <c r="T1907" s="366"/>
      <c r="U1907" s="367"/>
      <c r="V1907" s="291">
        <f t="shared" ca="1" si="648"/>
        <v>0</v>
      </c>
      <c r="W1907" s="256">
        <f t="shared" ca="1" si="646"/>
        <v>2</v>
      </c>
      <c r="X1907" s="256">
        <f t="shared" ca="1" si="649"/>
        <v>1</v>
      </c>
      <c r="Y1907" s="256"/>
      <c r="Z1907" s="256"/>
      <c r="AA1907" s="292"/>
      <c r="AB1907" s="292"/>
      <c r="AC1907" s="292"/>
    </row>
    <row r="1908" spans="1:29" s="111" customFormat="1" ht="15.75" hidden="1" x14ac:dyDescent="0.2">
      <c r="A1908" s="288"/>
      <c r="B1908" s="368"/>
      <c r="C1908" s="365"/>
      <c r="D1908" s="369"/>
      <c r="E1908" s="370"/>
      <c r="F1908" s="369"/>
      <c r="G1908" s="369"/>
      <c r="H1908" s="369"/>
      <c r="I1908" s="369"/>
      <c r="J1908" s="371"/>
      <c r="K1908" s="372"/>
      <c r="L1908" s="373"/>
      <c r="M1908" s="374"/>
      <c r="N1908" s="374"/>
      <c r="O1908" s="374"/>
      <c r="P1908" s="374"/>
      <c r="Q1908" s="374"/>
      <c r="R1908" s="375"/>
      <c r="S1908" s="376"/>
      <c r="T1908" s="377"/>
      <c r="U1908" s="378"/>
      <c r="V1908" s="379">
        <f ca="1">SUM(V1899:V1907)</f>
        <v>0</v>
      </c>
      <c r="W1908" s="256">
        <f t="shared" ca="1" si="646"/>
        <v>1</v>
      </c>
      <c r="X1908" s="256">
        <f t="shared" ca="1" si="649"/>
        <v>0</v>
      </c>
      <c r="Y1908" s="250"/>
      <c r="Z1908" s="250"/>
    </row>
    <row r="1909" spans="1:29" s="293" customFormat="1" ht="15.75" customHeight="1" x14ac:dyDescent="0.25">
      <c r="A1909" s="288"/>
      <c r="B1909" s="1374" t="str">
        <f>VLOOKUP(A1917,'11 - FINANCEIRO'!_xlnm.Print_Area,1,FALSE)</f>
        <v>2.4.9</v>
      </c>
      <c r="C1909" s="1376" t="str">
        <f>VLOOKUP(A1917,'11 - FINANCEIRO'!_xlnm.Print_Area,3,FALSE)</f>
        <v>Destocamento De Árvores Com Diâmetro  &gt; 30 Cm, Com Trator De Esteira</v>
      </c>
      <c r="D1909" s="1378" t="s">
        <v>477</v>
      </c>
      <c r="E1909" s="1379"/>
      <c r="F1909" s="1379"/>
      <c r="G1909" s="1379"/>
      <c r="H1909" s="1379"/>
      <c r="I1909" s="1380"/>
      <c r="J1909" s="1338" t="s">
        <v>478</v>
      </c>
      <c r="K1909" s="1338" t="s">
        <v>479</v>
      </c>
      <c r="L1909" s="1338" t="s">
        <v>480</v>
      </c>
      <c r="M1909" s="1338" t="s">
        <v>481</v>
      </c>
      <c r="N1909" s="1338" t="s">
        <v>482</v>
      </c>
      <c r="O1909" s="1338" t="s">
        <v>483</v>
      </c>
      <c r="P1909" s="290" t="s">
        <v>605</v>
      </c>
      <c r="Q1909" s="1338" t="s">
        <v>485</v>
      </c>
      <c r="R1909" s="1336" t="s">
        <v>296</v>
      </c>
      <c r="S1909" s="1338" t="s">
        <v>486</v>
      </c>
      <c r="T1909" s="1338" t="s">
        <v>487</v>
      </c>
      <c r="U1909" s="1340" t="s">
        <v>488</v>
      </c>
      <c r="V1909" s="291">
        <f t="shared" ref="V1909:V1917" ca="1" si="650">IF(OFFSET(V1909,1,1)=1,OFFSET(V1909,0,-4),OFFSET(V1909,1,0))</f>
        <v>80</v>
      </c>
      <c r="W1909" s="256">
        <f t="shared" ca="1" si="646"/>
        <v>2</v>
      </c>
      <c r="X1909" s="256">
        <f t="shared" ca="1" si="649"/>
        <v>1</v>
      </c>
      <c r="Y1909" s="256"/>
      <c r="Z1909" s="256"/>
      <c r="AA1909" s="292"/>
      <c r="AB1909" s="292"/>
      <c r="AC1909" s="292"/>
    </row>
    <row r="1910" spans="1:29" s="337" customFormat="1" ht="15.75" x14ac:dyDescent="0.2">
      <c r="A1910" s="288"/>
      <c r="B1910" s="1375" t="e">
        <f>LEFT(#REF!,5)</f>
        <v>#REF!</v>
      </c>
      <c r="C1910" s="1377" t="e">
        <f>VLOOKUP(LEFT(#REF!,5),'11 - FINANCEIRO'!_xlnm.Print_Area,2,FALSE)</f>
        <v>#REF!</v>
      </c>
      <c r="D1910" s="1342" t="s">
        <v>489</v>
      </c>
      <c r="E1910" s="1343"/>
      <c r="F1910" s="1344"/>
      <c r="G1910" s="1345" t="s">
        <v>490</v>
      </c>
      <c r="H1910" s="1346"/>
      <c r="I1910" s="1347"/>
      <c r="J1910" s="1339"/>
      <c r="K1910" s="1339"/>
      <c r="L1910" s="1339"/>
      <c r="M1910" s="1339"/>
      <c r="N1910" s="1339"/>
      <c r="O1910" s="1339"/>
      <c r="P1910" s="295" t="s">
        <v>618</v>
      </c>
      <c r="Q1910" s="1339"/>
      <c r="R1910" s="1337"/>
      <c r="S1910" s="1339"/>
      <c r="T1910" s="1339"/>
      <c r="U1910" s="1341"/>
      <c r="V1910" s="291">
        <f t="shared" ca="1" si="650"/>
        <v>80</v>
      </c>
      <c r="W1910" s="256">
        <f t="shared" ca="1" si="646"/>
        <v>2</v>
      </c>
      <c r="X1910" s="256">
        <f t="shared" ca="1" si="649"/>
        <v>1</v>
      </c>
      <c r="Y1910" s="336"/>
      <c r="Z1910" s="336"/>
    </row>
    <row r="1911" spans="1:29" s="337" customFormat="1" ht="15.75" x14ac:dyDescent="0.2">
      <c r="A1911" s="288"/>
      <c r="B1911" s="296"/>
      <c r="C1911" s="297" t="s">
        <v>838</v>
      </c>
      <c r="D1911" s="412">
        <v>5</v>
      </c>
      <c r="E1911" s="299" t="s">
        <v>518</v>
      </c>
      <c r="F1911" s="413">
        <v>7</v>
      </c>
      <c r="G1911" s="414">
        <v>30</v>
      </c>
      <c r="H1911" s="302" t="s">
        <v>518</v>
      </c>
      <c r="I1911" s="415">
        <v>0</v>
      </c>
      <c r="J1911" s="304"/>
      <c r="K1911" s="304">
        <f>ABS((G1911*20+I1911)-(D1911*20+F1911))</f>
        <v>493</v>
      </c>
      <c r="L1911" s="304"/>
      <c r="M1911" s="304"/>
      <c r="N1911" s="304"/>
      <c r="O1911" s="304"/>
      <c r="P1911" s="306"/>
      <c r="Q1911" s="304"/>
      <c r="R1911" s="307">
        <v>210</v>
      </c>
      <c r="S1911" s="304"/>
      <c r="T1911" s="309">
        <v>19</v>
      </c>
      <c r="U1911" s="310" t="s">
        <v>892</v>
      </c>
      <c r="V1911" s="291">
        <f t="shared" ca="1" si="650"/>
        <v>80</v>
      </c>
      <c r="W1911" s="256">
        <f t="shared" ca="1" si="646"/>
        <v>2</v>
      </c>
      <c r="X1911" s="256">
        <f t="shared" ca="1" si="649"/>
        <v>1</v>
      </c>
      <c r="Y1911" s="336"/>
      <c r="Z1911" s="336"/>
    </row>
    <row r="1912" spans="1:29" s="111" customFormat="1" ht="15.75" x14ac:dyDescent="0.2">
      <c r="A1912" s="288"/>
      <c r="B1912" s="311"/>
      <c r="C1912" s="312" t="s">
        <v>838</v>
      </c>
      <c r="D1912" s="417">
        <v>0</v>
      </c>
      <c r="E1912" s="314" t="s">
        <v>518</v>
      </c>
      <c r="F1912" s="418">
        <v>0</v>
      </c>
      <c r="G1912" s="419">
        <v>5</v>
      </c>
      <c r="H1912" s="316" t="s">
        <v>518</v>
      </c>
      <c r="I1912" s="420">
        <v>14.9</v>
      </c>
      <c r="J1912" s="317"/>
      <c r="K1912" s="317">
        <f>ABS((G1912*20+I1912)-(D1912*20+F1912))</f>
        <v>114.9</v>
      </c>
      <c r="L1912" s="317"/>
      <c r="M1912" s="315"/>
      <c r="N1912" s="314"/>
      <c r="O1912" s="313"/>
      <c r="P1912" s="318"/>
      <c r="Q1912" s="315"/>
      <c r="R1912" s="319">
        <v>80</v>
      </c>
      <c r="S1912" s="317"/>
      <c r="T1912" s="320">
        <v>44</v>
      </c>
      <c r="U1912" s="321"/>
      <c r="V1912" s="291">
        <f t="shared" ca="1" si="650"/>
        <v>80</v>
      </c>
      <c r="W1912" s="256">
        <f t="shared" ca="1" si="646"/>
        <v>2</v>
      </c>
      <c r="X1912" s="256">
        <f t="shared" ca="1" si="649"/>
        <v>1</v>
      </c>
      <c r="Y1912" s="250"/>
      <c r="Z1912" s="250"/>
    </row>
    <row r="1913" spans="1:29" s="111" customFormat="1" ht="15" x14ac:dyDescent="0.2">
      <c r="A1913" s="288"/>
      <c r="B1913" s="322"/>
      <c r="C1913" s="382"/>
      <c r="D1913" s="324"/>
      <c r="E1913" s="325"/>
      <c r="F1913" s="326"/>
      <c r="G1913" s="324"/>
      <c r="H1913" s="325"/>
      <c r="I1913" s="326"/>
      <c r="J1913" s="317"/>
      <c r="K1913" s="328"/>
      <c r="L1913" s="328"/>
      <c r="M1913" s="328"/>
      <c r="N1913" s="328"/>
      <c r="O1913" s="334"/>
      <c r="P1913" s="328"/>
      <c r="Q1913" s="334"/>
      <c r="R1913" s="333"/>
      <c r="S1913" s="331"/>
      <c r="T1913" s="320"/>
      <c r="U1913" s="335"/>
      <c r="V1913" s="291">
        <f t="shared" ca="1" si="650"/>
        <v>80</v>
      </c>
      <c r="W1913" s="256">
        <f t="shared" ca="1" si="646"/>
        <v>0</v>
      </c>
      <c r="X1913" s="256">
        <f t="shared" ca="1" si="649"/>
        <v>1</v>
      </c>
      <c r="Y1913" s="250"/>
      <c r="Z1913" s="250"/>
    </row>
    <row r="1914" spans="1:29" s="111" customFormat="1" ht="15" x14ac:dyDescent="0.2">
      <c r="A1914" s="288"/>
      <c r="B1914" s="338"/>
      <c r="C1914" s="339"/>
      <c r="D1914" s="340"/>
      <c r="E1914" s="341"/>
      <c r="F1914" s="342"/>
      <c r="G1914" s="340"/>
      <c r="H1914" s="341"/>
      <c r="I1914" s="342"/>
      <c r="J1914" s="343"/>
      <c r="K1914" s="344"/>
      <c r="L1914" s="345"/>
      <c r="M1914" s="346"/>
      <c r="N1914" s="347"/>
      <c r="O1914" s="348"/>
      <c r="P1914" s="345"/>
      <c r="Q1914" s="349"/>
      <c r="R1914" s="350"/>
      <c r="S1914" s="351"/>
      <c r="T1914" s="352"/>
      <c r="U1914" s="353"/>
      <c r="V1914" s="291">
        <f t="shared" ca="1" si="650"/>
        <v>80</v>
      </c>
      <c r="W1914" s="256">
        <f t="shared" ca="1" si="646"/>
        <v>0</v>
      </c>
      <c r="X1914" s="256">
        <f t="shared" ca="1" si="649"/>
        <v>1</v>
      </c>
      <c r="Y1914" s="250"/>
      <c r="Z1914" s="250"/>
    </row>
    <row r="1915" spans="1:29" s="111" customFormat="1" ht="15.75" customHeight="1" x14ac:dyDescent="0.2">
      <c r="A1915" s="288"/>
      <c r="B1915" s="354"/>
      <c r="C1915" s="355"/>
      <c r="D1915" s="1354" t="s">
        <v>492</v>
      </c>
      <c r="E1915" s="1355"/>
      <c r="F1915" s="1355"/>
      <c r="G1915" s="1355"/>
      <c r="H1915" s="1355"/>
      <c r="I1915" s="1356"/>
      <c r="J1915" s="1357">
        <f>VLOOKUP(A1917,'11 - FINANCEIRO'!_xlnm.Print_Area,6,FALSE)</f>
        <v>290</v>
      </c>
      <c r="K1915" s="1358"/>
      <c r="L1915" s="356" t="str">
        <f>VLOOKUP(A1917,'11 - FINANCEIRO'!_xlnm.Print_Area,4,FALSE)</f>
        <v>ud</v>
      </c>
      <c r="M1915" s="1359" t="s">
        <v>493</v>
      </c>
      <c r="N1915" s="1360"/>
      <c r="O1915" s="1360"/>
      <c r="P1915" s="1360"/>
      <c r="Q1915" s="1361"/>
      <c r="R1915" s="357">
        <f>TRUNC(SUM(R1911:R1914),3)</f>
        <v>290</v>
      </c>
      <c r="S1915" s="358" t="str">
        <f>L1915</f>
        <v>ud</v>
      </c>
      <c r="T1915" s="1384"/>
      <c r="U1915" s="1385"/>
      <c r="V1915" s="291">
        <f t="shared" ca="1" si="650"/>
        <v>80</v>
      </c>
      <c r="W1915" s="256">
        <f t="shared" ca="1" si="646"/>
        <v>2</v>
      </c>
      <c r="X1915" s="256">
        <f t="shared" ca="1" si="649"/>
        <v>1</v>
      </c>
      <c r="Y1915" s="250"/>
      <c r="Z1915" s="250"/>
    </row>
    <row r="1916" spans="1:29" s="293" customFormat="1" ht="15.75" customHeight="1" x14ac:dyDescent="0.2">
      <c r="A1916" s="288"/>
      <c r="B1916" s="354"/>
      <c r="C1916" s="361"/>
      <c r="D1916" s="1362" t="s">
        <v>494</v>
      </c>
      <c r="E1916" s="1363"/>
      <c r="F1916" s="1363"/>
      <c r="G1916" s="1363"/>
      <c r="H1916" s="1363"/>
      <c r="I1916" s="1364"/>
      <c r="J1916" s="1365">
        <f>R1915/J1915</f>
        <v>1</v>
      </c>
      <c r="K1916" s="1366"/>
      <c r="L1916" s="1369"/>
      <c r="M1916" s="1371" t="s">
        <v>495</v>
      </c>
      <c r="N1916" s="1372"/>
      <c r="O1916" s="1372"/>
      <c r="P1916" s="1372"/>
      <c r="Q1916" s="1373"/>
      <c r="R1916" s="362">
        <f>VLOOKUP(A1917,'11 - FINANCEIRO'!_xlnm.Print_Area,8,FALSE)</f>
        <v>210</v>
      </c>
      <c r="S1916" s="363" t="str">
        <f>L1915</f>
        <v>ud</v>
      </c>
      <c r="T1916" s="1386"/>
      <c r="U1916" s="1387"/>
      <c r="V1916" s="291">
        <f t="shared" ca="1" si="650"/>
        <v>80</v>
      </c>
      <c r="W1916" s="256">
        <f t="shared" ca="1" si="646"/>
        <v>2</v>
      </c>
      <c r="X1916" s="256">
        <f t="shared" ca="1" si="649"/>
        <v>1</v>
      </c>
      <c r="Y1916" s="256"/>
      <c r="Z1916" s="256"/>
      <c r="AA1916" s="292"/>
      <c r="AB1916" s="292"/>
      <c r="AC1916" s="292"/>
    </row>
    <row r="1917" spans="1:29" s="293" customFormat="1" ht="15.75" customHeight="1" x14ac:dyDescent="0.2">
      <c r="A1917" s="288" t="s">
        <v>60</v>
      </c>
      <c r="B1917" s="364"/>
      <c r="C1917" s="365"/>
      <c r="D1917" s="1354"/>
      <c r="E1917" s="1355"/>
      <c r="F1917" s="1355"/>
      <c r="G1917" s="1355"/>
      <c r="H1917" s="1355"/>
      <c r="I1917" s="1356"/>
      <c r="J1917" s="1367"/>
      <c r="K1917" s="1368"/>
      <c r="L1917" s="1370"/>
      <c r="M1917" s="1371" t="s">
        <v>496</v>
      </c>
      <c r="N1917" s="1372"/>
      <c r="O1917" s="1372"/>
      <c r="P1917" s="1372"/>
      <c r="Q1917" s="1373"/>
      <c r="R1917" s="362">
        <f>R1915-R1916</f>
        <v>80</v>
      </c>
      <c r="S1917" s="363" t="str">
        <f>L1915</f>
        <v>ud</v>
      </c>
      <c r="T1917" s="1388"/>
      <c r="U1917" s="1389"/>
      <c r="V1917" s="291">
        <f t="shared" ca="1" si="650"/>
        <v>80</v>
      </c>
      <c r="W1917" s="256">
        <f t="shared" ca="1" si="646"/>
        <v>2</v>
      </c>
      <c r="X1917" s="256">
        <f t="shared" ca="1" si="649"/>
        <v>1</v>
      </c>
      <c r="Y1917" s="256"/>
      <c r="Z1917" s="256"/>
      <c r="AA1917" s="292"/>
      <c r="AB1917" s="292"/>
      <c r="AC1917" s="292"/>
    </row>
    <row r="1918" spans="1:29" s="111" customFormat="1" ht="15.75" x14ac:dyDescent="0.2">
      <c r="A1918" s="288"/>
      <c r="B1918" s="368"/>
      <c r="C1918" s="365"/>
      <c r="D1918" s="369"/>
      <c r="E1918" s="370"/>
      <c r="F1918" s="369"/>
      <c r="G1918" s="369"/>
      <c r="H1918" s="369"/>
      <c r="I1918" s="369"/>
      <c r="J1918" s="371"/>
      <c r="K1918" s="372"/>
      <c r="L1918" s="373"/>
      <c r="M1918" s="374"/>
      <c r="N1918" s="374"/>
      <c r="O1918" s="374"/>
      <c r="P1918" s="374"/>
      <c r="Q1918" s="374"/>
      <c r="R1918" s="375"/>
      <c r="S1918" s="376"/>
      <c r="T1918" s="377"/>
      <c r="U1918" s="378"/>
      <c r="V1918" s="379">
        <f ca="1">SUM(V1909:V1917)</f>
        <v>720</v>
      </c>
      <c r="W1918" s="256">
        <f t="shared" ca="1" si="646"/>
        <v>1</v>
      </c>
      <c r="X1918" s="256">
        <f t="shared" ca="1" si="649"/>
        <v>0</v>
      </c>
      <c r="Y1918" s="250"/>
      <c r="Z1918" s="250"/>
    </row>
    <row r="1919" spans="1:29" s="293" customFormat="1" ht="15.75" customHeight="1" x14ac:dyDescent="0.25">
      <c r="A1919" s="288"/>
      <c r="B1919" s="1374" t="str">
        <f>VLOOKUP(A1927,'11 - FINANCEIRO'!_xlnm.Print_Area,1,FALSE)</f>
        <v>2.4.10</v>
      </c>
      <c r="C1919" s="1376" t="str">
        <f>VLOOKUP(A1927,'11 - FINANCEIRO'!_xlnm.Print_Area,3,FALSE)</f>
        <v>Demolição De Concreto Armado</v>
      </c>
      <c r="D1919" s="1378" t="s">
        <v>477</v>
      </c>
      <c r="E1919" s="1379"/>
      <c r="F1919" s="1379"/>
      <c r="G1919" s="1379"/>
      <c r="H1919" s="1379"/>
      <c r="I1919" s="1380"/>
      <c r="J1919" s="1338" t="s">
        <v>478</v>
      </c>
      <c r="K1919" s="1338" t="s">
        <v>479</v>
      </c>
      <c r="L1919" s="1338" t="s">
        <v>480</v>
      </c>
      <c r="M1919" s="1338" t="s">
        <v>481</v>
      </c>
      <c r="N1919" s="1338" t="s">
        <v>482</v>
      </c>
      <c r="O1919" s="1338" t="s">
        <v>483</v>
      </c>
      <c r="P1919" s="290" t="s">
        <v>605</v>
      </c>
      <c r="Q1919" s="1338" t="s">
        <v>485</v>
      </c>
      <c r="R1919" s="1336" t="s">
        <v>296</v>
      </c>
      <c r="S1919" s="1338" t="s">
        <v>486</v>
      </c>
      <c r="T1919" s="1338" t="s">
        <v>487</v>
      </c>
      <c r="U1919" s="1340" t="s">
        <v>488</v>
      </c>
      <c r="V1919" s="291">
        <f t="shared" ref="V1919:V1927" ca="1" si="651">IF(OFFSET(V1919,1,1)=1,OFFSET(V1919,0,-4),OFFSET(V1919,1,0))</f>
        <v>1.93</v>
      </c>
      <c r="W1919" s="256">
        <f t="shared" ca="1" si="646"/>
        <v>2</v>
      </c>
      <c r="X1919" s="256">
        <f t="shared" ca="1" si="649"/>
        <v>1</v>
      </c>
      <c r="Y1919" s="256"/>
      <c r="Z1919" s="256"/>
      <c r="AA1919" s="292"/>
      <c r="AB1919" s="292"/>
      <c r="AC1919" s="292"/>
    </row>
    <row r="1920" spans="1:29" s="337" customFormat="1" ht="15.75" x14ac:dyDescent="0.2">
      <c r="A1920" s="288"/>
      <c r="B1920" s="1375" t="e">
        <f>LEFT(#REF!,5)</f>
        <v>#REF!</v>
      </c>
      <c r="C1920" s="1377" t="e">
        <f>VLOOKUP(LEFT(#REF!,5),'11 - FINANCEIRO'!_xlnm.Print_Area,2,FALSE)</f>
        <v>#REF!</v>
      </c>
      <c r="D1920" s="1342" t="s">
        <v>489</v>
      </c>
      <c r="E1920" s="1343"/>
      <c r="F1920" s="1344"/>
      <c r="G1920" s="1345" t="s">
        <v>490</v>
      </c>
      <c r="H1920" s="1346"/>
      <c r="I1920" s="1347"/>
      <c r="J1920" s="1339"/>
      <c r="K1920" s="1339"/>
      <c r="L1920" s="1339"/>
      <c r="M1920" s="1339"/>
      <c r="N1920" s="1339"/>
      <c r="O1920" s="1339"/>
      <c r="P1920" s="295" t="s">
        <v>618</v>
      </c>
      <c r="Q1920" s="1339"/>
      <c r="R1920" s="1337"/>
      <c r="S1920" s="1339"/>
      <c r="T1920" s="1339"/>
      <c r="U1920" s="1341"/>
      <c r="V1920" s="291">
        <f t="shared" ca="1" si="651"/>
        <v>1.93</v>
      </c>
      <c r="W1920" s="256">
        <f t="shared" ca="1" si="646"/>
        <v>2</v>
      </c>
      <c r="X1920" s="256">
        <f t="shared" ca="1" si="649"/>
        <v>1</v>
      </c>
      <c r="Y1920" s="336"/>
      <c r="Z1920" s="336"/>
    </row>
    <row r="1921" spans="1:29" s="337" customFormat="1" ht="15.75" x14ac:dyDescent="0.2">
      <c r="A1921" s="288"/>
      <c r="B1921" s="296"/>
      <c r="C1921" s="297" t="s">
        <v>1359</v>
      </c>
      <c r="D1921" s="298"/>
      <c r="E1921" s="299"/>
      <c r="F1921" s="300"/>
      <c r="G1921" s="301"/>
      <c r="H1921" s="302"/>
      <c r="I1921" s="303"/>
      <c r="J1921" s="304"/>
      <c r="K1921" s="304"/>
      <c r="L1921" s="304"/>
      <c r="M1921" s="304"/>
      <c r="N1921" s="304"/>
      <c r="O1921" s="304"/>
      <c r="P1921" s="306"/>
      <c r="Q1921" s="304"/>
      <c r="R1921" s="307">
        <v>1.93</v>
      </c>
      <c r="S1921" s="304" t="s">
        <v>323</v>
      </c>
      <c r="T1921" s="309">
        <v>44</v>
      </c>
      <c r="U1921" s="310"/>
      <c r="V1921" s="291">
        <f t="shared" ca="1" si="651"/>
        <v>1.93</v>
      </c>
      <c r="W1921" s="256">
        <f t="shared" ca="1" si="646"/>
        <v>2</v>
      </c>
      <c r="X1921" s="256">
        <f t="shared" ca="1" si="649"/>
        <v>1</v>
      </c>
      <c r="Y1921" s="336"/>
      <c r="Z1921" s="336"/>
    </row>
    <row r="1922" spans="1:29" s="111" customFormat="1" ht="15.75" x14ac:dyDescent="0.2">
      <c r="A1922" s="288"/>
      <c r="B1922" s="311"/>
      <c r="C1922" s="312"/>
      <c r="D1922" s="313"/>
      <c r="E1922" s="314"/>
      <c r="F1922" s="315"/>
      <c r="G1922" s="380"/>
      <c r="H1922" s="316"/>
      <c r="I1922" s="381"/>
      <c r="J1922" s="317"/>
      <c r="K1922" s="313"/>
      <c r="L1922" s="317"/>
      <c r="M1922" s="315"/>
      <c r="N1922" s="314"/>
      <c r="O1922" s="313"/>
      <c r="P1922" s="318"/>
      <c r="Q1922" s="315"/>
      <c r="R1922" s="319"/>
      <c r="S1922" s="317"/>
      <c r="T1922" s="320"/>
      <c r="U1922" s="321"/>
      <c r="V1922" s="291">
        <f t="shared" ca="1" si="651"/>
        <v>1.93</v>
      </c>
      <c r="W1922" s="256">
        <f t="shared" ca="1" si="646"/>
        <v>0</v>
      </c>
      <c r="X1922" s="256">
        <f t="shared" ca="1" si="649"/>
        <v>1</v>
      </c>
      <c r="Y1922" s="250"/>
      <c r="Z1922" s="250"/>
    </row>
    <row r="1923" spans="1:29" s="111" customFormat="1" ht="15" x14ac:dyDescent="0.2">
      <c r="A1923" s="288"/>
      <c r="B1923" s="322"/>
      <c r="C1923" s="382"/>
      <c r="D1923" s="324"/>
      <c r="E1923" s="325"/>
      <c r="F1923" s="326"/>
      <c r="G1923" s="324"/>
      <c r="H1923" s="325"/>
      <c r="I1923" s="326"/>
      <c r="J1923" s="317"/>
      <c r="K1923" s="328"/>
      <c r="L1923" s="328"/>
      <c r="M1923" s="328"/>
      <c r="N1923" s="328"/>
      <c r="O1923" s="334"/>
      <c r="P1923" s="328"/>
      <c r="Q1923" s="334"/>
      <c r="R1923" s="333"/>
      <c r="S1923" s="331"/>
      <c r="T1923" s="320"/>
      <c r="U1923" s="335"/>
      <c r="V1923" s="291">
        <f t="shared" ca="1" si="651"/>
        <v>1.93</v>
      </c>
      <c r="W1923" s="256">
        <f t="shared" ca="1" si="646"/>
        <v>0</v>
      </c>
      <c r="X1923" s="256">
        <f t="shared" ca="1" si="649"/>
        <v>1</v>
      </c>
      <c r="Y1923" s="250"/>
      <c r="Z1923" s="250"/>
    </row>
    <row r="1924" spans="1:29" s="111" customFormat="1" ht="15" x14ac:dyDescent="0.2">
      <c r="A1924" s="288"/>
      <c r="B1924" s="338"/>
      <c r="C1924" s="339"/>
      <c r="D1924" s="340"/>
      <c r="E1924" s="341"/>
      <c r="F1924" s="342"/>
      <c r="G1924" s="340"/>
      <c r="H1924" s="341"/>
      <c r="I1924" s="342"/>
      <c r="J1924" s="343"/>
      <c r="K1924" s="344"/>
      <c r="L1924" s="345"/>
      <c r="M1924" s="346"/>
      <c r="N1924" s="347"/>
      <c r="O1924" s="348"/>
      <c r="P1924" s="345"/>
      <c r="Q1924" s="349"/>
      <c r="R1924" s="350"/>
      <c r="S1924" s="351"/>
      <c r="T1924" s="352"/>
      <c r="U1924" s="353"/>
      <c r="V1924" s="291">
        <f t="shared" ca="1" si="651"/>
        <v>1.93</v>
      </c>
      <c r="W1924" s="256">
        <f t="shared" ca="1" si="646"/>
        <v>0</v>
      </c>
      <c r="X1924" s="256">
        <f t="shared" ca="1" si="649"/>
        <v>1</v>
      </c>
      <c r="Y1924" s="250"/>
      <c r="Z1924" s="250"/>
    </row>
    <row r="1925" spans="1:29" s="111" customFormat="1" ht="15.75" customHeight="1" x14ac:dyDescent="0.2">
      <c r="A1925" s="288"/>
      <c r="B1925" s="354"/>
      <c r="C1925" s="355"/>
      <c r="D1925" s="1354" t="s">
        <v>492</v>
      </c>
      <c r="E1925" s="1355"/>
      <c r="F1925" s="1355"/>
      <c r="G1925" s="1355"/>
      <c r="H1925" s="1355"/>
      <c r="I1925" s="1356"/>
      <c r="J1925" s="1357">
        <f>VLOOKUP(A1927,'11 - FINANCEIRO'!_xlnm.Print_Area,6,FALSE)</f>
        <v>1.93</v>
      </c>
      <c r="K1925" s="1358"/>
      <c r="L1925" s="356" t="str">
        <f>VLOOKUP(A1927,'11 - FINANCEIRO'!_xlnm.Print_Area,4,FALSE)</f>
        <v>m³</v>
      </c>
      <c r="M1925" s="1359" t="s">
        <v>493</v>
      </c>
      <c r="N1925" s="1360"/>
      <c r="O1925" s="1360"/>
      <c r="P1925" s="1360"/>
      <c r="Q1925" s="1361"/>
      <c r="R1925" s="357">
        <f>TRUNC(SUM(R1921:R1924),3)</f>
        <v>1.93</v>
      </c>
      <c r="S1925" s="358" t="str">
        <f>L1925</f>
        <v>m³</v>
      </c>
      <c r="T1925" s="359"/>
      <c r="U1925" s="360"/>
      <c r="V1925" s="291">
        <f t="shared" ca="1" si="651"/>
        <v>1.93</v>
      </c>
      <c r="W1925" s="256">
        <f t="shared" ca="1" si="646"/>
        <v>2</v>
      </c>
      <c r="X1925" s="256">
        <f t="shared" ca="1" si="649"/>
        <v>1</v>
      </c>
      <c r="Y1925" s="250"/>
      <c r="Z1925" s="250"/>
    </row>
    <row r="1926" spans="1:29" s="293" customFormat="1" ht="15.75" customHeight="1" x14ac:dyDescent="0.2">
      <c r="A1926" s="288"/>
      <c r="B1926" s="354"/>
      <c r="C1926" s="361"/>
      <c r="D1926" s="1362" t="s">
        <v>494</v>
      </c>
      <c r="E1926" s="1363"/>
      <c r="F1926" s="1363"/>
      <c r="G1926" s="1363"/>
      <c r="H1926" s="1363"/>
      <c r="I1926" s="1364"/>
      <c r="J1926" s="1365">
        <f>R1925/J1925</f>
        <v>1</v>
      </c>
      <c r="K1926" s="1366"/>
      <c r="L1926" s="1369"/>
      <c r="M1926" s="1371" t="s">
        <v>495</v>
      </c>
      <c r="N1926" s="1372"/>
      <c r="O1926" s="1372"/>
      <c r="P1926" s="1372"/>
      <c r="Q1926" s="1373"/>
      <c r="R1926" s="362">
        <f>VLOOKUP(A1927,'11 - FINANCEIRO'!_xlnm.Print_Area,8,FALSE)</f>
        <v>0</v>
      </c>
      <c r="S1926" s="363" t="str">
        <f>L1925</f>
        <v>m³</v>
      </c>
      <c r="T1926" s="359"/>
      <c r="U1926" s="360"/>
      <c r="V1926" s="291">
        <f t="shared" ca="1" si="651"/>
        <v>1.93</v>
      </c>
      <c r="W1926" s="256">
        <f t="shared" ca="1" si="646"/>
        <v>2</v>
      </c>
      <c r="X1926" s="256">
        <f t="shared" ca="1" si="649"/>
        <v>1</v>
      </c>
      <c r="Y1926" s="256"/>
      <c r="Z1926" s="256"/>
      <c r="AA1926" s="292"/>
      <c r="AB1926" s="292"/>
      <c r="AC1926" s="292"/>
    </row>
    <row r="1927" spans="1:29" s="293" customFormat="1" ht="15.75" customHeight="1" x14ac:dyDescent="0.2">
      <c r="A1927" s="288" t="s">
        <v>61</v>
      </c>
      <c r="B1927" s="364"/>
      <c r="C1927" s="365"/>
      <c r="D1927" s="1354"/>
      <c r="E1927" s="1355"/>
      <c r="F1927" s="1355"/>
      <c r="G1927" s="1355"/>
      <c r="H1927" s="1355"/>
      <c r="I1927" s="1356"/>
      <c r="J1927" s="1367"/>
      <c r="K1927" s="1368"/>
      <c r="L1927" s="1370"/>
      <c r="M1927" s="1371" t="s">
        <v>496</v>
      </c>
      <c r="N1927" s="1372"/>
      <c r="O1927" s="1372"/>
      <c r="P1927" s="1372"/>
      <c r="Q1927" s="1373"/>
      <c r="R1927" s="362">
        <f>R1925-R1926</f>
        <v>1.93</v>
      </c>
      <c r="S1927" s="363" t="str">
        <f>L1925</f>
        <v>m³</v>
      </c>
      <c r="T1927" s="366"/>
      <c r="U1927" s="367"/>
      <c r="V1927" s="291">
        <f t="shared" ca="1" si="651"/>
        <v>1.93</v>
      </c>
      <c r="W1927" s="256">
        <f t="shared" ca="1" si="646"/>
        <v>2</v>
      </c>
      <c r="X1927" s="256">
        <f t="shared" ca="1" si="649"/>
        <v>1</v>
      </c>
      <c r="Y1927" s="256"/>
      <c r="Z1927" s="256"/>
      <c r="AA1927" s="292"/>
      <c r="AB1927" s="292"/>
      <c r="AC1927" s="292"/>
    </row>
    <row r="1928" spans="1:29" s="111" customFormat="1" ht="15.75" x14ac:dyDescent="0.2">
      <c r="A1928" s="288"/>
      <c r="B1928" s="368"/>
      <c r="C1928" s="365"/>
      <c r="D1928" s="369"/>
      <c r="E1928" s="370"/>
      <c r="F1928" s="369"/>
      <c r="G1928" s="369"/>
      <c r="H1928" s="369"/>
      <c r="I1928" s="369"/>
      <c r="J1928" s="371"/>
      <c r="K1928" s="372"/>
      <c r="L1928" s="373"/>
      <c r="M1928" s="374"/>
      <c r="N1928" s="374"/>
      <c r="O1928" s="374"/>
      <c r="P1928" s="374"/>
      <c r="Q1928" s="374"/>
      <c r="R1928" s="375"/>
      <c r="S1928" s="376"/>
      <c r="T1928" s="377"/>
      <c r="U1928" s="378"/>
      <c r="V1928" s="379">
        <f ca="1">SUM(V1919:V1927)</f>
        <v>17.37</v>
      </c>
      <c r="W1928" s="256">
        <f t="shared" ca="1" si="646"/>
        <v>1</v>
      </c>
      <c r="X1928" s="256">
        <f t="shared" ca="1" si="649"/>
        <v>0</v>
      </c>
      <c r="Y1928" s="250"/>
      <c r="Z1928" s="250"/>
    </row>
    <row r="1929" spans="1:29" s="293" customFormat="1" ht="15.75" hidden="1" customHeight="1" x14ac:dyDescent="0.25">
      <c r="A1929" s="288"/>
      <c r="B1929" s="1374" t="str">
        <f>VLOOKUP(A1937,'11 - FINANCEIRO'!_xlnm.Print_Area,1,FALSE)</f>
        <v>2.4.11</v>
      </c>
      <c r="C1929" s="1376" t="str">
        <f>VLOOKUP(A1937,'11 - FINANCEIRO'!_xlnm.Print_Area,3,FALSE)</f>
        <v>Corpo BSTC Diâmetro 0,20 M C.S. Pb Inclusive Escavação, Reaterro E Transporte Do Tubo</v>
      </c>
      <c r="D1929" s="1378" t="s">
        <v>477</v>
      </c>
      <c r="E1929" s="1379"/>
      <c r="F1929" s="1379"/>
      <c r="G1929" s="1379"/>
      <c r="H1929" s="1379"/>
      <c r="I1929" s="1380"/>
      <c r="J1929" s="1338" t="s">
        <v>478</v>
      </c>
      <c r="K1929" s="1338" t="s">
        <v>479</v>
      </c>
      <c r="L1929" s="1338" t="s">
        <v>480</v>
      </c>
      <c r="M1929" s="1338" t="s">
        <v>481</v>
      </c>
      <c r="N1929" s="1338" t="s">
        <v>482</v>
      </c>
      <c r="O1929" s="1338" t="s">
        <v>483</v>
      </c>
      <c r="P1929" s="290" t="s">
        <v>605</v>
      </c>
      <c r="Q1929" s="1338" t="s">
        <v>485</v>
      </c>
      <c r="R1929" s="1336" t="s">
        <v>296</v>
      </c>
      <c r="S1929" s="1338" t="s">
        <v>486</v>
      </c>
      <c r="T1929" s="1338" t="s">
        <v>487</v>
      </c>
      <c r="U1929" s="1340" t="s">
        <v>488</v>
      </c>
      <c r="V1929" s="291">
        <f t="shared" ref="V1929:V1937" ca="1" si="652">IF(OFFSET(V1929,1,1)=1,OFFSET(V1929,0,-4),OFFSET(V1929,1,0))</f>
        <v>0</v>
      </c>
      <c r="W1929" s="256">
        <f t="shared" ca="1" si="646"/>
        <v>2</v>
      </c>
      <c r="X1929" s="256">
        <f t="shared" ca="1" si="649"/>
        <v>1</v>
      </c>
      <c r="Y1929" s="256"/>
      <c r="Z1929" s="256"/>
      <c r="AA1929" s="292"/>
      <c r="AB1929" s="292"/>
      <c r="AC1929" s="292"/>
    </row>
    <row r="1930" spans="1:29" s="337" customFormat="1" ht="15.75" hidden="1" x14ac:dyDescent="0.2">
      <c r="A1930" s="288"/>
      <c r="B1930" s="1375" t="e">
        <f>LEFT(#REF!,5)</f>
        <v>#REF!</v>
      </c>
      <c r="C1930" s="1377" t="e">
        <f>VLOOKUP(LEFT(#REF!,5),'11 - FINANCEIRO'!_xlnm.Print_Area,2,FALSE)</f>
        <v>#REF!</v>
      </c>
      <c r="D1930" s="1342" t="s">
        <v>489</v>
      </c>
      <c r="E1930" s="1343"/>
      <c r="F1930" s="1344"/>
      <c r="G1930" s="1345" t="s">
        <v>490</v>
      </c>
      <c r="H1930" s="1346"/>
      <c r="I1930" s="1347"/>
      <c r="J1930" s="1339"/>
      <c r="K1930" s="1339"/>
      <c r="L1930" s="1339"/>
      <c r="M1930" s="1339"/>
      <c r="N1930" s="1339"/>
      <c r="O1930" s="1339"/>
      <c r="P1930" s="295" t="s">
        <v>618</v>
      </c>
      <c r="Q1930" s="1339"/>
      <c r="R1930" s="1337"/>
      <c r="S1930" s="1339"/>
      <c r="T1930" s="1339"/>
      <c r="U1930" s="1341"/>
      <c r="V1930" s="291">
        <f t="shared" ca="1" si="652"/>
        <v>0</v>
      </c>
      <c r="W1930" s="256">
        <f t="shared" ca="1" si="646"/>
        <v>2</v>
      </c>
      <c r="X1930" s="256">
        <f t="shared" ca="1" si="649"/>
        <v>1</v>
      </c>
      <c r="Y1930" s="336"/>
      <c r="Z1930" s="336"/>
    </row>
    <row r="1931" spans="1:29" s="337" customFormat="1" ht="15.75" hidden="1" x14ac:dyDescent="0.2">
      <c r="A1931" s="288"/>
      <c r="B1931" s="296"/>
      <c r="C1931" s="297"/>
      <c r="D1931" s="412">
        <v>5</v>
      </c>
      <c r="E1931" s="299" t="s">
        <v>518</v>
      </c>
      <c r="F1931" s="413">
        <v>7</v>
      </c>
      <c r="G1931" s="414">
        <v>6</v>
      </c>
      <c r="H1931" s="302" t="s">
        <v>518</v>
      </c>
      <c r="I1931" s="415">
        <v>14</v>
      </c>
      <c r="J1931" s="304"/>
      <c r="K1931" s="304"/>
      <c r="L1931" s="304"/>
      <c r="M1931" s="304"/>
      <c r="N1931" s="304"/>
      <c r="O1931" s="304"/>
      <c r="P1931" s="306"/>
      <c r="Q1931" s="304"/>
      <c r="R1931" s="307"/>
      <c r="S1931" s="304"/>
      <c r="T1931" s="309"/>
      <c r="U1931" s="310"/>
      <c r="V1931" s="291">
        <f t="shared" ca="1" si="652"/>
        <v>0</v>
      </c>
      <c r="W1931" s="256">
        <f t="shared" ca="1" si="646"/>
        <v>2</v>
      </c>
      <c r="X1931" s="256">
        <f t="shared" ca="1" si="649"/>
        <v>1</v>
      </c>
      <c r="Y1931" s="336"/>
      <c r="Z1931" s="336"/>
    </row>
    <row r="1932" spans="1:29" s="111" customFormat="1" ht="15.75" hidden="1" x14ac:dyDescent="0.2">
      <c r="A1932" s="288"/>
      <c r="B1932" s="311"/>
      <c r="C1932" s="312"/>
      <c r="D1932" s="313"/>
      <c r="E1932" s="314"/>
      <c r="F1932" s="315"/>
      <c r="G1932" s="380"/>
      <c r="H1932" s="316"/>
      <c r="I1932" s="381"/>
      <c r="J1932" s="317"/>
      <c r="K1932" s="313"/>
      <c r="L1932" s="317"/>
      <c r="M1932" s="315"/>
      <c r="N1932" s="314"/>
      <c r="O1932" s="313"/>
      <c r="P1932" s="318"/>
      <c r="Q1932" s="315"/>
      <c r="R1932" s="319"/>
      <c r="S1932" s="317"/>
      <c r="T1932" s="320"/>
      <c r="U1932" s="321"/>
      <c r="V1932" s="291">
        <f t="shared" ca="1" si="652"/>
        <v>0</v>
      </c>
      <c r="W1932" s="256">
        <f t="shared" ca="1" si="646"/>
        <v>0</v>
      </c>
      <c r="X1932" s="256">
        <f t="shared" ca="1" si="649"/>
        <v>1</v>
      </c>
      <c r="Y1932" s="250"/>
      <c r="Z1932" s="250"/>
    </row>
    <row r="1933" spans="1:29" s="111" customFormat="1" ht="15" hidden="1" x14ac:dyDescent="0.2">
      <c r="A1933" s="288"/>
      <c r="B1933" s="322"/>
      <c r="C1933" s="382"/>
      <c r="D1933" s="324"/>
      <c r="E1933" s="325"/>
      <c r="F1933" s="326"/>
      <c r="G1933" s="324"/>
      <c r="H1933" s="325"/>
      <c r="I1933" s="326"/>
      <c r="J1933" s="317"/>
      <c r="K1933" s="328"/>
      <c r="L1933" s="328"/>
      <c r="M1933" s="328"/>
      <c r="N1933" s="328"/>
      <c r="O1933" s="334"/>
      <c r="P1933" s="328"/>
      <c r="Q1933" s="334"/>
      <c r="R1933" s="333"/>
      <c r="S1933" s="331"/>
      <c r="T1933" s="320"/>
      <c r="U1933" s="335"/>
      <c r="V1933" s="291">
        <f t="shared" ca="1" si="652"/>
        <v>0</v>
      </c>
      <c r="W1933" s="256">
        <f t="shared" ca="1" si="646"/>
        <v>0</v>
      </c>
      <c r="X1933" s="256">
        <f t="shared" ca="1" si="649"/>
        <v>1</v>
      </c>
      <c r="Y1933" s="250"/>
      <c r="Z1933" s="250"/>
    </row>
    <row r="1934" spans="1:29" s="111" customFormat="1" ht="15" hidden="1" x14ac:dyDescent="0.2">
      <c r="A1934" s="288"/>
      <c r="B1934" s="338"/>
      <c r="C1934" s="339"/>
      <c r="D1934" s="340"/>
      <c r="E1934" s="341"/>
      <c r="F1934" s="342"/>
      <c r="G1934" s="340"/>
      <c r="H1934" s="341"/>
      <c r="I1934" s="342"/>
      <c r="J1934" s="343"/>
      <c r="K1934" s="344"/>
      <c r="L1934" s="345"/>
      <c r="M1934" s="346"/>
      <c r="N1934" s="347"/>
      <c r="O1934" s="348"/>
      <c r="P1934" s="345"/>
      <c r="Q1934" s="349"/>
      <c r="R1934" s="350"/>
      <c r="S1934" s="351"/>
      <c r="T1934" s="352"/>
      <c r="U1934" s="353"/>
      <c r="V1934" s="291">
        <f t="shared" ca="1" si="652"/>
        <v>0</v>
      </c>
      <c r="W1934" s="256">
        <f t="shared" ca="1" si="646"/>
        <v>0</v>
      </c>
      <c r="X1934" s="256">
        <f t="shared" ca="1" si="649"/>
        <v>1</v>
      </c>
      <c r="Y1934" s="250"/>
      <c r="Z1934" s="250"/>
    </row>
    <row r="1935" spans="1:29" s="111" customFormat="1" ht="15.75" hidden="1" customHeight="1" x14ac:dyDescent="0.2">
      <c r="A1935" s="288"/>
      <c r="B1935" s="354"/>
      <c r="C1935" s="355"/>
      <c r="D1935" s="1354" t="s">
        <v>492</v>
      </c>
      <c r="E1935" s="1355"/>
      <c r="F1935" s="1355"/>
      <c r="G1935" s="1355"/>
      <c r="H1935" s="1355"/>
      <c r="I1935" s="1356"/>
      <c r="J1935" s="1357">
        <f>VLOOKUP(A1937,'11 - FINANCEIRO'!_xlnm.Print_Area,6,FALSE)</f>
        <v>4.75</v>
      </c>
      <c r="K1935" s="1358"/>
      <c r="L1935" s="356" t="str">
        <f>VLOOKUP(A1937,'11 - FINANCEIRO'!_xlnm.Print_Area,4,FALSE)</f>
        <v>m</v>
      </c>
      <c r="M1935" s="1359" t="s">
        <v>493</v>
      </c>
      <c r="N1935" s="1360"/>
      <c r="O1935" s="1360"/>
      <c r="P1935" s="1360"/>
      <c r="Q1935" s="1361"/>
      <c r="R1935" s="357">
        <f>TRUNC(SUM(R1931:R1934),3)</f>
        <v>0</v>
      </c>
      <c r="S1935" s="358" t="str">
        <f>L1935</f>
        <v>m</v>
      </c>
      <c r="T1935" s="359"/>
      <c r="U1935" s="360"/>
      <c r="V1935" s="291">
        <f t="shared" ca="1" si="652"/>
        <v>0</v>
      </c>
      <c r="W1935" s="256">
        <f t="shared" ca="1" si="646"/>
        <v>2</v>
      </c>
      <c r="X1935" s="256">
        <f t="shared" ca="1" si="649"/>
        <v>1</v>
      </c>
      <c r="Y1935" s="250"/>
      <c r="Z1935" s="250"/>
    </row>
    <row r="1936" spans="1:29" s="293" customFormat="1" ht="15.75" hidden="1" customHeight="1" x14ac:dyDescent="0.2">
      <c r="A1936" s="288"/>
      <c r="B1936" s="354"/>
      <c r="C1936" s="361"/>
      <c r="D1936" s="1362" t="s">
        <v>494</v>
      </c>
      <c r="E1936" s="1363"/>
      <c r="F1936" s="1363"/>
      <c r="G1936" s="1363"/>
      <c r="H1936" s="1363"/>
      <c r="I1936" s="1364"/>
      <c r="J1936" s="1365">
        <f>R1935/J1935</f>
        <v>0</v>
      </c>
      <c r="K1936" s="1366"/>
      <c r="L1936" s="1369"/>
      <c r="M1936" s="1371" t="s">
        <v>495</v>
      </c>
      <c r="N1936" s="1372"/>
      <c r="O1936" s="1372"/>
      <c r="P1936" s="1372"/>
      <c r="Q1936" s="1373"/>
      <c r="R1936" s="362">
        <f>VLOOKUP(A1937,'11 - FINANCEIRO'!_xlnm.Print_Area,8,FALSE)</f>
        <v>0</v>
      </c>
      <c r="S1936" s="363" t="str">
        <f>L1935</f>
        <v>m</v>
      </c>
      <c r="T1936" s="359"/>
      <c r="U1936" s="360"/>
      <c r="V1936" s="291">
        <f t="shared" ca="1" si="652"/>
        <v>0</v>
      </c>
      <c r="W1936" s="256">
        <f t="shared" ca="1" si="646"/>
        <v>2</v>
      </c>
      <c r="X1936" s="256">
        <f t="shared" ca="1" si="649"/>
        <v>1</v>
      </c>
      <c r="Y1936" s="256"/>
      <c r="Z1936" s="256"/>
      <c r="AA1936" s="292"/>
      <c r="AB1936" s="292"/>
      <c r="AC1936" s="292"/>
    </row>
    <row r="1937" spans="1:29" s="293" customFormat="1" ht="15.75" hidden="1" customHeight="1" x14ac:dyDescent="0.2">
      <c r="A1937" s="288" t="s">
        <v>62</v>
      </c>
      <c r="B1937" s="364"/>
      <c r="C1937" s="365"/>
      <c r="D1937" s="1354"/>
      <c r="E1937" s="1355"/>
      <c r="F1937" s="1355"/>
      <c r="G1937" s="1355"/>
      <c r="H1937" s="1355"/>
      <c r="I1937" s="1356"/>
      <c r="J1937" s="1367"/>
      <c r="K1937" s="1368"/>
      <c r="L1937" s="1370"/>
      <c r="M1937" s="1371" t="s">
        <v>496</v>
      </c>
      <c r="N1937" s="1372"/>
      <c r="O1937" s="1372"/>
      <c r="P1937" s="1372"/>
      <c r="Q1937" s="1373"/>
      <c r="R1937" s="362">
        <f>R1935-R1936</f>
        <v>0</v>
      </c>
      <c r="S1937" s="363" t="str">
        <f>L1935</f>
        <v>m</v>
      </c>
      <c r="T1937" s="366"/>
      <c r="U1937" s="367"/>
      <c r="V1937" s="291">
        <f t="shared" ca="1" si="652"/>
        <v>0</v>
      </c>
      <c r="W1937" s="256">
        <f t="shared" ca="1" si="646"/>
        <v>2</v>
      </c>
      <c r="X1937" s="256">
        <f t="shared" ca="1" si="649"/>
        <v>1</v>
      </c>
      <c r="Y1937" s="256"/>
      <c r="Z1937" s="256"/>
      <c r="AA1937" s="292"/>
      <c r="AB1937" s="292"/>
      <c r="AC1937" s="292"/>
    </row>
    <row r="1938" spans="1:29" s="111" customFormat="1" ht="15.75" hidden="1" x14ac:dyDescent="0.2">
      <c r="A1938" s="288"/>
      <c r="B1938" s="368"/>
      <c r="C1938" s="365"/>
      <c r="D1938" s="369"/>
      <c r="E1938" s="370"/>
      <c r="F1938" s="369"/>
      <c r="G1938" s="369"/>
      <c r="H1938" s="369"/>
      <c r="I1938" s="369"/>
      <c r="J1938" s="371"/>
      <c r="K1938" s="372"/>
      <c r="L1938" s="373"/>
      <c r="M1938" s="374"/>
      <c r="N1938" s="374"/>
      <c r="O1938" s="374"/>
      <c r="P1938" s="374"/>
      <c r="Q1938" s="374"/>
      <c r="R1938" s="375"/>
      <c r="S1938" s="376"/>
      <c r="T1938" s="377"/>
      <c r="U1938" s="378"/>
      <c r="V1938" s="379">
        <f ca="1">SUM(V1929:V1937)</f>
        <v>0</v>
      </c>
      <c r="W1938" s="256">
        <f t="shared" ca="1" si="646"/>
        <v>1</v>
      </c>
      <c r="X1938" s="256">
        <f t="shared" ca="1" si="649"/>
        <v>0</v>
      </c>
      <c r="Y1938" s="250"/>
      <c r="Z1938" s="250"/>
    </row>
    <row r="1939" spans="1:29" s="293" customFormat="1" ht="15.75" hidden="1" customHeight="1" x14ac:dyDescent="0.25">
      <c r="A1939" s="288"/>
      <c r="B1939" s="1374" t="str">
        <f>VLOOKUP(A1947,'11 - FINANCEIRO'!_xlnm.Print_Area,1,FALSE)</f>
        <v>2.4.12</v>
      </c>
      <c r="C1939" s="1376" t="str">
        <f>VLOOKUP(A1947,'11 - FINANCEIRO'!_xlnm.Print_Area,3,FALSE)</f>
        <v>Corpo BSTC Diâmetro 0,30 M C.S. Pb Inclusive Escavação, Reaterro E Transporte Do Tubo</v>
      </c>
      <c r="D1939" s="1378" t="s">
        <v>477</v>
      </c>
      <c r="E1939" s="1379"/>
      <c r="F1939" s="1379"/>
      <c r="G1939" s="1379"/>
      <c r="H1939" s="1379"/>
      <c r="I1939" s="1380"/>
      <c r="J1939" s="1338" t="s">
        <v>478</v>
      </c>
      <c r="K1939" s="1338" t="s">
        <v>479</v>
      </c>
      <c r="L1939" s="1338" t="s">
        <v>480</v>
      </c>
      <c r="M1939" s="1338" t="s">
        <v>481</v>
      </c>
      <c r="N1939" s="1338" t="s">
        <v>482</v>
      </c>
      <c r="O1939" s="1338" t="s">
        <v>483</v>
      </c>
      <c r="P1939" s="290" t="s">
        <v>605</v>
      </c>
      <c r="Q1939" s="1338" t="s">
        <v>485</v>
      </c>
      <c r="R1939" s="1336" t="s">
        <v>296</v>
      </c>
      <c r="S1939" s="1338" t="s">
        <v>486</v>
      </c>
      <c r="T1939" s="1338" t="s">
        <v>487</v>
      </c>
      <c r="U1939" s="1340" t="s">
        <v>488</v>
      </c>
      <c r="V1939" s="291">
        <f t="shared" ref="V1939:V1947" ca="1" si="653">IF(OFFSET(V1939,1,1)=1,OFFSET(V1939,0,-4),OFFSET(V1939,1,0))</f>
        <v>0</v>
      </c>
      <c r="W1939" s="256">
        <f t="shared" ca="1" si="646"/>
        <v>2</v>
      </c>
      <c r="X1939" s="256">
        <f t="shared" ca="1" si="649"/>
        <v>1</v>
      </c>
      <c r="Y1939" s="256"/>
      <c r="Z1939" s="256"/>
      <c r="AA1939" s="292"/>
      <c r="AB1939" s="292"/>
      <c r="AC1939" s="292"/>
    </row>
    <row r="1940" spans="1:29" s="337" customFormat="1" ht="15.75" hidden="1" x14ac:dyDescent="0.2">
      <c r="A1940" s="288"/>
      <c r="B1940" s="1375" t="e">
        <f>LEFT(#REF!,5)</f>
        <v>#REF!</v>
      </c>
      <c r="C1940" s="1377" t="e">
        <f>VLOOKUP(LEFT(#REF!,5),'11 - FINANCEIRO'!_xlnm.Print_Area,2,FALSE)</f>
        <v>#REF!</v>
      </c>
      <c r="D1940" s="1342" t="s">
        <v>489</v>
      </c>
      <c r="E1940" s="1343"/>
      <c r="F1940" s="1344"/>
      <c r="G1940" s="1345" t="s">
        <v>490</v>
      </c>
      <c r="H1940" s="1346"/>
      <c r="I1940" s="1347"/>
      <c r="J1940" s="1339"/>
      <c r="K1940" s="1339"/>
      <c r="L1940" s="1339"/>
      <c r="M1940" s="1339"/>
      <c r="N1940" s="1339"/>
      <c r="O1940" s="1339"/>
      <c r="P1940" s="295" t="s">
        <v>618</v>
      </c>
      <c r="Q1940" s="1339"/>
      <c r="R1940" s="1337"/>
      <c r="S1940" s="1339"/>
      <c r="T1940" s="1339"/>
      <c r="U1940" s="1341"/>
      <c r="V1940" s="291">
        <f t="shared" ca="1" si="653"/>
        <v>0</v>
      </c>
      <c r="W1940" s="256">
        <f t="shared" ca="1" si="646"/>
        <v>2</v>
      </c>
      <c r="X1940" s="256">
        <f t="shared" ca="1" si="649"/>
        <v>1</v>
      </c>
      <c r="Y1940" s="336"/>
      <c r="Z1940" s="336"/>
    </row>
    <row r="1941" spans="1:29" s="337" customFormat="1" ht="15.75" hidden="1" x14ac:dyDescent="0.2">
      <c r="A1941" s="288"/>
      <c r="B1941" s="296"/>
      <c r="C1941" s="297" t="s">
        <v>1006</v>
      </c>
      <c r="D1941" s="417">
        <v>17</v>
      </c>
      <c r="E1941" s="314" t="s">
        <v>518</v>
      </c>
      <c r="F1941" s="418">
        <v>10</v>
      </c>
      <c r="G1941" s="419">
        <v>20</v>
      </c>
      <c r="H1941" s="316" t="s">
        <v>518</v>
      </c>
      <c r="I1941" s="420">
        <v>0</v>
      </c>
      <c r="J1941" s="317"/>
      <c r="K1941" s="433">
        <f>ABS((G1941*20+I1941)-(D1941*20+F1941))</f>
        <v>50</v>
      </c>
      <c r="L1941" s="304"/>
      <c r="M1941" s="304"/>
      <c r="N1941" s="304"/>
      <c r="O1941" s="304"/>
      <c r="P1941" s="306"/>
      <c r="Q1941" s="304"/>
      <c r="R1941" s="307">
        <v>46</v>
      </c>
      <c r="S1941" s="304" t="s">
        <v>301</v>
      </c>
      <c r="T1941" s="309">
        <v>26</v>
      </c>
      <c r="U1941" s="310"/>
      <c r="V1941" s="291">
        <f t="shared" ca="1" si="653"/>
        <v>0</v>
      </c>
      <c r="W1941" s="256">
        <f t="shared" ca="1" si="646"/>
        <v>2</v>
      </c>
      <c r="X1941" s="256">
        <f t="shared" ca="1" si="649"/>
        <v>1</v>
      </c>
      <c r="Y1941" s="336"/>
      <c r="Z1941" s="336"/>
    </row>
    <row r="1942" spans="1:29" s="111" customFormat="1" ht="15.75" hidden="1" x14ac:dyDescent="0.2">
      <c r="A1942" s="288"/>
      <c r="B1942" s="311"/>
      <c r="C1942" s="312"/>
      <c r="D1942" s="313"/>
      <c r="E1942" s="314"/>
      <c r="F1942" s="315"/>
      <c r="G1942" s="380"/>
      <c r="H1942" s="316"/>
      <c r="I1942" s="381"/>
      <c r="J1942" s="317"/>
      <c r="K1942" s="313"/>
      <c r="L1942" s="317"/>
      <c r="M1942" s="315"/>
      <c r="N1942" s="314"/>
      <c r="O1942" s="313"/>
      <c r="P1942" s="318"/>
      <c r="Q1942" s="315"/>
      <c r="R1942" s="319"/>
      <c r="S1942" s="317"/>
      <c r="T1942" s="320"/>
      <c r="U1942" s="321"/>
      <c r="V1942" s="291">
        <f t="shared" ca="1" si="653"/>
        <v>0</v>
      </c>
      <c r="W1942" s="256">
        <f t="shared" ca="1" si="646"/>
        <v>0</v>
      </c>
      <c r="X1942" s="256">
        <f t="shared" ca="1" si="649"/>
        <v>1</v>
      </c>
      <c r="Y1942" s="250"/>
      <c r="Z1942" s="250"/>
    </row>
    <row r="1943" spans="1:29" s="111" customFormat="1" ht="15" hidden="1" x14ac:dyDescent="0.2">
      <c r="A1943" s="288"/>
      <c r="B1943" s="322"/>
      <c r="C1943" s="382"/>
      <c r="D1943" s="324"/>
      <c r="E1943" s="325"/>
      <c r="F1943" s="326"/>
      <c r="G1943" s="324"/>
      <c r="H1943" s="325"/>
      <c r="I1943" s="326"/>
      <c r="J1943" s="317"/>
      <c r="K1943" s="328"/>
      <c r="L1943" s="328"/>
      <c r="M1943" s="328"/>
      <c r="N1943" s="328"/>
      <c r="O1943" s="334"/>
      <c r="P1943" s="328"/>
      <c r="Q1943" s="334"/>
      <c r="R1943" s="333"/>
      <c r="S1943" s="331"/>
      <c r="T1943" s="320"/>
      <c r="U1943" s="335"/>
      <c r="V1943" s="291">
        <f t="shared" ca="1" si="653"/>
        <v>0</v>
      </c>
      <c r="W1943" s="256">
        <f t="shared" ref="W1943:W2025" ca="1" si="654">IF(LEFT(_xlfn.FORMULATEXT(V1943),3)="=SO",1,IF(COUNTA(A1943:U1943)=0,0,2))</f>
        <v>0</v>
      </c>
      <c r="X1943" s="256">
        <f t="shared" ca="1" si="649"/>
        <v>1</v>
      </c>
      <c r="Y1943" s="250"/>
      <c r="Z1943" s="250"/>
    </row>
    <row r="1944" spans="1:29" s="111" customFormat="1" ht="15" hidden="1" x14ac:dyDescent="0.2">
      <c r="A1944" s="288"/>
      <c r="B1944" s="338"/>
      <c r="C1944" s="339"/>
      <c r="D1944" s="340"/>
      <c r="E1944" s="341"/>
      <c r="F1944" s="342"/>
      <c r="G1944" s="340"/>
      <c r="H1944" s="341"/>
      <c r="I1944" s="342"/>
      <c r="J1944" s="343"/>
      <c r="K1944" s="344"/>
      <c r="L1944" s="345"/>
      <c r="M1944" s="346"/>
      <c r="N1944" s="347"/>
      <c r="O1944" s="348"/>
      <c r="P1944" s="345"/>
      <c r="Q1944" s="349"/>
      <c r="R1944" s="350"/>
      <c r="S1944" s="351"/>
      <c r="T1944" s="352"/>
      <c r="U1944" s="353"/>
      <c r="V1944" s="291">
        <f t="shared" ca="1" si="653"/>
        <v>0</v>
      </c>
      <c r="W1944" s="256">
        <f t="shared" ca="1" si="654"/>
        <v>0</v>
      </c>
      <c r="X1944" s="256">
        <f t="shared" ca="1" si="649"/>
        <v>1</v>
      </c>
      <c r="Y1944" s="250"/>
      <c r="Z1944" s="250"/>
    </row>
    <row r="1945" spans="1:29" s="111" customFormat="1" ht="15.75" hidden="1" customHeight="1" x14ac:dyDescent="0.2">
      <c r="A1945" s="288"/>
      <c r="B1945" s="354"/>
      <c r="C1945" s="355"/>
      <c r="D1945" s="1354" t="s">
        <v>492</v>
      </c>
      <c r="E1945" s="1355"/>
      <c r="F1945" s="1355"/>
      <c r="G1945" s="1355"/>
      <c r="H1945" s="1355"/>
      <c r="I1945" s="1356"/>
      <c r="J1945" s="1357">
        <f>VLOOKUP(A1947,'11 - FINANCEIRO'!_xlnm.Print_Area,6,FALSE)</f>
        <v>46</v>
      </c>
      <c r="K1945" s="1358"/>
      <c r="L1945" s="356" t="str">
        <f>VLOOKUP(A1947,'11 - FINANCEIRO'!_xlnm.Print_Area,4,FALSE)</f>
        <v>m</v>
      </c>
      <c r="M1945" s="1359" t="s">
        <v>493</v>
      </c>
      <c r="N1945" s="1360"/>
      <c r="O1945" s="1360"/>
      <c r="P1945" s="1360"/>
      <c r="Q1945" s="1361"/>
      <c r="R1945" s="357">
        <f>TRUNC(SUM(R1941:R1944),3)</f>
        <v>46</v>
      </c>
      <c r="S1945" s="358" t="str">
        <f>L1945</f>
        <v>m</v>
      </c>
      <c r="T1945" s="359"/>
      <c r="U1945" s="360"/>
      <c r="V1945" s="291">
        <f t="shared" ca="1" si="653"/>
        <v>0</v>
      </c>
      <c r="W1945" s="256">
        <f t="shared" ca="1" si="654"/>
        <v>2</v>
      </c>
      <c r="X1945" s="256">
        <f t="shared" ca="1" si="649"/>
        <v>1</v>
      </c>
      <c r="Y1945" s="250"/>
      <c r="Z1945" s="250"/>
    </row>
    <row r="1946" spans="1:29" s="293" customFormat="1" ht="15.75" hidden="1" customHeight="1" x14ac:dyDescent="0.2">
      <c r="A1946" s="288"/>
      <c r="B1946" s="354"/>
      <c r="C1946" s="361"/>
      <c r="D1946" s="1362" t="s">
        <v>494</v>
      </c>
      <c r="E1946" s="1363"/>
      <c r="F1946" s="1363"/>
      <c r="G1946" s="1363"/>
      <c r="H1946" s="1363"/>
      <c r="I1946" s="1364"/>
      <c r="J1946" s="1365">
        <f>R1945/J1945</f>
        <v>1</v>
      </c>
      <c r="K1946" s="1366"/>
      <c r="L1946" s="1369"/>
      <c r="M1946" s="1371" t="s">
        <v>495</v>
      </c>
      <c r="N1946" s="1372"/>
      <c r="O1946" s="1372"/>
      <c r="P1946" s="1372"/>
      <c r="Q1946" s="1373"/>
      <c r="R1946" s="362">
        <f>VLOOKUP(A1947,'11 - FINANCEIRO'!_xlnm.Print_Area,8,FALSE)</f>
        <v>46</v>
      </c>
      <c r="S1946" s="363" t="str">
        <f>L1945</f>
        <v>m</v>
      </c>
      <c r="T1946" s="359"/>
      <c r="U1946" s="360"/>
      <c r="V1946" s="291">
        <f t="shared" ca="1" si="653"/>
        <v>0</v>
      </c>
      <c r="W1946" s="256">
        <f t="shared" ca="1" si="654"/>
        <v>2</v>
      </c>
      <c r="X1946" s="256">
        <f t="shared" ca="1" si="649"/>
        <v>1</v>
      </c>
      <c r="Y1946" s="256"/>
      <c r="Z1946" s="256"/>
      <c r="AA1946" s="292"/>
      <c r="AB1946" s="292"/>
      <c r="AC1946" s="292"/>
    </row>
    <row r="1947" spans="1:29" s="293" customFormat="1" ht="15.75" hidden="1" customHeight="1" x14ac:dyDescent="0.2">
      <c r="A1947" s="288" t="s">
        <v>63</v>
      </c>
      <c r="B1947" s="364"/>
      <c r="C1947" s="365"/>
      <c r="D1947" s="1354"/>
      <c r="E1947" s="1355"/>
      <c r="F1947" s="1355"/>
      <c r="G1947" s="1355"/>
      <c r="H1947" s="1355"/>
      <c r="I1947" s="1356"/>
      <c r="J1947" s="1367"/>
      <c r="K1947" s="1368"/>
      <c r="L1947" s="1370"/>
      <c r="M1947" s="1371" t="s">
        <v>496</v>
      </c>
      <c r="N1947" s="1372"/>
      <c r="O1947" s="1372"/>
      <c r="P1947" s="1372"/>
      <c r="Q1947" s="1373"/>
      <c r="R1947" s="362">
        <f>R1945-R1946</f>
        <v>0</v>
      </c>
      <c r="S1947" s="363" t="str">
        <f>L1945</f>
        <v>m</v>
      </c>
      <c r="T1947" s="366"/>
      <c r="U1947" s="367"/>
      <c r="V1947" s="291">
        <f t="shared" ca="1" si="653"/>
        <v>0</v>
      </c>
      <c r="W1947" s="256">
        <f t="shared" ca="1" si="654"/>
        <v>2</v>
      </c>
      <c r="X1947" s="256">
        <f t="shared" ca="1" si="649"/>
        <v>1</v>
      </c>
      <c r="Y1947" s="256"/>
      <c r="Z1947" s="256"/>
      <c r="AA1947" s="292"/>
      <c r="AB1947" s="292"/>
      <c r="AC1947" s="292"/>
    </row>
    <row r="1948" spans="1:29" s="111" customFormat="1" ht="15.75" hidden="1" x14ac:dyDescent="0.2">
      <c r="A1948" s="288"/>
      <c r="B1948" s="368"/>
      <c r="C1948" s="365"/>
      <c r="D1948" s="369"/>
      <c r="E1948" s="370"/>
      <c r="F1948" s="369"/>
      <c r="G1948" s="369"/>
      <c r="H1948" s="369"/>
      <c r="I1948" s="369"/>
      <c r="J1948" s="371"/>
      <c r="K1948" s="372"/>
      <c r="L1948" s="373"/>
      <c r="M1948" s="374"/>
      <c r="N1948" s="374"/>
      <c r="O1948" s="374"/>
      <c r="P1948" s="374"/>
      <c r="Q1948" s="374"/>
      <c r="R1948" s="375"/>
      <c r="S1948" s="376"/>
      <c r="T1948" s="377"/>
      <c r="U1948" s="378"/>
      <c r="V1948" s="379">
        <f ca="1">SUM(V1939:V1947)</f>
        <v>0</v>
      </c>
      <c r="W1948" s="256">
        <f t="shared" ca="1" si="654"/>
        <v>1</v>
      </c>
      <c r="X1948" s="256">
        <f t="shared" ca="1" si="649"/>
        <v>0</v>
      </c>
      <c r="Y1948" s="250"/>
      <c r="Z1948" s="250"/>
    </row>
    <row r="1949" spans="1:29" s="293" customFormat="1" ht="15.75" hidden="1" customHeight="1" x14ac:dyDescent="0.25">
      <c r="A1949" s="288"/>
      <c r="B1949" s="1374" t="str">
        <f>VLOOKUP(A1969,'11 - FINANCEIRO'!_xlnm.Print_Area,1,FALSE)</f>
        <v>2.4.13</v>
      </c>
      <c r="C1949" s="1376" t="str">
        <f>VLOOKUP(A1969,'11 - FINANCEIRO'!_xlnm.Print_Area,3,FALSE)</f>
        <v>Corpo BSTC Diâmetro 0,40 M C.S. Pb Inclusive Escavação, Reaterro E Transporte Do Tubo</v>
      </c>
      <c r="D1949" s="1378" t="s">
        <v>477</v>
      </c>
      <c r="E1949" s="1379"/>
      <c r="F1949" s="1379"/>
      <c r="G1949" s="1379"/>
      <c r="H1949" s="1379"/>
      <c r="I1949" s="1380"/>
      <c r="J1949" s="1338" t="s">
        <v>478</v>
      </c>
      <c r="K1949" s="1338" t="s">
        <v>479</v>
      </c>
      <c r="L1949" s="1338" t="s">
        <v>480</v>
      </c>
      <c r="M1949" s="1338" t="s">
        <v>481</v>
      </c>
      <c r="N1949" s="1338" t="s">
        <v>482</v>
      </c>
      <c r="O1949" s="1338" t="s">
        <v>483</v>
      </c>
      <c r="P1949" s="290" t="s">
        <v>605</v>
      </c>
      <c r="Q1949" s="1338" t="s">
        <v>485</v>
      </c>
      <c r="R1949" s="1336" t="s">
        <v>296</v>
      </c>
      <c r="S1949" s="1338" t="s">
        <v>486</v>
      </c>
      <c r="T1949" s="1338" t="s">
        <v>487</v>
      </c>
      <c r="U1949" s="1340" t="s">
        <v>488</v>
      </c>
      <c r="V1949" s="291">
        <f ca="1">IF(OFFSET(V1949,1,1)=1,OFFSET(V1949,0,-4),OFFSET(V1949,1,0))</f>
        <v>0</v>
      </c>
      <c r="W1949" s="256">
        <f t="shared" ca="1" si="654"/>
        <v>2</v>
      </c>
      <c r="X1949" s="256">
        <f t="shared" ca="1" si="649"/>
        <v>1</v>
      </c>
      <c r="Y1949" s="256"/>
      <c r="Z1949" s="256"/>
      <c r="AA1949" s="292"/>
      <c r="AB1949" s="292"/>
      <c r="AC1949" s="292"/>
    </row>
    <row r="1950" spans="1:29" s="337" customFormat="1" ht="15.75" hidden="1" x14ac:dyDescent="0.2">
      <c r="A1950" s="288"/>
      <c r="B1950" s="1375"/>
      <c r="C1950" s="1377"/>
      <c r="D1950" s="1342" t="s">
        <v>489</v>
      </c>
      <c r="E1950" s="1343"/>
      <c r="F1950" s="1344"/>
      <c r="G1950" s="1345" t="s">
        <v>490</v>
      </c>
      <c r="H1950" s="1346"/>
      <c r="I1950" s="1347"/>
      <c r="J1950" s="1339"/>
      <c r="K1950" s="1339"/>
      <c r="L1950" s="1339"/>
      <c r="M1950" s="1339"/>
      <c r="N1950" s="1339"/>
      <c r="O1950" s="1339"/>
      <c r="P1950" s="295" t="s">
        <v>618</v>
      </c>
      <c r="Q1950" s="1339"/>
      <c r="R1950" s="1337"/>
      <c r="S1950" s="1339"/>
      <c r="T1950" s="1339"/>
      <c r="U1950" s="1341"/>
      <c r="V1950" s="291">
        <f ca="1">IF(OFFSET(V1950,1,1)=1,OFFSET(V1950,0,-4),OFFSET(V1950,1,0))</f>
        <v>0</v>
      </c>
      <c r="W1950" s="256">
        <f t="shared" ca="1" si="654"/>
        <v>2</v>
      </c>
      <c r="X1950" s="256">
        <f t="shared" ca="1" si="649"/>
        <v>1</v>
      </c>
      <c r="Y1950" s="336"/>
      <c r="Z1950" s="336"/>
    </row>
    <row r="1951" spans="1:29" s="337" customFormat="1" ht="15.75" hidden="1" x14ac:dyDescent="0.2">
      <c r="A1951" s="288"/>
      <c r="B1951" s="296"/>
      <c r="C1951" s="297" t="s">
        <v>768</v>
      </c>
      <c r="D1951" s="412">
        <v>9</v>
      </c>
      <c r="E1951" s="299" t="s">
        <v>518</v>
      </c>
      <c r="F1951" s="413">
        <v>12.25</v>
      </c>
      <c r="G1951" s="414"/>
      <c r="H1951" s="302"/>
      <c r="I1951" s="415"/>
      <c r="J1951" s="304" t="s">
        <v>620</v>
      </c>
      <c r="K1951" s="480">
        <v>5</v>
      </c>
      <c r="L1951" s="304"/>
      <c r="M1951" s="304"/>
      <c r="N1951" s="304"/>
      <c r="O1951" s="304"/>
      <c r="P1951" s="306"/>
      <c r="Q1951" s="304"/>
      <c r="R1951" s="307">
        <f t="shared" ref="R1951:R1963" si="655">K1951</f>
        <v>5</v>
      </c>
      <c r="S1951" s="308" t="str">
        <f>$S$1967</f>
        <v>m</v>
      </c>
      <c r="T1951" s="309">
        <v>5</v>
      </c>
      <c r="U1951" s="310"/>
      <c r="V1951" s="291">
        <f ca="1">IF(OFFSET(V1951,1,1)=1,OFFSET(V1951,0,-4),OFFSET(V1951,1,0))</f>
        <v>0</v>
      </c>
      <c r="W1951" s="256">
        <f t="shared" ca="1" si="654"/>
        <v>2</v>
      </c>
      <c r="X1951" s="256">
        <f t="shared" ca="1" si="649"/>
        <v>1</v>
      </c>
      <c r="Y1951" s="336"/>
      <c r="Z1951" s="336"/>
    </row>
    <row r="1952" spans="1:29" s="111" customFormat="1" ht="15.75" hidden="1" x14ac:dyDescent="0.2">
      <c r="A1952" s="288"/>
      <c r="B1952" s="311"/>
      <c r="C1952" s="312" t="s">
        <v>767</v>
      </c>
      <c r="D1952" s="417">
        <v>6</v>
      </c>
      <c r="E1952" s="314" t="s">
        <v>518</v>
      </c>
      <c r="F1952" s="418">
        <v>11</v>
      </c>
      <c r="G1952" s="419"/>
      <c r="H1952" s="316"/>
      <c r="I1952" s="420"/>
      <c r="J1952" s="317" t="s">
        <v>621</v>
      </c>
      <c r="K1952" s="421">
        <v>5</v>
      </c>
      <c r="L1952" s="317"/>
      <c r="M1952" s="315"/>
      <c r="N1952" s="314"/>
      <c r="O1952" s="313"/>
      <c r="P1952" s="318"/>
      <c r="Q1952" s="315"/>
      <c r="R1952" s="319">
        <f t="shared" si="655"/>
        <v>5</v>
      </c>
      <c r="S1952" s="398" t="str">
        <f>$S$1967</f>
        <v>m</v>
      </c>
      <c r="T1952" s="320">
        <v>5</v>
      </c>
      <c r="U1952" s="321"/>
      <c r="V1952" s="291">
        <f ca="1">IF(OFFSET(V1952,1,1)=1,OFFSET(V1952,0,-4),OFFSET(V1952,1,0))</f>
        <v>0</v>
      </c>
      <c r="W1952" s="256">
        <f t="shared" ca="1" si="654"/>
        <v>2</v>
      </c>
      <c r="X1952" s="256">
        <f t="shared" ca="1" si="649"/>
        <v>1</v>
      </c>
      <c r="Y1952" s="250"/>
      <c r="Z1952" s="250"/>
    </row>
    <row r="1953" spans="1:29" s="111" customFormat="1" ht="15.75" hidden="1" x14ac:dyDescent="0.2">
      <c r="A1953" s="288"/>
      <c r="B1953" s="562"/>
      <c r="C1953" s="312" t="s">
        <v>769</v>
      </c>
      <c r="D1953" s="417">
        <v>8</v>
      </c>
      <c r="E1953" s="314" t="s">
        <v>518</v>
      </c>
      <c r="F1953" s="418">
        <v>19.2</v>
      </c>
      <c r="G1953" s="496"/>
      <c r="H1953" s="497"/>
      <c r="I1953" s="498"/>
      <c r="J1953" s="317" t="s">
        <v>621</v>
      </c>
      <c r="K1953" s="500">
        <v>5</v>
      </c>
      <c r="L1953" s="560"/>
      <c r="M1953" s="752"/>
      <c r="N1953" s="552"/>
      <c r="O1953" s="738"/>
      <c r="P1953" s="565"/>
      <c r="Q1953" s="752"/>
      <c r="R1953" s="558">
        <f t="shared" si="655"/>
        <v>5</v>
      </c>
      <c r="S1953" s="771" t="str">
        <f>S1952</f>
        <v>m</v>
      </c>
      <c r="T1953" s="506">
        <v>19</v>
      </c>
      <c r="U1953" s="568"/>
      <c r="V1953" s="291">
        <f t="shared" ref="V1953:V1964" ca="1" si="656">IF(OFFSET(V1953,1,1)=1,OFFSET(V1953,0,-4),OFFSET(V1953,1,0))</f>
        <v>0</v>
      </c>
      <c r="W1953" s="256">
        <f t="shared" ref="W1953:W1964" ca="1" si="657">IF(LEFT(_xlfn.FORMULATEXT(V1953),3)="=SO",1,IF(COUNTA(A1953:U1953)=0,0,2))</f>
        <v>2</v>
      </c>
      <c r="X1953" s="256">
        <f t="shared" ref="X1953:X1964" ca="1" si="658">IF(COUNTA(OFFSET(A1952,1,0))-COUNTA(A1952)=-1,0,1)</f>
        <v>1</v>
      </c>
      <c r="Y1953" s="250"/>
      <c r="Z1953" s="250"/>
    </row>
    <row r="1954" spans="1:29" s="111" customFormat="1" ht="15.75" hidden="1" x14ac:dyDescent="0.2">
      <c r="A1954" s="288"/>
      <c r="B1954" s="562"/>
      <c r="C1954" s="312" t="s">
        <v>770</v>
      </c>
      <c r="D1954" s="417">
        <v>11</v>
      </c>
      <c r="E1954" s="314" t="s">
        <v>518</v>
      </c>
      <c r="F1954" s="418">
        <v>14</v>
      </c>
      <c r="G1954" s="496"/>
      <c r="H1954" s="497"/>
      <c r="I1954" s="498"/>
      <c r="J1954" s="560" t="s">
        <v>620</v>
      </c>
      <c r="K1954" s="500">
        <v>5</v>
      </c>
      <c r="L1954" s="560"/>
      <c r="M1954" s="752"/>
      <c r="N1954" s="552"/>
      <c r="O1954" s="738"/>
      <c r="P1954" s="565"/>
      <c r="Q1954" s="752"/>
      <c r="R1954" s="558">
        <f t="shared" si="655"/>
        <v>5</v>
      </c>
      <c r="S1954" s="771" t="str">
        <f t="shared" ref="S1954:S1963" si="659">$S$1967</f>
        <v>m</v>
      </c>
      <c r="T1954" s="506">
        <v>19</v>
      </c>
      <c r="U1954" s="568"/>
      <c r="V1954" s="291">
        <f t="shared" ca="1" si="656"/>
        <v>0</v>
      </c>
      <c r="W1954" s="256">
        <f t="shared" ca="1" si="657"/>
        <v>2</v>
      </c>
      <c r="X1954" s="256">
        <f t="shared" ca="1" si="658"/>
        <v>1</v>
      </c>
      <c r="Y1954" s="250"/>
      <c r="Z1954" s="250"/>
    </row>
    <row r="1955" spans="1:29" s="111" customFormat="1" ht="15.75" hidden="1" x14ac:dyDescent="0.2">
      <c r="A1955" s="288"/>
      <c r="B1955" s="562"/>
      <c r="C1955" s="312" t="s">
        <v>771</v>
      </c>
      <c r="D1955" s="417">
        <v>11</v>
      </c>
      <c r="E1955" s="314" t="s">
        <v>518</v>
      </c>
      <c r="F1955" s="418">
        <v>15</v>
      </c>
      <c r="G1955" s="496"/>
      <c r="H1955" s="497"/>
      <c r="I1955" s="498"/>
      <c r="J1955" s="317" t="s">
        <v>621</v>
      </c>
      <c r="K1955" s="500">
        <f>5*4</f>
        <v>20</v>
      </c>
      <c r="L1955" s="560"/>
      <c r="M1955" s="752"/>
      <c r="N1955" s="552"/>
      <c r="O1955" s="738"/>
      <c r="P1955" s="565"/>
      <c r="Q1955" s="752"/>
      <c r="R1955" s="558">
        <f t="shared" si="655"/>
        <v>20</v>
      </c>
      <c r="S1955" s="771" t="str">
        <f t="shared" si="659"/>
        <v>m</v>
      </c>
      <c r="T1955" s="506">
        <v>19</v>
      </c>
      <c r="U1955" s="568"/>
      <c r="V1955" s="291">
        <f t="shared" ca="1" si="656"/>
        <v>0</v>
      </c>
      <c r="W1955" s="256">
        <f t="shared" ca="1" si="657"/>
        <v>2</v>
      </c>
      <c r="X1955" s="256">
        <f t="shared" ca="1" si="658"/>
        <v>1</v>
      </c>
      <c r="Y1955" s="250"/>
      <c r="Z1955" s="250"/>
    </row>
    <row r="1956" spans="1:29" s="111" customFormat="1" ht="15.75" hidden="1" x14ac:dyDescent="0.2">
      <c r="A1956" s="288"/>
      <c r="B1956" s="562"/>
      <c r="C1956" s="312" t="s">
        <v>772</v>
      </c>
      <c r="D1956" s="417">
        <v>14</v>
      </c>
      <c r="E1956" s="314" t="s">
        <v>518</v>
      </c>
      <c r="F1956" s="418">
        <v>2</v>
      </c>
      <c r="G1956" s="496"/>
      <c r="H1956" s="497"/>
      <c r="I1956" s="498"/>
      <c r="J1956" s="317" t="s">
        <v>620</v>
      </c>
      <c r="K1956" s="500">
        <v>5</v>
      </c>
      <c r="L1956" s="560"/>
      <c r="M1956" s="752"/>
      <c r="N1956" s="552"/>
      <c r="O1956" s="738"/>
      <c r="P1956" s="565"/>
      <c r="Q1956" s="752"/>
      <c r="R1956" s="558">
        <f t="shared" si="655"/>
        <v>5</v>
      </c>
      <c r="S1956" s="771" t="str">
        <f t="shared" si="659"/>
        <v>m</v>
      </c>
      <c r="T1956" s="506">
        <v>19</v>
      </c>
      <c r="U1956" s="568"/>
      <c r="V1956" s="291">
        <f t="shared" ca="1" si="656"/>
        <v>0</v>
      </c>
      <c r="W1956" s="256">
        <f t="shared" ca="1" si="657"/>
        <v>2</v>
      </c>
      <c r="X1956" s="256">
        <f t="shared" ca="1" si="658"/>
        <v>1</v>
      </c>
      <c r="Y1956" s="250"/>
      <c r="Z1956" s="250"/>
    </row>
    <row r="1957" spans="1:29" s="111" customFormat="1" ht="15.75" hidden="1" x14ac:dyDescent="0.2">
      <c r="A1957" s="288"/>
      <c r="B1957" s="562"/>
      <c r="C1957" s="312" t="s">
        <v>773</v>
      </c>
      <c r="D1957" s="417">
        <v>17</v>
      </c>
      <c r="E1957" s="314" t="s">
        <v>518</v>
      </c>
      <c r="F1957" s="418">
        <v>0</v>
      </c>
      <c r="G1957" s="496"/>
      <c r="H1957" s="497"/>
      <c r="I1957" s="498"/>
      <c r="J1957" s="317" t="s">
        <v>620</v>
      </c>
      <c r="K1957" s="500">
        <v>5</v>
      </c>
      <c r="L1957" s="560"/>
      <c r="M1957" s="752"/>
      <c r="N1957" s="552"/>
      <c r="O1957" s="738"/>
      <c r="P1957" s="565"/>
      <c r="Q1957" s="752"/>
      <c r="R1957" s="558">
        <f t="shared" si="655"/>
        <v>5</v>
      </c>
      <c r="S1957" s="771" t="str">
        <f t="shared" si="659"/>
        <v>m</v>
      </c>
      <c r="T1957" s="506">
        <v>19</v>
      </c>
      <c r="U1957" s="568"/>
      <c r="V1957" s="291">
        <f t="shared" ca="1" si="656"/>
        <v>0</v>
      </c>
      <c r="W1957" s="256">
        <f t="shared" ca="1" si="657"/>
        <v>2</v>
      </c>
      <c r="X1957" s="256">
        <f t="shared" ca="1" si="658"/>
        <v>1</v>
      </c>
      <c r="Y1957" s="250"/>
      <c r="Z1957" s="250"/>
    </row>
    <row r="1958" spans="1:29" s="111" customFormat="1" ht="15.75" hidden="1" x14ac:dyDescent="0.2">
      <c r="A1958" s="288"/>
      <c r="B1958" s="562"/>
      <c r="C1958" s="312" t="s">
        <v>775</v>
      </c>
      <c r="D1958" s="417">
        <v>23</v>
      </c>
      <c r="E1958" s="314" t="s">
        <v>518</v>
      </c>
      <c r="F1958" s="418">
        <v>0</v>
      </c>
      <c r="G1958" s="496"/>
      <c r="H1958" s="497"/>
      <c r="I1958" s="498"/>
      <c r="J1958" s="317" t="s">
        <v>620</v>
      </c>
      <c r="K1958" s="500">
        <v>5</v>
      </c>
      <c r="L1958" s="560"/>
      <c r="M1958" s="752"/>
      <c r="N1958" s="552"/>
      <c r="O1958" s="738"/>
      <c r="P1958" s="565"/>
      <c r="Q1958" s="752"/>
      <c r="R1958" s="558">
        <f t="shared" si="655"/>
        <v>5</v>
      </c>
      <c r="S1958" s="771" t="str">
        <f t="shared" si="659"/>
        <v>m</v>
      </c>
      <c r="T1958" s="506">
        <v>19</v>
      </c>
      <c r="U1958" s="568"/>
      <c r="V1958" s="291">
        <f t="shared" ca="1" si="656"/>
        <v>0</v>
      </c>
      <c r="W1958" s="256">
        <f t="shared" ca="1" si="657"/>
        <v>2</v>
      </c>
      <c r="X1958" s="256">
        <f t="shared" ca="1" si="658"/>
        <v>1</v>
      </c>
      <c r="Y1958" s="250"/>
      <c r="Z1958" s="250"/>
    </row>
    <row r="1959" spans="1:29" s="111" customFormat="1" ht="15.75" hidden="1" x14ac:dyDescent="0.2">
      <c r="A1959" s="288"/>
      <c r="B1959" s="562"/>
      <c r="C1959" s="312" t="s">
        <v>776</v>
      </c>
      <c r="D1959" s="417">
        <v>26</v>
      </c>
      <c r="E1959" s="314" t="s">
        <v>518</v>
      </c>
      <c r="F1959" s="418">
        <v>0</v>
      </c>
      <c r="G1959" s="496"/>
      <c r="H1959" s="497"/>
      <c r="I1959" s="498"/>
      <c r="J1959" s="317" t="s">
        <v>620</v>
      </c>
      <c r="K1959" s="500">
        <v>5</v>
      </c>
      <c r="L1959" s="560"/>
      <c r="M1959" s="752"/>
      <c r="N1959" s="552"/>
      <c r="O1959" s="738"/>
      <c r="P1959" s="565"/>
      <c r="Q1959" s="752"/>
      <c r="R1959" s="558">
        <f t="shared" si="655"/>
        <v>5</v>
      </c>
      <c r="S1959" s="771" t="str">
        <f t="shared" si="659"/>
        <v>m</v>
      </c>
      <c r="T1959" s="506">
        <v>19</v>
      </c>
      <c r="U1959" s="568"/>
      <c r="V1959" s="291">
        <f t="shared" ca="1" si="656"/>
        <v>0</v>
      </c>
      <c r="W1959" s="256">
        <f t="shared" ca="1" si="657"/>
        <v>2</v>
      </c>
      <c r="X1959" s="256">
        <f t="shared" ca="1" si="658"/>
        <v>1</v>
      </c>
      <c r="Y1959" s="250"/>
      <c r="Z1959" s="250"/>
    </row>
    <row r="1960" spans="1:29" s="111" customFormat="1" ht="15.75" hidden="1" x14ac:dyDescent="0.2">
      <c r="A1960" s="288"/>
      <c r="B1960" s="562"/>
      <c r="C1960" s="312" t="s">
        <v>777</v>
      </c>
      <c r="D1960" s="417">
        <v>28</v>
      </c>
      <c r="E1960" s="314" t="s">
        <v>518</v>
      </c>
      <c r="F1960" s="418">
        <v>15</v>
      </c>
      <c r="G1960" s="496"/>
      <c r="H1960" s="497"/>
      <c r="I1960" s="498"/>
      <c r="J1960" s="317" t="s">
        <v>620</v>
      </c>
      <c r="K1960" s="500">
        <v>5</v>
      </c>
      <c r="L1960" s="560"/>
      <c r="M1960" s="752"/>
      <c r="N1960" s="552"/>
      <c r="O1960" s="738"/>
      <c r="P1960" s="565"/>
      <c r="Q1960" s="752"/>
      <c r="R1960" s="558">
        <f t="shared" si="655"/>
        <v>5</v>
      </c>
      <c r="S1960" s="771" t="str">
        <f t="shared" si="659"/>
        <v>m</v>
      </c>
      <c r="T1960" s="506">
        <v>19</v>
      </c>
      <c r="U1960" s="568"/>
      <c r="V1960" s="291">
        <f t="shared" ca="1" si="656"/>
        <v>0</v>
      </c>
      <c r="W1960" s="256">
        <f t="shared" ca="1" si="657"/>
        <v>2</v>
      </c>
      <c r="X1960" s="256">
        <f t="shared" ca="1" si="658"/>
        <v>1</v>
      </c>
      <c r="Y1960" s="250"/>
      <c r="Z1960" s="250"/>
    </row>
    <row r="1961" spans="1:29" s="111" customFormat="1" ht="15.75" hidden="1" x14ac:dyDescent="0.2">
      <c r="A1961" s="288"/>
      <c r="B1961" s="562"/>
      <c r="C1961" s="312" t="s">
        <v>778</v>
      </c>
      <c r="D1961" s="417">
        <v>14</v>
      </c>
      <c r="E1961" s="314" t="s">
        <v>518</v>
      </c>
      <c r="F1961" s="418">
        <v>6</v>
      </c>
      <c r="G1961" s="496"/>
      <c r="H1961" s="497"/>
      <c r="I1961" s="498"/>
      <c r="J1961" s="317" t="s">
        <v>621</v>
      </c>
      <c r="K1961" s="500">
        <v>5</v>
      </c>
      <c r="L1961" s="560"/>
      <c r="M1961" s="752"/>
      <c r="N1961" s="552"/>
      <c r="O1961" s="738"/>
      <c r="P1961" s="565"/>
      <c r="Q1961" s="752"/>
      <c r="R1961" s="558">
        <f t="shared" si="655"/>
        <v>5</v>
      </c>
      <c r="S1961" s="771" t="str">
        <f t="shared" si="659"/>
        <v>m</v>
      </c>
      <c r="T1961" s="506">
        <v>19</v>
      </c>
      <c r="U1961" s="568"/>
      <c r="V1961" s="291">
        <f t="shared" ca="1" si="656"/>
        <v>0</v>
      </c>
      <c r="W1961" s="256">
        <f t="shared" ca="1" si="657"/>
        <v>2</v>
      </c>
      <c r="X1961" s="256">
        <f t="shared" ca="1" si="658"/>
        <v>1</v>
      </c>
      <c r="Y1961" s="250"/>
      <c r="Z1961" s="250"/>
    </row>
    <row r="1962" spans="1:29" s="111" customFormat="1" ht="15.75" hidden="1" x14ac:dyDescent="0.2">
      <c r="A1962" s="288"/>
      <c r="B1962" s="562"/>
      <c r="C1962" s="312" t="s">
        <v>779</v>
      </c>
      <c r="D1962" s="417">
        <v>15</v>
      </c>
      <c r="E1962" s="314" t="s">
        <v>518</v>
      </c>
      <c r="F1962" s="418">
        <v>5.9</v>
      </c>
      <c r="G1962" s="496"/>
      <c r="H1962" s="497"/>
      <c r="I1962" s="498"/>
      <c r="J1962" s="317" t="s">
        <v>621</v>
      </c>
      <c r="K1962" s="500">
        <v>5</v>
      </c>
      <c r="L1962" s="560"/>
      <c r="M1962" s="752"/>
      <c r="N1962" s="552"/>
      <c r="O1962" s="738"/>
      <c r="P1962" s="565"/>
      <c r="Q1962" s="752"/>
      <c r="R1962" s="558">
        <f t="shared" si="655"/>
        <v>5</v>
      </c>
      <c r="S1962" s="771" t="str">
        <f t="shared" si="659"/>
        <v>m</v>
      </c>
      <c r="T1962" s="506">
        <v>19</v>
      </c>
      <c r="U1962" s="568"/>
      <c r="V1962" s="291">
        <f t="shared" ca="1" si="656"/>
        <v>0</v>
      </c>
      <c r="W1962" s="256">
        <f t="shared" ca="1" si="657"/>
        <v>2</v>
      </c>
      <c r="X1962" s="256">
        <f t="shared" ca="1" si="658"/>
        <v>1</v>
      </c>
      <c r="Y1962" s="250"/>
      <c r="Z1962" s="250"/>
    </row>
    <row r="1963" spans="1:29" s="111" customFormat="1" ht="15.75" hidden="1" x14ac:dyDescent="0.2">
      <c r="A1963" s="288"/>
      <c r="B1963" s="562"/>
      <c r="C1963" s="312" t="s">
        <v>780</v>
      </c>
      <c r="D1963" s="417">
        <v>17</v>
      </c>
      <c r="E1963" s="314" t="s">
        <v>518</v>
      </c>
      <c r="F1963" s="418">
        <v>11</v>
      </c>
      <c r="G1963" s="496"/>
      <c r="H1963" s="497"/>
      <c r="I1963" s="498"/>
      <c r="J1963" s="317" t="s">
        <v>621</v>
      </c>
      <c r="K1963" s="500">
        <v>5</v>
      </c>
      <c r="L1963" s="560"/>
      <c r="M1963" s="752"/>
      <c r="N1963" s="552"/>
      <c r="O1963" s="738"/>
      <c r="P1963" s="565"/>
      <c r="Q1963" s="752"/>
      <c r="R1963" s="558">
        <f t="shared" si="655"/>
        <v>5</v>
      </c>
      <c r="S1963" s="771" t="str">
        <f t="shared" si="659"/>
        <v>m</v>
      </c>
      <c r="T1963" s="506">
        <v>19</v>
      </c>
      <c r="U1963" s="568"/>
      <c r="V1963" s="291">
        <f t="shared" ca="1" si="656"/>
        <v>0</v>
      </c>
      <c r="W1963" s="256">
        <f t="shared" ca="1" si="657"/>
        <v>2</v>
      </c>
      <c r="X1963" s="256">
        <f t="shared" ca="1" si="658"/>
        <v>1</v>
      </c>
      <c r="Y1963" s="250"/>
      <c r="Z1963" s="250"/>
    </row>
    <row r="1964" spans="1:29" s="111" customFormat="1" ht="15" hidden="1" x14ac:dyDescent="0.2">
      <c r="A1964" s="288"/>
      <c r="B1964" s="322"/>
      <c r="C1964" s="312" t="s">
        <v>989</v>
      </c>
      <c r="D1964" s="417">
        <v>94</v>
      </c>
      <c r="E1964" s="314" t="s">
        <v>518</v>
      </c>
      <c r="F1964" s="418">
        <v>0</v>
      </c>
      <c r="G1964" s="380"/>
      <c r="H1964" s="316"/>
      <c r="I1964" s="381"/>
      <c r="J1964" s="317" t="s">
        <v>621</v>
      </c>
      <c r="K1964" s="421">
        <v>5</v>
      </c>
      <c r="L1964" s="328"/>
      <c r="M1964" s="328"/>
      <c r="N1964" s="328"/>
      <c r="O1964" s="334"/>
      <c r="P1964" s="328"/>
      <c r="Q1964" s="334"/>
      <c r="R1964" s="333">
        <f>K1964</f>
        <v>5</v>
      </c>
      <c r="S1964" s="331" t="str">
        <f>$S$1967</f>
        <v>m</v>
      </c>
      <c r="T1964" s="320">
        <v>25</v>
      </c>
      <c r="U1964" s="335"/>
      <c r="V1964" s="291">
        <f t="shared" ca="1" si="656"/>
        <v>0</v>
      </c>
      <c r="W1964" s="256">
        <f t="shared" ca="1" si="657"/>
        <v>2</v>
      </c>
      <c r="X1964" s="256">
        <f t="shared" ca="1" si="658"/>
        <v>1</v>
      </c>
      <c r="Y1964" s="250"/>
      <c r="Z1964" s="250"/>
    </row>
    <row r="1965" spans="1:29" s="111" customFormat="1" ht="15" hidden="1" x14ac:dyDescent="0.2">
      <c r="A1965" s="288"/>
      <c r="B1965" s="322"/>
      <c r="C1965" s="312" t="s">
        <v>991</v>
      </c>
      <c r="D1965" s="417">
        <v>94</v>
      </c>
      <c r="E1965" s="314" t="s">
        <v>518</v>
      </c>
      <c r="F1965" s="418">
        <v>0</v>
      </c>
      <c r="G1965" s="380"/>
      <c r="H1965" s="316"/>
      <c r="I1965" s="381"/>
      <c r="J1965" s="317" t="s">
        <v>620</v>
      </c>
      <c r="K1965" s="421">
        <v>5</v>
      </c>
      <c r="L1965" s="328"/>
      <c r="M1965" s="328"/>
      <c r="N1965" s="328"/>
      <c r="O1965" s="334"/>
      <c r="P1965" s="328"/>
      <c r="Q1965" s="334"/>
      <c r="R1965" s="333">
        <f>K1965</f>
        <v>5</v>
      </c>
      <c r="S1965" s="331" t="str">
        <f>$S$1967</f>
        <v>m</v>
      </c>
      <c r="T1965" s="320">
        <v>25</v>
      </c>
      <c r="U1965" s="335"/>
      <c r="V1965" s="291">
        <f t="shared" ref="V1965:V1969" ca="1" si="660">IF(OFFSET(V1965,1,1)=1,OFFSET(V1965,0,-4),OFFSET(V1965,1,0))</f>
        <v>0</v>
      </c>
      <c r="W1965" s="256">
        <f ca="1">IF(LEFT(_xlfn.FORMULATEXT(V1965),3)="=SO",1,IF(COUNTA(A1965:U1965)=0,0,2))</f>
        <v>2</v>
      </c>
      <c r="X1965" s="256">
        <f ca="1">IF(COUNTA(OFFSET(A1962,1,0))-COUNTA(A1962)=-1,0,1)</f>
        <v>1</v>
      </c>
      <c r="Y1965" s="250"/>
      <c r="Z1965" s="250"/>
    </row>
    <row r="1966" spans="1:29" s="111" customFormat="1" ht="15" hidden="1" x14ac:dyDescent="0.2">
      <c r="A1966" s="288"/>
      <c r="B1966" s="338"/>
      <c r="C1966" s="339"/>
      <c r="D1966" s="340"/>
      <c r="E1966" s="341"/>
      <c r="F1966" s="342"/>
      <c r="G1966" s="340"/>
      <c r="H1966" s="341"/>
      <c r="I1966" s="342"/>
      <c r="J1966" s="343"/>
      <c r="K1966" s="345"/>
      <c r="L1966" s="345"/>
      <c r="M1966" s="345"/>
      <c r="N1966" s="345"/>
      <c r="O1966" s="351"/>
      <c r="P1966" s="345"/>
      <c r="Q1966" s="351"/>
      <c r="R1966" s="350"/>
      <c r="S1966" s="348"/>
      <c r="T1966" s="352"/>
      <c r="U1966" s="353"/>
      <c r="V1966" s="291">
        <f t="shared" ca="1" si="660"/>
        <v>0</v>
      </c>
      <c r="W1966" s="256">
        <f t="shared" ca="1" si="654"/>
        <v>0</v>
      </c>
      <c r="X1966" s="256">
        <f ca="1">IF(COUNTA(OFFSET(A1952,1,0))-COUNTA(A1952)=-1,0,1)</f>
        <v>1</v>
      </c>
      <c r="Y1966" s="250"/>
      <c r="Z1966" s="250"/>
    </row>
    <row r="1967" spans="1:29" s="111" customFormat="1" ht="15.75" hidden="1" customHeight="1" x14ac:dyDescent="0.2">
      <c r="A1967" s="288"/>
      <c r="B1967" s="485"/>
      <c r="C1967" s="772" t="s">
        <v>680</v>
      </c>
      <c r="D1967" s="1397" t="s">
        <v>492</v>
      </c>
      <c r="E1967" s="1398"/>
      <c r="F1967" s="1398"/>
      <c r="G1967" s="1398"/>
      <c r="H1967" s="1398"/>
      <c r="I1967" s="1399"/>
      <c r="J1967" s="1400">
        <f>VLOOKUP(A1969,'11 - FINANCEIRO'!_xlnm.Print_Area,6,FALSE)</f>
        <v>134.55000000000001</v>
      </c>
      <c r="K1967" s="1401"/>
      <c r="L1967" s="487" t="str">
        <f>VLOOKUP(A1969,'11 - FINANCEIRO'!_xlnm.Print_Area,4,FALSE)</f>
        <v>m</v>
      </c>
      <c r="M1967" s="1371" t="s">
        <v>493</v>
      </c>
      <c r="N1967" s="1372"/>
      <c r="O1967" s="1372"/>
      <c r="P1967" s="1372"/>
      <c r="Q1967" s="1373"/>
      <c r="R1967" s="362">
        <f>TRUNC(SUM(R1951:R1966),3)</f>
        <v>90</v>
      </c>
      <c r="S1967" s="488" t="str">
        <f>L1967</f>
        <v>m</v>
      </c>
      <c r="T1967" s="489"/>
      <c r="U1967" s="490"/>
      <c r="V1967" s="291">
        <f t="shared" ca="1" si="660"/>
        <v>0</v>
      </c>
      <c r="W1967" s="256">
        <f t="shared" ca="1" si="654"/>
        <v>2</v>
      </c>
      <c r="X1967" s="256">
        <f ca="1">IF(COUNTA(OFFSET(#REF!,1,0))-COUNTA(#REF!)=-1,0,1)</f>
        <v>1</v>
      </c>
      <c r="Y1967" s="250"/>
      <c r="Z1967" s="250"/>
    </row>
    <row r="1968" spans="1:29" s="293" customFormat="1" ht="15.75" hidden="1" customHeight="1" x14ac:dyDescent="0.2">
      <c r="A1968" s="288"/>
      <c r="B1968" s="354"/>
      <c r="C1968" s="361"/>
      <c r="D1968" s="1362" t="s">
        <v>494</v>
      </c>
      <c r="E1968" s="1363"/>
      <c r="F1968" s="1363"/>
      <c r="G1968" s="1363"/>
      <c r="H1968" s="1363"/>
      <c r="I1968" s="1364"/>
      <c r="J1968" s="1365">
        <f>R1967/J1967</f>
        <v>0.66889632107023411</v>
      </c>
      <c r="K1968" s="1366"/>
      <c r="L1968" s="1369"/>
      <c r="M1968" s="1371" t="s">
        <v>495</v>
      </c>
      <c r="N1968" s="1372"/>
      <c r="O1968" s="1372"/>
      <c r="P1968" s="1372"/>
      <c r="Q1968" s="1373"/>
      <c r="R1968" s="362">
        <f>VLOOKUP(A1969,'11 - FINANCEIRO'!_xlnm.Print_Area,8,FALSE)</f>
        <v>90</v>
      </c>
      <c r="S1968" s="363" t="str">
        <f>L1967</f>
        <v>m</v>
      </c>
      <c r="T1968" s="359"/>
      <c r="U1968" s="360"/>
      <c r="V1968" s="291">
        <f t="shared" ca="1" si="660"/>
        <v>0</v>
      </c>
      <c r="W1968" s="256">
        <f t="shared" ca="1" si="654"/>
        <v>2</v>
      </c>
      <c r="X1968" s="256">
        <f t="shared" ca="1" si="649"/>
        <v>1</v>
      </c>
      <c r="Y1968" s="256"/>
      <c r="Z1968" s="256"/>
      <c r="AA1968" s="292"/>
      <c r="AB1968" s="292"/>
      <c r="AC1968" s="292"/>
    </row>
    <row r="1969" spans="1:29" s="293" customFormat="1" ht="15.75" hidden="1" customHeight="1" x14ac:dyDescent="0.2">
      <c r="A1969" s="288" t="s">
        <v>64</v>
      </c>
      <c r="B1969" s="364"/>
      <c r="C1969" s="365"/>
      <c r="D1969" s="1354"/>
      <c r="E1969" s="1355"/>
      <c r="F1969" s="1355"/>
      <c r="G1969" s="1355"/>
      <c r="H1969" s="1355"/>
      <c r="I1969" s="1356"/>
      <c r="J1969" s="1367"/>
      <c r="K1969" s="1368"/>
      <c r="L1969" s="1370"/>
      <c r="M1969" s="1371" t="s">
        <v>496</v>
      </c>
      <c r="N1969" s="1372"/>
      <c r="O1969" s="1372"/>
      <c r="P1969" s="1372"/>
      <c r="Q1969" s="1373"/>
      <c r="R1969" s="362">
        <f>R1967-R1968</f>
        <v>0</v>
      </c>
      <c r="S1969" s="363" t="str">
        <f>L1967</f>
        <v>m</v>
      </c>
      <c r="T1969" s="366"/>
      <c r="U1969" s="367"/>
      <c r="V1969" s="291">
        <f t="shared" ca="1" si="660"/>
        <v>0</v>
      </c>
      <c r="W1969" s="256">
        <f t="shared" ca="1" si="654"/>
        <v>2</v>
      </c>
      <c r="X1969" s="256">
        <f t="shared" ca="1" si="649"/>
        <v>1</v>
      </c>
      <c r="Y1969" s="256"/>
      <c r="Z1969" s="256"/>
      <c r="AA1969" s="292"/>
      <c r="AB1969" s="292"/>
      <c r="AC1969" s="292"/>
    </row>
    <row r="1970" spans="1:29" s="111" customFormat="1" ht="15.75" hidden="1" x14ac:dyDescent="0.2">
      <c r="A1970" s="288"/>
      <c r="B1970" s="368"/>
      <c r="C1970" s="365"/>
      <c r="D1970" s="369"/>
      <c r="E1970" s="370"/>
      <c r="F1970" s="369"/>
      <c r="G1970" s="369"/>
      <c r="H1970" s="369"/>
      <c r="I1970" s="369"/>
      <c r="J1970" s="371"/>
      <c r="K1970" s="372"/>
      <c r="L1970" s="373"/>
      <c r="M1970" s="374"/>
      <c r="N1970" s="374"/>
      <c r="O1970" s="374"/>
      <c r="P1970" s="374"/>
      <c r="Q1970" s="374"/>
      <c r="R1970" s="375"/>
      <c r="S1970" s="376"/>
      <c r="T1970" s="377"/>
      <c r="U1970" s="378"/>
      <c r="V1970" s="379">
        <f ca="1">SUM(V1949:V1969)</f>
        <v>0</v>
      </c>
      <c r="W1970" s="256">
        <f t="shared" ca="1" si="654"/>
        <v>1</v>
      </c>
      <c r="X1970" s="256">
        <f t="shared" ca="1" si="649"/>
        <v>0</v>
      </c>
      <c r="Y1970" s="250"/>
      <c r="Z1970" s="250"/>
    </row>
    <row r="1971" spans="1:29" s="293" customFormat="1" ht="15.75" hidden="1" customHeight="1" x14ac:dyDescent="0.25">
      <c r="A1971" s="288"/>
      <c r="B1971" s="1374" t="str">
        <f>VLOOKUP(A1987,'11 - FINANCEIRO'!_xlnm.Print_Area,1,FALSE)</f>
        <v>2.4.14</v>
      </c>
      <c r="C1971" s="1376" t="str">
        <f>VLOOKUP(A1987,'11 - FINANCEIRO'!_xlnm.Print_Area,3,FALSE)</f>
        <v>Corpo BSTC Diâmetro 0,60 M C.S. Pb Inclusive Escavação, Reaterro E Transporte Do Tubo</v>
      </c>
      <c r="D1971" s="1378" t="s">
        <v>477</v>
      </c>
      <c r="E1971" s="1379"/>
      <c r="F1971" s="1379"/>
      <c r="G1971" s="1379"/>
      <c r="H1971" s="1379"/>
      <c r="I1971" s="1380"/>
      <c r="J1971" s="1338" t="s">
        <v>478</v>
      </c>
      <c r="K1971" s="1338" t="s">
        <v>479</v>
      </c>
      <c r="L1971" s="1338" t="s">
        <v>480</v>
      </c>
      <c r="M1971" s="1338" t="s">
        <v>481</v>
      </c>
      <c r="N1971" s="1338" t="s">
        <v>482</v>
      </c>
      <c r="O1971" s="1338" t="s">
        <v>483</v>
      </c>
      <c r="P1971" s="290" t="s">
        <v>605</v>
      </c>
      <c r="Q1971" s="1338" t="s">
        <v>485</v>
      </c>
      <c r="R1971" s="1336" t="s">
        <v>296</v>
      </c>
      <c r="S1971" s="1338" t="s">
        <v>486</v>
      </c>
      <c r="T1971" s="1338" t="s">
        <v>487</v>
      </c>
      <c r="U1971" s="1340" t="s">
        <v>488</v>
      </c>
      <c r="V1971" s="291">
        <f t="shared" ref="V1971:V1987" ca="1" si="661">IF(OFFSET(V1971,1,1)=1,OFFSET(V1971,0,-4),OFFSET(V1971,1,0))</f>
        <v>0</v>
      </c>
      <c r="W1971" s="256">
        <f t="shared" ca="1" si="654"/>
        <v>2</v>
      </c>
      <c r="X1971" s="256">
        <f t="shared" ca="1" si="649"/>
        <v>1</v>
      </c>
      <c r="Y1971" s="256"/>
      <c r="Z1971" s="256"/>
      <c r="AA1971" s="292"/>
      <c r="AB1971" s="292"/>
      <c r="AC1971" s="292"/>
    </row>
    <row r="1972" spans="1:29" s="337" customFormat="1" ht="15.75" hidden="1" x14ac:dyDescent="0.2">
      <c r="A1972" s="288"/>
      <c r="B1972" s="1375" t="e">
        <f>LEFT(#REF!,5)</f>
        <v>#REF!</v>
      </c>
      <c r="C1972" s="1377" t="e">
        <f>VLOOKUP(LEFT(#REF!,5),'11 - FINANCEIRO'!_xlnm.Print_Area,2,FALSE)</f>
        <v>#REF!</v>
      </c>
      <c r="D1972" s="1342" t="s">
        <v>489</v>
      </c>
      <c r="E1972" s="1343"/>
      <c r="F1972" s="1344"/>
      <c r="G1972" s="1345" t="s">
        <v>490</v>
      </c>
      <c r="H1972" s="1346"/>
      <c r="I1972" s="1347"/>
      <c r="J1972" s="1339"/>
      <c r="K1972" s="1339"/>
      <c r="L1972" s="1339"/>
      <c r="M1972" s="1339"/>
      <c r="N1972" s="1339"/>
      <c r="O1972" s="1339"/>
      <c r="P1972" s="295" t="s">
        <v>618</v>
      </c>
      <c r="Q1972" s="1339"/>
      <c r="R1972" s="1337"/>
      <c r="S1972" s="1339"/>
      <c r="T1972" s="1339"/>
      <c r="U1972" s="1341"/>
      <c r="V1972" s="291">
        <f t="shared" ca="1" si="661"/>
        <v>0</v>
      </c>
      <c r="W1972" s="256">
        <f t="shared" ca="1" si="654"/>
        <v>2</v>
      </c>
      <c r="X1972" s="256">
        <f t="shared" ca="1" si="649"/>
        <v>1</v>
      </c>
      <c r="Y1972" s="336"/>
      <c r="Z1972" s="336"/>
    </row>
    <row r="1973" spans="1:29" s="337" customFormat="1" ht="15.75" hidden="1" x14ac:dyDescent="0.2">
      <c r="A1973" s="288"/>
      <c r="B1973" s="296"/>
      <c r="C1973" s="297" t="s">
        <v>771</v>
      </c>
      <c r="D1973" s="412">
        <v>11</v>
      </c>
      <c r="E1973" s="299" t="s">
        <v>518</v>
      </c>
      <c r="F1973" s="413">
        <v>15</v>
      </c>
      <c r="G1973" s="301"/>
      <c r="H1973" s="302"/>
      <c r="I1973" s="303"/>
      <c r="J1973" s="304" t="s">
        <v>621</v>
      </c>
      <c r="K1973" s="416">
        <v>5</v>
      </c>
      <c r="L1973" s="304"/>
      <c r="M1973" s="304"/>
      <c r="N1973" s="304"/>
      <c r="O1973" s="304"/>
      <c r="P1973" s="306"/>
      <c r="Q1973" s="304"/>
      <c r="R1973" s="307">
        <f t="shared" ref="R1973:R1980" si="662">K1973</f>
        <v>5</v>
      </c>
      <c r="S1973" s="304" t="str">
        <f t="shared" ref="S1973:S1981" si="663">$S$1967</f>
        <v>m</v>
      </c>
      <c r="T1973" s="309">
        <v>19</v>
      </c>
      <c r="U1973" s="310"/>
      <c r="V1973" s="291">
        <f t="shared" ca="1" si="661"/>
        <v>0</v>
      </c>
      <c r="W1973" s="256">
        <f t="shared" ca="1" si="654"/>
        <v>2</v>
      </c>
      <c r="X1973" s="256">
        <f t="shared" ca="1" si="649"/>
        <v>1</v>
      </c>
      <c r="Y1973" s="336"/>
      <c r="Z1973" s="336"/>
    </row>
    <row r="1974" spans="1:29" s="111" customFormat="1" ht="15.75" hidden="1" x14ac:dyDescent="0.2">
      <c r="A1974" s="288"/>
      <c r="B1974" s="311"/>
      <c r="C1974" s="312" t="s">
        <v>782</v>
      </c>
      <c r="D1974" s="417">
        <v>23</v>
      </c>
      <c r="E1974" s="314" t="s">
        <v>518</v>
      </c>
      <c r="F1974" s="418">
        <v>5.5</v>
      </c>
      <c r="G1974" s="380"/>
      <c r="H1974" s="316"/>
      <c r="I1974" s="381"/>
      <c r="J1974" s="317" t="s">
        <v>621</v>
      </c>
      <c r="K1974" s="421">
        <v>15.8</v>
      </c>
      <c r="L1974" s="317"/>
      <c r="M1974" s="315"/>
      <c r="N1974" s="314"/>
      <c r="O1974" s="313"/>
      <c r="P1974" s="318"/>
      <c r="Q1974" s="315"/>
      <c r="R1974" s="319">
        <f t="shared" si="662"/>
        <v>15.8</v>
      </c>
      <c r="S1974" s="317" t="str">
        <f t="shared" si="663"/>
        <v>m</v>
      </c>
      <c r="T1974" s="320">
        <v>19</v>
      </c>
      <c r="U1974" s="321"/>
      <c r="V1974" s="291">
        <f t="shared" ca="1" si="661"/>
        <v>0</v>
      </c>
      <c r="W1974" s="256">
        <f t="shared" ca="1" si="654"/>
        <v>2</v>
      </c>
      <c r="X1974" s="256">
        <f t="shared" ca="1" si="649"/>
        <v>1</v>
      </c>
      <c r="Y1974" s="250"/>
      <c r="Z1974" s="250"/>
    </row>
    <row r="1975" spans="1:29" s="111" customFormat="1" ht="15.75" hidden="1" x14ac:dyDescent="0.2">
      <c r="A1975" s="288"/>
      <c r="B1975" s="311"/>
      <c r="C1975" s="312" t="s">
        <v>783</v>
      </c>
      <c r="D1975" s="417">
        <v>25</v>
      </c>
      <c r="E1975" s="314" t="s">
        <v>518</v>
      </c>
      <c r="F1975" s="418">
        <v>8</v>
      </c>
      <c r="G1975" s="380"/>
      <c r="H1975" s="316"/>
      <c r="I1975" s="381"/>
      <c r="J1975" s="317" t="s">
        <v>621</v>
      </c>
      <c r="K1975" s="421">
        <v>7</v>
      </c>
      <c r="L1975" s="317"/>
      <c r="M1975" s="315"/>
      <c r="N1975" s="314"/>
      <c r="O1975" s="313"/>
      <c r="P1975" s="318"/>
      <c r="Q1975" s="315"/>
      <c r="R1975" s="319">
        <f t="shared" si="662"/>
        <v>7</v>
      </c>
      <c r="S1975" s="313" t="str">
        <f t="shared" si="663"/>
        <v>m</v>
      </c>
      <c r="T1975" s="320">
        <v>19</v>
      </c>
      <c r="U1975" s="321"/>
      <c r="V1975" s="291">
        <f t="shared" ca="1" si="661"/>
        <v>0</v>
      </c>
      <c r="W1975" s="256">
        <f t="shared" ref="W1975:W1980" ca="1" si="664">IF(LEFT(_xlfn.FORMULATEXT(V1975),3)="=SO",1,IF(COUNTA(A1975:U1975)=0,0,2))</f>
        <v>2</v>
      </c>
      <c r="X1975" s="256">
        <f t="shared" ref="X1975:X1980" ca="1" si="665">IF(COUNTA(OFFSET(A1974,1,0))-COUNTA(A1974)=-1,0,1)</f>
        <v>1</v>
      </c>
      <c r="Y1975" s="250"/>
      <c r="Z1975" s="250"/>
    </row>
    <row r="1976" spans="1:29" s="111" customFormat="1" ht="15.75" hidden="1" x14ac:dyDescent="0.2">
      <c r="A1976" s="288"/>
      <c r="B1976" s="311"/>
      <c r="C1976" s="312" t="s">
        <v>785</v>
      </c>
      <c r="D1976" s="417">
        <v>28</v>
      </c>
      <c r="E1976" s="314" t="s">
        <v>518</v>
      </c>
      <c r="F1976" s="418">
        <v>3</v>
      </c>
      <c r="G1976" s="380"/>
      <c r="H1976" s="316"/>
      <c r="I1976" s="381"/>
      <c r="J1976" s="317" t="s">
        <v>621</v>
      </c>
      <c r="K1976" s="421">
        <v>6</v>
      </c>
      <c r="L1976" s="317"/>
      <c r="M1976" s="315"/>
      <c r="N1976" s="314"/>
      <c r="O1976" s="313"/>
      <c r="P1976" s="318"/>
      <c r="Q1976" s="315"/>
      <c r="R1976" s="319">
        <f t="shared" si="662"/>
        <v>6</v>
      </c>
      <c r="S1976" s="313" t="str">
        <f t="shared" si="663"/>
        <v>m</v>
      </c>
      <c r="T1976" s="320">
        <v>19</v>
      </c>
      <c r="U1976" s="321"/>
      <c r="V1976" s="291">
        <f t="shared" ca="1" si="661"/>
        <v>0</v>
      </c>
      <c r="W1976" s="256">
        <f t="shared" ca="1" si="664"/>
        <v>2</v>
      </c>
      <c r="X1976" s="256">
        <f t="shared" ca="1" si="665"/>
        <v>1</v>
      </c>
      <c r="Y1976" s="250"/>
      <c r="Z1976" s="250"/>
    </row>
    <row r="1977" spans="1:29" s="111" customFormat="1" ht="15" hidden="1" x14ac:dyDescent="0.2">
      <c r="A1977" s="288"/>
      <c r="B1977" s="322"/>
      <c r="C1977" s="312" t="s">
        <v>784</v>
      </c>
      <c r="D1977" s="417">
        <v>30</v>
      </c>
      <c r="E1977" s="314" t="s">
        <v>518</v>
      </c>
      <c r="F1977" s="418">
        <v>11</v>
      </c>
      <c r="G1977" s="380"/>
      <c r="H1977" s="316"/>
      <c r="I1977" s="381"/>
      <c r="J1977" s="317" t="s">
        <v>621</v>
      </c>
      <c r="K1977" s="421">
        <v>6</v>
      </c>
      <c r="L1977" s="328"/>
      <c r="M1977" s="328"/>
      <c r="N1977" s="328"/>
      <c r="O1977" s="334"/>
      <c r="P1977" s="328"/>
      <c r="Q1977" s="334"/>
      <c r="R1977" s="333">
        <f t="shared" si="662"/>
        <v>6</v>
      </c>
      <c r="S1977" s="331" t="str">
        <f t="shared" si="663"/>
        <v>m</v>
      </c>
      <c r="T1977" s="320">
        <v>19</v>
      </c>
      <c r="U1977" s="335"/>
      <c r="V1977" s="291">
        <f t="shared" ca="1" si="661"/>
        <v>0</v>
      </c>
      <c r="W1977" s="256">
        <f t="shared" ca="1" si="664"/>
        <v>2</v>
      </c>
      <c r="X1977" s="256">
        <f t="shared" ca="1" si="665"/>
        <v>1</v>
      </c>
      <c r="Y1977" s="250"/>
      <c r="Z1977" s="250"/>
    </row>
    <row r="1978" spans="1:29" s="111" customFormat="1" ht="15" hidden="1" x14ac:dyDescent="0.2">
      <c r="A1978" s="288"/>
      <c r="B1978" s="322"/>
      <c r="C1978" s="312" t="s">
        <v>987</v>
      </c>
      <c r="D1978" s="417">
        <v>99</v>
      </c>
      <c r="E1978" s="314" t="s">
        <v>518</v>
      </c>
      <c r="F1978" s="418">
        <v>0</v>
      </c>
      <c r="G1978" s="380"/>
      <c r="H1978" s="316"/>
      <c r="I1978" s="381"/>
      <c r="J1978" s="317" t="s">
        <v>621</v>
      </c>
      <c r="K1978" s="421">
        <v>5</v>
      </c>
      <c r="L1978" s="328"/>
      <c r="M1978" s="328"/>
      <c r="N1978" s="328"/>
      <c r="O1978" s="334"/>
      <c r="P1978" s="328"/>
      <c r="Q1978" s="334"/>
      <c r="R1978" s="333">
        <f t="shared" si="662"/>
        <v>5</v>
      </c>
      <c r="S1978" s="331" t="str">
        <f t="shared" si="663"/>
        <v>m</v>
      </c>
      <c r="T1978" s="320">
        <v>25</v>
      </c>
      <c r="U1978" s="335"/>
      <c r="V1978" s="291">
        <f t="shared" ca="1" si="661"/>
        <v>0</v>
      </c>
      <c r="W1978" s="256">
        <f t="shared" ca="1" si="664"/>
        <v>2</v>
      </c>
      <c r="X1978" s="256">
        <f t="shared" ca="1" si="665"/>
        <v>1</v>
      </c>
      <c r="Y1978" s="250"/>
      <c r="Z1978" s="250"/>
    </row>
    <row r="1979" spans="1:29" s="111" customFormat="1" ht="15" hidden="1" x14ac:dyDescent="0.2">
      <c r="A1979" s="288"/>
      <c r="B1979" s="322"/>
      <c r="C1979" s="312" t="s">
        <v>990</v>
      </c>
      <c r="D1979" s="417">
        <v>94</v>
      </c>
      <c r="E1979" s="314" t="s">
        <v>518</v>
      </c>
      <c r="F1979" s="418">
        <v>0</v>
      </c>
      <c r="G1979" s="380"/>
      <c r="H1979" s="316"/>
      <c r="I1979" s="381"/>
      <c r="J1979" s="317" t="s">
        <v>620</v>
      </c>
      <c r="K1979" s="421">
        <v>5</v>
      </c>
      <c r="L1979" s="328"/>
      <c r="M1979" s="328"/>
      <c r="N1979" s="328"/>
      <c r="O1979" s="334"/>
      <c r="P1979" s="328"/>
      <c r="Q1979" s="334"/>
      <c r="R1979" s="333">
        <f t="shared" si="662"/>
        <v>5</v>
      </c>
      <c r="S1979" s="331" t="str">
        <f t="shared" si="663"/>
        <v>m</v>
      </c>
      <c r="T1979" s="320">
        <v>25</v>
      </c>
      <c r="U1979" s="335"/>
      <c r="V1979" s="291">
        <f t="shared" ca="1" si="661"/>
        <v>0</v>
      </c>
      <c r="W1979" s="256">
        <f t="shared" ca="1" si="664"/>
        <v>2</v>
      </c>
      <c r="X1979" s="256">
        <f t="shared" ca="1" si="665"/>
        <v>1</v>
      </c>
      <c r="Y1979" s="250"/>
      <c r="Z1979" s="250"/>
    </row>
    <row r="1980" spans="1:29" s="111" customFormat="1" ht="15" hidden="1" x14ac:dyDescent="0.2">
      <c r="A1980" s="288"/>
      <c r="B1980" s="322"/>
      <c r="C1980" s="312" t="s">
        <v>989</v>
      </c>
      <c r="D1980" s="417">
        <v>94</v>
      </c>
      <c r="E1980" s="314" t="s">
        <v>518</v>
      </c>
      <c r="F1980" s="418">
        <v>0</v>
      </c>
      <c r="G1980" s="380"/>
      <c r="H1980" s="316"/>
      <c r="I1980" s="381"/>
      <c r="J1980" s="317" t="s">
        <v>621</v>
      </c>
      <c r="K1980" s="421">
        <v>5</v>
      </c>
      <c r="L1980" s="328"/>
      <c r="M1980" s="328"/>
      <c r="N1980" s="328"/>
      <c r="O1980" s="334"/>
      <c r="P1980" s="328"/>
      <c r="Q1980" s="334"/>
      <c r="R1980" s="333">
        <f t="shared" si="662"/>
        <v>5</v>
      </c>
      <c r="S1980" s="331" t="str">
        <f t="shared" si="663"/>
        <v>m</v>
      </c>
      <c r="T1980" s="320">
        <v>25</v>
      </c>
      <c r="U1980" s="335"/>
      <c r="V1980" s="291">
        <f t="shared" ca="1" si="661"/>
        <v>0</v>
      </c>
      <c r="W1980" s="256">
        <f t="shared" ca="1" si="664"/>
        <v>2</v>
      </c>
      <c r="X1980" s="256">
        <f t="shared" ca="1" si="665"/>
        <v>1</v>
      </c>
      <c r="Y1980" s="250"/>
      <c r="Z1980" s="250"/>
    </row>
    <row r="1981" spans="1:29" s="111" customFormat="1" ht="15" hidden="1" x14ac:dyDescent="0.2">
      <c r="A1981" s="288"/>
      <c r="B1981" s="322"/>
      <c r="C1981" s="312" t="s">
        <v>1035</v>
      </c>
      <c r="D1981" s="417">
        <v>82</v>
      </c>
      <c r="E1981" s="314" t="s">
        <v>518</v>
      </c>
      <c r="F1981" s="418">
        <v>0</v>
      </c>
      <c r="G1981" s="380"/>
      <c r="H1981" s="316"/>
      <c r="I1981" s="381"/>
      <c r="J1981" s="317" t="s">
        <v>621</v>
      </c>
      <c r="K1981" s="421">
        <v>4</v>
      </c>
      <c r="L1981" s="328"/>
      <c r="M1981" s="328"/>
      <c r="N1981" s="328"/>
      <c r="O1981" s="334"/>
      <c r="P1981" s="328"/>
      <c r="Q1981" s="334">
        <v>2</v>
      </c>
      <c r="R1981" s="333">
        <f>K1981*Q1981</f>
        <v>8</v>
      </c>
      <c r="S1981" s="331" t="str">
        <f t="shared" si="663"/>
        <v>m</v>
      </c>
      <c r="T1981" s="320">
        <v>28</v>
      </c>
      <c r="U1981" s="335"/>
      <c r="V1981" s="291">
        <f t="shared" ca="1" si="661"/>
        <v>0</v>
      </c>
      <c r="W1981" s="256">
        <f t="shared" ref="W1981:W1984" ca="1" si="666">IF(LEFT(_xlfn.FORMULATEXT(V1981),3)="=SO",1,IF(COUNTA(A1981:U1981)=0,0,2))</f>
        <v>2</v>
      </c>
      <c r="X1981" s="256">
        <f t="shared" ref="X1981:X1984" ca="1" si="667">IF(COUNTA(OFFSET(A1980,1,0))-COUNTA(A1980)=-1,0,1)</f>
        <v>1</v>
      </c>
      <c r="Y1981" s="250"/>
      <c r="Z1981" s="250"/>
    </row>
    <row r="1982" spans="1:29" s="111" customFormat="1" ht="15" hidden="1" x14ac:dyDescent="0.2">
      <c r="A1982" s="288"/>
      <c r="B1982" s="494"/>
      <c r="C1982" s="312" t="s">
        <v>1316</v>
      </c>
      <c r="D1982" s="419">
        <v>60</v>
      </c>
      <c r="E1982" s="316" t="s">
        <v>518</v>
      </c>
      <c r="F1982" s="420">
        <v>0</v>
      </c>
      <c r="G1982" s="419">
        <v>50</v>
      </c>
      <c r="H1982" s="316" t="s">
        <v>518</v>
      </c>
      <c r="I1982" s="420">
        <v>0</v>
      </c>
      <c r="J1982" s="317" t="s">
        <v>620</v>
      </c>
      <c r="K1982" s="433">
        <v>4</v>
      </c>
      <c r="L1982" s="501"/>
      <c r="M1982" s="760"/>
      <c r="N1982" s="761"/>
      <c r="O1982" s="505"/>
      <c r="P1982" s="501"/>
      <c r="Q1982" s="739"/>
      <c r="R1982" s="333">
        <v>5.0999999999999996</v>
      </c>
      <c r="S1982" s="505" t="s">
        <v>301</v>
      </c>
      <c r="T1982" s="506">
        <v>42</v>
      </c>
      <c r="U1982" s="574"/>
      <c r="V1982" s="291">
        <f t="shared" ca="1" si="661"/>
        <v>0</v>
      </c>
      <c r="W1982" s="256">
        <f t="shared" ca="1" si="666"/>
        <v>2</v>
      </c>
      <c r="X1982" s="256">
        <f t="shared" ca="1" si="667"/>
        <v>1</v>
      </c>
      <c r="Y1982" s="250"/>
      <c r="Z1982" s="250"/>
    </row>
    <row r="1983" spans="1:29" s="111" customFormat="1" ht="15" hidden="1" x14ac:dyDescent="0.2">
      <c r="A1983" s="288"/>
      <c r="B1983" s="494"/>
      <c r="C1983" s="312"/>
      <c r="D1983" s="551"/>
      <c r="E1983" s="552"/>
      <c r="F1983" s="553"/>
      <c r="G1983" s="751"/>
      <c r="H1983" s="497"/>
      <c r="I1983" s="823"/>
      <c r="J1983" s="560"/>
      <c r="K1983" s="500"/>
      <c r="L1983" s="501"/>
      <c r="M1983" s="760"/>
      <c r="N1983" s="761"/>
      <c r="O1983" s="505"/>
      <c r="P1983" s="501"/>
      <c r="Q1983" s="739"/>
      <c r="R1983" s="504"/>
      <c r="S1983" s="505"/>
      <c r="T1983" s="506"/>
      <c r="U1983" s="574"/>
      <c r="V1983" s="291">
        <f t="shared" ca="1" si="661"/>
        <v>0</v>
      </c>
      <c r="W1983" s="256">
        <f t="shared" ca="1" si="666"/>
        <v>0</v>
      </c>
      <c r="X1983" s="256">
        <f t="shared" ca="1" si="667"/>
        <v>1</v>
      </c>
      <c r="Y1983" s="250"/>
      <c r="Z1983" s="250"/>
    </row>
    <row r="1984" spans="1:29" s="111" customFormat="1" ht="15" hidden="1" x14ac:dyDescent="0.2">
      <c r="A1984" s="288"/>
      <c r="B1984" s="338"/>
      <c r="C1984" s="339"/>
      <c r="D1984" s="340"/>
      <c r="E1984" s="341"/>
      <c r="F1984" s="342"/>
      <c r="G1984" s="340"/>
      <c r="H1984" s="341"/>
      <c r="I1984" s="342"/>
      <c r="J1984" s="343"/>
      <c r="K1984" s="344"/>
      <c r="L1984" s="345"/>
      <c r="M1984" s="346"/>
      <c r="N1984" s="347"/>
      <c r="O1984" s="348"/>
      <c r="P1984" s="345"/>
      <c r="Q1984" s="349"/>
      <c r="R1984" s="350"/>
      <c r="S1984" s="351"/>
      <c r="T1984" s="352"/>
      <c r="U1984" s="353"/>
      <c r="V1984" s="291">
        <f t="shared" ca="1" si="661"/>
        <v>0</v>
      </c>
      <c r="W1984" s="256">
        <f t="shared" ca="1" si="666"/>
        <v>0</v>
      </c>
      <c r="X1984" s="256">
        <f t="shared" ca="1" si="667"/>
        <v>1</v>
      </c>
      <c r="Y1984" s="250"/>
      <c r="Z1984" s="250"/>
    </row>
    <row r="1985" spans="1:29" s="111" customFormat="1" ht="15.75" hidden="1" customHeight="1" x14ac:dyDescent="0.2">
      <c r="A1985" s="288"/>
      <c r="B1985" s="354"/>
      <c r="C1985" s="355"/>
      <c r="D1985" s="1354" t="s">
        <v>492</v>
      </c>
      <c r="E1985" s="1355"/>
      <c r="F1985" s="1355"/>
      <c r="G1985" s="1355"/>
      <c r="H1985" s="1355"/>
      <c r="I1985" s="1356"/>
      <c r="J1985" s="1357">
        <f>VLOOKUP(A1987,'11 - FINANCEIRO'!_xlnm.Print_Area,6,FALSE)</f>
        <v>87.8</v>
      </c>
      <c r="K1985" s="1358"/>
      <c r="L1985" s="356" t="str">
        <f>VLOOKUP(A1987,'11 - FINANCEIRO'!_xlnm.Print_Area,4,FALSE)</f>
        <v>m</v>
      </c>
      <c r="M1985" s="1359" t="s">
        <v>493</v>
      </c>
      <c r="N1985" s="1360"/>
      <c r="O1985" s="1360"/>
      <c r="P1985" s="1360"/>
      <c r="Q1985" s="1361"/>
      <c r="R1985" s="357">
        <f>TRUNC(SUM(R1973:R1984),3)</f>
        <v>67.900000000000006</v>
      </c>
      <c r="S1985" s="358" t="str">
        <f>L1985</f>
        <v>m</v>
      </c>
      <c r="T1985" s="359"/>
      <c r="U1985" s="360"/>
      <c r="V1985" s="291">
        <f t="shared" ca="1" si="661"/>
        <v>0</v>
      </c>
      <c r="W1985" s="256">
        <f t="shared" ca="1" si="654"/>
        <v>2</v>
      </c>
      <c r="X1985" s="256">
        <f t="shared" ca="1" si="649"/>
        <v>1</v>
      </c>
      <c r="Y1985" s="250"/>
      <c r="Z1985" s="250"/>
    </row>
    <row r="1986" spans="1:29" s="293" customFormat="1" ht="15.75" hidden="1" customHeight="1" x14ac:dyDescent="0.2">
      <c r="A1986" s="288"/>
      <c r="B1986" s="354"/>
      <c r="C1986" s="361"/>
      <c r="D1986" s="1362" t="s">
        <v>494</v>
      </c>
      <c r="E1986" s="1363"/>
      <c r="F1986" s="1363"/>
      <c r="G1986" s="1363"/>
      <c r="H1986" s="1363"/>
      <c r="I1986" s="1364"/>
      <c r="J1986" s="1365">
        <f>R1985/J1985</f>
        <v>0.77334851936218685</v>
      </c>
      <c r="K1986" s="1366"/>
      <c r="L1986" s="1369"/>
      <c r="M1986" s="1371" t="s">
        <v>495</v>
      </c>
      <c r="N1986" s="1372"/>
      <c r="O1986" s="1372"/>
      <c r="P1986" s="1372"/>
      <c r="Q1986" s="1373"/>
      <c r="R1986" s="362">
        <f>VLOOKUP(A1987,'11 - FINANCEIRO'!_xlnm.Print_Area,8,FALSE)</f>
        <v>67.900000000000006</v>
      </c>
      <c r="S1986" s="363" t="str">
        <f>L1985</f>
        <v>m</v>
      </c>
      <c r="T1986" s="359"/>
      <c r="U1986" s="360"/>
      <c r="V1986" s="291">
        <f t="shared" ca="1" si="661"/>
        <v>0</v>
      </c>
      <c r="W1986" s="256">
        <f t="shared" ca="1" si="654"/>
        <v>2</v>
      </c>
      <c r="X1986" s="256">
        <f t="shared" ca="1" si="649"/>
        <v>1</v>
      </c>
      <c r="Y1986" s="256"/>
      <c r="Z1986" s="256"/>
      <c r="AA1986" s="292"/>
      <c r="AB1986" s="292"/>
      <c r="AC1986" s="292"/>
    </row>
    <row r="1987" spans="1:29" s="293" customFormat="1" ht="15.75" hidden="1" customHeight="1" x14ac:dyDescent="0.2">
      <c r="A1987" s="288" t="s">
        <v>65</v>
      </c>
      <c r="B1987" s="364"/>
      <c r="C1987" s="365"/>
      <c r="D1987" s="1354"/>
      <c r="E1987" s="1355"/>
      <c r="F1987" s="1355"/>
      <c r="G1987" s="1355"/>
      <c r="H1987" s="1355"/>
      <c r="I1987" s="1356"/>
      <c r="J1987" s="1367"/>
      <c r="K1987" s="1368"/>
      <c r="L1987" s="1370"/>
      <c r="M1987" s="1371" t="s">
        <v>496</v>
      </c>
      <c r="N1987" s="1372"/>
      <c r="O1987" s="1372"/>
      <c r="P1987" s="1372"/>
      <c r="Q1987" s="1373"/>
      <c r="R1987" s="362">
        <f>R1985-R1986</f>
        <v>0</v>
      </c>
      <c r="S1987" s="363" t="str">
        <f>L1985</f>
        <v>m</v>
      </c>
      <c r="T1987" s="366"/>
      <c r="U1987" s="367"/>
      <c r="V1987" s="291">
        <f t="shared" ca="1" si="661"/>
        <v>0</v>
      </c>
      <c r="W1987" s="256">
        <f t="shared" ca="1" si="654"/>
        <v>2</v>
      </c>
      <c r="X1987" s="256">
        <f t="shared" ref="X1987:X2059" ca="1" si="668">IF(COUNTA(OFFSET(A1986,1,0))-COUNTA(A1986)=-1,0,1)</f>
        <v>1</v>
      </c>
      <c r="Y1987" s="256"/>
      <c r="Z1987" s="256"/>
      <c r="AA1987" s="292"/>
      <c r="AB1987" s="292"/>
      <c r="AC1987" s="292"/>
    </row>
    <row r="1988" spans="1:29" s="111" customFormat="1" ht="15.75" hidden="1" x14ac:dyDescent="0.2">
      <c r="A1988" s="288"/>
      <c r="B1988" s="368"/>
      <c r="C1988" s="365"/>
      <c r="D1988" s="369"/>
      <c r="E1988" s="370"/>
      <c r="F1988" s="369"/>
      <c r="G1988" s="369"/>
      <c r="H1988" s="369"/>
      <c r="I1988" s="369"/>
      <c r="J1988" s="371"/>
      <c r="K1988" s="372"/>
      <c r="L1988" s="373"/>
      <c r="M1988" s="374"/>
      <c r="N1988" s="374"/>
      <c r="O1988" s="374"/>
      <c r="P1988" s="374"/>
      <c r="Q1988" s="374"/>
      <c r="R1988" s="375"/>
      <c r="S1988" s="376"/>
      <c r="T1988" s="377"/>
      <c r="U1988" s="378"/>
      <c r="V1988" s="379">
        <f ca="1">SUM(V1971:V1987)</f>
        <v>0</v>
      </c>
      <c r="W1988" s="256">
        <f t="shared" ca="1" si="654"/>
        <v>1</v>
      </c>
      <c r="X1988" s="256">
        <f t="shared" ca="1" si="668"/>
        <v>0</v>
      </c>
      <c r="Y1988" s="250"/>
      <c r="Z1988" s="250"/>
    </row>
    <row r="1989" spans="1:29" s="293" customFormat="1" ht="15.75" hidden="1" customHeight="1" x14ac:dyDescent="0.25">
      <c r="A1989" s="288"/>
      <c r="B1989" s="1374" t="str">
        <f>VLOOKUP(A1999,'11 - FINANCEIRO'!_xlnm.Print_Area,1,FALSE)</f>
        <v>2.4.15</v>
      </c>
      <c r="C1989" s="1376" t="str">
        <f>VLOOKUP(A1999,'11 - FINANCEIRO'!_xlnm.Print_Area,3,FALSE)</f>
        <v>Corpo BSTC (Greide) Diâmetro 0,80 M Ca-1 Pb Inclusive Escavação, Reaterro E Transporte Do
Tubo</v>
      </c>
      <c r="D1989" s="1378" t="s">
        <v>477</v>
      </c>
      <c r="E1989" s="1379"/>
      <c r="F1989" s="1379"/>
      <c r="G1989" s="1379"/>
      <c r="H1989" s="1379"/>
      <c r="I1989" s="1380"/>
      <c r="J1989" s="1338" t="s">
        <v>478</v>
      </c>
      <c r="K1989" s="1338" t="s">
        <v>479</v>
      </c>
      <c r="L1989" s="1338" t="s">
        <v>480</v>
      </c>
      <c r="M1989" s="1338" t="s">
        <v>481</v>
      </c>
      <c r="N1989" s="1338" t="s">
        <v>482</v>
      </c>
      <c r="O1989" s="1338" t="s">
        <v>483</v>
      </c>
      <c r="P1989" s="290" t="s">
        <v>605</v>
      </c>
      <c r="Q1989" s="1338" t="s">
        <v>485</v>
      </c>
      <c r="R1989" s="1336" t="s">
        <v>296</v>
      </c>
      <c r="S1989" s="1338" t="s">
        <v>486</v>
      </c>
      <c r="T1989" s="1338" t="s">
        <v>487</v>
      </c>
      <c r="U1989" s="1340" t="s">
        <v>488</v>
      </c>
      <c r="V1989" s="291">
        <f t="shared" ref="V1989:V1999" ca="1" si="669">IF(OFFSET(V1989,1,1)=1,OFFSET(V1989,0,-4),OFFSET(V1989,1,0))</f>
        <v>0</v>
      </c>
      <c r="W1989" s="256">
        <f t="shared" ca="1" si="654"/>
        <v>2</v>
      </c>
      <c r="X1989" s="256">
        <f t="shared" ca="1" si="668"/>
        <v>1</v>
      </c>
      <c r="Y1989" s="256"/>
      <c r="Z1989" s="256"/>
      <c r="AA1989" s="292"/>
      <c r="AB1989" s="292"/>
      <c r="AC1989" s="292"/>
    </row>
    <row r="1990" spans="1:29" s="337" customFormat="1" ht="15.75" hidden="1" x14ac:dyDescent="0.2">
      <c r="A1990" s="288"/>
      <c r="B1990" s="1375" t="e">
        <f>LEFT(#REF!,5)</f>
        <v>#REF!</v>
      </c>
      <c r="C1990" s="1377" t="e">
        <f>VLOOKUP(LEFT(#REF!,5),'11 - FINANCEIRO'!_xlnm.Print_Area,2,FALSE)</f>
        <v>#REF!</v>
      </c>
      <c r="D1990" s="1342" t="s">
        <v>489</v>
      </c>
      <c r="E1990" s="1343"/>
      <c r="F1990" s="1344"/>
      <c r="G1990" s="1345" t="s">
        <v>490</v>
      </c>
      <c r="H1990" s="1346"/>
      <c r="I1990" s="1347"/>
      <c r="J1990" s="1339"/>
      <c r="K1990" s="1339"/>
      <c r="L1990" s="1339"/>
      <c r="M1990" s="1339"/>
      <c r="N1990" s="1339"/>
      <c r="O1990" s="1339"/>
      <c r="P1990" s="295" t="s">
        <v>618</v>
      </c>
      <c r="Q1990" s="1339"/>
      <c r="R1990" s="1337"/>
      <c r="S1990" s="1339"/>
      <c r="T1990" s="1339"/>
      <c r="U1990" s="1341"/>
      <c r="V1990" s="291">
        <f t="shared" ca="1" si="669"/>
        <v>0</v>
      </c>
      <c r="W1990" s="256">
        <f t="shared" ca="1" si="654"/>
        <v>2</v>
      </c>
      <c r="X1990" s="256">
        <f t="shared" ca="1" si="668"/>
        <v>1</v>
      </c>
      <c r="Y1990" s="336"/>
      <c r="Z1990" s="336"/>
    </row>
    <row r="1991" spans="1:29" s="337" customFormat="1" ht="15.75" hidden="1" x14ac:dyDescent="0.2">
      <c r="A1991" s="288"/>
      <c r="B1991" s="296"/>
      <c r="C1991" s="297" t="s">
        <v>774</v>
      </c>
      <c r="D1991" s="412">
        <v>20</v>
      </c>
      <c r="E1991" s="299" t="s">
        <v>518</v>
      </c>
      <c r="F1991" s="413">
        <v>8</v>
      </c>
      <c r="G1991" s="414"/>
      <c r="H1991" s="302"/>
      <c r="I1991" s="415"/>
      <c r="J1991" s="304" t="s">
        <v>620</v>
      </c>
      <c r="K1991" s="480">
        <v>8</v>
      </c>
      <c r="L1991" s="304"/>
      <c r="M1991" s="304"/>
      <c r="N1991" s="304"/>
      <c r="O1991" s="304"/>
      <c r="P1991" s="306"/>
      <c r="Q1991" s="304"/>
      <c r="R1991" s="307">
        <f>K1991</f>
        <v>8</v>
      </c>
      <c r="S1991" s="304" t="str">
        <f>$S$1967</f>
        <v>m</v>
      </c>
      <c r="T1991" s="309">
        <v>19</v>
      </c>
      <c r="U1991" s="310"/>
      <c r="V1991" s="291">
        <f t="shared" ca="1" si="669"/>
        <v>0</v>
      </c>
      <c r="W1991" s="256">
        <f t="shared" ca="1" si="654"/>
        <v>2</v>
      </c>
      <c r="X1991" s="256">
        <f t="shared" ca="1" si="668"/>
        <v>1</v>
      </c>
      <c r="Y1991" s="336"/>
      <c r="Z1991" s="336"/>
    </row>
    <row r="1992" spans="1:29" s="111" customFormat="1" ht="15.75" hidden="1" x14ac:dyDescent="0.2">
      <c r="A1992" s="288"/>
      <c r="B1992" s="562"/>
      <c r="C1992" s="312" t="s">
        <v>781</v>
      </c>
      <c r="D1992" s="417">
        <v>20</v>
      </c>
      <c r="E1992" s="314" t="s">
        <v>518</v>
      </c>
      <c r="F1992" s="418">
        <v>2</v>
      </c>
      <c r="G1992" s="496"/>
      <c r="H1992" s="497"/>
      <c r="I1992" s="498"/>
      <c r="J1992" s="317" t="s">
        <v>621</v>
      </c>
      <c r="K1992" s="500">
        <v>5</v>
      </c>
      <c r="L1992" s="560"/>
      <c r="M1992" s="752"/>
      <c r="N1992" s="552"/>
      <c r="O1992" s="738"/>
      <c r="P1992" s="565"/>
      <c r="Q1992" s="752"/>
      <c r="R1992" s="558">
        <f>K1992</f>
        <v>5</v>
      </c>
      <c r="S1992" s="771" t="str">
        <f>$S$1967</f>
        <v>m</v>
      </c>
      <c r="T1992" s="506">
        <v>19</v>
      </c>
      <c r="U1992" s="568"/>
      <c r="V1992" s="291">
        <f t="shared" ca="1" si="669"/>
        <v>0</v>
      </c>
      <c r="W1992" s="256">
        <f t="shared" ref="W1992:W1995" ca="1" si="670">IF(LEFT(_xlfn.FORMULATEXT(V1992),3)="=SO",1,IF(COUNTA(A1992:U1992)=0,0,2))</f>
        <v>2</v>
      </c>
      <c r="X1992" s="256">
        <f t="shared" ref="X1992:X1995" ca="1" si="671">IF(COUNTA(OFFSET(A1991,1,0))-COUNTA(A1991)=-1,0,1)</f>
        <v>1</v>
      </c>
      <c r="Y1992" s="250"/>
      <c r="Z1992" s="250"/>
    </row>
    <row r="1993" spans="1:29" s="111" customFormat="1" ht="15.75" hidden="1" x14ac:dyDescent="0.2">
      <c r="A1993" s="288"/>
      <c r="B1993" s="562"/>
      <c r="C1993" s="312" t="s">
        <v>985</v>
      </c>
      <c r="D1993" s="417">
        <v>88</v>
      </c>
      <c r="E1993" s="314" t="s">
        <v>518</v>
      </c>
      <c r="F1993" s="418">
        <v>10</v>
      </c>
      <c r="G1993" s="496"/>
      <c r="H1993" s="497"/>
      <c r="I1993" s="498"/>
      <c r="J1993" s="317" t="s">
        <v>620</v>
      </c>
      <c r="K1993" s="500">
        <v>3.5</v>
      </c>
      <c r="L1993" s="560"/>
      <c r="M1993" s="752"/>
      <c r="N1993" s="552"/>
      <c r="O1993" s="738"/>
      <c r="P1993" s="565"/>
      <c r="Q1993" s="752"/>
      <c r="R1993" s="558">
        <f>K1993</f>
        <v>3.5</v>
      </c>
      <c r="S1993" s="771" t="str">
        <f>$S$1967</f>
        <v>m</v>
      </c>
      <c r="T1993" s="506">
        <v>25</v>
      </c>
      <c r="U1993" s="568"/>
      <c r="V1993" s="291">
        <f t="shared" ca="1" si="669"/>
        <v>0</v>
      </c>
      <c r="W1993" s="256">
        <f t="shared" ca="1" si="670"/>
        <v>2</v>
      </c>
      <c r="X1993" s="256">
        <f t="shared" ca="1" si="671"/>
        <v>1</v>
      </c>
      <c r="Y1993" s="250"/>
      <c r="Z1993" s="250"/>
    </row>
    <row r="1994" spans="1:29" s="111" customFormat="1" ht="15.75" hidden="1" x14ac:dyDescent="0.2">
      <c r="A1994" s="288"/>
      <c r="B1994" s="562"/>
      <c r="C1994" s="312" t="s">
        <v>986</v>
      </c>
      <c r="D1994" s="417">
        <v>90</v>
      </c>
      <c r="E1994" s="314" t="s">
        <v>518</v>
      </c>
      <c r="F1994" s="418">
        <v>0</v>
      </c>
      <c r="G1994" s="496"/>
      <c r="H1994" s="497"/>
      <c r="I1994" s="498"/>
      <c r="J1994" s="317" t="s">
        <v>621</v>
      </c>
      <c r="K1994" s="500">
        <v>3.1</v>
      </c>
      <c r="L1994" s="560"/>
      <c r="M1994" s="752"/>
      <c r="N1994" s="552"/>
      <c r="O1994" s="738"/>
      <c r="P1994" s="565"/>
      <c r="Q1994" s="752"/>
      <c r="R1994" s="558">
        <f>K1994</f>
        <v>3.1</v>
      </c>
      <c r="S1994" s="771" t="str">
        <f>$S$1967</f>
        <v>m</v>
      </c>
      <c r="T1994" s="506">
        <v>25</v>
      </c>
      <c r="U1994" s="568"/>
      <c r="V1994" s="291">
        <f t="shared" ca="1" si="669"/>
        <v>0</v>
      </c>
      <c r="W1994" s="256">
        <f t="shared" ca="1" si="670"/>
        <v>2</v>
      </c>
      <c r="X1994" s="256">
        <f t="shared" ca="1" si="671"/>
        <v>1</v>
      </c>
      <c r="Y1994" s="250"/>
      <c r="Z1994" s="250"/>
    </row>
    <row r="1995" spans="1:29" s="111" customFormat="1" ht="15" hidden="1" x14ac:dyDescent="0.2">
      <c r="A1995" s="288"/>
      <c r="B1995" s="322"/>
      <c r="C1995" s="382"/>
      <c r="D1995" s="324"/>
      <c r="E1995" s="325"/>
      <c r="F1995" s="326"/>
      <c r="G1995" s="324"/>
      <c r="H1995" s="325"/>
      <c r="I1995" s="326"/>
      <c r="J1995" s="317"/>
      <c r="K1995" s="328"/>
      <c r="L1995" s="328"/>
      <c r="M1995" s="328"/>
      <c r="N1995" s="328"/>
      <c r="O1995" s="334"/>
      <c r="P1995" s="328"/>
      <c r="Q1995" s="334"/>
      <c r="R1995" s="333"/>
      <c r="S1995" s="331"/>
      <c r="T1995" s="320"/>
      <c r="U1995" s="335"/>
      <c r="V1995" s="291">
        <f t="shared" ca="1" si="669"/>
        <v>0</v>
      </c>
      <c r="W1995" s="256">
        <f t="shared" ca="1" si="670"/>
        <v>0</v>
      </c>
      <c r="X1995" s="256">
        <f t="shared" ca="1" si="671"/>
        <v>1</v>
      </c>
      <c r="Y1995" s="250"/>
      <c r="Z1995" s="250"/>
    </row>
    <row r="1996" spans="1:29" s="111" customFormat="1" ht="15" hidden="1" x14ac:dyDescent="0.2">
      <c r="A1996" s="288"/>
      <c r="B1996" s="338"/>
      <c r="C1996" s="339"/>
      <c r="D1996" s="340"/>
      <c r="E1996" s="341"/>
      <c r="F1996" s="342"/>
      <c r="G1996" s="340"/>
      <c r="H1996" s="341"/>
      <c r="I1996" s="342"/>
      <c r="J1996" s="343"/>
      <c r="K1996" s="344"/>
      <c r="L1996" s="345"/>
      <c r="M1996" s="346"/>
      <c r="N1996" s="347"/>
      <c r="O1996" s="348"/>
      <c r="P1996" s="345"/>
      <c r="Q1996" s="349"/>
      <c r="R1996" s="350"/>
      <c r="S1996" s="351"/>
      <c r="T1996" s="352"/>
      <c r="U1996" s="353"/>
      <c r="V1996" s="291">
        <f t="shared" ca="1" si="669"/>
        <v>0</v>
      </c>
      <c r="W1996" s="256">
        <f t="shared" ca="1" si="654"/>
        <v>0</v>
      </c>
      <c r="X1996" s="256">
        <f t="shared" ca="1" si="668"/>
        <v>1</v>
      </c>
      <c r="Y1996" s="250"/>
      <c r="Z1996" s="250"/>
    </row>
    <row r="1997" spans="1:29" s="111" customFormat="1" ht="15.75" hidden="1" customHeight="1" x14ac:dyDescent="0.2">
      <c r="A1997" s="288"/>
      <c r="B1997" s="354"/>
      <c r="C1997" s="355"/>
      <c r="D1997" s="1354" t="s">
        <v>492</v>
      </c>
      <c r="E1997" s="1355"/>
      <c r="F1997" s="1355"/>
      <c r="G1997" s="1355"/>
      <c r="H1997" s="1355"/>
      <c r="I1997" s="1356"/>
      <c r="J1997" s="1357">
        <f>VLOOKUP(A1999,'11 - FINANCEIRO'!_xlnm.Print_Area,6,FALSE)</f>
        <v>34.6</v>
      </c>
      <c r="K1997" s="1358"/>
      <c r="L1997" s="356" t="str">
        <f>VLOOKUP(A1999,'11 - FINANCEIRO'!_xlnm.Print_Area,4,FALSE)</f>
        <v>m</v>
      </c>
      <c r="M1997" s="1359" t="s">
        <v>493</v>
      </c>
      <c r="N1997" s="1360"/>
      <c r="O1997" s="1360"/>
      <c r="P1997" s="1360"/>
      <c r="Q1997" s="1361"/>
      <c r="R1997" s="357">
        <f>TRUNC(SUM(R1991:R1996),3)</f>
        <v>19.600000000000001</v>
      </c>
      <c r="S1997" s="358" t="str">
        <f>L1997</f>
        <v>m</v>
      </c>
      <c r="T1997" s="359"/>
      <c r="U1997" s="360"/>
      <c r="V1997" s="291">
        <f t="shared" ca="1" si="669"/>
        <v>0</v>
      </c>
      <c r="W1997" s="256">
        <f t="shared" ca="1" si="654"/>
        <v>2</v>
      </c>
      <c r="X1997" s="256">
        <f t="shared" ca="1" si="668"/>
        <v>1</v>
      </c>
      <c r="Y1997" s="250"/>
      <c r="Z1997" s="250"/>
    </row>
    <row r="1998" spans="1:29" s="293" customFormat="1" ht="15.75" hidden="1" customHeight="1" x14ac:dyDescent="0.2">
      <c r="A1998" s="288"/>
      <c r="B1998" s="354"/>
      <c r="C1998" s="361"/>
      <c r="D1998" s="1362" t="s">
        <v>494</v>
      </c>
      <c r="E1998" s="1363"/>
      <c r="F1998" s="1363"/>
      <c r="G1998" s="1363"/>
      <c r="H1998" s="1363"/>
      <c r="I1998" s="1364"/>
      <c r="J1998" s="1365">
        <f>R1997/J1997</f>
        <v>0.56647398843930641</v>
      </c>
      <c r="K1998" s="1366"/>
      <c r="L1998" s="1369"/>
      <c r="M1998" s="1371" t="s">
        <v>495</v>
      </c>
      <c r="N1998" s="1372"/>
      <c r="O1998" s="1372"/>
      <c r="P1998" s="1372"/>
      <c r="Q1998" s="1373"/>
      <c r="R1998" s="362">
        <f>VLOOKUP(A1999,'11 - FINANCEIRO'!_xlnm.Print_Area,8,FALSE)</f>
        <v>19.600000000000001</v>
      </c>
      <c r="S1998" s="363" t="str">
        <f>L1997</f>
        <v>m</v>
      </c>
      <c r="T1998" s="359"/>
      <c r="U1998" s="360"/>
      <c r="V1998" s="291">
        <f t="shared" ca="1" si="669"/>
        <v>0</v>
      </c>
      <c r="W1998" s="256">
        <f t="shared" ca="1" si="654"/>
        <v>2</v>
      </c>
      <c r="X1998" s="256">
        <f t="shared" ca="1" si="668"/>
        <v>1</v>
      </c>
      <c r="Y1998" s="256"/>
      <c r="Z1998" s="256"/>
      <c r="AA1998" s="292"/>
      <c r="AB1998" s="292"/>
      <c r="AC1998" s="292"/>
    </row>
    <row r="1999" spans="1:29" s="293" customFormat="1" ht="15.75" hidden="1" customHeight="1" x14ac:dyDescent="0.2">
      <c r="A1999" s="288" t="s">
        <v>66</v>
      </c>
      <c r="B1999" s="364"/>
      <c r="C1999" s="365"/>
      <c r="D1999" s="1354"/>
      <c r="E1999" s="1355"/>
      <c r="F1999" s="1355"/>
      <c r="G1999" s="1355"/>
      <c r="H1999" s="1355"/>
      <c r="I1999" s="1356"/>
      <c r="J1999" s="1367"/>
      <c r="K1999" s="1368"/>
      <c r="L1999" s="1370"/>
      <c r="M1999" s="1371" t="s">
        <v>496</v>
      </c>
      <c r="N1999" s="1372"/>
      <c r="O1999" s="1372"/>
      <c r="P1999" s="1372"/>
      <c r="Q1999" s="1373"/>
      <c r="R1999" s="362">
        <f>R1997-R1998</f>
        <v>0</v>
      </c>
      <c r="S1999" s="363" t="str">
        <f>L1997</f>
        <v>m</v>
      </c>
      <c r="T1999" s="366"/>
      <c r="U1999" s="367"/>
      <c r="V1999" s="291">
        <f t="shared" ca="1" si="669"/>
        <v>0</v>
      </c>
      <c r="W1999" s="256">
        <f t="shared" ca="1" si="654"/>
        <v>2</v>
      </c>
      <c r="X1999" s="256">
        <f t="shared" ca="1" si="668"/>
        <v>1</v>
      </c>
      <c r="Y1999" s="256"/>
      <c r="Z1999" s="256"/>
      <c r="AA1999" s="292"/>
      <c r="AB1999" s="292"/>
      <c r="AC1999" s="292"/>
    </row>
    <row r="2000" spans="1:29" s="111" customFormat="1" ht="15.75" hidden="1" x14ac:dyDescent="0.2">
      <c r="A2000" s="288"/>
      <c r="B2000" s="368"/>
      <c r="C2000" s="365"/>
      <c r="D2000" s="369"/>
      <c r="E2000" s="370"/>
      <c r="F2000" s="369"/>
      <c r="G2000" s="369"/>
      <c r="H2000" s="369"/>
      <c r="I2000" s="369"/>
      <c r="J2000" s="371"/>
      <c r="K2000" s="372"/>
      <c r="L2000" s="373"/>
      <c r="M2000" s="374"/>
      <c r="N2000" s="374"/>
      <c r="O2000" s="374"/>
      <c r="P2000" s="374"/>
      <c r="Q2000" s="374"/>
      <c r="R2000" s="375"/>
      <c r="S2000" s="376"/>
      <c r="T2000" s="377"/>
      <c r="U2000" s="378"/>
      <c r="V2000" s="379">
        <f ca="1">SUM(V1989:V1999)</f>
        <v>0</v>
      </c>
      <c r="W2000" s="256">
        <f t="shared" ca="1" si="654"/>
        <v>1</v>
      </c>
      <c r="X2000" s="256">
        <f t="shared" ca="1" si="668"/>
        <v>0</v>
      </c>
      <c r="Y2000" s="250"/>
      <c r="Z2000" s="250"/>
    </row>
    <row r="2001" spans="1:29" s="293" customFormat="1" ht="15.75" hidden="1" customHeight="1" x14ac:dyDescent="0.25">
      <c r="A2001" s="288"/>
      <c r="B2001" s="1374" t="str">
        <f>VLOOKUP(A2009,'11 - FINANCEIRO'!_xlnm.Print_Area,1,FALSE)</f>
        <v>2.4.16</v>
      </c>
      <c r="C2001" s="1376" t="str">
        <f>VLOOKUP(A2009,'11 - FINANCEIRO'!_xlnm.Print_Area,3,FALSE)</f>
        <v>Corpo BSTC (Greide) Diâmetro 1,00 M Ca-1 Pb Inclusive Escavação, Reaterro E Transporte Do Tubo</v>
      </c>
      <c r="D2001" s="1378" t="s">
        <v>477</v>
      </c>
      <c r="E2001" s="1379"/>
      <c r="F2001" s="1379"/>
      <c r="G2001" s="1379"/>
      <c r="H2001" s="1379"/>
      <c r="I2001" s="1380"/>
      <c r="J2001" s="1338" t="s">
        <v>478</v>
      </c>
      <c r="K2001" s="1338" t="s">
        <v>479</v>
      </c>
      <c r="L2001" s="1338" t="s">
        <v>480</v>
      </c>
      <c r="M2001" s="1338" t="s">
        <v>481</v>
      </c>
      <c r="N2001" s="1338" t="s">
        <v>482</v>
      </c>
      <c r="O2001" s="1338" t="s">
        <v>483</v>
      </c>
      <c r="P2001" s="290" t="s">
        <v>605</v>
      </c>
      <c r="Q2001" s="1338" t="s">
        <v>485</v>
      </c>
      <c r="R2001" s="1336" t="s">
        <v>296</v>
      </c>
      <c r="S2001" s="1338" t="s">
        <v>486</v>
      </c>
      <c r="T2001" s="1338" t="s">
        <v>487</v>
      </c>
      <c r="U2001" s="1340" t="s">
        <v>488</v>
      </c>
      <c r="V2001" s="291">
        <f t="shared" ref="V2001:V2009" ca="1" si="672">IF(OFFSET(V2001,1,1)=1,OFFSET(V2001,0,-4),OFFSET(V2001,1,0))</f>
        <v>0</v>
      </c>
      <c r="W2001" s="256">
        <f t="shared" ca="1" si="654"/>
        <v>2</v>
      </c>
      <c r="X2001" s="256">
        <f t="shared" ca="1" si="668"/>
        <v>1</v>
      </c>
      <c r="Y2001" s="256"/>
      <c r="Z2001" s="256"/>
      <c r="AA2001" s="292"/>
      <c r="AB2001" s="292"/>
      <c r="AC2001" s="292"/>
    </row>
    <row r="2002" spans="1:29" s="337" customFormat="1" ht="15.75" hidden="1" x14ac:dyDescent="0.2">
      <c r="A2002" s="288"/>
      <c r="B2002" s="1375" t="e">
        <f>LEFT(#REF!,5)</f>
        <v>#REF!</v>
      </c>
      <c r="C2002" s="1377" t="e">
        <f>VLOOKUP(LEFT(#REF!,5),'11 - FINANCEIRO'!_xlnm.Print_Area,2,FALSE)</f>
        <v>#REF!</v>
      </c>
      <c r="D2002" s="1342" t="s">
        <v>489</v>
      </c>
      <c r="E2002" s="1343"/>
      <c r="F2002" s="1344"/>
      <c r="G2002" s="1345" t="s">
        <v>490</v>
      </c>
      <c r="H2002" s="1346"/>
      <c r="I2002" s="1347"/>
      <c r="J2002" s="1339"/>
      <c r="K2002" s="1339"/>
      <c r="L2002" s="1339"/>
      <c r="M2002" s="1339"/>
      <c r="N2002" s="1339"/>
      <c r="O2002" s="1339"/>
      <c r="P2002" s="295" t="s">
        <v>618</v>
      </c>
      <c r="Q2002" s="1339"/>
      <c r="R2002" s="1337"/>
      <c r="S2002" s="1339"/>
      <c r="T2002" s="1339"/>
      <c r="U2002" s="1341"/>
      <c r="V2002" s="291">
        <f t="shared" ca="1" si="672"/>
        <v>0</v>
      </c>
      <c r="W2002" s="256">
        <f t="shared" ca="1" si="654"/>
        <v>2</v>
      </c>
      <c r="X2002" s="256">
        <f t="shared" ca="1" si="668"/>
        <v>1</v>
      </c>
      <c r="Y2002" s="336"/>
      <c r="Z2002" s="336"/>
    </row>
    <row r="2003" spans="1:29" s="337" customFormat="1" ht="15.75" hidden="1" x14ac:dyDescent="0.2">
      <c r="A2003" s="288"/>
      <c r="B2003" s="296"/>
      <c r="C2003" s="297" t="s">
        <v>988</v>
      </c>
      <c r="D2003" s="412">
        <v>96</v>
      </c>
      <c r="E2003" s="299" t="s">
        <v>518</v>
      </c>
      <c r="F2003" s="413">
        <v>10</v>
      </c>
      <c r="G2003" s="301"/>
      <c r="H2003" s="302"/>
      <c r="I2003" s="303"/>
      <c r="J2003" s="304" t="s">
        <v>621</v>
      </c>
      <c r="K2003" s="416"/>
      <c r="L2003" s="304"/>
      <c r="M2003" s="304"/>
      <c r="N2003" s="304"/>
      <c r="O2003" s="304"/>
      <c r="P2003" s="306"/>
      <c r="Q2003" s="304"/>
      <c r="R2003" s="307">
        <v>17</v>
      </c>
      <c r="S2003" s="416" t="str">
        <f>$L$2007</f>
        <v>m</v>
      </c>
      <c r="T2003" s="309">
        <v>25</v>
      </c>
      <c r="U2003" s="310"/>
      <c r="V2003" s="291">
        <f t="shared" ca="1" si="672"/>
        <v>0</v>
      </c>
      <c r="W2003" s="256">
        <f ca="1">IF(LEFT(_xlfn.FORMULATEXT(V2003),3)="=SO",1,IF(COUNTA(A2003:U2003)=0,0,2))</f>
        <v>2</v>
      </c>
      <c r="X2003" s="256">
        <f t="shared" ca="1" si="668"/>
        <v>1</v>
      </c>
      <c r="Y2003" s="336"/>
      <c r="Z2003" s="336"/>
    </row>
    <row r="2004" spans="1:29" s="111" customFormat="1" ht="15.75" hidden="1" x14ac:dyDescent="0.2">
      <c r="A2004" s="288"/>
      <c r="B2004" s="311"/>
      <c r="C2004" s="312" t="s">
        <v>1284</v>
      </c>
      <c r="D2004" s="551"/>
      <c r="E2004" s="552"/>
      <c r="F2004" s="553"/>
      <c r="G2004" s="751"/>
      <c r="H2004" s="497"/>
      <c r="I2004" s="823"/>
      <c r="J2004" s="1109" t="s">
        <v>621</v>
      </c>
      <c r="K2004" s="500">
        <v>5</v>
      </c>
      <c r="L2004" s="501"/>
      <c r="M2004" s="760"/>
      <c r="N2004" s="761"/>
      <c r="O2004" s="505"/>
      <c r="P2004" s="501"/>
      <c r="Q2004" s="739"/>
      <c r="R2004" s="333">
        <f t="shared" ref="R2004" si="673">K2004</f>
        <v>5</v>
      </c>
      <c r="S2004" s="416" t="str">
        <f>$L$2007</f>
        <v>m</v>
      </c>
      <c r="T2004" s="506">
        <v>40</v>
      </c>
      <c r="U2004" s="321"/>
      <c r="V2004" s="291">
        <f t="shared" ca="1" si="672"/>
        <v>0</v>
      </c>
      <c r="W2004" s="256">
        <f t="shared" ca="1" si="654"/>
        <v>2</v>
      </c>
      <c r="X2004" s="256">
        <f t="shared" ca="1" si="668"/>
        <v>1</v>
      </c>
      <c r="Y2004" s="250"/>
      <c r="Z2004" s="250"/>
    </row>
    <row r="2005" spans="1:29" s="111" customFormat="1" ht="15" hidden="1" x14ac:dyDescent="0.2">
      <c r="A2005" s="288"/>
      <c r="B2005" s="322"/>
      <c r="C2005" s="312" t="s">
        <v>1317</v>
      </c>
      <c r="D2005" s="324"/>
      <c r="E2005" s="325"/>
      <c r="F2005" s="326"/>
      <c r="G2005" s="324"/>
      <c r="H2005" s="325"/>
      <c r="I2005" s="326"/>
      <c r="J2005" s="317"/>
      <c r="K2005" s="328"/>
      <c r="L2005" s="328"/>
      <c r="M2005" s="328"/>
      <c r="N2005" s="328"/>
      <c r="O2005" s="334"/>
      <c r="P2005" s="328"/>
      <c r="Q2005" s="334"/>
      <c r="R2005" s="333">
        <v>5</v>
      </c>
      <c r="S2005" s="331" t="s">
        <v>301</v>
      </c>
      <c r="T2005" s="320">
        <v>42</v>
      </c>
      <c r="U2005" s="335"/>
      <c r="V2005" s="291">
        <f t="shared" ca="1" si="672"/>
        <v>0</v>
      </c>
      <c r="W2005" s="256">
        <f t="shared" ca="1" si="654"/>
        <v>2</v>
      </c>
      <c r="X2005" s="256">
        <f t="shared" ca="1" si="668"/>
        <v>1</v>
      </c>
      <c r="Y2005" s="250"/>
      <c r="Z2005" s="250"/>
    </row>
    <row r="2006" spans="1:29" s="111" customFormat="1" ht="15" hidden="1" x14ac:dyDescent="0.2">
      <c r="A2006" s="288"/>
      <c r="B2006" s="338"/>
      <c r="C2006" s="339"/>
      <c r="D2006" s="340"/>
      <c r="E2006" s="341"/>
      <c r="F2006" s="342"/>
      <c r="G2006" s="340"/>
      <c r="H2006" s="341"/>
      <c r="I2006" s="342"/>
      <c r="J2006" s="343"/>
      <c r="K2006" s="344"/>
      <c r="L2006" s="345"/>
      <c r="M2006" s="346"/>
      <c r="N2006" s="347"/>
      <c r="O2006" s="348"/>
      <c r="P2006" s="345"/>
      <c r="Q2006" s="349"/>
      <c r="R2006" s="350"/>
      <c r="S2006" s="351"/>
      <c r="T2006" s="352"/>
      <c r="U2006" s="353"/>
      <c r="V2006" s="291">
        <f t="shared" ca="1" si="672"/>
        <v>0</v>
      </c>
      <c r="W2006" s="256">
        <f t="shared" ca="1" si="654"/>
        <v>0</v>
      </c>
      <c r="X2006" s="256">
        <f t="shared" ca="1" si="668"/>
        <v>1</v>
      </c>
      <c r="Y2006" s="250"/>
      <c r="Z2006" s="250"/>
    </row>
    <row r="2007" spans="1:29" s="111" customFormat="1" ht="15.75" hidden="1" customHeight="1" x14ac:dyDescent="0.2">
      <c r="A2007" s="288"/>
      <c r="B2007" s="354"/>
      <c r="C2007" s="355"/>
      <c r="D2007" s="1354" t="s">
        <v>492</v>
      </c>
      <c r="E2007" s="1355"/>
      <c r="F2007" s="1355"/>
      <c r="G2007" s="1355"/>
      <c r="H2007" s="1355"/>
      <c r="I2007" s="1356"/>
      <c r="J2007" s="1357">
        <f>VLOOKUP(A2009,'11 - FINANCEIRO'!_xlnm.Print_Area,6,FALSE)</f>
        <v>37</v>
      </c>
      <c r="K2007" s="1358"/>
      <c r="L2007" s="356" t="str">
        <f>VLOOKUP(A2009,'11 - FINANCEIRO'!_xlnm.Print_Area,4,FALSE)</f>
        <v>m</v>
      </c>
      <c r="M2007" s="1359" t="s">
        <v>493</v>
      </c>
      <c r="N2007" s="1360"/>
      <c r="O2007" s="1360"/>
      <c r="P2007" s="1360"/>
      <c r="Q2007" s="1361"/>
      <c r="R2007" s="357">
        <f>TRUNC(SUM(R2003:R2006),3)</f>
        <v>27</v>
      </c>
      <c r="S2007" s="358" t="str">
        <f>L2007</f>
        <v>m</v>
      </c>
      <c r="T2007" s="359"/>
      <c r="U2007" s="360"/>
      <c r="V2007" s="291">
        <f t="shared" ca="1" si="672"/>
        <v>0</v>
      </c>
      <c r="W2007" s="256">
        <f t="shared" ca="1" si="654"/>
        <v>2</v>
      </c>
      <c r="X2007" s="256">
        <f t="shared" ca="1" si="668"/>
        <v>1</v>
      </c>
      <c r="Y2007" s="250"/>
      <c r="Z2007" s="250"/>
    </row>
    <row r="2008" spans="1:29" s="293" customFormat="1" ht="15.75" hidden="1" customHeight="1" x14ac:dyDescent="0.2">
      <c r="A2008" s="288"/>
      <c r="B2008" s="354"/>
      <c r="C2008" s="361"/>
      <c r="D2008" s="1362" t="s">
        <v>494</v>
      </c>
      <c r="E2008" s="1363"/>
      <c r="F2008" s="1363"/>
      <c r="G2008" s="1363"/>
      <c r="H2008" s="1363"/>
      <c r="I2008" s="1364"/>
      <c r="J2008" s="1365">
        <f>R2007/J2007</f>
        <v>0.72972972972972971</v>
      </c>
      <c r="K2008" s="1366"/>
      <c r="L2008" s="1369"/>
      <c r="M2008" s="1371" t="s">
        <v>495</v>
      </c>
      <c r="N2008" s="1372"/>
      <c r="O2008" s="1372"/>
      <c r="P2008" s="1372"/>
      <c r="Q2008" s="1373"/>
      <c r="R2008" s="362">
        <f>VLOOKUP(A2009,'11 - FINANCEIRO'!_xlnm.Print_Area,8,FALSE)</f>
        <v>27</v>
      </c>
      <c r="S2008" s="363" t="str">
        <f>L2007</f>
        <v>m</v>
      </c>
      <c r="T2008" s="359"/>
      <c r="U2008" s="360"/>
      <c r="V2008" s="291">
        <f t="shared" ca="1" si="672"/>
        <v>0</v>
      </c>
      <c r="W2008" s="256">
        <f t="shared" ca="1" si="654"/>
        <v>2</v>
      </c>
      <c r="X2008" s="256">
        <f t="shared" ca="1" si="668"/>
        <v>1</v>
      </c>
      <c r="Y2008" s="256"/>
      <c r="Z2008" s="256"/>
      <c r="AA2008" s="292"/>
      <c r="AB2008" s="292"/>
      <c r="AC2008" s="292"/>
    </row>
    <row r="2009" spans="1:29" s="293" customFormat="1" ht="15.75" hidden="1" customHeight="1" x14ac:dyDescent="0.2">
      <c r="A2009" s="288" t="s">
        <v>67</v>
      </c>
      <c r="B2009" s="364"/>
      <c r="C2009" s="365"/>
      <c r="D2009" s="1354"/>
      <c r="E2009" s="1355"/>
      <c r="F2009" s="1355"/>
      <c r="G2009" s="1355"/>
      <c r="H2009" s="1355"/>
      <c r="I2009" s="1356"/>
      <c r="J2009" s="1367"/>
      <c r="K2009" s="1368"/>
      <c r="L2009" s="1370"/>
      <c r="M2009" s="1371" t="s">
        <v>496</v>
      </c>
      <c r="N2009" s="1372"/>
      <c r="O2009" s="1372"/>
      <c r="P2009" s="1372"/>
      <c r="Q2009" s="1373"/>
      <c r="R2009" s="362">
        <f>R2007-R2008</f>
        <v>0</v>
      </c>
      <c r="S2009" s="363" t="str">
        <f>L2007</f>
        <v>m</v>
      </c>
      <c r="T2009" s="366"/>
      <c r="U2009" s="367"/>
      <c r="V2009" s="291">
        <f t="shared" ca="1" si="672"/>
        <v>0</v>
      </c>
      <c r="W2009" s="256">
        <f t="shared" ca="1" si="654"/>
        <v>2</v>
      </c>
      <c r="X2009" s="256">
        <f t="shared" ca="1" si="668"/>
        <v>1</v>
      </c>
      <c r="Y2009" s="256"/>
      <c r="Z2009" s="256"/>
      <c r="AA2009" s="292"/>
      <c r="AB2009" s="292"/>
      <c r="AC2009" s="292"/>
    </row>
    <row r="2010" spans="1:29" s="111" customFormat="1" ht="15.75" hidden="1" x14ac:dyDescent="0.2">
      <c r="A2010" s="288"/>
      <c r="B2010" s="368"/>
      <c r="C2010" s="365"/>
      <c r="D2010" s="369"/>
      <c r="E2010" s="370"/>
      <c r="F2010" s="369"/>
      <c r="G2010" s="369"/>
      <c r="H2010" s="369"/>
      <c r="I2010" s="369"/>
      <c r="J2010" s="371"/>
      <c r="K2010" s="372"/>
      <c r="L2010" s="373"/>
      <c r="M2010" s="374"/>
      <c r="N2010" s="374"/>
      <c r="O2010" s="374"/>
      <c r="P2010" s="374"/>
      <c r="Q2010" s="374"/>
      <c r="R2010" s="375"/>
      <c r="S2010" s="376"/>
      <c r="T2010" s="377"/>
      <c r="U2010" s="378"/>
      <c r="V2010" s="379">
        <f ca="1">SUM(V2001:V2009)</f>
        <v>0</v>
      </c>
      <c r="W2010" s="256">
        <f t="shared" ca="1" si="654"/>
        <v>1</v>
      </c>
      <c r="X2010" s="256">
        <f t="shared" ca="1" si="668"/>
        <v>0</v>
      </c>
      <c r="Y2010" s="250"/>
      <c r="Z2010" s="250"/>
    </row>
    <row r="2011" spans="1:29" s="293" customFormat="1" ht="15.75" hidden="1" customHeight="1" x14ac:dyDescent="0.25">
      <c r="A2011" s="288"/>
      <c r="B2011" s="1374" t="str">
        <f>VLOOKUP(A2019,'11 - FINANCEIRO'!_xlnm.Print_Area,1,FALSE)</f>
        <v>2.4.17</v>
      </c>
      <c r="C2011" s="1376" t="str">
        <f>VLOOKUP(A2019,'11 - FINANCEIRO'!_xlnm.Print_Area,3,FALSE)</f>
        <v>Rede Agua Fofo K-7 Dn 400 S/Pav</v>
      </c>
      <c r="D2011" s="1378" t="s">
        <v>477</v>
      </c>
      <c r="E2011" s="1379"/>
      <c r="F2011" s="1379"/>
      <c r="G2011" s="1379"/>
      <c r="H2011" s="1379"/>
      <c r="I2011" s="1380"/>
      <c r="J2011" s="1338" t="s">
        <v>478</v>
      </c>
      <c r="K2011" s="1338" t="s">
        <v>479</v>
      </c>
      <c r="L2011" s="1338" t="s">
        <v>480</v>
      </c>
      <c r="M2011" s="1338" t="s">
        <v>481</v>
      </c>
      <c r="N2011" s="1338" t="s">
        <v>482</v>
      </c>
      <c r="O2011" s="1338" t="s">
        <v>483</v>
      </c>
      <c r="P2011" s="290" t="s">
        <v>605</v>
      </c>
      <c r="Q2011" s="1338" t="s">
        <v>485</v>
      </c>
      <c r="R2011" s="1336" t="s">
        <v>296</v>
      </c>
      <c r="S2011" s="1338" t="s">
        <v>486</v>
      </c>
      <c r="T2011" s="1338" t="s">
        <v>487</v>
      </c>
      <c r="U2011" s="1340" t="s">
        <v>488</v>
      </c>
      <c r="V2011" s="291">
        <f t="shared" ref="V2011:V2019" ca="1" si="674">IF(OFFSET(V2011,1,1)=1,OFFSET(V2011,0,-4),OFFSET(V2011,1,0))</f>
        <v>0</v>
      </c>
      <c r="W2011" s="256">
        <f t="shared" ca="1" si="654"/>
        <v>2</v>
      </c>
      <c r="X2011" s="256">
        <f t="shared" ca="1" si="668"/>
        <v>1</v>
      </c>
      <c r="Y2011" s="256"/>
      <c r="Z2011" s="256"/>
      <c r="AA2011" s="292"/>
      <c r="AB2011" s="292"/>
      <c r="AC2011" s="292"/>
    </row>
    <row r="2012" spans="1:29" s="337" customFormat="1" ht="15.75" hidden="1" x14ac:dyDescent="0.2">
      <c r="A2012" s="288"/>
      <c r="B2012" s="1375" t="e">
        <f>LEFT(#REF!,5)</f>
        <v>#REF!</v>
      </c>
      <c r="C2012" s="1377" t="e">
        <f>VLOOKUP(LEFT(#REF!,5),'11 - FINANCEIRO'!_xlnm.Print_Area,2,FALSE)</f>
        <v>#REF!</v>
      </c>
      <c r="D2012" s="1342" t="s">
        <v>489</v>
      </c>
      <c r="E2012" s="1343"/>
      <c r="F2012" s="1344"/>
      <c r="G2012" s="1345" t="s">
        <v>490</v>
      </c>
      <c r="H2012" s="1346"/>
      <c r="I2012" s="1347"/>
      <c r="J2012" s="1339"/>
      <c r="K2012" s="1339"/>
      <c r="L2012" s="1339"/>
      <c r="M2012" s="1339"/>
      <c r="N2012" s="1339"/>
      <c r="O2012" s="1339"/>
      <c r="P2012" s="295" t="s">
        <v>618</v>
      </c>
      <c r="Q2012" s="1339"/>
      <c r="R2012" s="1337"/>
      <c r="S2012" s="1339"/>
      <c r="T2012" s="1339"/>
      <c r="U2012" s="1341"/>
      <c r="V2012" s="291">
        <f t="shared" ca="1" si="674"/>
        <v>0</v>
      </c>
      <c r="W2012" s="256">
        <f t="shared" ca="1" si="654"/>
        <v>2</v>
      </c>
      <c r="X2012" s="256">
        <f t="shared" ca="1" si="668"/>
        <v>1</v>
      </c>
      <c r="Y2012" s="336"/>
      <c r="Z2012" s="336"/>
    </row>
    <row r="2013" spans="1:29" s="337" customFormat="1" ht="15.75" hidden="1" x14ac:dyDescent="0.2">
      <c r="A2013" s="288"/>
      <c r="B2013" s="296"/>
      <c r="C2013" s="297"/>
      <c r="D2013" s="298"/>
      <c r="E2013" s="299"/>
      <c r="F2013" s="300"/>
      <c r="G2013" s="301"/>
      <c r="H2013" s="302"/>
      <c r="I2013" s="303"/>
      <c r="J2013" s="304"/>
      <c r="K2013" s="304"/>
      <c r="L2013" s="304"/>
      <c r="M2013" s="304"/>
      <c r="N2013" s="304"/>
      <c r="O2013" s="304"/>
      <c r="P2013" s="306"/>
      <c r="Q2013" s="304"/>
      <c r="R2013" s="307"/>
      <c r="S2013" s="304"/>
      <c r="T2013" s="309"/>
      <c r="U2013" s="310"/>
      <c r="V2013" s="291">
        <f t="shared" ca="1" si="674"/>
        <v>0</v>
      </c>
      <c r="W2013" s="256">
        <f t="shared" ca="1" si="654"/>
        <v>0</v>
      </c>
      <c r="X2013" s="256">
        <f t="shared" ca="1" si="668"/>
        <v>1</v>
      </c>
      <c r="Y2013" s="336"/>
      <c r="Z2013" s="336"/>
    </row>
    <row r="2014" spans="1:29" s="111" customFormat="1" ht="15.75" hidden="1" x14ac:dyDescent="0.2">
      <c r="A2014" s="288"/>
      <c r="B2014" s="311"/>
      <c r="C2014" s="312"/>
      <c r="D2014" s="313"/>
      <c r="E2014" s="314"/>
      <c r="F2014" s="315"/>
      <c r="G2014" s="380"/>
      <c r="H2014" s="316"/>
      <c r="I2014" s="381"/>
      <c r="J2014" s="317"/>
      <c r="K2014" s="313"/>
      <c r="L2014" s="317"/>
      <c r="M2014" s="315"/>
      <c r="N2014" s="314"/>
      <c r="O2014" s="313"/>
      <c r="P2014" s="318"/>
      <c r="Q2014" s="315"/>
      <c r="R2014" s="319"/>
      <c r="S2014" s="317"/>
      <c r="T2014" s="320"/>
      <c r="U2014" s="321"/>
      <c r="V2014" s="291">
        <f t="shared" ca="1" si="674"/>
        <v>0</v>
      </c>
      <c r="W2014" s="256">
        <f t="shared" ca="1" si="654"/>
        <v>0</v>
      </c>
      <c r="X2014" s="256">
        <f t="shared" ca="1" si="668"/>
        <v>1</v>
      </c>
      <c r="Y2014" s="250"/>
      <c r="Z2014" s="250"/>
    </row>
    <row r="2015" spans="1:29" s="111" customFormat="1" ht="15" hidden="1" x14ac:dyDescent="0.2">
      <c r="A2015" s="288"/>
      <c r="B2015" s="322"/>
      <c r="C2015" s="382"/>
      <c r="D2015" s="324"/>
      <c r="E2015" s="325"/>
      <c r="F2015" s="326"/>
      <c r="G2015" s="324"/>
      <c r="H2015" s="325"/>
      <c r="I2015" s="326"/>
      <c r="J2015" s="317"/>
      <c r="K2015" s="328"/>
      <c r="L2015" s="328"/>
      <c r="M2015" s="328"/>
      <c r="N2015" s="328"/>
      <c r="O2015" s="334"/>
      <c r="P2015" s="328"/>
      <c r="Q2015" s="334"/>
      <c r="R2015" s="333"/>
      <c r="S2015" s="331"/>
      <c r="T2015" s="320"/>
      <c r="U2015" s="335"/>
      <c r="V2015" s="291">
        <f t="shared" ca="1" si="674"/>
        <v>0</v>
      </c>
      <c r="W2015" s="256">
        <f t="shared" ca="1" si="654"/>
        <v>0</v>
      </c>
      <c r="X2015" s="256">
        <f t="shared" ca="1" si="668"/>
        <v>1</v>
      </c>
      <c r="Y2015" s="250"/>
      <c r="Z2015" s="250"/>
    </row>
    <row r="2016" spans="1:29" s="111" customFormat="1" ht="15" hidden="1" x14ac:dyDescent="0.2">
      <c r="A2016" s="288"/>
      <c r="B2016" s="338"/>
      <c r="C2016" s="339"/>
      <c r="D2016" s="340"/>
      <c r="E2016" s="341"/>
      <c r="F2016" s="342"/>
      <c r="G2016" s="340"/>
      <c r="H2016" s="341"/>
      <c r="I2016" s="342"/>
      <c r="J2016" s="343"/>
      <c r="K2016" s="344"/>
      <c r="L2016" s="345"/>
      <c r="M2016" s="346"/>
      <c r="N2016" s="347"/>
      <c r="O2016" s="348"/>
      <c r="P2016" s="345"/>
      <c r="Q2016" s="349"/>
      <c r="R2016" s="350"/>
      <c r="S2016" s="351"/>
      <c r="T2016" s="352"/>
      <c r="U2016" s="353"/>
      <c r="V2016" s="291">
        <f t="shared" ca="1" si="674"/>
        <v>0</v>
      </c>
      <c r="W2016" s="256">
        <f t="shared" ca="1" si="654"/>
        <v>0</v>
      </c>
      <c r="X2016" s="256">
        <f t="shared" ca="1" si="668"/>
        <v>1</v>
      </c>
      <c r="Y2016" s="250"/>
      <c r="Z2016" s="250"/>
    </row>
    <row r="2017" spans="1:29" s="111" customFormat="1" ht="15.75" hidden="1" customHeight="1" x14ac:dyDescent="0.2">
      <c r="A2017" s="288"/>
      <c r="B2017" s="354"/>
      <c r="C2017" s="355"/>
      <c r="D2017" s="1354" t="s">
        <v>492</v>
      </c>
      <c r="E2017" s="1355"/>
      <c r="F2017" s="1355"/>
      <c r="G2017" s="1355"/>
      <c r="H2017" s="1355"/>
      <c r="I2017" s="1356"/>
      <c r="J2017" s="1357">
        <f>VLOOKUP(A2019,'11 - FINANCEIRO'!_xlnm.Print_Area,6,FALSE)</f>
        <v>18</v>
      </c>
      <c r="K2017" s="1358"/>
      <c r="L2017" s="356" t="str">
        <f>VLOOKUP(A2019,'11 - FINANCEIRO'!_xlnm.Print_Area,4,FALSE)</f>
        <v>m</v>
      </c>
      <c r="M2017" s="1359" t="s">
        <v>493</v>
      </c>
      <c r="N2017" s="1360"/>
      <c r="O2017" s="1360"/>
      <c r="P2017" s="1360"/>
      <c r="Q2017" s="1361"/>
      <c r="R2017" s="357">
        <f>TRUNC(SUM(R2013:R2016),3)</f>
        <v>0</v>
      </c>
      <c r="S2017" s="358" t="str">
        <f>L2017</f>
        <v>m</v>
      </c>
      <c r="T2017" s="359"/>
      <c r="U2017" s="360"/>
      <c r="V2017" s="291">
        <f t="shared" ca="1" si="674"/>
        <v>0</v>
      </c>
      <c r="W2017" s="256">
        <f t="shared" ca="1" si="654"/>
        <v>2</v>
      </c>
      <c r="X2017" s="256">
        <f t="shared" ca="1" si="668"/>
        <v>1</v>
      </c>
      <c r="Y2017" s="250"/>
      <c r="Z2017" s="250"/>
    </row>
    <row r="2018" spans="1:29" s="293" customFormat="1" ht="15.75" hidden="1" customHeight="1" x14ac:dyDescent="0.2">
      <c r="A2018" s="288"/>
      <c r="B2018" s="354"/>
      <c r="C2018" s="361"/>
      <c r="D2018" s="1362" t="s">
        <v>494</v>
      </c>
      <c r="E2018" s="1363"/>
      <c r="F2018" s="1363"/>
      <c r="G2018" s="1363"/>
      <c r="H2018" s="1363"/>
      <c r="I2018" s="1364"/>
      <c r="J2018" s="1365">
        <f>R2017/J2017</f>
        <v>0</v>
      </c>
      <c r="K2018" s="1366"/>
      <c r="L2018" s="1369"/>
      <c r="M2018" s="1371" t="s">
        <v>495</v>
      </c>
      <c r="N2018" s="1372"/>
      <c r="O2018" s="1372"/>
      <c r="P2018" s="1372"/>
      <c r="Q2018" s="1373"/>
      <c r="R2018" s="362">
        <f>VLOOKUP(A2019,'11 - FINANCEIRO'!_xlnm.Print_Area,8,FALSE)</f>
        <v>0</v>
      </c>
      <c r="S2018" s="363" t="str">
        <f>L2017</f>
        <v>m</v>
      </c>
      <c r="T2018" s="359"/>
      <c r="U2018" s="360"/>
      <c r="V2018" s="291">
        <f t="shared" ca="1" si="674"/>
        <v>0</v>
      </c>
      <c r="W2018" s="256">
        <f t="shared" ca="1" si="654"/>
        <v>2</v>
      </c>
      <c r="X2018" s="256">
        <f t="shared" ca="1" si="668"/>
        <v>1</v>
      </c>
      <c r="Y2018" s="256"/>
      <c r="Z2018" s="256"/>
      <c r="AA2018" s="292"/>
      <c r="AB2018" s="292"/>
      <c r="AC2018" s="292"/>
    </row>
    <row r="2019" spans="1:29" s="293" customFormat="1" ht="15.75" hidden="1" customHeight="1" x14ac:dyDescent="0.2">
      <c r="A2019" s="288" t="s">
        <v>68</v>
      </c>
      <c r="B2019" s="364"/>
      <c r="C2019" s="365"/>
      <c r="D2019" s="1354"/>
      <c r="E2019" s="1355"/>
      <c r="F2019" s="1355"/>
      <c r="G2019" s="1355"/>
      <c r="H2019" s="1355"/>
      <c r="I2019" s="1356"/>
      <c r="J2019" s="1367"/>
      <c r="K2019" s="1368"/>
      <c r="L2019" s="1370"/>
      <c r="M2019" s="1371" t="s">
        <v>496</v>
      </c>
      <c r="N2019" s="1372"/>
      <c r="O2019" s="1372"/>
      <c r="P2019" s="1372"/>
      <c r="Q2019" s="1373"/>
      <c r="R2019" s="362">
        <f>R2017-R2018</f>
        <v>0</v>
      </c>
      <c r="S2019" s="363" t="str">
        <f>L2017</f>
        <v>m</v>
      </c>
      <c r="T2019" s="366"/>
      <c r="U2019" s="367"/>
      <c r="V2019" s="291">
        <f t="shared" ca="1" si="674"/>
        <v>0</v>
      </c>
      <c r="W2019" s="256">
        <f t="shared" ca="1" si="654"/>
        <v>2</v>
      </c>
      <c r="X2019" s="256">
        <f t="shared" ca="1" si="668"/>
        <v>1</v>
      </c>
      <c r="Y2019" s="256"/>
      <c r="Z2019" s="256"/>
      <c r="AA2019" s="292"/>
      <c r="AB2019" s="292"/>
      <c r="AC2019" s="292"/>
    </row>
    <row r="2020" spans="1:29" s="111" customFormat="1" ht="15.75" hidden="1" x14ac:dyDescent="0.2">
      <c r="A2020" s="288"/>
      <c r="B2020" s="368"/>
      <c r="C2020" s="365"/>
      <c r="D2020" s="369"/>
      <c r="E2020" s="370"/>
      <c r="F2020" s="369"/>
      <c r="G2020" s="369"/>
      <c r="H2020" s="369"/>
      <c r="I2020" s="369"/>
      <c r="J2020" s="371"/>
      <c r="K2020" s="372"/>
      <c r="L2020" s="373"/>
      <c r="M2020" s="374"/>
      <c r="N2020" s="374"/>
      <c r="O2020" s="374"/>
      <c r="P2020" s="374"/>
      <c r="Q2020" s="374"/>
      <c r="R2020" s="375"/>
      <c r="S2020" s="376"/>
      <c r="T2020" s="377"/>
      <c r="U2020" s="378"/>
      <c r="V2020" s="379">
        <f ca="1">SUM(V2011:V2019)</f>
        <v>0</v>
      </c>
      <c r="W2020" s="256">
        <f t="shared" ca="1" si="654"/>
        <v>1</v>
      </c>
      <c r="X2020" s="256">
        <f t="shared" ca="1" si="668"/>
        <v>0</v>
      </c>
      <c r="Y2020" s="250"/>
      <c r="Z2020" s="250"/>
    </row>
    <row r="2021" spans="1:29" s="293" customFormat="1" ht="15.75" hidden="1" x14ac:dyDescent="0.25">
      <c r="A2021" s="288"/>
      <c r="B2021" s="1374" t="str">
        <f>VLOOKUP(A2036,'11 - FINANCEIRO'!_xlnm.Print_Area,1,FALSE)</f>
        <v>2.4.18</v>
      </c>
      <c r="C2021" s="1376" t="str">
        <f>VLOOKUP(A2036,'11 - FINANCEIRO'!_xlnm.Print_Area,3,FALSE)</f>
        <v>Demolição Manual De Construções Provisórias De Madeira - Sem Reaproveitamento</v>
      </c>
      <c r="D2021" s="1378" t="s">
        <v>477</v>
      </c>
      <c r="E2021" s="1379"/>
      <c r="F2021" s="1379"/>
      <c r="G2021" s="1379"/>
      <c r="H2021" s="1379"/>
      <c r="I2021" s="1380"/>
      <c r="J2021" s="1338" t="s">
        <v>478</v>
      </c>
      <c r="K2021" s="1338" t="s">
        <v>479</v>
      </c>
      <c r="L2021" s="1338" t="s">
        <v>480</v>
      </c>
      <c r="M2021" s="1338" t="s">
        <v>481</v>
      </c>
      <c r="N2021" s="1338" t="s">
        <v>482</v>
      </c>
      <c r="O2021" s="1338" t="s">
        <v>483</v>
      </c>
      <c r="P2021" s="290" t="s">
        <v>484</v>
      </c>
      <c r="Q2021" s="1338" t="s">
        <v>485</v>
      </c>
      <c r="R2021" s="1336" t="s">
        <v>296</v>
      </c>
      <c r="S2021" s="1338" t="s">
        <v>486</v>
      </c>
      <c r="T2021" s="1338" t="s">
        <v>487</v>
      </c>
      <c r="U2021" s="1340" t="s">
        <v>488</v>
      </c>
      <c r="V2021" s="291">
        <f t="shared" ref="V2021:V2036" ca="1" si="675">IF(OFFSET(V2021,1,1)=1,OFFSET(V2021,0,-4),OFFSET(V2021,1,0))</f>
        <v>0</v>
      </c>
      <c r="W2021" s="256">
        <f t="shared" ca="1" si="654"/>
        <v>2</v>
      </c>
      <c r="X2021" s="256">
        <f t="shared" ca="1" si="668"/>
        <v>1</v>
      </c>
      <c r="Y2021" s="256"/>
      <c r="Z2021" s="256"/>
      <c r="AA2021" s="292"/>
      <c r="AB2021" s="292"/>
      <c r="AC2021" s="292"/>
    </row>
    <row r="2022" spans="1:29" s="337" customFormat="1" ht="15.75" hidden="1" x14ac:dyDescent="0.2">
      <c r="A2022" s="288"/>
      <c r="B2022" s="1375" t="e">
        <f>LEFT(#REF!,5)</f>
        <v>#REF!</v>
      </c>
      <c r="C2022" s="1377" t="e">
        <f>VLOOKUP(LEFT(#REF!,5),'11 - FINANCEIRO'!_xlnm.Print_Area,2,FALSE)</f>
        <v>#REF!</v>
      </c>
      <c r="D2022" s="1342" t="s">
        <v>489</v>
      </c>
      <c r="E2022" s="1343"/>
      <c r="F2022" s="1344"/>
      <c r="G2022" s="1345" t="s">
        <v>490</v>
      </c>
      <c r="H2022" s="1346"/>
      <c r="I2022" s="1347"/>
      <c r="J2022" s="1339"/>
      <c r="K2022" s="1339"/>
      <c r="L2022" s="1339"/>
      <c r="M2022" s="1339"/>
      <c r="N2022" s="1339"/>
      <c r="O2022" s="1339"/>
      <c r="P2022" s="295" t="s">
        <v>491</v>
      </c>
      <c r="Q2022" s="1339"/>
      <c r="R2022" s="1337"/>
      <c r="S2022" s="1339"/>
      <c r="T2022" s="1339"/>
      <c r="U2022" s="1341"/>
      <c r="V2022" s="291">
        <f t="shared" ca="1" si="675"/>
        <v>0</v>
      </c>
      <c r="W2022" s="256">
        <f t="shared" ca="1" si="654"/>
        <v>2</v>
      </c>
      <c r="X2022" s="256">
        <f t="shared" ca="1" si="668"/>
        <v>1</v>
      </c>
      <c r="Y2022" s="336"/>
      <c r="Z2022" s="336"/>
    </row>
    <row r="2023" spans="1:29" s="337" customFormat="1" ht="25.5" hidden="1" customHeight="1" x14ac:dyDescent="0.2">
      <c r="A2023" s="288"/>
      <c r="B2023" s="296"/>
      <c r="C2023" s="297" t="s">
        <v>622</v>
      </c>
      <c r="D2023" s="412">
        <v>6</v>
      </c>
      <c r="E2023" s="299" t="s">
        <v>518</v>
      </c>
      <c r="F2023" s="413">
        <v>10</v>
      </c>
      <c r="G2023" s="414"/>
      <c r="H2023" s="302"/>
      <c r="I2023" s="415"/>
      <c r="J2023" s="304"/>
      <c r="K2023" s="416">
        <v>10</v>
      </c>
      <c r="L2023" s="416">
        <v>2</v>
      </c>
      <c r="M2023" s="304"/>
      <c r="N2023" s="304"/>
      <c r="O2023" s="304"/>
      <c r="P2023" s="306"/>
      <c r="Q2023" s="304"/>
      <c r="R2023" s="307">
        <f t="shared" ref="R2023:R2029" si="676">K2023*L2023</f>
        <v>20</v>
      </c>
      <c r="S2023" s="308" t="str">
        <f>S2034</f>
        <v>m²</v>
      </c>
      <c r="T2023" s="309">
        <v>2</v>
      </c>
      <c r="U2023" s="534" t="s">
        <v>623</v>
      </c>
      <c r="V2023" s="291">
        <f t="shared" ca="1" si="675"/>
        <v>0</v>
      </c>
      <c r="W2023" s="256">
        <f t="shared" ca="1" si="654"/>
        <v>2</v>
      </c>
      <c r="X2023" s="256">
        <f t="shared" ca="1" si="668"/>
        <v>1</v>
      </c>
      <c r="Y2023" s="336"/>
      <c r="Z2023" s="336"/>
    </row>
    <row r="2024" spans="1:29" s="111" customFormat="1" ht="25.5" hidden="1" x14ac:dyDescent="0.2">
      <c r="A2024" s="288"/>
      <c r="B2024" s="311"/>
      <c r="C2024" s="312" t="s">
        <v>622</v>
      </c>
      <c r="D2024" s="417">
        <v>10</v>
      </c>
      <c r="E2024" s="314" t="s">
        <v>518</v>
      </c>
      <c r="F2024" s="418">
        <v>0</v>
      </c>
      <c r="G2024" s="419"/>
      <c r="H2024" s="316"/>
      <c r="I2024" s="420"/>
      <c r="J2024" s="317"/>
      <c r="K2024" s="421">
        <v>12</v>
      </c>
      <c r="L2024" s="433">
        <v>2</v>
      </c>
      <c r="M2024" s="315"/>
      <c r="N2024" s="314"/>
      <c r="O2024" s="313"/>
      <c r="P2024" s="318"/>
      <c r="Q2024" s="315"/>
      <c r="R2024" s="319">
        <f t="shared" si="676"/>
        <v>24</v>
      </c>
      <c r="S2024" s="398" t="str">
        <f>S2034</f>
        <v>m²</v>
      </c>
      <c r="T2024" s="320">
        <v>3</v>
      </c>
      <c r="U2024" s="424" t="s">
        <v>623</v>
      </c>
      <c r="V2024" s="291">
        <f t="shared" ca="1" si="675"/>
        <v>0</v>
      </c>
      <c r="W2024" s="256">
        <f t="shared" ca="1" si="654"/>
        <v>2</v>
      </c>
      <c r="X2024" s="256">
        <f t="shared" ca="1" si="668"/>
        <v>1</v>
      </c>
      <c r="Y2024" s="250"/>
      <c r="Z2024" s="250"/>
    </row>
    <row r="2025" spans="1:29" s="111" customFormat="1" ht="25.5" hidden="1" x14ac:dyDescent="0.2">
      <c r="A2025" s="288"/>
      <c r="B2025" s="311"/>
      <c r="C2025" s="312" t="s">
        <v>622</v>
      </c>
      <c r="D2025" s="417">
        <v>20</v>
      </c>
      <c r="E2025" s="314" t="s">
        <v>518</v>
      </c>
      <c r="F2025" s="418">
        <v>10</v>
      </c>
      <c r="G2025" s="419"/>
      <c r="H2025" s="316"/>
      <c r="I2025" s="420"/>
      <c r="J2025" s="317"/>
      <c r="K2025" s="421">
        <v>15.1</v>
      </c>
      <c r="L2025" s="433">
        <v>1.65</v>
      </c>
      <c r="M2025" s="315"/>
      <c r="N2025" s="314"/>
      <c r="O2025" s="313"/>
      <c r="P2025" s="318"/>
      <c r="Q2025" s="315"/>
      <c r="R2025" s="319">
        <f t="shared" si="676"/>
        <v>24.914999999999999</v>
      </c>
      <c r="S2025" s="398" t="str">
        <f>S2035</f>
        <v>m²</v>
      </c>
      <c r="T2025" s="320">
        <v>10</v>
      </c>
      <c r="U2025" s="424" t="s">
        <v>623</v>
      </c>
      <c r="V2025" s="291">
        <f t="shared" ca="1" si="675"/>
        <v>0</v>
      </c>
      <c r="W2025" s="256">
        <f t="shared" ca="1" si="654"/>
        <v>2</v>
      </c>
      <c r="X2025" s="256">
        <f t="shared" ca="1" si="668"/>
        <v>1</v>
      </c>
      <c r="Y2025" s="250"/>
      <c r="Z2025" s="250"/>
    </row>
    <row r="2026" spans="1:29" s="111" customFormat="1" ht="15.75" hidden="1" x14ac:dyDescent="0.2">
      <c r="A2026" s="288"/>
      <c r="B2026" s="311"/>
      <c r="C2026" s="312" t="s">
        <v>622</v>
      </c>
      <c r="D2026" s="417">
        <v>92</v>
      </c>
      <c r="E2026" s="314" t="s">
        <v>518</v>
      </c>
      <c r="F2026" s="418">
        <v>0</v>
      </c>
      <c r="G2026" s="419"/>
      <c r="H2026" s="316"/>
      <c r="I2026" s="420"/>
      <c r="J2026" s="317"/>
      <c r="K2026" s="421">
        <f>2+14+2</f>
        <v>18</v>
      </c>
      <c r="L2026" s="433">
        <v>2</v>
      </c>
      <c r="M2026" s="315"/>
      <c r="N2026" s="314"/>
      <c r="O2026" s="313"/>
      <c r="P2026" s="318"/>
      <c r="Q2026" s="315"/>
      <c r="R2026" s="319">
        <f t="shared" si="676"/>
        <v>36</v>
      </c>
      <c r="S2026" s="398" t="str">
        <f>S2036</f>
        <v>m²</v>
      </c>
      <c r="T2026" s="320">
        <v>21</v>
      </c>
      <c r="U2026" s="424" t="s">
        <v>933</v>
      </c>
      <c r="V2026" s="291">
        <f t="shared" ca="1" si="675"/>
        <v>0</v>
      </c>
      <c r="W2026" s="256">
        <f ca="1">IF(LEFT(_xlfn.FORMULATEXT(V2026),3)="=SO",1,IF(COUNTA(A2026:U2026)=0,0,2))</f>
        <v>2</v>
      </c>
      <c r="X2026" s="256">
        <f ca="1">IF(COUNTA(OFFSET(A2025,1,0))-COUNTA(A2025)=-1,0,1)</f>
        <v>1</v>
      </c>
      <c r="Y2026" s="250"/>
      <c r="Z2026" s="250"/>
    </row>
    <row r="2027" spans="1:29" s="111" customFormat="1" ht="15.75" hidden="1" x14ac:dyDescent="0.2">
      <c r="A2027" s="288"/>
      <c r="B2027" s="311"/>
      <c r="C2027" s="312" t="s">
        <v>622</v>
      </c>
      <c r="D2027" s="417">
        <v>72</v>
      </c>
      <c r="E2027" s="314" t="s">
        <v>518</v>
      </c>
      <c r="F2027" s="418">
        <v>8</v>
      </c>
      <c r="G2027" s="419"/>
      <c r="H2027" s="316"/>
      <c r="I2027" s="420"/>
      <c r="J2027" s="317"/>
      <c r="K2027" s="421">
        <v>16</v>
      </c>
      <c r="L2027" s="433">
        <v>2</v>
      </c>
      <c r="M2027" s="315"/>
      <c r="N2027" s="314"/>
      <c r="O2027" s="313"/>
      <c r="P2027" s="318"/>
      <c r="Q2027" s="315"/>
      <c r="R2027" s="319">
        <f t="shared" si="676"/>
        <v>32</v>
      </c>
      <c r="S2027" s="398" t="s">
        <v>308</v>
      </c>
      <c r="T2027" s="320">
        <v>33</v>
      </c>
      <c r="U2027" s="424" t="s">
        <v>933</v>
      </c>
      <c r="V2027" s="291">
        <f t="shared" ca="1" si="675"/>
        <v>0</v>
      </c>
      <c r="W2027" s="256">
        <f ca="1">IF(LEFT(_xlfn.FORMULATEXT(V2027),3)="=SO",1,IF(COUNTA(A2027:U2027)=0,0,2))</f>
        <v>2</v>
      </c>
      <c r="X2027" s="256">
        <f ca="1">IF(COUNTA(OFFSET(A2026,1,0))-COUNTA(A2026)=-1,0,1)</f>
        <v>1</v>
      </c>
      <c r="Y2027" s="250"/>
      <c r="Z2027" s="250"/>
    </row>
    <row r="2028" spans="1:29" s="111" customFormat="1" ht="15.75" hidden="1" x14ac:dyDescent="0.2">
      <c r="A2028" s="288"/>
      <c r="B2028" s="311"/>
      <c r="C2028" s="312" t="s">
        <v>1095</v>
      </c>
      <c r="D2028" s="417">
        <v>0</v>
      </c>
      <c r="E2028" s="314" t="s">
        <v>518</v>
      </c>
      <c r="F2028" s="418">
        <v>0</v>
      </c>
      <c r="G2028" s="419"/>
      <c r="H2028" s="316"/>
      <c r="I2028" s="420"/>
      <c r="J2028" s="317"/>
      <c r="K2028" s="421">
        <f>5+12+4</f>
        <v>21</v>
      </c>
      <c r="L2028" s="433">
        <v>2.5</v>
      </c>
      <c r="M2028" s="315"/>
      <c r="N2028" s="314"/>
      <c r="O2028" s="313"/>
      <c r="P2028" s="318"/>
      <c r="Q2028" s="315"/>
      <c r="R2028" s="319">
        <f t="shared" si="676"/>
        <v>52.5</v>
      </c>
      <c r="S2028" s="398" t="s">
        <v>308</v>
      </c>
      <c r="T2028" s="320">
        <v>33</v>
      </c>
      <c r="U2028" s="424" t="s">
        <v>933</v>
      </c>
      <c r="V2028" s="291">
        <f t="shared" ca="1" si="675"/>
        <v>0</v>
      </c>
      <c r="W2028" s="256">
        <f ca="1">IF(LEFT(_xlfn.FORMULATEXT(V2028),3)="=SO",1,IF(COUNTA(A2028:U2028)=0,0,2))</f>
        <v>2</v>
      </c>
      <c r="X2028" s="256">
        <f ca="1">IF(COUNTA(OFFSET(A2027,1,0))-COUNTA(A2027)=-1,0,1)</f>
        <v>1</v>
      </c>
      <c r="Y2028" s="250"/>
      <c r="Z2028" s="250"/>
    </row>
    <row r="2029" spans="1:29" s="111" customFormat="1" ht="15.75" hidden="1" x14ac:dyDescent="0.2">
      <c r="A2029" s="288"/>
      <c r="B2029" s="562"/>
      <c r="C2029" s="312" t="s">
        <v>1095</v>
      </c>
      <c r="D2029" s="551"/>
      <c r="E2029" s="552"/>
      <c r="F2029" s="553"/>
      <c r="G2029" s="496"/>
      <c r="H2029" s="497"/>
      <c r="I2029" s="498"/>
      <c r="J2029" s="560"/>
      <c r="K2029" s="500">
        <f>14+4+4</f>
        <v>22</v>
      </c>
      <c r="L2029" s="508">
        <v>3.5</v>
      </c>
      <c r="M2029" s="752"/>
      <c r="N2029" s="552"/>
      <c r="O2029" s="738"/>
      <c r="P2029" s="565"/>
      <c r="Q2029" s="752"/>
      <c r="R2029" s="558">
        <f t="shared" si="676"/>
        <v>77</v>
      </c>
      <c r="S2029" s="398" t="s">
        <v>308</v>
      </c>
      <c r="T2029" s="506">
        <v>33</v>
      </c>
      <c r="U2029" s="507"/>
      <c r="V2029" s="291">
        <f t="shared" ca="1" si="675"/>
        <v>0</v>
      </c>
      <c r="W2029" s="256">
        <f t="shared" ref="W2029:W2035" ca="1" si="677">IF(LEFT(_xlfn.FORMULATEXT(V2029),3)="=SO",1,IF(COUNTA(A2029:U2029)=0,0,2))</f>
        <v>2</v>
      </c>
      <c r="X2029" s="256">
        <f t="shared" ref="X2029:X2035" ca="1" si="678">IF(COUNTA(OFFSET(A2028,1,0))-COUNTA(A2028)=-1,0,1)</f>
        <v>1</v>
      </c>
      <c r="Y2029" s="250"/>
      <c r="Z2029" s="250"/>
    </row>
    <row r="2030" spans="1:29" s="111" customFormat="1" ht="15.75" hidden="1" x14ac:dyDescent="0.2">
      <c r="A2030" s="288"/>
      <c r="B2030" s="562"/>
      <c r="C2030" s="312" t="s">
        <v>622</v>
      </c>
      <c r="D2030" s="551"/>
      <c r="E2030" s="552"/>
      <c r="F2030" s="553"/>
      <c r="G2030" s="496"/>
      <c r="H2030" s="497"/>
      <c r="I2030" s="498"/>
      <c r="J2030" s="560"/>
      <c r="K2030" s="500"/>
      <c r="L2030" s="508"/>
      <c r="M2030" s="752"/>
      <c r="N2030" s="552"/>
      <c r="O2030" s="738"/>
      <c r="P2030" s="565"/>
      <c r="Q2030" s="752"/>
      <c r="R2030" s="558">
        <v>5.585</v>
      </c>
      <c r="S2030" s="398" t="str">
        <f>$L$2034</f>
        <v>m²</v>
      </c>
      <c r="T2030" s="506">
        <v>36</v>
      </c>
      <c r="U2030" s="507"/>
      <c r="V2030" s="291">
        <f t="shared" ca="1" si="675"/>
        <v>0</v>
      </c>
      <c r="W2030" s="256">
        <f t="shared" ca="1" si="677"/>
        <v>2</v>
      </c>
      <c r="X2030" s="256">
        <f t="shared" ca="1" si="678"/>
        <v>1</v>
      </c>
      <c r="Y2030" s="250"/>
      <c r="Z2030" s="250"/>
    </row>
    <row r="2031" spans="1:29" s="111" customFormat="1" ht="15.75" hidden="1" x14ac:dyDescent="0.2">
      <c r="A2031" s="288"/>
      <c r="B2031" s="562"/>
      <c r="C2031" s="495"/>
      <c r="D2031" s="551"/>
      <c r="E2031" s="552"/>
      <c r="F2031" s="553"/>
      <c r="G2031" s="496"/>
      <c r="H2031" s="497"/>
      <c r="I2031" s="498"/>
      <c r="J2031" s="560"/>
      <c r="K2031" s="500"/>
      <c r="L2031" s="508"/>
      <c r="M2031" s="752"/>
      <c r="N2031" s="552"/>
      <c r="O2031" s="738"/>
      <c r="P2031" s="565"/>
      <c r="Q2031" s="752"/>
      <c r="R2031" s="558"/>
      <c r="S2031" s="554"/>
      <c r="T2031" s="506"/>
      <c r="U2031" s="507"/>
      <c r="V2031" s="291">
        <f t="shared" ca="1" si="675"/>
        <v>0</v>
      </c>
      <c r="W2031" s="256">
        <f t="shared" ca="1" si="677"/>
        <v>0</v>
      </c>
      <c r="X2031" s="256">
        <f t="shared" ca="1" si="678"/>
        <v>1</v>
      </c>
      <c r="Y2031" s="250"/>
      <c r="Z2031" s="250"/>
    </row>
    <row r="2032" spans="1:29" s="111" customFormat="1" ht="15.75" hidden="1" x14ac:dyDescent="0.2">
      <c r="A2032" s="288"/>
      <c r="B2032" s="562"/>
      <c r="C2032" s="495"/>
      <c r="D2032" s="551"/>
      <c r="E2032" s="552"/>
      <c r="F2032" s="553"/>
      <c r="G2032" s="496"/>
      <c r="H2032" s="497"/>
      <c r="I2032" s="498"/>
      <c r="J2032" s="560"/>
      <c r="K2032" s="500"/>
      <c r="L2032" s="508"/>
      <c r="M2032" s="752"/>
      <c r="N2032" s="552"/>
      <c r="O2032" s="738"/>
      <c r="P2032" s="565"/>
      <c r="Q2032" s="752"/>
      <c r="R2032" s="558"/>
      <c r="S2032" s="554"/>
      <c r="T2032" s="506"/>
      <c r="U2032" s="507"/>
      <c r="V2032" s="291">
        <f t="shared" ca="1" si="675"/>
        <v>0</v>
      </c>
      <c r="W2032" s="256">
        <f t="shared" ca="1" si="677"/>
        <v>0</v>
      </c>
      <c r="X2032" s="256">
        <f t="shared" ca="1" si="678"/>
        <v>1</v>
      </c>
      <c r="Y2032" s="250"/>
      <c r="Z2032" s="1046">
        <f>J2034-R2034</f>
        <v>0</v>
      </c>
    </row>
    <row r="2033" spans="1:29" s="111" customFormat="1" ht="15" hidden="1" x14ac:dyDescent="0.2">
      <c r="A2033" s="288"/>
      <c r="B2033" s="338"/>
      <c r="C2033" s="339"/>
      <c r="D2033" s="340"/>
      <c r="E2033" s="341"/>
      <c r="F2033" s="342"/>
      <c r="G2033" s="340"/>
      <c r="H2033" s="341"/>
      <c r="I2033" s="342"/>
      <c r="J2033" s="343"/>
      <c r="K2033" s="344"/>
      <c r="L2033" s="345"/>
      <c r="M2033" s="346"/>
      <c r="N2033" s="347"/>
      <c r="O2033" s="348"/>
      <c r="P2033" s="345"/>
      <c r="Q2033" s="349"/>
      <c r="R2033" s="350"/>
      <c r="S2033" s="351"/>
      <c r="T2033" s="352"/>
      <c r="U2033" s="353"/>
      <c r="V2033" s="291">
        <f t="shared" ca="1" si="675"/>
        <v>0</v>
      </c>
      <c r="W2033" s="256">
        <f t="shared" ca="1" si="677"/>
        <v>0</v>
      </c>
      <c r="X2033" s="256">
        <f t="shared" ca="1" si="678"/>
        <v>1</v>
      </c>
      <c r="Y2033" s="250"/>
      <c r="Z2033" s="250"/>
    </row>
    <row r="2034" spans="1:29" s="111" customFormat="1" ht="15.75" hidden="1" x14ac:dyDescent="0.2">
      <c r="A2034" s="288"/>
      <c r="B2034" s="354"/>
      <c r="C2034" s="355"/>
      <c r="D2034" s="1354" t="s">
        <v>492</v>
      </c>
      <c r="E2034" s="1355"/>
      <c r="F2034" s="1355"/>
      <c r="G2034" s="1355"/>
      <c r="H2034" s="1355"/>
      <c r="I2034" s="1356"/>
      <c r="J2034" s="1357">
        <f>VLOOKUP(A2036,'11 - FINANCEIRO'!_xlnm.Print_Area,6,FALSE)</f>
        <v>272</v>
      </c>
      <c r="K2034" s="1358"/>
      <c r="L2034" s="356" t="str">
        <f>VLOOKUP(A2036,'11 - FINANCEIRO'!_xlnm.Print_Area,4,FALSE)</f>
        <v>m²</v>
      </c>
      <c r="M2034" s="1359" t="s">
        <v>493</v>
      </c>
      <c r="N2034" s="1360"/>
      <c r="O2034" s="1360"/>
      <c r="P2034" s="1360"/>
      <c r="Q2034" s="1361"/>
      <c r="R2034" s="357">
        <f>TRUNC(SUM(R2023:R2033),3)</f>
        <v>272</v>
      </c>
      <c r="S2034" s="358" t="str">
        <f>L2034</f>
        <v>m²</v>
      </c>
      <c r="T2034" s="359"/>
      <c r="U2034" s="360"/>
      <c r="V2034" s="291">
        <f t="shared" ca="1" si="675"/>
        <v>0</v>
      </c>
      <c r="W2034" s="256">
        <f t="shared" ca="1" si="677"/>
        <v>2</v>
      </c>
      <c r="X2034" s="256">
        <f t="shared" ca="1" si="678"/>
        <v>1</v>
      </c>
      <c r="Y2034" s="250"/>
      <c r="Z2034" s="250"/>
    </row>
    <row r="2035" spans="1:29" s="395" customFormat="1" ht="15.75" hidden="1" x14ac:dyDescent="0.2">
      <c r="A2035" s="276"/>
      <c r="B2035" s="354"/>
      <c r="C2035" s="361"/>
      <c r="D2035" s="1362" t="s">
        <v>494</v>
      </c>
      <c r="E2035" s="1363"/>
      <c r="F2035" s="1363"/>
      <c r="G2035" s="1363"/>
      <c r="H2035" s="1363"/>
      <c r="I2035" s="1364"/>
      <c r="J2035" s="1365">
        <f>R2034/J2034</f>
        <v>1</v>
      </c>
      <c r="K2035" s="1366"/>
      <c r="L2035" s="1369"/>
      <c r="M2035" s="1371" t="s">
        <v>495</v>
      </c>
      <c r="N2035" s="1372"/>
      <c r="O2035" s="1372"/>
      <c r="P2035" s="1372"/>
      <c r="Q2035" s="1373"/>
      <c r="R2035" s="362">
        <f>VLOOKUP(A2036,'11 - FINANCEIRO'!_xlnm.Print_Area,8,FALSE)</f>
        <v>272</v>
      </c>
      <c r="S2035" s="363" t="str">
        <f>L2034</f>
        <v>m²</v>
      </c>
      <c r="T2035" s="359"/>
      <c r="U2035" s="360"/>
      <c r="V2035" s="291">
        <f t="shared" ca="1" si="675"/>
        <v>0</v>
      </c>
      <c r="W2035" s="256">
        <f t="shared" ca="1" si="677"/>
        <v>2</v>
      </c>
      <c r="X2035" s="256">
        <f t="shared" ca="1" si="678"/>
        <v>1</v>
      </c>
    </row>
    <row r="2036" spans="1:29" s="293" customFormat="1" ht="15.75" hidden="1" x14ac:dyDescent="0.2">
      <c r="A2036" s="288" t="s">
        <v>69</v>
      </c>
      <c r="B2036" s="364"/>
      <c r="C2036" s="365"/>
      <c r="D2036" s="1354"/>
      <c r="E2036" s="1355"/>
      <c r="F2036" s="1355"/>
      <c r="G2036" s="1355"/>
      <c r="H2036" s="1355"/>
      <c r="I2036" s="1356"/>
      <c r="J2036" s="1367"/>
      <c r="K2036" s="1368"/>
      <c r="L2036" s="1370"/>
      <c r="M2036" s="1371" t="s">
        <v>496</v>
      </c>
      <c r="N2036" s="1372"/>
      <c r="O2036" s="1372"/>
      <c r="P2036" s="1372"/>
      <c r="Q2036" s="1373"/>
      <c r="R2036" s="362">
        <f>R2034-R2035</f>
        <v>0</v>
      </c>
      <c r="S2036" s="363" t="str">
        <f>L2034</f>
        <v>m²</v>
      </c>
      <c r="T2036" s="366"/>
      <c r="U2036" s="367"/>
      <c r="V2036" s="291">
        <f t="shared" ca="1" si="675"/>
        <v>0</v>
      </c>
      <c r="W2036" s="256">
        <f t="shared" ref="W2036:W2099" ca="1" si="679">IF(LEFT(_xlfn.FORMULATEXT(V2036),3)="=SO",1,IF(COUNTA(A2036:U2036)=0,0,2))</f>
        <v>2</v>
      </c>
      <c r="X2036" s="256">
        <f t="shared" ca="1" si="668"/>
        <v>1</v>
      </c>
      <c r="Y2036" s="256"/>
      <c r="Z2036" s="256"/>
      <c r="AA2036" s="292"/>
      <c r="AB2036" s="292"/>
      <c r="AC2036" s="292"/>
    </row>
    <row r="2037" spans="1:29" s="111" customFormat="1" ht="15.75" hidden="1" x14ac:dyDescent="0.2">
      <c r="A2037" s="288"/>
      <c r="B2037" s="368"/>
      <c r="C2037" s="365"/>
      <c r="D2037" s="369"/>
      <c r="E2037" s="370"/>
      <c r="F2037" s="369"/>
      <c r="G2037" s="369"/>
      <c r="H2037" s="369"/>
      <c r="I2037" s="369"/>
      <c r="J2037" s="371"/>
      <c r="K2037" s="372"/>
      <c r="L2037" s="373"/>
      <c r="M2037" s="374"/>
      <c r="N2037" s="374"/>
      <c r="O2037" s="374"/>
      <c r="P2037" s="374"/>
      <c r="Q2037" s="374"/>
      <c r="R2037" s="375"/>
      <c r="S2037" s="376"/>
      <c r="T2037" s="377"/>
      <c r="U2037" s="378"/>
      <c r="V2037" s="379">
        <f ca="1">SUM(V2021:V2036)</f>
        <v>0</v>
      </c>
      <c r="W2037" s="256">
        <f t="shared" ca="1" si="679"/>
        <v>1</v>
      </c>
      <c r="X2037" s="256">
        <f t="shared" ca="1" si="668"/>
        <v>0</v>
      </c>
      <c r="Y2037" s="250"/>
      <c r="Z2037" s="250"/>
    </row>
    <row r="2038" spans="1:29" s="293" customFormat="1" ht="15.75" x14ac:dyDescent="0.2">
      <c r="A2038" s="288"/>
      <c r="B2038" s="385" t="str">
        <f>LEFT(A2046,5)</f>
        <v>2.5</v>
      </c>
      <c r="C2038" s="386" t="str">
        <f>VLOOKUP(LEFT(A2046,5),'11 - FINANCEIRO'!_xlnm.Print_Area,2,FALSE)</f>
        <v>Esgoto</v>
      </c>
      <c r="D2038" s="386"/>
      <c r="E2038" s="387"/>
      <c r="F2038" s="386"/>
      <c r="G2038" s="388"/>
      <c r="H2038" s="391"/>
      <c r="I2038" s="391"/>
      <c r="J2038" s="391"/>
      <c r="K2038" s="391"/>
      <c r="L2038" s="391"/>
      <c r="M2038" s="389"/>
      <c r="N2038" s="390"/>
      <c r="O2038" s="391"/>
      <c r="P2038" s="391"/>
      <c r="Q2038" s="391"/>
      <c r="R2038" s="597"/>
      <c r="S2038" s="598"/>
      <c r="T2038" s="599"/>
      <c r="U2038" s="600"/>
      <c r="V2038" s="549">
        <f ca="1">SUM(V2039:V2299)</f>
        <v>49632</v>
      </c>
      <c r="W2038" s="256">
        <f t="shared" ca="1" si="679"/>
        <v>1</v>
      </c>
      <c r="X2038" s="256">
        <f t="shared" ca="1" si="668"/>
        <v>1</v>
      </c>
      <c r="Y2038" s="256"/>
      <c r="Z2038" s="256"/>
      <c r="AA2038" s="292"/>
      <c r="AB2038" s="292"/>
      <c r="AC2038" s="292"/>
    </row>
    <row r="2039" spans="1:29" s="293" customFormat="1" ht="15.75" hidden="1" customHeight="1" x14ac:dyDescent="0.25">
      <c r="A2039" s="288"/>
      <c r="B2039" s="1374" t="str">
        <f>VLOOKUP(A2047,'11 - FINANCEIRO'!_xlnm.Print_Area,1,FALSE)</f>
        <v>2.5.1</v>
      </c>
      <c r="C2039" s="1376" t="str">
        <f>VLOOKUP(A2047,'11 - FINANCEIRO'!_xlnm.Print_Area,3,FALSE)</f>
        <v>(Composição Representativa) Poço De Visita Circular Para Esgoto, Em Concreto Pré-Moldado, Diâmetro Interno = 1,0 M, Profundidade De 1,50 A 2,00 M, Incluindo Tampão De Ferro Fundido, Diâmetro De 60 Cm. Af_04/2018</v>
      </c>
      <c r="D2039" s="1378" t="s">
        <v>477</v>
      </c>
      <c r="E2039" s="1379"/>
      <c r="F2039" s="1379"/>
      <c r="G2039" s="1379"/>
      <c r="H2039" s="1379"/>
      <c r="I2039" s="1380"/>
      <c r="J2039" s="1338" t="s">
        <v>478</v>
      </c>
      <c r="K2039" s="1338" t="s">
        <v>479</v>
      </c>
      <c r="L2039" s="1338" t="s">
        <v>480</v>
      </c>
      <c r="M2039" s="1338" t="s">
        <v>481</v>
      </c>
      <c r="N2039" s="1338" t="s">
        <v>482</v>
      </c>
      <c r="O2039" s="1338" t="s">
        <v>483</v>
      </c>
      <c r="P2039" s="290" t="s">
        <v>484</v>
      </c>
      <c r="Q2039" s="1338" t="s">
        <v>485</v>
      </c>
      <c r="R2039" s="1336" t="s">
        <v>296</v>
      </c>
      <c r="S2039" s="1338" t="s">
        <v>486</v>
      </c>
      <c r="T2039" s="1338" t="s">
        <v>487</v>
      </c>
      <c r="U2039" s="1340" t="s">
        <v>488</v>
      </c>
      <c r="V2039" s="291">
        <f t="shared" ref="V2039:V2047" ca="1" si="680">IF(OFFSET(V2039,1,1)=1,OFFSET(V2039,0,-4),OFFSET(V2039,1,0))</f>
        <v>0</v>
      </c>
      <c r="W2039" s="256">
        <f t="shared" ca="1" si="679"/>
        <v>2</v>
      </c>
      <c r="X2039" s="256">
        <f t="shared" ca="1" si="668"/>
        <v>1</v>
      </c>
      <c r="Y2039" s="256"/>
      <c r="Z2039" s="256"/>
      <c r="AA2039" s="292"/>
      <c r="AB2039" s="292"/>
      <c r="AC2039" s="292"/>
    </row>
    <row r="2040" spans="1:29" s="337" customFormat="1" ht="15.75" hidden="1" x14ac:dyDescent="0.2">
      <c r="A2040" s="288"/>
      <c r="B2040" s="1375" t="e">
        <f>LEFT(#REF!,5)</f>
        <v>#REF!</v>
      </c>
      <c r="C2040" s="1377" t="e">
        <f>VLOOKUP(LEFT(#REF!,5),'11 - FINANCEIRO'!_xlnm.Print_Area,2,FALSE)</f>
        <v>#REF!</v>
      </c>
      <c r="D2040" s="1342" t="s">
        <v>489</v>
      </c>
      <c r="E2040" s="1343"/>
      <c r="F2040" s="1344"/>
      <c r="G2040" s="1345" t="s">
        <v>490</v>
      </c>
      <c r="H2040" s="1346"/>
      <c r="I2040" s="1347"/>
      <c r="J2040" s="1339"/>
      <c r="K2040" s="1339"/>
      <c r="L2040" s="1339"/>
      <c r="M2040" s="1339"/>
      <c r="N2040" s="1339"/>
      <c r="O2040" s="1339"/>
      <c r="P2040" s="295" t="s">
        <v>491</v>
      </c>
      <c r="Q2040" s="1339"/>
      <c r="R2040" s="1337"/>
      <c r="S2040" s="1339"/>
      <c r="T2040" s="1339"/>
      <c r="U2040" s="1341"/>
      <c r="V2040" s="291">
        <f t="shared" ca="1" si="680"/>
        <v>0</v>
      </c>
      <c r="W2040" s="256">
        <f t="shared" ca="1" si="679"/>
        <v>2</v>
      </c>
      <c r="X2040" s="256">
        <f t="shared" ca="1" si="668"/>
        <v>1</v>
      </c>
      <c r="Y2040" s="336"/>
      <c r="Z2040" s="336"/>
    </row>
    <row r="2041" spans="1:29" s="337" customFormat="1" ht="15.75" hidden="1" x14ac:dyDescent="0.2">
      <c r="A2041" s="288"/>
      <c r="B2041" s="296"/>
      <c r="C2041" s="297" t="s">
        <v>1096</v>
      </c>
      <c r="D2041" s="419">
        <v>79</v>
      </c>
      <c r="E2041" s="316" t="s">
        <v>518</v>
      </c>
      <c r="F2041" s="420">
        <v>16</v>
      </c>
      <c r="G2041" s="419">
        <v>69</v>
      </c>
      <c r="H2041" s="316" t="s">
        <v>518</v>
      </c>
      <c r="I2041" s="420">
        <v>9</v>
      </c>
      <c r="J2041" s="560"/>
      <c r="K2041" s="433">
        <f>ABS((G2041*20+I2041)-(D2041*20+F2041))</f>
        <v>207</v>
      </c>
      <c r="L2041" s="304"/>
      <c r="M2041" s="304"/>
      <c r="N2041" s="304"/>
      <c r="O2041" s="304"/>
      <c r="P2041" s="306"/>
      <c r="Q2041" s="304"/>
      <c r="R2041" s="307">
        <v>1</v>
      </c>
      <c r="S2041" s="304"/>
      <c r="T2041" s="309">
        <v>33</v>
      </c>
      <c r="U2041" s="310"/>
      <c r="V2041" s="291">
        <f t="shared" ca="1" si="680"/>
        <v>0</v>
      </c>
      <c r="W2041" s="256">
        <f t="shared" ca="1" si="679"/>
        <v>2</v>
      </c>
      <c r="X2041" s="256">
        <f t="shared" ca="1" si="668"/>
        <v>1</v>
      </c>
      <c r="Y2041" s="336"/>
      <c r="Z2041" s="336"/>
    </row>
    <row r="2042" spans="1:29" s="111" customFormat="1" ht="15.75" hidden="1" x14ac:dyDescent="0.2">
      <c r="A2042" s="288"/>
      <c r="B2042" s="311"/>
      <c r="C2042" s="312"/>
      <c r="D2042" s="313"/>
      <c r="E2042" s="314"/>
      <c r="F2042" s="315"/>
      <c r="G2042" s="380"/>
      <c r="H2042" s="316"/>
      <c r="I2042" s="381"/>
      <c r="J2042" s="317"/>
      <c r="K2042" s="313"/>
      <c r="L2042" s="317"/>
      <c r="M2042" s="315"/>
      <c r="N2042" s="314"/>
      <c r="O2042" s="313"/>
      <c r="P2042" s="318"/>
      <c r="Q2042" s="315"/>
      <c r="R2042" s="319"/>
      <c r="S2042" s="317"/>
      <c r="T2042" s="320"/>
      <c r="U2042" s="321"/>
      <c r="V2042" s="291">
        <f t="shared" ca="1" si="680"/>
        <v>0</v>
      </c>
      <c r="W2042" s="256">
        <f t="shared" ca="1" si="679"/>
        <v>0</v>
      </c>
      <c r="X2042" s="256">
        <f t="shared" ca="1" si="668"/>
        <v>1</v>
      </c>
      <c r="Y2042" s="250"/>
      <c r="Z2042" s="250"/>
    </row>
    <row r="2043" spans="1:29" s="111" customFormat="1" ht="15" hidden="1" x14ac:dyDescent="0.2">
      <c r="A2043" s="288"/>
      <c r="B2043" s="322"/>
      <c r="C2043" s="382"/>
      <c r="D2043" s="324"/>
      <c r="E2043" s="325"/>
      <c r="F2043" s="326"/>
      <c r="G2043" s="324"/>
      <c r="H2043" s="325"/>
      <c r="I2043" s="326"/>
      <c r="J2043" s="317"/>
      <c r="K2043" s="328"/>
      <c r="L2043" s="328"/>
      <c r="M2043" s="328"/>
      <c r="N2043" s="328"/>
      <c r="O2043" s="334"/>
      <c r="P2043" s="328"/>
      <c r="Q2043" s="334"/>
      <c r="R2043" s="333"/>
      <c r="S2043" s="331"/>
      <c r="T2043" s="320"/>
      <c r="U2043" s="335"/>
      <c r="V2043" s="291">
        <f t="shared" ca="1" si="680"/>
        <v>0</v>
      </c>
      <c r="W2043" s="256">
        <f t="shared" ca="1" si="679"/>
        <v>0</v>
      </c>
      <c r="X2043" s="256">
        <f t="shared" ca="1" si="668"/>
        <v>1</v>
      </c>
      <c r="Y2043" s="250"/>
      <c r="Z2043" s="250"/>
    </row>
    <row r="2044" spans="1:29" s="111" customFormat="1" ht="15" hidden="1" x14ac:dyDescent="0.2">
      <c r="A2044" s="288"/>
      <c r="B2044" s="338"/>
      <c r="C2044" s="339"/>
      <c r="D2044" s="340"/>
      <c r="E2044" s="341"/>
      <c r="F2044" s="342"/>
      <c r="G2044" s="340"/>
      <c r="H2044" s="341"/>
      <c r="I2044" s="342"/>
      <c r="J2044" s="343"/>
      <c r="K2044" s="344"/>
      <c r="L2044" s="345"/>
      <c r="M2044" s="346"/>
      <c r="N2044" s="347"/>
      <c r="O2044" s="348"/>
      <c r="P2044" s="345"/>
      <c r="Q2044" s="349"/>
      <c r="R2044" s="350"/>
      <c r="S2044" s="351"/>
      <c r="T2044" s="352"/>
      <c r="U2044" s="353"/>
      <c r="V2044" s="291">
        <f t="shared" ca="1" si="680"/>
        <v>0</v>
      </c>
      <c r="W2044" s="256">
        <f t="shared" ca="1" si="679"/>
        <v>0</v>
      </c>
      <c r="X2044" s="256">
        <f t="shared" ca="1" si="668"/>
        <v>1</v>
      </c>
      <c r="Y2044" s="250"/>
      <c r="Z2044" s="250"/>
    </row>
    <row r="2045" spans="1:29" s="111" customFormat="1" ht="15.75" hidden="1" x14ac:dyDescent="0.2">
      <c r="A2045" s="288"/>
      <c r="B2045" s="354"/>
      <c r="C2045" s="355"/>
      <c r="D2045" s="1354" t="s">
        <v>492</v>
      </c>
      <c r="E2045" s="1355"/>
      <c r="F2045" s="1355"/>
      <c r="G2045" s="1355"/>
      <c r="H2045" s="1355"/>
      <c r="I2045" s="1356"/>
      <c r="J2045" s="1357">
        <f>VLOOKUP(A2047,'11 - FINANCEIRO'!_xlnm.Print_Area,6,FALSE)</f>
        <v>1</v>
      </c>
      <c r="K2045" s="1358"/>
      <c r="L2045" s="356" t="str">
        <f>VLOOKUP(A2047,'11 - FINANCEIRO'!_xlnm.Print_Area,4,FALSE)</f>
        <v>un</v>
      </c>
      <c r="M2045" s="1359" t="s">
        <v>493</v>
      </c>
      <c r="N2045" s="1360"/>
      <c r="O2045" s="1360"/>
      <c r="P2045" s="1360"/>
      <c r="Q2045" s="1361"/>
      <c r="R2045" s="357">
        <f>TRUNC(SUM(R2041:R2044),3)</f>
        <v>1</v>
      </c>
      <c r="S2045" s="358" t="str">
        <f>L2045</f>
        <v>un</v>
      </c>
      <c r="T2045" s="858">
        <f>R2045-J2045</f>
        <v>0</v>
      </c>
      <c r="U2045" s="360"/>
      <c r="V2045" s="291">
        <f t="shared" ca="1" si="680"/>
        <v>0</v>
      </c>
      <c r="W2045" s="256">
        <f t="shared" ca="1" si="679"/>
        <v>2</v>
      </c>
      <c r="X2045" s="256">
        <f t="shared" ca="1" si="668"/>
        <v>1</v>
      </c>
      <c r="Y2045" s="250"/>
      <c r="Z2045" s="250"/>
    </row>
    <row r="2046" spans="1:29" s="293" customFormat="1" ht="15.75" hidden="1" x14ac:dyDescent="0.2">
      <c r="A2046" s="288" t="s">
        <v>70</v>
      </c>
      <c r="B2046" s="354"/>
      <c r="C2046" s="361"/>
      <c r="D2046" s="1362" t="s">
        <v>494</v>
      </c>
      <c r="E2046" s="1363"/>
      <c r="F2046" s="1363"/>
      <c r="G2046" s="1363"/>
      <c r="H2046" s="1363"/>
      <c r="I2046" s="1364"/>
      <c r="J2046" s="1365">
        <f>IF(R2045&gt;J2045,1,R2045/J2045)</f>
        <v>1</v>
      </c>
      <c r="K2046" s="1366"/>
      <c r="L2046" s="1369"/>
      <c r="M2046" s="1371" t="s">
        <v>495</v>
      </c>
      <c r="N2046" s="1372"/>
      <c r="O2046" s="1372"/>
      <c r="P2046" s="1372"/>
      <c r="Q2046" s="1373"/>
      <c r="R2046" s="362">
        <f>VLOOKUP(A2047,'11 - FINANCEIRO'!_xlnm.Print_Area,8,FALSE)</f>
        <v>1</v>
      </c>
      <c r="S2046" s="363" t="str">
        <f>L2045</f>
        <v>un</v>
      </c>
      <c r="T2046" s="359"/>
      <c r="U2046" s="360"/>
      <c r="V2046" s="291">
        <f t="shared" ca="1" si="680"/>
        <v>0</v>
      </c>
      <c r="W2046" s="256">
        <f t="shared" ca="1" si="679"/>
        <v>2</v>
      </c>
      <c r="X2046" s="256">
        <f t="shared" ca="1" si="668"/>
        <v>1</v>
      </c>
      <c r="Y2046" s="256"/>
      <c r="Z2046" s="256"/>
      <c r="AA2046" s="292"/>
      <c r="AB2046" s="292"/>
      <c r="AC2046" s="292"/>
    </row>
    <row r="2047" spans="1:29" s="293" customFormat="1" ht="15.75" hidden="1" x14ac:dyDescent="0.2">
      <c r="A2047" s="288" t="s">
        <v>71</v>
      </c>
      <c r="B2047" s="364"/>
      <c r="C2047" s="365"/>
      <c r="D2047" s="1354"/>
      <c r="E2047" s="1355"/>
      <c r="F2047" s="1355"/>
      <c r="G2047" s="1355"/>
      <c r="H2047" s="1355"/>
      <c r="I2047" s="1356"/>
      <c r="J2047" s="1367"/>
      <c r="K2047" s="1368"/>
      <c r="L2047" s="1370"/>
      <c r="M2047" s="1371" t="s">
        <v>496</v>
      </c>
      <c r="N2047" s="1372"/>
      <c r="O2047" s="1372"/>
      <c r="P2047" s="1372"/>
      <c r="Q2047" s="1373"/>
      <c r="R2047" s="362">
        <f>R2045-R2046</f>
        <v>0</v>
      </c>
      <c r="S2047" s="363" t="str">
        <f>L2045</f>
        <v>un</v>
      </c>
      <c r="T2047" s="366"/>
      <c r="U2047" s="367"/>
      <c r="V2047" s="291">
        <f t="shared" ca="1" si="680"/>
        <v>0</v>
      </c>
      <c r="W2047" s="256">
        <f t="shared" ca="1" si="679"/>
        <v>2</v>
      </c>
      <c r="X2047" s="256">
        <f t="shared" ca="1" si="668"/>
        <v>1</v>
      </c>
      <c r="Y2047" s="256"/>
      <c r="Z2047" s="256"/>
      <c r="AA2047" s="292"/>
      <c r="AB2047" s="292"/>
      <c r="AC2047" s="292"/>
    </row>
    <row r="2048" spans="1:29" s="111" customFormat="1" ht="15.75" hidden="1" x14ac:dyDescent="0.2">
      <c r="A2048" s="288"/>
      <c r="B2048" s="368"/>
      <c r="C2048" s="365"/>
      <c r="D2048" s="369"/>
      <c r="E2048" s="370"/>
      <c r="F2048" s="369"/>
      <c r="G2048" s="369"/>
      <c r="H2048" s="369"/>
      <c r="I2048" s="369"/>
      <c r="J2048" s="371"/>
      <c r="K2048" s="372"/>
      <c r="L2048" s="373"/>
      <c r="M2048" s="374"/>
      <c r="N2048" s="374"/>
      <c r="O2048" s="374"/>
      <c r="P2048" s="374"/>
      <c r="Q2048" s="374"/>
      <c r="R2048" s="375"/>
      <c r="S2048" s="376"/>
      <c r="T2048" s="377"/>
      <c r="U2048" s="378"/>
      <c r="V2048" s="379">
        <f ca="1">SUM(V2039:V2047)</f>
        <v>0</v>
      </c>
      <c r="W2048" s="256">
        <f t="shared" ca="1" si="679"/>
        <v>1</v>
      </c>
      <c r="X2048" s="256">
        <f t="shared" ca="1" si="668"/>
        <v>0</v>
      </c>
      <c r="Y2048" s="250"/>
      <c r="Z2048" s="250"/>
    </row>
    <row r="2049" spans="1:29" s="293" customFormat="1" ht="15.75" hidden="1" customHeight="1" x14ac:dyDescent="0.25">
      <c r="A2049" s="288"/>
      <c r="B2049" s="1374" t="str">
        <f>VLOOKUP(A2057,'11 - FINANCEIRO'!_xlnm.Print_Area,1,FALSE)</f>
        <v>2.5.2</v>
      </c>
      <c r="C2049" s="1376" t="str">
        <f>VLOOKUP(A2057,'11 - FINANCEIRO'!_xlnm.Print_Area,3,FALSE)</f>
        <v>Poço De Visita Para BSTC Diâm. 0,60M Em Blocos De Concreto</v>
      </c>
      <c r="D2049" s="1378" t="s">
        <v>477</v>
      </c>
      <c r="E2049" s="1379"/>
      <c r="F2049" s="1379"/>
      <c r="G2049" s="1379"/>
      <c r="H2049" s="1379"/>
      <c r="I2049" s="1380"/>
      <c r="J2049" s="1338" t="s">
        <v>478</v>
      </c>
      <c r="K2049" s="1338" t="s">
        <v>479</v>
      </c>
      <c r="L2049" s="1338" t="s">
        <v>480</v>
      </c>
      <c r="M2049" s="1338" t="s">
        <v>481</v>
      </c>
      <c r="N2049" s="1338" t="s">
        <v>482</v>
      </c>
      <c r="O2049" s="1338" t="s">
        <v>483</v>
      </c>
      <c r="P2049" s="290" t="s">
        <v>484</v>
      </c>
      <c r="Q2049" s="1338" t="s">
        <v>485</v>
      </c>
      <c r="R2049" s="1336" t="s">
        <v>296</v>
      </c>
      <c r="S2049" s="1338" t="s">
        <v>486</v>
      </c>
      <c r="T2049" s="1338" t="s">
        <v>487</v>
      </c>
      <c r="U2049" s="1340" t="s">
        <v>488</v>
      </c>
      <c r="V2049" s="291">
        <f t="shared" ref="V2049:V2057" ca="1" si="681">IF(OFFSET(V2049,1,1)=1,OFFSET(V2049,0,-4),OFFSET(V2049,1,0))</f>
        <v>0</v>
      </c>
      <c r="W2049" s="256">
        <f t="shared" ca="1" si="679"/>
        <v>2</v>
      </c>
      <c r="X2049" s="256">
        <f t="shared" ca="1" si="668"/>
        <v>1</v>
      </c>
      <c r="Y2049" s="256"/>
      <c r="Z2049" s="256"/>
      <c r="AA2049" s="292"/>
      <c r="AB2049" s="292"/>
      <c r="AC2049" s="292"/>
    </row>
    <row r="2050" spans="1:29" s="337" customFormat="1" ht="15.75" hidden="1" x14ac:dyDescent="0.2">
      <c r="A2050" s="288"/>
      <c r="B2050" s="1375" t="e">
        <f>LEFT(#REF!,5)</f>
        <v>#REF!</v>
      </c>
      <c r="C2050" s="1377" t="e">
        <f>VLOOKUP(LEFT(#REF!,5),'11 - FINANCEIRO'!_xlnm.Print_Area,2,FALSE)</f>
        <v>#REF!</v>
      </c>
      <c r="D2050" s="1342" t="s">
        <v>489</v>
      </c>
      <c r="E2050" s="1343"/>
      <c r="F2050" s="1344"/>
      <c r="G2050" s="1345" t="s">
        <v>490</v>
      </c>
      <c r="H2050" s="1346"/>
      <c r="I2050" s="1347"/>
      <c r="J2050" s="1339"/>
      <c r="K2050" s="1339"/>
      <c r="L2050" s="1339"/>
      <c r="M2050" s="1339"/>
      <c r="N2050" s="1339"/>
      <c r="O2050" s="1339"/>
      <c r="P2050" s="295" t="s">
        <v>491</v>
      </c>
      <c r="Q2050" s="1339"/>
      <c r="R2050" s="1337"/>
      <c r="S2050" s="1339"/>
      <c r="T2050" s="1339"/>
      <c r="U2050" s="1341"/>
      <c r="V2050" s="291">
        <f t="shared" ca="1" si="681"/>
        <v>0</v>
      </c>
      <c r="W2050" s="256">
        <f t="shared" ca="1" si="679"/>
        <v>2</v>
      </c>
      <c r="X2050" s="256">
        <f t="shared" ca="1" si="668"/>
        <v>1</v>
      </c>
      <c r="Y2050" s="336"/>
      <c r="Z2050" s="336"/>
    </row>
    <row r="2051" spans="1:29" s="337" customFormat="1" ht="15.75" hidden="1" x14ac:dyDescent="0.2">
      <c r="A2051" s="288"/>
      <c r="B2051" s="296"/>
      <c r="C2051" s="297" t="s">
        <v>1096</v>
      </c>
      <c r="D2051" s="419">
        <v>79</v>
      </c>
      <c r="E2051" s="316" t="s">
        <v>518</v>
      </c>
      <c r="F2051" s="420">
        <v>16</v>
      </c>
      <c r="G2051" s="419">
        <v>69</v>
      </c>
      <c r="H2051" s="316" t="s">
        <v>518</v>
      </c>
      <c r="I2051" s="420">
        <v>9</v>
      </c>
      <c r="J2051" s="560"/>
      <c r="K2051" s="433">
        <f>ABS((G2051*20+I2051)-(D2051*20+F2051))</f>
        <v>207</v>
      </c>
      <c r="L2051" s="304"/>
      <c r="M2051" s="304"/>
      <c r="N2051" s="304"/>
      <c r="O2051" s="304"/>
      <c r="P2051" s="306"/>
      <c r="Q2051" s="304"/>
      <c r="R2051" s="307">
        <v>4</v>
      </c>
      <c r="S2051" s="304"/>
      <c r="T2051" s="309">
        <v>33</v>
      </c>
      <c r="U2051" s="310"/>
      <c r="V2051" s="291">
        <f t="shared" ca="1" si="681"/>
        <v>0</v>
      </c>
      <c r="W2051" s="256">
        <f t="shared" ca="1" si="679"/>
        <v>2</v>
      </c>
      <c r="X2051" s="256">
        <f t="shared" ca="1" si="668"/>
        <v>1</v>
      </c>
      <c r="Y2051" s="336"/>
      <c r="Z2051" s="336"/>
    </row>
    <row r="2052" spans="1:29" s="111" customFormat="1" ht="15.75" hidden="1" x14ac:dyDescent="0.2">
      <c r="A2052" s="288"/>
      <c r="B2052" s="311"/>
      <c r="C2052" s="312"/>
      <c r="D2052" s="313"/>
      <c r="E2052" s="314"/>
      <c r="F2052" s="315"/>
      <c r="G2052" s="380"/>
      <c r="H2052" s="316"/>
      <c r="I2052" s="381"/>
      <c r="J2052" s="317"/>
      <c r="K2052" s="313"/>
      <c r="L2052" s="317"/>
      <c r="M2052" s="315"/>
      <c r="N2052" s="314"/>
      <c r="O2052" s="313"/>
      <c r="P2052" s="318"/>
      <c r="Q2052" s="315"/>
      <c r="R2052" s="319"/>
      <c r="S2052" s="317"/>
      <c r="T2052" s="320"/>
      <c r="U2052" s="321"/>
      <c r="V2052" s="291">
        <f t="shared" ca="1" si="681"/>
        <v>0</v>
      </c>
      <c r="W2052" s="256">
        <f t="shared" ca="1" si="679"/>
        <v>0</v>
      </c>
      <c r="X2052" s="256">
        <f t="shared" ca="1" si="668"/>
        <v>1</v>
      </c>
      <c r="Y2052" s="250"/>
      <c r="Z2052" s="250"/>
    </row>
    <row r="2053" spans="1:29" s="111" customFormat="1" ht="15" hidden="1" x14ac:dyDescent="0.2">
      <c r="A2053" s="288"/>
      <c r="B2053" s="322"/>
      <c r="C2053" s="382" t="s">
        <v>1097</v>
      </c>
      <c r="D2053" s="324"/>
      <c r="E2053" s="325"/>
      <c r="F2053" s="326"/>
      <c r="G2053" s="324"/>
      <c r="H2053" s="325"/>
      <c r="I2053" s="326"/>
      <c r="J2053" s="317"/>
      <c r="K2053" s="328"/>
      <c r="L2053" s="328"/>
      <c r="M2053" s="328"/>
      <c r="N2053" s="328"/>
      <c r="O2053" s="334"/>
      <c r="P2053" s="328"/>
      <c r="Q2053" s="334"/>
      <c r="R2053" s="333"/>
      <c r="S2053" s="331"/>
      <c r="T2053" s="320"/>
      <c r="U2053" s="335"/>
      <c r="V2053" s="291">
        <f t="shared" ca="1" si="681"/>
        <v>0</v>
      </c>
      <c r="W2053" s="256">
        <f t="shared" ca="1" si="679"/>
        <v>2</v>
      </c>
      <c r="X2053" s="256">
        <f t="shared" ca="1" si="668"/>
        <v>1</v>
      </c>
      <c r="Y2053" s="250"/>
      <c r="Z2053" s="250"/>
    </row>
    <row r="2054" spans="1:29" s="111" customFormat="1" ht="15" hidden="1" x14ac:dyDescent="0.2">
      <c r="A2054" s="288"/>
      <c r="B2054" s="338"/>
      <c r="C2054" s="339"/>
      <c r="D2054" s="340"/>
      <c r="E2054" s="341"/>
      <c r="F2054" s="342"/>
      <c r="G2054" s="340"/>
      <c r="H2054" s="341"/>
      <c r="I2054" s="342"/>
      <c r="J2054" s="343"/>
      <c r="K2054" s="344"/>
      <c r="L2054" s="345"/>
      <c r="M2054" s="346"/>
      <c r="N2054" s="347"/>
      <c r="O2054" s="348"/>
      <c r="P2054" s="345"/>
      <c r="Q2054" s="349"/>
      <c r="R2054" s="350"/>
      <c r="S2054" s="351"/>
      <c r="T2054" s="352"/>
      <c r="U2054" s="353"/>
      <c r="V2054" s="291">
        <f t="shared" ca="1" si="681"/>
        <v>0</v>
      </c>
      <c r="W2054" s="256">
        <f t="shared" ca="1" si="679"/>
        <v>0</v>
      </c>
      <c r="X2054" s="256">
        <f t="shared" ca="1" si="668"/>
        <v>1</v>
      </c>
      <c r="Y2054" s="250"/>
      <c r="Z2054" s="250"/>
    </row>
    <row r="2055" spans="1:29" s="111" customFormat="1" ht="15.75" hidden="1" customHeight="1" x14ac:dyDescent="0.2">
      <c r="A2055" s="288"/>
      <c r="B2055" s="354"/>
      <c r="C2055" s="355"/>
      <c r="D2055" s="1354" t="s">
        <v>492</v>
      </c>
      <c r="E2055" s="1355"/>
      <c r="F2055" s="1355"/>
      <c r="G2055" s="1355"/>
      <c r="H2055" s="1355"/>
      <c r="I2055" s="1356"/>
      <c r="J2055" s="1357">
        <f>VLOOKUP(A2057,'11 - FINANCEIRO'!_xlnm.Print_Area,6,FALSE)</f>
        <v>4</v>
      </c>
      <c r="K2055" s="1358"/>
      <c r="L2055" s="356" t="str">
        <f>VLOOKUP(A2057,'11 - FINANCEIRO'!_xlnm.Print_Area,4,FALSE)</f>
        <v>un</v>
      </c>
      <c r="M2055" s="1359" t="s">
        <v>493</v>
      </c>
      <c r="N2055" s="1360"/>
      <c r="O2055" s="1360"/>
      <c r="P2055" s="1360"/>
      <c r="Q2055" s="1361"/>
      <c r="R2055" s="357">
        <f>TRUNC(SUM(R2051:R2054),3)</f>
        <v>4</v>
      </c>
      <c r="S2055" s="358" t="str">
        <f>L2055</f>
        <v>un</v>
      </c>
      <c r="T2055" s="359"/>
      <c r="U2055" s="360"/>
      <c r="V2055" s="291">
        <f t="shared" ca="1" si="681"/>
        <v>0</v>
      </c>
      <c r="W2055" s="256">
        <f t="shared" ca="1" si="679"/>
        <v>2</v>
      </c>
      <c r="X2055" s="256">
        <f t="shared" ca="1" si="668"/>
        <v>1</v>
      </c>
      <c r="Y2055" s="250"/>
      <c r="Z2055" s="250"/>
    </row>
    <row r="2056" spans="1:29" s="395" customFormat="1" ht="15.75" hidden="1" customHeight="1" x14ac:dyDescent="0.2">
      <c r="A2056" s="276"/>
      <c r="B2056" s="354"/>
      <c r="C2056" s="361"/>
      <c r="D2056" s="1362" t="s">
        <v>494</v>
      </c>
      <c r="E2056" s="1363"/>
      <c r="F2056" s="1363"/>
      <c r="G2056" s="1363"/>
      <c r="H2056" s="1363"/>
      <c r="I2056" s="1364"/>
      <c r="J2056" s="1365">
        <f>R2055/J2055</f>
        <v>1</v>
      </c>
      <c r="K2056" s="1366"/>
      <c r="L2056" s="1369"/>
      <c r="M2056" s="1371" t="s">
        <v>495</v>
      </c>
      <c r="N2056" s="1372"/>
      <c r="O2056" s="1372"/>
      <c r="P2056" s="1372"/>
      <c r="Q2056" s="1373"/>
      <c r="R2056" s="362">
        <f>VLOOKUP(A2057,'11 - FINANCEIRO'!_xlnm.Print_Area,8,FALSE)</f>
        <v>4</v>
      </c>
      <c r="S2056" s="363" t="str">
        <f>L2055</f>
        <v>un</v>
      </c>
      <c r="T2056" s="359"/>
      <c r="U2056" s="360"/>
      <c r="V2056" s="291">
        <f t="shared" ca="1" si="681"/>
        <v>0</v>
      </c>
      <c r="W2056" s="256">
        <f t="shared" ca="1" si="679"/>
        <v>2</v>
      </c>
      <c r="X2056" s="256">
        <f t="shared" ca="1" si="668"/>
        <v>1</v>
      </c>
    </row>
    <row r="2057" spans="1:29" s="395" customFormat="1" ht="15.75" hidden="1" customHeight="1" x14ac:dyDescent="0.2">
      <c r="A2057" s="288" t="s">
        <v>72</v>
      </c>
      <c r="B2057" s="364"/>
      <c r="C2057" s="365"/>
      <c r="D2057" s="1354"/>
      <c r="E2057" s="1355"/>
      <c r="F2057" s="1355"/>
      <c r="G2057" s="1355"/>
      <c r="H2057" s="1355"/>
      <c r="I2057" s="1356"/>
      <c r="J2057" s="1367"/>
      <c r="K2057" s="1368"/>
      <c r="L2057" s="1370"/>
      <c r="M2057" s="1371" t="s">
        <v>496</v>
      </c>
      <c r="N2057" s="1372"/>
      <c r="O2057" s="1372"/>
      <c r="P2057" s="1372"/>
      <c r="Q2057" s="1373"/>
      <c r="R2057" s="362">
        <f>R2055-R2056</f>
        <v>0</v>
      </c>
      <c r="S2057" s="363" t="str">
        <f>L2055</f>
        <v>un</v>
      </c>
      <c r="T2057" s="366"/>
      <c r="U2057" s="367"/>
      <c r="V2057" s="291">
        <f t="shared" ca="1" si="681"/>
        <v>0</v>
      </c>
      <c r="W2057" s="256">
        <f t="shared" ca="1" si="679"/>
        <v>2</v>
      </c>
      <c r="X2057" s="256">
        <f t="shared" ca="1" si="668"/>
        <v>1</v>
      </c>
    </row>
    <row r="2058" spans="1:29" s="111" customFormat="1" ht="15.75" hidden="1" x14ac:dyDescent="0.2">
      <c r="A2058" s="288"/>
      <c r="B2058" s="368"/>
      <c r="C2058" s="365"/>
      <c r="D2058" s="369"/>
      <c r="E2058" s="370"/>
      <c r="F2058" s="369"/>
      <c r="G2058" s="369"/>
      <c r="H2058" s="369"/>
      <c r="I2058" s="369"/>
      <c r="J2058" s="371"/>
      <c r="K2058" s="372"/>
      <c r="L2058" s="373"/>
      <c r="M2058" s="374"/>
      <c r="N2058" s="374"/>
      <c r="O2058" s="374"/>
      <c r="P2058" s="374"/>
      <c r="Q2058" s="374"/>
      <c r="R2058" s="375"/>
      <c r="S2058" s="376"/>
      <c r="T2058" s="377"/>
      <c r="U2058" s="378"/>
      <c r="V2058" s="379">
        <f ca="1">SUM(V2049:V2057)</f>
        <v>0</v>
      </c>
      <c r="W2058" s="256">
        <f t="shared" ca="1" si="679"/>
        <v>1</v>
      </c>
      <c r="X2058" s="256">
        <f t="shared" ca="1" si="668"/>
        <v>0</v>
      </c>
      <c r="Y2058" s="250"/>
      <c r="Z2058" s="250"/>
    </row>
    <row r="2059" spans="1:29" s="293" customFormat="1" ht="15.75" x14ac:dyDescent="0.2">
      <c r="A2059" s="288"/>
      <c r="B2059" s="385" t="str">
        <f>LEFT(A2067,5)</f>
        <v>2.5.3</v>
      </c>
      <c r="C2059" s="386" t="str">
        <f>VLOOKUP(LEFT(A2067,5),'11 - FINANCEIRO'!_xlnm.Print_Area,2,FALSE)</f>
        <v>Rede Coletora</v>
      </c>
      <c r="D2059" s="386"/>
      <c r="E2059" s="387"/>
      <c r="F2059" s="386"/>
      <c r="G2059" s="388"/>
      <c r="H2059" s="391"/>
      <c r="I2059" s="391"/>
      <c r="J2059" s="391"/>
      <c r="K2059" s="391"/>
      <c r="L2059" s="391"/>
      <c r="M2059" s="389"/>
      <c r="N2059" s="390"/>
      <c r="O2059" s="391"/>
      <c r="P2059" s="391"/>
      <c r="Q2059" s="391"/>
      <c r="R2059" s="597"/>
      <c r="S2059" s="598"/>
      <c r="T2059" s="599"/>
      <c r="U2059" s="600"/>
      <c r="V2059" s="549">
        <f ca="1">SUM(V2060:V2299)</f>
        <v>24816</v>
      </c>
      <c r="W2059" s="256">
        <f t="shared" ca="1" si="679"/>
        <v>1</v>
      </c>
      <c r="X2059" s="256">
        <f t="shared" ca="1" si="668"/>
        <v>1</v>
      </c>
      <c r="Y2059" s="256"/>
      <c r="Z2059" s="256"/>
      <c r="AA2059" s="292"/>
      <c r="AB2059" s="292"/>
      <c r="AC2059" s="292"/>
    </row>
    <row r="2060" spans="1:29" s="293" customFormat="1" ht="15.75" hidden="1" x14ac:dyDescent="0.2">
      <c r="A2060" s="288"/>
      <c r="B2060" s="385" t="str">
        <f>LEFT(A2068,11)</f>
        <v>2.5.3.1</v>
      </c>
      <c r="C2060" s="386" t="str">
        <f>VLOOKUP(LEFT(A2068,11),'11 - FINANCEIRO'!_xlnm.Print_Area,2,FALSE)</f>
        <v>Serviços Técnicos</v>
      </c>
      <c r="D2060" s="386"/>
      <c r="E2060" s="387"/>
      <c r="F2060" s="386"/>
      <c r="G2060" s="388"/>
      <c r="H2060" s="391"/>
      <c r="I2060" s="391"/>
      <c r="J2060" s="391"/>
      <c r="K2060" s="391"/>
      <c r="L2060" s="391"/>
      <c r="M2060" s="389"/>
      <c r="N2060" s="390"/>
      <c r="O2060" s="391"/>
      <c r="P2060" s="391"/>
      <c r="Q2060" s="391"/>
      <c r="R2060" s="597"/>
      <c r="S2060" s="598"/>
      <c r="T2060" s="599"/>
      <c r="U2060" s="600"/>
      <c r="V2060" s="549">
        <f ca="1">SUM(V2061:V2080)</f>
        <v>0</v>
      </c>
      <c r="W2060" s="256">
        <f t="shared" ca="1" si="679"/>
        <v>1</v>
      </c>
      <c r="X2060" s="256">
        <f t="shared" ref="X2060:X2123" ca="1" si="682">IF(COUNTA(OFFSET(A2059,1,0))-COUNTA(A2059)=-1,0,1)</f>
        <v>1</v>
      </c>
      <c r="Y2060" s="256"/>
      <c r="Z2060" s="256"/>
      <c r="AA2060" s="292"/>
      <c r="AB2060" s="292"/>
      <c r="AC2060" s="292"/>
    </row>
    <row r="2061" spans="1:29" s="293" customFormat="1" ht="15.75" hidden="1" x14ac:dyDescent="0.25">
      <c r="A2061" s="288"/>
      <c r="B2061" s="1374" t="str">
        <f>VLOOKUP(A2069,'11 - FINANCEIRO'!_xlnm.Print_Area,1,FALSE)</f>
        <v>2.5.3.1.1</v>
      </c>
      <c r="C2061" s="1376" t="str">
        <f>VLOOKUP(A2069,'11 - FINANCEIRO'!_xlnm.Print_Area,3,FALSE)</f>
        <v>Teste De Estanqueidade Em Redes De Esgoto</v>
      </c>
      <c r="D2061" s="1378" t="s">
        <v>477</v>
      </c>
      <c r="E2061" s="1379"/>
      <c r="F2061" s="1379"/>
      <c r="G2061" s="1379"/>
      <c r="H2061" s="1379"/>
      <c r="I2061" s="1380"/>
      <c r="J2061" s="1338" t="s">
        <v>296</v>
      </c>
      <c r="K2061" s="1338" t="s">
        <v>479</v>
      </c>
      <c r="L2061" s="1338" t="s">
        <v>480</v>
      </c>
      <c r="M2061" s="1338" t="s">
        <v>481</v>
      </c>
      <c r="N2061" s="1338" t="s">
        <v>482</v>
      </c>
      <c r="O2061" s="1338" t="s">
        <v>483</v>
      </c>
      <c r="P2061" s="290" t="s">
        <v>484</v>
      </c>
      <c r="Q2061" s="1338" t="s">
        <v>485</v>
      </c>
      <c r="R2061" s="1336" t="s">
        <v>296</v>
      </c>
      <c r="S2061" s="1338" t="s">
        <v>486</v>
      </c>
      <c r="T2061" s="1338" t="s">
        <v>487</v>
      </c>
      <c r="U2061" s="1340" t="s">
        <v>488</v>
      </c>
      <c r="V2061" s="291">
        <f t="shared" ref="V2061:V2069" ca="1" si="683">IF(OFFSET(V2061,1,1)=1,OFFSET(V2061,0,-4),OFFSET(V2061,1,0))</f>
        <v>0</v>
      </c>
      <c r="W2061" s="256">
        <f t="shared" ca="1" si="679"/>
        <v>2</v>
      </c>
      <c r="X2061" s="256">
        <f t="shared" ca="1" si="682"/>
        <v>1</v>
      </c>
      <c r="Y2061" s="256"/>
      <c r="Z2061" s="256"/>
      <c r="AA2061" s="292"/>
      <c r="AB2061" s="292"/>
      <c r="AC2061" s="292"/>
    </row>
    <row r="2062" spans="1:29" s="337" customFormat="1" ht="15.75" hidden="1" x14ac:dyDescent="0.2">
      <c r="A2062" s="288"/>
      <c r="B2062" s="1375" t="e">
        <f>LEFT(#REF!,5)</f>
        <v>#REF!</v>
      </c>
      <c r="C2062" s="1377" t="e">
        <f>VLOOKUP(LEFT(#REF!,5),'11 - FINANCEIRO'!_xlnm.Print_Area,2,FALSE)</f>
        <v>#REF!</v>
      </c>
      <c r="D2062" s="1342" t="s">
        <v>489</v>
      </c>
      <c r="E2062" s="1343"/>
      <c r="F2062" s="1344"/>
      <c r="G2062" s="1345" t="s">
        <v>490</v>
      </c>
      <c r="H2062" s="1346"/>
      <c r="I2062" s="1347"/>
      <c r="J2062" s="1339"/>
      <c r="K2062" s="1339"/>
      <c r="L2062" s="1339"/>
      <c r="M2062" s="1339"/>
      <c r="N2062" s="1339"/>
      <c r="O2062" s="1339"/>
      <c r="P2062" s="295" t="s">
        <v>491</v>
      </c>
      <c r="Q2062" s="1339"/>
      <c r="R2062" s="1337"/>
      <c r="S2062" s="1339"/>
      <c r="T2062" s="1339"/>
      <c r="U2062" s="1341"/>
      <c r="V2062" s="291">
        <f t="shared" ca="1" si="683"/>
        <v>0</v>
      </c>
      <c r="W2062" s="256">
        <f t="shared" ca="1" si="679"/>
        <v>2</v>
      </c>
      <c r="X2062" s="256">
        <f t="shared" ca="1" si="682"/>
        <v>1</v>
      </c>
      <c r="Y2062" s="336"/>
      <c r="Z2062" s="336"/>
    </row>
    <row r="2063" spans="1:29" s="337" customFormat="1" ht="15.75" hidden="1" x14ac:dyDescent="0.2">
      <c r="A2063" s="288"/>
      <c r="B2063" s="296"/>
      <c r="C2063" s="297" t="s">
        <v>1099</v>
      </c>
      <c r="D2063" s="419">
        <v>79</v>
      </c>
      <c r="E2063" s="316" t="s">
        <v>518</v>
      </c>
      <c r="F2063" s="420">
        <v>16</v>
      </c>
      <c r="G2063" s="419">
        <v>69</v>
      </c>
      <c r="H2063" s="316" t="s">
        <v>518</v>
      </c>
      <c r="I2063" s="420">
        <v>9</v>
      </c>
      <c r="J2063" s="304"/>
      <c r="K2063" s="433">
        <f>ABS((G2063*20+I2063)-(D2063*20+F2063))</f>
        <v>207</v>
      </c>
      <c r="L2063" s="304"/>
      <c r="M2063" s="304"/>
      <c r="N2063" s="304"/>
      <c r="O2063" s="304"/>
      <c r="P2063" s="306"/>
      <c r="Q2063" s="304"/>
      <c r="R2063" s="307"/>
      <c r="S2063" s="304"/>
      <c r="T2063" s="309">
        <v>33</v>
      </c>
      <c r="U2063" s="310"/>
      <c r="V2063" s="291">
        <f t="shared" ca="1" si="683"/>
        <v>0</v>
      </c>
      <c r="W2063" s="256">
        <f t="shared" ca="1" si="679"/>
        <v>2</v>
      </c>
      <c r="X2063" s="256">
        <f t="shared" ca="1" si="682"/>
        <v>1</v>
      </c>
      <c r="Y2063" s="336"/>
      <c r="Z2063" s="336"/>
    </row>
    <row r="2064" spans="1:29" s="111" customFormat="1" ht="15.75" hidden="1" x14ac:dyDescent="0.2">
      <c r="A2064" s="288"/>
      <c r="B2064" s="311"/>
      <c r="C2064" s="312"/>
      <c r="D2064" s="313"/>
      <c r="E2064" s="314"/>
      <c r="F2064" s="315"/>
      <c r="G2064" s="380"/>
      <c r="H2064" s="316"/>
      <c r="I2064" s="381"/>
      <c r="J2064" s="317"/>
      <c r="K2064" s="313"/>
      <c r="L2064" s="317"/>
      <c r="M2064" s="315"/>
      <c r="N2064" s="314"/>
      <c r="O2064" s="313"/>
      <c r="P2064" s="318"/>
      <c r="Q2064" s="315"/>
      <c r="R2064" s="319"/>
      <c r="S2064" s="317"/>
      <c r="T2064" s="320"/>
      <c r="U2064" s="321"/>
      <c r="V2064" s="291">
        <f t="shared" ca="1" si="683"/>
        <v>0</v>
      </c>
      <c r="W2064" s="256">
        <f t="shared" ca="1" si="679"/>
        <v>0</v>
      </c>
      <c r="X2064" s="256">
        <f t="shared" ca="1" si="682"/>
        <v>1</v>
      </c>
      <c r="Y2064" s="250"/>
      <c r="Z2064" s="250"/>
    </row>
    <row r="2065" spans="1:29" s="111" customFormat="1" ht="15" hidden="1" x14ac:dyDescent="0.2">
      <c r="A2065" s="288"/>
      <c r="B2065" s="322"/>
      <c r="C2065" s="382"/>
      <c r="D2065" s="324"/>
      <c r="E2065" s="325"/>
      <c r="F2065" s="326"/>
      <c r="G2065" s="324"/>
      <c r="H2065" s="325"/>
      <c r="I2065" s="326"/>
      <c r="J2065" s="317"/>
      <c r="K2065" s="328"/>
      <c r="L2065" s="328"/>
      <c r="M2065" s="328"/>
      <c r="N2065" s="328"/>
      <c r="O2065" s="334"/>
      <c r="P2065" s="328"/>
      <c r="Q2065" s="334"/>
      <c r="R2065" s="333"/>
      <c r="S2065" s="331"/>
      <c r="T2065" s="320"/>
      <c r="U2065" s="335"/>
      <c r="V2065" s="291">
        <f t="shared" ca="1" si="683"/>
        <v>0</v>
      </c>
      <c r="W2065" s="256">
        <f t="shared" ca="1" si="679"/>
        <v>0</v>
      </c>
      <c r="X2065" s="256">
        <f t="shared" ca="1" si="682"/>
        <v>1</v>
      </c>
      <c r="Y2065" s="250"/>
      <c r="Z2065" s="250"/>
    </row>
    <row r="2066" spans="1:29" s="111" customFormat="1" ht="15" hidden="1" x14ac:dyDescent="0.2">
      <c r="A2066" s="288"/>
      <c r="B2066" s="338"/>
      <c r="C2066" s="339"/>
      <c r="D2066" s="340"/>
      <c r="E2066" s="341"/>
      <c r="F2066" s="342"/>
      <c r="G2066" s="340"/>
      <c r="H2066" s="341"/>
      <c r="I2066" s="342"/>
      <c r="J2066" s="343"/>
      <c r="K2066" s="344"/>
      <c r="L2066" s="345"/>
      <c r="M2066" s="346"/>
      <c r="N2066" s="347"/>
      <c r="O2066" s="348"/>
      <c r="P2066" s="345"/>
      <c r="Q2066" s="349"/>
      <c r="R2066" s="350"/>
      <c r="S2066" s="351"/>
      <c r="T2066" s="352"/>
      <c r="U2066" s="353"/>
      <c r="V2066" s="291">
        <f t="shared" ca="1" si="683"/>
        <v>0</v>
      </c>
      <c r="W2066" s="256">
        <f t="shared" ca="1" si="679"/>
        <v>0</v>
      </c>
      <c r="X2066" s="256">
        <f t="shared" ca="1" si="682"/>
        <v>1</v>
      </c>
      <c r="Y2066" s="250"/>
      <c r="Z2066" s="250"/>
    </row>
    <row r="2067" spans="1:29" s="111" customFormat="1" ht="15.75" hidden="1" customHeight="1" x14ac:dyDescent="0.2">
      <c r="A2067" s="288" t="s">
        <v>73</v>
      </c>
      <c r="B2067" s="354"/>
      <c r="C2067" s="355"/>
      <c r="D2067" s="1354" t="s">
        <v>492</v>
      </c>
      <c r="E2067" s="1355"/>
      <c r="F2067" s="1355"/>
      <c r="G2067" s="1355"/>
      <c r="H2067" s="1355"/>
      <c r="I2067" s="1356"/>
      <c r="J2067" s="1357">
        <f>VLOOKUP(A2069,'11 - FINANCEIRO'!_xlnm.Print_Area,6,FALSE)</f>
        <v>248.7</v>
      </c>
      <c r="K2067" s="1358"/>
      <c r="L2067" s="356" t="str">
        <f>VLOOKUP(A2069,'11 - FINANCEIRO'!_xlnm.Print_Area,4,FALSE)</f>
        <v>m</v>
      </c>
      <c r="M2067" s="1359" t="s">
        <v>493</v>
      </c>
      <c r="N2067" s="1360"/>
      <c r="O2067" s="1360"/>
      <c r="P2067" s="1360"/>
      <c r="Q2067" s="1361"/>
      <c r="R2067" s="357">
        <f>TRUNC(SUM(R2063:R2066),3)</f>
        <v>0</v>
      </c>
      <c r="S2067" s="358" t="str">
        <f>L2067</f>
        <v>m</v>
      </c>
      <c r="T2067" s="359"/>
      <c r="U2067" s="360"/>
      <c r="V2067" s="291">
        <f t="shared" ca="1" si="683"/>
        <v>0</v>
      </c>
      <c r="W2067" s="256">
        <f t="shared" ca="1" si="679"/>
        <v>2</v>
      </c>
      <c r="X2067" s="256">
        <f t="shared" ca="1" si="682"/>
        <v>1</v>
      </c>
      <c r="Y2067" s="250"/>
      <c r="Z2067" s="250"/>
    </row>
    <row r="2068" spans="1:29" s="293" customFormat="1" ht="15.75" hidden="1" customHeight="1" x14ac:dyDescent="0.2">
      <c r="A2068" s="288" t="s">
        <v>74</v>
      </c>
      <c r="B2068" s="354"/>
      <c r="C2068" s="361"/>
      <c r="D2068" s="1362" t="s">
        <v>494</v>
      </c>
      <c r="E2068" s="1363"/>
      <c r="F2068" s="1363"/>
      <c r="G2068" s="1363"/>
      <c r="H2068" s="1363"/>
      <c r="I2068" s="1364"/>
      <c r="J2068" s="1365">
        <f>R2067/J2067</f>
        <v>0</v>
      </c>
      <c r="K2068" s="1366"/>
      <c r="L2068" s="1369"/>
      <c r="M2068" s="1371" t="s">
        <v>495</v>
      </c>
      <c r="N2068" s="1372"/>
      <c r="O2068" s="1372"/>
      <c r="P2068" s="1372"/>
      <c r="Q2068" s="1373"/>
      <c r="R2068" s="362">
        <f>VLOOKUP(A2069,'11 - FINANCEIRO'!_xlnm.Print_Area,8,FALSE)</f>
        <v>0</v>
      </c>
      <c r="S2068" s="363" t="str">
        <f>L2067</f>
        <v>m</v>
      </c>
      <c r="T2068" s="359"/>
      <c r="U2068" s="360"/>
      <c r="V2068" s="291">
        <f t="shared" ca="1" si="683"/>
        <v>0</v>
      </c>
      <c r="W2068" s="256">
        <f t="shared" ca="1" si="679"/>
        <v>2</v>
      </c>
      <c r="X2068" s="256">
        <f t="shared" ca="1" si="682"/>
        <v>1</v>
      </c>
      <c r="Y2068" s="256"/>
      <c r="Z2068" s="256"/>
      <c r="AA2068" s="292"/>
      <c r="AB2068" s="292"/>
      <c r="AC2068" s="292"/>
    </row>
    <row r="2069" spans="1:29" s="293" customFormat="1" ht="15.75" hidden="1" customHeight="1" x14ac:dyDescent="0.2">
      <c r="A2069" s="288" t="s">
        <v>75</v>
      </c>
      <c r="B2069" s="364"/>
      <c r="C2069" s="365"/>
      <c r="D2069" s="1354"/>
      <c r="E2069" s="1355"/>
      <c r="F2069" s="1355"/>
      <c r="G2069" s="1355"/>
      <c r="H2069" s="1355"/>
      <c r="I2069" s="1356"/>
      <c r="J2069" s="1367"/>
      <c r="K2069" s="1368"/>
      <c r="L2069" s="1370"/>
      <c r="M2069" s="1371" t="s">
        <v>496</v>
      </c>
      <c r="N2069" s="1372"/>
      <c r="O2069" s="1372"/>
      <c r="P2069" s="1372"/>
      <c r="Q2069" s="1373"/>
      <c r="R2069" s="362">
        <f>R2067-R2068</f>
        <v>0</v>
      </c>
      <c r="S2069" s="363" t="str">
        <f>L2067</f>
        <v>m</v>
      </c>
      <c r="T2069" s="366"/>
      <c r="U2069" s="367"/>
      <c r="V2069" s="291">
        <f t="shared" ca="1" si="683"/>
        <v>0</v>
      </c>
      <c r="W2069" s="256">
        <f t="shared" ca="1" si="679"/>
        <v>2</v>
      </c>
      <c r="X2069" s="256">
        <f t="shared" ca="1" si="682"/>
        <v>1</v>
      </c>
      <c r="Y2069" s="256"/>
      <c r="Z2069" s="256"/>
      <c r="AA2069" s="292"/>
      <c r="AB2069" s="292"/>
      <c r="AC2069" s="292"/>
    </row>
    <row r="2070" spans="1:29" s="111" customFormat="1" ht="15.75" hidden="1" x14ac:dyDescent="0.2">
      <c r="A2070" s="288"/>
      <c r="B2070" s="368"/>
      <c r="C2070" s="365"/>
      <c r="D2070" s="369"/>
      <c r="E2070" s="370"/>
      <c r="F2070" s="369"/>
      <c r="G2070" s="369"/>
      <c r="H2070" s="369"/>
      <c r="I2070" s="369"/>
      <c r="J2070" s="371"/>
      <c r="K2070" s="372"/>
      <c r="L2070" s="373"/>
      <c r="M2070" s="374"/>
      <c r="N2070" s="374"/>
      <c r="O2070" s="374"/>
      <c r="P2070" s="374"/>
      <c r="Q2070" s="374"/>
      <c r="R2070" s="375"/>
      <c r="S2070" s="376"/>
      <c r="T2070" s="377"/>
      <c r="U2070" s="378"/>
      <c r="V2070" s="379">
        <f ca="1">SUM(V2061:V2069)</f>
        <v>0</v>
      </c>
      <c r="W2070" s="256">
        <f t="shared" ca="1" si="679"/>
        <v>1</v>
      </c>
      <c r="X2070" s="256">
        <f t="shared" ca="1" si="682"/>
        <v>0</v>
      </c>
      <c r="Y2070" s="250"/>
      <c r="Z2070" s="250"/>
    </row>
    <row r="2071" spans="1:29" s="293" customFormat="1" ht="15.75" hidden="1" customHeight="1" x14ac:dyDescent="0.25">
      <c r="A2071" s="288"/>
      <c r="B2071" s="1374" t="str">
        <f>VLOOKUP(A2079,'11 - FINANCEIRO'!_xlnm.Print_Area,1,FALSE)</f>
        <v>2.5.3.1.2</v>
      </c>
      <c r="C2071" s="1376" t="str">
        <f>VLOOKUP(A2079,'11 - FINANCEIRO'!_xlnm.Print_Area,3,FALSE)</f>
        <v>Cadastro De Rede Agua Ou Esgoto</v>
      </c>
      <c r="D2071" s="1378" t="s">
        <v>477</v>
      </c>
      <c r="E2071" s="1379"/>
      <c r="F2071" s="1379"/>
      <c r="G2071" s="1379"/>
      <c r="H2071" s="1379"/>
      <c r="I2071" s="1380"/>
      <c r="J2071" s="1338" t="s">
        <v>296</v>
      </c>
      <c r="K2071" s="1338" t="s">
        <v>479</v>
      </c>
      <c r="L2071" s="1338" t="s">
        <v>480</v>
      </c>
      <c r="M2071" s="1338" t="s">
        <v>481</v>
      </c>
      <c r="N2071" s="1338" t="s">
        <v>482</v>
      </c>
      <c r="O2071" s="1338" t="s">
        <v>483</v>
      </c>
      <c r="P2071" s="290" t="s">
        <v>484</v>
      </c>
      <c r="Q2071" s="1338" t="s">
        <v>485</v>
      </c>
      <c r="R2071" s="1336" t="s">
        <v>296</v>
      </c>
      <c r="S2071" s="1338" t="s">
        <v>486</v>
      </c>
      <c r="T2071" s="1338" t="s">
        <v>487</v>
      </c>
      <c r="U2071" s="1340" t="s">
        <v>488</v>
      </c>
      <c r="V2071" s="291">
        <f t="shared" ref="V2071:V2079" ca="1" si="684">IF(OFFSET(V2071,1,1)=1,OFFSET(V2071,0,-4),OFFSET(V2071,1,0))</f>
        <v>0</v>
      </c>
      <c r="W2071" s="256">
        <f t="shared" ca="1" si="679"/>
        <v>2</v>
      </c>
      <c r="X2071" s="256">
        <f t="shared" ca="1" si="682"/>
        <v>1</v>
      </c>
      <c r="Y2071" s="256"/>
      <c r="Z2071" s="256"/>
      <c r="AA2071" s="292"/>
      <c r="AB2071" s="292"/>
      <c r="AC2071" s="292"/>
    </row>
    <row r="2072" spans="1:29" s="337" customFormat="1" ht="15.75" hidden="1" x14ac:dyDescent="0.2">
      <c r="A2072" s="288"/>
      <c r="B2072" s="1375" t="e">
        <f>LEFT(#REF!,5)</f>
        <v>#REF!</v>
      </c>
      <c r="C2072" s="1377" t="e">
        <f>VLOOKUP(LEFT(#REF!,5),'11 - FINANCEIRO'!_xlnm.Print_Area,2,FALSE)</f>
        <v>#REF!</v>
      </c>
      <c r="D2072" s="1342" t="s">
        <v>489</v>
      </c>
      <c r="E2072" s="1343"/>
      <c r="F2072" s="1344"/>
      <c r="G2072" s="1345" t="s">
        <v>490</v>
      </c>
      <c r="H2072" s="1346"/>
      <c r="I2072" s="1347"/>
      <c r="J2072" s="1339"/>
      <c r="K2072" s="1339"/>
      <c r="L2072" s="1339"/>
      <c r="M2072" s="1339"/>
      <c r="N2072" s="1339"/>
      <c r="O2072" s="1339"/>
      <c r="P2072" s="295" t="s">
        <v>491</v>
      </c>
      <c r="Q2072" s="1339"/>
      <c r="R2072" s="1337"/>
      <c r="S2072" s="1339"/>
      <c r="T2072" s="1339"/>
      <c r="U2072" s="1341"/>
      <c r="V2072" s="291">
        <f t="shared" ca="1" si="684"/>
        <v>0</v>
      </c>
      <c r="W2072" s="256">
        <f t="shared" ca="1" si="679"/>
        <v>2</v>
      </c>
      <c r="X2072" s="256">
        <f t="shared" ca="1" si="682"/>
        <v>1</v>
      </c>
      <c r="Y2072" s="336"/>
      <c r="Z2072" s="336"/>
    </row>
    <row r="2073" spans="1:29" s="337" customFormat="1" ht="15.75" hidden="1" x14ac:dyDescent="0.2">
      <c r="A2073" s="288"/>
      <c r="B2073" s="296"/>
      <c r="C2073" s="297" t="s">
        <v>624</v>
      </c>
      <c r="D2073" s="412">
        <v>9</v>
      </c>
      <c r="E2073" s="299" t="s">
        <v>518</v>
      </c>
      <c r="F2073" s="413">
        <v>0</v>
      </c>
      <c r="G2073" s="414">
        <v>11</v>
      </c>
      <c r="H2073" s="302" t="s">
        <v>518</v>
      </c>
      <c r="I2073" s="415">
        <v>1.7</v>
      </c>
      <c r="J2073" s="747"/>
      <c r="K2073" s="480">
        <f>ABS((G2073*20+I2073)-(D2073*20+F2073))</f>
        <v>41.699999999999989</v>
      </c>
      <c r="L2073" s="304"/>
      <c r="M2073" s="304"/>
      <c r="N2073" s="304"/>
      <c r="O2073" s="304"/>
      <c r="P2073" s="306"/>
      <c r="Q2073" s="304"/>
      <c r="R2073" s="307">
        <f>K2073</f>
        <v>41.699999999999989</v>
      </c>
      <c r="S2073" s="308" t="str">
        <f>$S$2252</f>
        <v>m</v>
      </c>
      <c r="T2073" s="309">
        <v>6</v>
      </c>
      <c r="U2073" s="310"/>
      <c r="V2073" s="291">
        <f t="shared" ca="1" si="684"/>
        <v>0</v>
      </c>
      <c r="W2073" s="256">
        <f t="shared" ca="1" si="679"/>
        <v>2</v>
      </c>
      <c r="X2073" s="256">
        <f t="shared" ca="1" si="682"/>
        <v>1</v>
      </c>
      <c r="Y2073" s="336"/>
      <c r="Z2073" s="336"/>
    </row>
    <row r="2074" spans="1:29" s="111" customFormat="1" ht="15.75" hidden="1" x14ac:dyDescent="0.2">
      <c r="A2074" s="288"/>
      <c r="B2074" s="311"/>
      <c r="C2074" s="312"/>
      <c r="D2074" s="419"/>
      <c r="E2074" s="316"/>
      <c r="F2074" s="420"/>
      <c r="G2074" s="419"/>
      <c r="H2074" s="316"/>
      <c r="I2074" s="420"/>
      <c r="J2074" s="317"/>
      <c r="K2074" s="433"/>
      <c r="L2074" s="317"/>
      <c r="M2074" s="315"/>
      <c r="N2074" s="314"/>
      <c r="O2074" s="313"/>
      <c r="P2074" s="318"/>
      <c r="Q2074" s="315"/>
      <c r="R2074" s="319">
        <v>165.3</v>
      </c>
      <c r="S2074" s="317" t="s">
        <v>301</v>
      </c>
      <c r="T2074" s="320">
        <v>33</v>
      </c>
      <c r="U2074" s="321"/>
      <c r="V2074" s="291">
        <f t="shared" ca="1" si="684"/>
        <v>0</v>
      </c>
      <c r="W2074" s="256">
        <f t="shared" ca="1" si="679"/>
        <v>2</v>
      </c>
      <c r="X2074" s="256">
        <f t="shared" ca="1" si="682"/>
        <v>1</v>
      </c>
      <c r="Y2074" s="250"/>
      <c r="Z2074" s="250"/>
    </row>
    <row r="2075" spans="1:29" s="111" customFormat="1" ht="15" hidden="1" x14ac:dyDescent="0.2">
      <c r="A2075" s="288"/>
      <c r="B2075" s="322"/>
      <c r="C2075" s="382"/>
      <c r="D2075" s="324"/>
      <c r="E2075" s="325"/>
      <c r="F2075" s="326"/>
      <c r="G2075" s="324"/>
      <c r="H2075" s="325"/>
      <c r="I2075" s="326"/>
      <c r="J2075" s="317"/>
      <c r="K2075" s="328"/>
      <c r="L2075" s="328"/>
      <c r="M2075" s="328"/>
      <c r="N2075" s="328"/>
      <c r="O2075" s="334"/>
      <c r="P2075" s="328"/>
      <c r="Q2075" s="334"/>
      <c r="R2075" s="333"/>
      <c r="S2075" s="331"/>
      <c r="T2075" s="320"/>
      <c r="U2075" s="335"/>
      <c r="V2075" s="291">
        <f t="shared" ca="1" si="684"/>
        <v>0</v>
      </c>
      <c r="W2075" s="256">
        <f t="shared" ca="1" si="679"/>
        <v>0</v>
      </c>
      <c r="X2075" s="256">
        <f t="shared" ca="1" si="682"/>
        <v>1</v>
      </c>
      <c r="Y2075" s="250"/>
      <c r="Z2075" s="250"/>
    </row>
    <row r="2076" spans="1:29" s="111" customFormat="1" ht="15" hidden="1" x14ac:dyDescent="0.2">
      <c r="A2076" s="288"/>
      <c r="B2076" s="338"/>
      <c r="C2076" s="339"/>
      <c r="D2076" s="340"/>
      <c r="E2076" s="341"/>
      <c r="F2076" s="342"/>
      <c r="G2076" s="340"/>
      <c r="H2076" s="341"/>
      <c r="I2076" s="342"/>
      <c r="J2076" s="343"/>
      <c r="K2076" s="344"/>
      <c r="L2076" s="345"/>
      <c r="M2076" s="346"/>
      <c r="N2076" s="347"/>
      <c r="O2076" s="348"/>
      <c r="P2076" s="345"/>
      <c r="Q2076" s="349"/>
      <c r="R2076" s="350"/>
      <c r="S2076" s="351"/>
      <c r="T2076" s="352"/>
      <c r="U2076" s="353"/>
      <c r="V2076" s="291">
        <f t="shared" ca="1" si="684"/>
        <v>0</v>
      </c>
      <c r="W2076" s="256">
        <f t="shared" ca="1" si="679"/>
        <v>0</v>
      </c>
      <c r="X2076" s="256">
        <f t="shared" ca="1" si="682"/>
        <v>1</v>
      </c>
      <c r="Y2076" s="250"/>
      <c r="Z2076" s="250"/>
    </row>
    <row r="2077" spans="1:29" s="111" customFormat="1" ht="15.75" hidden="1" customHeight="1" x14ac:dyDescent="0.2">
      <c r="A2077" s="288"/>
      <c r="B2077" s="354"/>
      <c r="C2077" s="355"/>
      <c r="D2077" s="1354" t="s">
        <v>492</v>
      </c>
      <c r="E2077" s="1355"/>
      <c r="F2077" s="1355"/>
      <c r="G2077" s="1355"/>
      <c r="H2077" s="1355"/>
      <c r="I2077" s="1356"/>
      <c r="J2077" s="1357">
        <f>VLOOKUP(A2079,'11 - FINANCEIRO'!_xlnm.Print_Area,6,FALSE)</f>
        <v>248.7</v>
      </c>
      <c r="K2077" s="1358"/>
      <c r="L2077" s="356" t="str">
        <f>VLOOKUP(A2079,'11 - FINANCEIRO'!_xlnm.Print_Area,4,FALSE)</f>
        <v>m</v>
      </c>
      <c r="M2077" s="1359" t="s">
        <v>493</v>
      </c>
      <c r="N2077" s="1360"/>
      <c r="O2077" s="1360"/>
      <c r="P2077" s="1360"/>
      <c r="Q2077" s="1361"/>
      <c r="R2077" s="357">
        <f>TRUNC(SUM(R2073:R2076),3)</f>
        <v>207</v>
      </c>
      <c r="S2077" s="358" t="str">
        <f>L2077</f>
        <v>m</v>
      </c>
      <c r="T2077" s="359"/>
      <c r="U2077" s="360"/>
      <c r="V2077" s="291">
        <f t="shared" ca="1" si="684"/>
        <v>0</v>
      </c>
      <c r="W2077" s="256">
        <f t="shared" ca="1" si="679"/>
        <v>2</v>
      </c>
      <c r="X2077" s="256">
        <f t="shared" ca="1" si="682"/>
        <v>1</v>
      </c>
      <c r="Y2077" s="250"/>
      <c r="Z2077" s="250"/>
    </row>
    <row r="2078" spans="1:29" s="395" customFormat="1" ht="15.75" hidden="1" customHeight="1" x14ac:dyDescent="0.2">
      <c r="A2078" s="276"/>
      <c r="B2078" s="354"/>
      <c r="C2078" s="361"/>
      <c r="D2078" s="1362" t="s">
        <v>494</v>
      </c>
      <c r="E2078" s="1363"/>
      <c r="F2078" s="1363"/>
      <c r="G2078" s="1363"/>
      <c r="H2078" s="1363"/>
      <c r="I2078" s="1364"/>
      <c r="J2078" s="1365">
        <f>R2077/J2077</f>
        <v>0.83232810615199038</v>
      </c>
      <c r="K2078" s="1366"/>
      <c r="L2078" s="1369"/>
      <c r="M2078" s="1371" t="s">
        <v>495</v>
      </c>
      <c r="N2078" s="1372"/>
      <c r="O2078" s="1372"/>
      <c r="P2078" s="1372"/>
      <c r="Q2078" s="1373"/>
      <c r="R2078" s="362">
        <f>VLOOKUP(A2079,'11 - FINANCEIRO'!_xlnm.Print_Area,8,FALSE)</f>
        <v>207</v>
      </c>
      <c r="S2078" s="363" t="str">
        <f>L2077</f>
        <v>m</v>
      </c>
      <c r="T2078" s="858">
        <f>R2077-J2077</f>
        <v>-41.699999999999989</v>
      </c>
      <c r="U2078" s="360"/>
      <c r="V2078" s="291">
        <f t="shared" ca="1" si="684"/>
        <v>0</v>
      </c>
      <c r="W2078" s="256">
        <f t="shared" ca="1" si="679"/>
        <v>2</v>
      </c>
      <c r="X2078" s="256">
        <f t="shared" ca="1" si="682"/>
        <v>1</v>
      </c>
    </row>
    <row r="2079" spans="1:29" s="293" customFormat="1" ht="15.75" hidden="1" customHeight="1" x14ac:dyDescent="0.2">
      <c r="A2079" s="288" t="s">
        <v>76</v>
      </c>
      <c r="B2079" s="364"/>
      <c r="C2079" s="365"/>
      <c r="D2079" s="1354"/>
      <c r="E2079" s="1355"/>
      <c r="F2079" s="1355"/>
      <c r="G2079" s="1355"/>
      <c r="H2079" s="1355"/>
      <c r="I2079" s="1356"/>
      <c r="J2079" s="1367"/>
      <c r="K2079" s="1368"/>
      <c r="L2079" s="1370"/>
      <c r="M2079" s="1371" t="s">
        <v>496</v>
      </c>
      <c r="N2079" s="1372"/>
      <c r="O2079" s="1372"/>
      <c r="P2079" s="1372"/>
      <c r="Q2079" s="1373"/>
      <c r="R2079" s="362">
        <f>R2077-R2078</f>
        <v>0</v>
      </c>
      <c r="S2079" s="363" t="str">
        <f>L2077</f>
        <v>m</v>
      </c>
      <c r="T2079" s="366"/>
      <c r="U2079" s="367"/>
      <c r="V2079" s="291">
        <f t="shared" ca="1" si="684"/>
        <v>0</v>
      </c>
      <c r="W2079" s="256">
        <f t="shared" ca="1" si="679"/>
        <v>2</v>
      </c>
      <c r="X2079" s="256">
        <f t="shared" ca="1" si="682"/>
        <v>1</v>
      </c>
      <c r="Y2079" s="256"/>
      <c r="Z2079" s="256"/>
      <c r="AA2079" s="292"/>
      <c r="AB2079" s="292"/>
      <c r="AC2079" s="292"/>
    </row>
    <row r="2080" spans="1:29" s="111" customFormat="1" ht="15.75" hidden="1" x14ac:dyDescent="0.2">
      <c r="A2080" s="288"/>
      <c r="B2080" s="368"/>
      <c r="C2080" s="365"/>
      <c r="D2080" s="369"/>
      <c r="E2080" s="370"/>
      <c r="F2080" s="369"/>
      <c r="G2080" s="369"/>
      <c r="H2080" s="369"/>
      <c r="I2080" s="369"/>
      <c r="J2080" s="371"/>
      <c r="K2080" s="372"/>
      <c r="L2080" s="373"/>
      <c r="M2080" s="374"/>
      <c r="N2080" s="374"/>
      <c r="O2080" s="374"/>
      <c r="P2080" s="374"/>
      <c r="Q2080" s="374"/>
      <c r="R2080" s="375"/>
      <c r="S2080" s="376"/>
      <c r="T2080" s="377"/>
      <c r="U2080" s="378"/>
      <c r="V2080" s="379">
        <f ca="1">SUM(V2071:V2079)</f>
        <v>0</v>
      </c>
      <c r="W2080" s="256">
        <f t="shared" ca="1" si="679"/>
        <v>1</v>
      </c>
      <c r="X2080" s="256">
        <f t="shared" ca="1" si="682"/>
        <v>0</v>
      </c>
      <c r="Y2080" s="250"/>
      <c r="Z2080" s="250"/>
    </row>
    <row r="2081" spans="1:29" s="293" customFormat="1" ht="15.75" hidden="1" x14ac:dyDescent="0.2">
      <c r="A2081" s="288"/>
      <c r="B2081" s="385" t="str">
        <f>LEFT(A2089,11)</f>
        <v>2.5.3.2</v>
      </c>
      <c r="C2081" s="386" t="str">
        <f>VLOOKUP(LEFT(A2089,11),'11 - FINANCEIRO'!_xlnm.Print_Area,2,FALSE)</f>
        <v>Movimento de Terra</v>
      </c>
      <c r="D2081" s="386"/>
      <c r="E2081" s="387"/>
      <c r="F2081" s="386"/>
      <c r="G2081" s="388"/>
      <c r="H2081" s="391"/>
      <c r="I2081" s="391"/>
      <c r="J2081" s="391"/>
      <c r="K2081" s="391"/>
      <c r="L2081" s="391"/>
      <c r="M2081" s="389"/>
      <c r="N2081" s="390"/>
      <c r="O2081" s="391"/>
      <c r="P2081" s="391"/>
      <c r="Q2081" s="391"/>
      <c r="R2081" s="597"/>
      <c r="S2081" s="598"/>
      <c r="T2081" s="599"/>
      <c r="U2081" s="600"/>
      <c r="V2081" s="549">
        <f ca="1">SUM(V2082:V2211)</f>
        <v>0</v>
      </c>
      <c r="W2081" s="256">
        <f t="shared" ca="1" si="679"/>
        <v>1</v>
      </c>
      <c r="X2081" s="256">
        <f t="shared" ca="1" si="682"/>
        <v>1</v>
      </c>
      <c r="Y2081" s="256"/>
      <c r="Z2081" s="256"/>
      <c r="AA2081" s="292"/>
      <c r="AB2081" s="292"/>
      <c r="AC2081" s="292"/>
    </row>
    <row r="2082" spans="1:29" s="293" customFormat="1" ht="15.75" hidden="1" customHeight="1" x14ac:dyDescent="0.25">
      <c r="A2082" s="288"/>
      <c r="B2082" s="1374" t="str">
        <f>VLOOKUP(A2090,'11 - FINANCEIRO'!_xlnm.Print_Area,1,FALSE)</f>
        <v>2.5.3.2.1</v>
      </c>
      <c r="C2082" s="1376" t="str">
        <f>VLOOKUP(A2090,'11 - FINANCEIRO'!_xlnm.Print_Area,3,FALSE)</f>
        <v>Escavação Mecânica De Vala Em Material De 1ª Categoria</v>
      </c>
      <c r="D2082" s="1378" t="s">
        <v>477</v>
      </c>
      <c r="E2082" s="1379"/>
      <c r="F2082" s="1379"/>
      <c r="G2082" s="1379"/>
      <c r="H2082" s="1379"/>
      <c r="I2082" s="1380"/>
      <c r="J2082" s="1338" t="s">
        <v>296</v>
      </c>
      <c r="K2082" s="1338" t="s">
        <v>479</v>
      </c>
      <c r="L2082" s="1338" t="s">
        <v>480</v>
      </c>
      <c r="M2082" s="1338" t="s">
        <v>481</v>
      </c>
      <c r="N2082" s="1338" t="s">
        <v>482</v>
      </c>
      <c r="O2082" s="1338" t="s">
        <v>483</v>
      </c>
      <c r="P2082" s="290" t="s">
        <v>484</v>
      </c>
      <c r="Q2082" s="1338" t="s">
        <v>485</v>
      </c>
      <c r="R2082" s="1336" t="s">
        <v>296</v>
      </c>
      <c r="S2082" s="1338" t="s">
        <v>486</v>
      </c>
      <c r="T2082" s="1338" t="s">
        <v>487</v>
      </c>
      <c r="U2082" s="1340" t="s">
        <v>488</v>
      </c>
      <c r="V2082" s="291">
        <f t="shared" ref="V2082:V2090" ca="1" si="685">IF(OFFSET(V2082,1,1)=1,OFFSET(V2082,0,-4),OFFSET(V2082,1,0))</f>
        <v>0</v>
      </c>
      <c r="W2082" s="256">
        <f t="shared" ca="1" si="679"/>
        <v>2</v>
      </c>
      <c r="X2082" s="256">
        <f t="shared" ca="1" si="682"/>
        <v>1</v>
      </c>
      <c r="Y2082" s="256"/>
      <c r="Z2082" s="256"/>
      <c r="AA2082" s="292"/>
      <c r="AB2082" s="292"/>
      <c r="AC2082" s="292"/>
    </row>
    <row r="2083" spans="1:29" s="337" customFormat="1" ht="15.75" hidden="1" x14ac:dyDescent="0.2">
      <c r="A2083" s="288"/>
      <c r="B2083" s="1375" t="e">
        <f>LEFT(#REF!,5)</f>
        <v>#REF!</v>
      </c>
      <c r="C2083" s="1377" t="e">
        <f>VLOOKUP(LEFT(#REF!,5),'11 - FINANCEIRO'!_xlnm.Print_Area,2,FALSE)</f>
        <v>#REF!</v>
      </c>
      <c r="D2083" s="1342" t="s">
        <v>489</v>
      </c>
      <c r="E2083" s="1343"/>
      <c r="F2083" s="1344"/>
      <c r="G2083" s="1345" t="s">
        <v>490</v>
      </c>
      <c r="H2083" s="1346"/>
      <c r="I2083" s="1347"/>
      <c r="J2083" s="1339"/>
      <c r="K2083" s="1339"/>
      <c r="L2083" s="1339"/>
      <c r="M2083" s="1339"/>
      <c r="N2083" s="1339"/>
      <c r="O2083" s="1339"/>
      <c r="P2083" s="295" t="s">
        <v>491</v>
      </c>
      <c r="Q2083" s="1339"/>
      <c r="R2083" s="1337"/>
      <c r="S2083" s="1339"/>
      <c r="T2083" s="1339"/>
      <c r="U2083" s="1341"/>
      <c r="V2083" s="291">
        <f t="shared" ca="1" si="685"/>
        <v>0</v>
      </c>
      <c r="W2083" s="256">
        <f t="shared" ca="1" si="679"/>
        <v>2</v>
      </c>
      <c r="X2083" s="256">
        <f t="shared" ca="1" si="682"/>
        <v>1</v>
      </c>
      <c r="Y2083" s="336"/>
      <c r="Z2083" s="336"/>
    </row>
    <row r="2084" spans="1:29" s="337" customFormat="1" ht="15.75" hidden="1" x14ac:dyDescent="0.2">
      <c r="A2084" s="288"/>
      <c r="B2084" s="296"/>
      <c r="C2084" s="297" t="s">
        <v>1100</v>
      </c>
      <c r="D2084" s="419">
        <v>79</v>
      </c>
      <c r="E2084" s="316" t="s">
        <v>518</v>
      </c>
      <c r="F2084" s="420">
        <v>16</v>
      </c>
      <c r="G2084" s="419">
        <v>69</v>
      </c>
      <c r="H2084" s="316" t="s">
        <v>518</v>
      </c>
      <c r="I2084" s="420">
        <v>9</v>
      </c>
      <c r="J2084" s="317"/>
      <c r="K2084" s="433">
        <f>ABS((G2084*20+I2084)-(D2084*20+F2084))</f>
        <v>207</v>
      </c>
      <c r="L2084" s="416">
        <v>0.6</v>
      </c>
      <c r="M2084" s="416">
        <v>1.2</v>
      </c>
      <c r="O2084" s="304">
        <f>M2084*L2084*K2084</f>
        <v>149.04</v>
      </c>
      <c r="P2084" s="306"/>
      <c r="Q2084" s="304"/>
      <c r="R2084" s="897">
        <f>O2084</f>
        <v>149.04</v>
      </c>
      <c r="S2084" s="304"/>
      <c r="T2084" s="309">
        <v>33</v>
      </c>
      <c r="U2084" s="310"/>
      <c r="V2084" s="291">
        <f t="shared" ca="1" si="685"/>
        <v>0</v>
      </c>
      <c r="W2084" s="256">
        <f t="shared" ca="1" si="679"/>
        <v>2</v>
      </c>
      <c r="X2084" s="256">
        <f t="shared" ca="1" si="682"/>
        <v>1</v>
      </c>
      <c r="Y2084" s="336"/>
      <c r="Z2084" s="336"/>
    </row>
    <row r="2085" spans="1:29" s="111" customFormat="1" ht="15.75" hidden="1" x14ac:dyDescent="0.2">
      <c r="A2085" s="288"/>
      <c r="B2085" s="311"/>
      <c r="C2085" s="312"/>
      <c r="D2085" s="313"/>
      <c r="E2085" s="314"/>
      <c r="F2085" s="315"/>
      <c r="G2085" s="380"/>
      <c r="H2085" s="316"/>
      <c r="I2085" s="381"/>
      <c r="J2085" s="317"/>
      <c r="K2085" s="313"/>
      <c r="L2085" s="317"/>
      <c r="M2085" s="315"/>
      <c r="N2085" s="314"/>
      <c r="O2085" s="313"/>
      <c r="P2085" s="318"/>
      <c r="Q2085" s="315"/>
      <c r="R2085" s="319"/>
      <c r="S2085" s="317"/>
      <c r="T2085" s="320"/>
      <c r="U2085" s="321"/>
      <c r="V2085" s="291">
        <f t="shared" ca="1" si="685"/>
        <v>0</v>
      </c>
      <c r="W2085" s="256">
        <f t="shared" ca="1" si="679"/>
        <v>0</v>
      </c>
      <c r="X2085" s="256">
        <f t="shared" ca="1" si="682"/>
        <v>1</v>
      </c>
      <c r="Y2085" s="250"/>
      <c r="Z2085" s="250"/>
    </row>
    <row r="2086" spans="1:29" s="111" customFormat="1" ht="15" hidden="1" x14ac:dyDescent="0.2">
      <c r="A2086" s="288"/>
      <c r="B2086" s="322"/>
      <c r="C2086" s="382"/>
      <c r="D2086" s="324"/>
      <c r="E2086" s="325"/>
      <c r="F2086" s="326"/>
      <c r="G2086" s="324"/>
      <c r="H2086" s="325"/>
      <c r="I2086" s="326"/>
      <c r="J2086" s="317"/>
      <c r="K2086" s="328"/>
      <c r="L2086" s="328"/>
      <c r="M2086" s="328"/>
      <c r="N2086" s="328"/>
      <c r="O2086" s="334"/>
      <c r="P2086" s="328"/>
      <c r="Q2086" s="334"/>
      <c r="R2086" s="333"/>
      <c r="S2086" s="331"/>
      <c r="T2086" s="320"/>
      <c r="U2086" s="335"/>
      <c r="V2086" s="291">
        <f t="shared" ca="1" si="685"/>
        <v>0</v>
      </c>
      <c r="W2086" s="256">
        <f t="shared" ca="1" si="679"/>
        <v>0</v>
      </c>
      <c r="X2086" s="256">
        <f t="shared" ca="1" si="682"/>
        <v>1</v>
      </c>
      <c r="Y2086" s="250"/>
      <c r="Z2086" s="250"/>
    </row>
    <row r="2087" spans="1:29" s="111" customFormat="1" ht="15" hidden="1" x14ac:dyDescent="0.2">
      <c r="A2087" s="288"/>
      <c r="B2087" s="338"/>
      <c r="C2087" s="339"/>
      <c r="D2087" s="340"/>
      <c r="E2087" s="341"/>
      <c r="F2087" s="342"/>
      <c r="G2087" s="340"/>
      <c r="H2087" s="341"/>
      <c r="I2087" s="342"/>
      <c r="J2087" s="343"/>
      <c r="K2087" s="344"/>
      <c r="L2087" s="345"/>
      <c r="M2087" s="346"/>
      <c r="N2087" s="347"/>
      <c r="O2087" s="348"/>
      <c r="P2087" s="345"/>
      <c r="Q2087" s="349"/>
      <c r="R2087" s="350"/>
      <c r="S2087" s="351"/>
      <c r="T2087" s="352"/>
      <c r="U2087" s="353"/>
      <c r="V2087" s="291">
        <f t="shared" ca="1" si="685"/>
        <v>0</v>
      </c>
      <c r="W2087" s="256">
        <f t="shared" ca="1" si="679"/>
        <v>0</v>
      </c>
      <c r="X2087" s="256">
        <f t="shared" ca="1" si="682"/>
        <v>1</v>
      </c>
      <c r="Y2087" s="250"/>
      <c r="Z2087" s="250"/>
    </row>
    <row r="2088" spans="1:29" s="111" customFormat="1" ht="15.75" hidden="1" customHeight="1" x14ac:dyDescent="0.2">
      <c r="A2088" s="288"/>
      <c r="B2088" s="354"/>
      <c r="C2088" s="355"/>
      <c r="D2088" s="1354" t="s">
        <v>492</v>
      </c>
      <c r="E2088" s="1355"/>
      <c r="F2088" s="1355"/>
      <c r="G2088" s="1355"/>
      <c r="H2088" s="1355"/>
      <c r="I2088" s="1356"/>
      <c r="J2088" s="1357">
        <f>VLOOKUP(A2090,'11 - FINANCEIRO'!_xlnm.Print_Area,6,FALSE)</f>
        <v>255.38</v>
      </c>
      <c r="K2088" s="1358"/>
      <c r="L2088" s="356" t="str">
        <f>VLOOKUP(A2090,'11 - FINANCEIRO'!_xlnm.Print_Area,4,FALSE)</f>
        <v>m³</v>
      </c>
      <c r="M2088" s="1359" t="s">
        <v>493</v>
      </c>
      <c r="N2088" s="1360"/>
      <c r="O2088" s="1360"/>
      <c r="P2088" s="1360"/>
      <c r="Q2088" s="1361"/>
      <c r="R2088" s="357">
        <f>TRUNC(SUM(R2084:R2087),3)</f>
        <v>149.04</v>
      </c>
      <c r="S2088" s="358" t="str">
        <f>L2088</f>
        <v>m³</v>
      </c>
      <c r="T2088" s="1384"/>
      <c r="U2088" s="1385"/>
      <c r="V2088" s="291">
        <f t="shared" ca="1" si="685"/>
        <v>0</v>
      </c>
      <c r="W2088" s="256">
        <f t="shared" ca="1" si="679"/>
        <v>2</v>
      </c>
      <c r="X2088" s="256">
        <f t="shared" ca="1" si="682"/>
        <v>1</v>
      </c>
      <c r="Y2088" s="250"/>
      <c r="Z2088" s="250"/>
    </row>
    <row r="2089" spans="1:29" s="293" customFormat="1" ht="15.75" hidden="1" customHeight="1" x14ac:dyDescent="0.2">
      <c r="A2089" s="288" t="s">
        <v>77</v>
      </c>
      <c r="B2089" s="354"/>
      <c r="C2089" s="361"/>
      <c r="D2089" s="1362" t="s">
        <v>494</v>
      </c>
      <c r="E2089" s="1363"/>
      <c r="F2089" s="1363"/>
      <c r="G2089" s="1363"/>
      <c r="H2089" s="1363"/>
      <c r="I2089" s="1364"/>
      <c r="J2089" s="1365">
        <f>R2088/J2088</f>
        <v>0.58360090845015267</v>
      </c>
      <c r="K2089" s="1366"/>
      <c r="L2089" s="1369"/>
      <c r="M2089" s="1371" t="s">
        <v>495</v>
      </c>
      <c r="N2089" s="1372"/>
      <c r="O2089" s="1372"/>
      <c r="P2089" s="1372"/>
      <c r="Q2089" s="1373"/>
      <c r="R2089" s="362">
        <f>VLOOKUP(A2090,'11 - FINANCEIRO'!_xlnm.Print_Area,8,FALSE)</f>
        <v>149.04</v>
      </c>
      <c r="S2089" s="363" t="str">
        <f>L2088</f>
        <v>m³</v>
      </c>
      <c r="T2089" s="1386"/>
      <c r="U2089" s="1387"/>
      <c r="V2089" s="291">
        <f t="shared" ca="1" si="685"/>
        <v>0</v>
      </c>
      <c r="W2089" s="256">
        <f t="shared" ca="1" si="679"/>
        <v>2</v>
      </c>
      <c r="X2089" s="256">
        <f t="shared" ca="1" si="682"/>
        <v>1</v>
      </c>
      <c r="Y2089" s="256"/>
      <c r="Z2089" s="256"/>
      <c r="AA2089" s="292"/>
      <c r="AB2089" s="292"/>
      <c r="AC2089" s="292"/>
    </row>
    <row r="2090" spans="1:29" s="293" customFormat="1" ht="15.75" hidden="1" customHeight="1" x14ac:dyDescent="0.2">
      <c r="A2090" s="288" t="s">
        <v>78</v>
      </c>
      <c r="B2090" s="364"/>
      <c r="C2090" s="365"/>
      <c r="D2090" s="1354"/>
      <c r="E2090" s="1355"/>
      <c r="F2090" s="1355"/>
      <c r="G2090" s="1355"/>
      <c r="H2090" s="1355"/>
      <c r="I2090" s="1356"/>
      <c r="J2090" s="1367"/>
      <c r="K2090" s="1368"/>
      <c r="L2090" s="1370"/>
      <c r="M2090" s="1371" t="s">
        <v>496</v>
      </c>
      <c r="N2090" s="1372"/>
      <c r="O2090" s="1372"/>
      <c r="P2090" s="1372"/>
      <c r="Q2090" s="1373"/>
      <c r="R2090" s="362">
        <f>R2088-R2089</f>
        <v>0</v>
      </c>
      <c r="S2090" s="363" t="str">
        <f>L2088</f>
        <v>m³</v>
      </c>
      <c r="T2090" s="1388"/>
      <c r="U2090" s="1389"/>
      <c r="V2090" s="291">
        <f t="shared" ca="1" si="685"/>
        <v>0</v>
      </c>
      <c r="W2090" s="256">
        <f t="shared" ca="1" si="679"/>
        <v>2</v>
      </c>
      <c r="X2090" s="256">
        <f t="shared" ca="1" si="682"/>
        <v>1</v>
      </c>
      <c r="Y2090" s="256"/>
      <c r="Z2090" s="256"/>
      <c r="AA2090" s="292"/>
      <c r="AB2090" s="292"/>
      <c r="AC2090" s="292"/>
    </row>
    <row r="2091" spans="1:29" s="111" customFormat="1" ht="15.75" hidden="1" x14ac:dyDescent="0.2">
      <c r="A2091" s="288"/>
      <c r="B2091" s="368"/>
      <c r="C2091" s="365"/>
      <c r="D2091" s="369"/>
      <c r="E2091" s="370"/>
      <c r="F2091" s="369"/>
      <c r="G2091" s="369"/>
      <c r="H2091" s="369"/>
      <c r="I2091" s="369"/>
      <c r="J2091" s="371"/>
      <c r="K2091" s="372"/>
      <c r="L2091" s="373"/>
      <c r="M2091" s="374"/>
      <c r="N2091" s="374"/>
      <c r="O2091" s="374"/>
      <c r="P2091" s="374"/>
      <c r="Q2091" s="374"/>
      <c r="R2091" s="375"/>
      <c r="S2091" s="376"/>
      <c r="T2091" s="377"/>
      <c r="U2091" s="378"/>
      <c r="V2091" s="379">
        <f ca="1">SUM(V2082:V2090)</f>
        <v>0</v>
      </c>
      <c r="W2091" s="256">
        <f t="shared" ca="1" si="679"/>
        <v>1</v>
      </c>
      <c r="X2091" s="256">
        <f t="shared" ca="1" si="682"/>
        <v>0</v>
      </c>
      <c r="Y2091" s="250"/>
      <c r="Z2091" s="250"/>
    </row>
    <row r="2092" spans="1:29" s="293" customFormat="1" ht="15.75" hidden="1" customHeight="1" x14ac:dyDescent="0.25">
      <c r="A2092" s="288"/>
      <c r="B2092" s="1374" t="str">
        <f>VLOOKUP(A2100,'11 - FINANCEIRO'!_xlnm.Print_Area,1,FALSE)</f>
        <v>2.5.3.2.2</v>
      </c>
      <c r="C2092" s="1376" t="str">
        <f>VLOOKUP(A2100,'11 - FINANCEIRO'!_xlnm.Print_Area,3,FALSE)</f>
        <v>Escavação Manual De Vala Em Material De 1ª Categoria</v>
      </c>
      <c r="D2092" s="1378" t="s">
        <v>477</v>
      </c>
      <c r="E2092" s="1379"/>
      <c r="F2092" s="1379"/>
      <c r="G2092" s="1379"/>
      <c r="H2092" s="1379"/>
      <c r="I2092" s="1380"/>
      <c r="J2092" s="1338" t="s">
        <v>296</v>
      </c>
      <c r="K2092" s="1338" t="s">
        <v>479</v>
      </c>
      <c r="L2092" s="1338" t="s">
        <v>480</v>
      </c>
      <c r="M2092" s="1338" t="s">
        <v>481</v>
      </c>
      <c r="N2092" s="1338" t="s">
        <v>482</v>
      </c>
      <c r="O2092" s="1338" t="s">
        <v>483</v>
      </c>
      <c r="P2092" s="290" t="s">
        <v>484</v>
      </c>
      <c r="Q2092" s="1338" t="s">
        <v>485</v>
      </c>
      <c r="R2092" s="1336" t="s">
        <v>296</v>
      </c>
      <c r="S2092" s="1338" t="s">
        <v>486</v>
      </c>
      <c r="T2092" s="1338" t="s">
        <v>487</v>
      </c>
      <c r="U2092" s="1340" t="s">
        <v>488</v>
      </c>
      <c r="V2092" s="291">
        <f t="shared" ref="V2092:V2100" ca="1" si="686">IF(OFFSET(V2092,1,1)=1,OFFSET(V2092,0,-4),OFFSET(V2092,1,0))</f>
        <v>0</v>
      </c>
      <c r="W2092" s="256">
        <f t="shared" ca="1" si="679"/>
        <v>2</v>
      </c>
      <c r="X2092" s="256">
        <f t="shared" ca="1" si="682"/>
        <v>1</v>
      </c>
      <c r="Y2092" s="256"/>
      <c r="Z2092" s="256"/>
      <c r="AA2092" s="292"/>
      <c r="AB2092" s="292"/>
      <c r="AC2092" s="292"/>
    </row>
    <row r="2093" spans="1:29" s="337" customFormat="1" ht="15.75" hidden="1" x14ac:dyDescent="0.2">
      <c r="A2093" s="288"/>
      <c r="B2093" s="1375" t="e">
        <f>LEFT(#REF!,5)</f>
        <v>#REF!</v>
      </c>
      <c r="C2093" s="1377" t="e">
        <f>VLOOKUP(LEFT(#REF!,5),'11 - FINANCEIRO'!_xlnm.Print_Area,2,FALSE)</f>
        <v>#REF!</v>
      </c>
      <c r="D2093" s="1342" t="s">
        <v>489</v>
      </c>
      <c r="E2093" s="1343"/>
      <c r="F2093" s="1344"/>
      <c r="G2093" s="1345" t="s">
        <v>490</v>
      </c>
      <c r="H2093" s="1346"/>
      <c r="I2093" s="1347"/>
      <c r="J2093" s="1339"/>
      <c r="K2093" s="1339"/>
      <c r="L2093" s="1339"/>
      <c r="M2093" s="1339"/>
      <c r="N2093" s="1339"/>
      <c r="O2093" s="1339"/>
      <c r="P2093" s="295" t="s">
        <v>491</v>
      </c>
      <c r="Q2093" s="1339"/>
      <c r="R2093" s="1337"/>
      <c r="S2093" s="1339"/>
      <c r="T2093" s="1339"/>
      <c r="U2093" s="1341"/>
      <c r="V2093" s="291">
        <f t="shared" ca="1" si="686"/>
        <v>0</v>
      </c>
      <c r="W2093" s="256">
        <f t="shared" ca="1" si="679"/>
        <v>2</v>
      </c>
      <c r="X2093" s="256">
        <f t="shared" ca="1" si="682"/>
        <v>1</v>
      </c>
      <c r="Y2093" s="336"/>
      <c r="Z2093" s="336"/>
    </row>
    <row r="2094" spans="1:29" s="337" customFormat="1" ht="15.75" hidden="1" x14ac:dyDescent="0.2">
      <c r="A2094" s="288"/>
      <c r="B2094" s="296"/>
      <c r="C2094" s="297" t="s">
        <v>1116</v>
      </c>
      <c r="D2094" s="419">
        <v>79</v>
      </c>
      <c r="E2094" s="316" t="s">
        <v>518</v>
      </c>
      <c r="F2094" s="420">
        <v>16</v>
      </c>
      <c r="G2094" s="419">
        <v>69</v>
      </c>
      <c r="H2094" s="316" t="s">
        <v>518</v>
      </c>
      <c r="I2094" s="420">
        <v>9</v>
      </c>
      <c r="J2094" s="317">
        <v>12</v>
      </c>
      <c r="K2094" s="433">
        <v>3</v>
      </c>
      <c r="L2094" s="304">
        <v>0.6</v>
      </c>
      <c r="M2094" s="304">
        <v>1.2</v>
      </c>
      <c r="N2094" s="304"/>
      <c r="O2094" s="304">
        <v>25.92</v>
      </c>
      <c r="P2094" s="306"/>
      <c r="Q2094" s="304"/>
      <c r="R2094" s="897">
        <v>25.92</v>
      </c>
      <c r="S2094" s="416" t="s">
        <v>323</v>
      </c>
      <c r="T2094" s="309">
        <v>33</v>
      </c>
      <c r="U2094" s="310"/>
      <c r="V2094" s="291">
        <f t="shared" ca="1" si="686"/>
        <v>0</v>
      </c>
      <c r="W2094" s="256">
        <f t="shared" ca="1" si="679"/>
        <v>2</v>
      </c>
      <c r="X2094" s="256">
        <f t="shared" ca="1" si="682"/>
        <v>1</v>
      </c>
      <c r="Y2094" s="336"/>
      <c r="Z2094" s="336"/>
    </row>
    <row r="2095" spans="1:29" s="111" customFormat="1" ht="15.75" hidden="1" x14ac:dyDescent="0.2">
      <c r="A2095" s="288"/>
      <c r="B2095" s="311"/>
      <c r="C2095" s="312"/>
      <c r="D2095" s="313"/>
      <c r="E2095" s="314"/>
      <c r="F2095" s="315"/>
      <c r="G2095" s="380"/>
      <c r="H2095" s="316"/>
      <c r="I2095" s="381"/>
      <c r="J2095" s="317"/>
      <c r="K2095" s="313"/>
      <c r="L2095" s="317"/>
      <c r="M2095" s="315"/>
      <c r="N2095" s="314"/>
      <c r="O2095" s="313"/>
      <c r="P2095" s="318"/>
      <c r="Q2095" s="315"/>
      <c r="R2095" s="319"/>
      <c r="S2095" s="317"/>
      <c r="T2095" s="320"/>
      <c r="U2095" s="321"/>
      <c r="V2095" s="291">
        <f t="shared" ca="1" si="686"/>
        <v>0</v>
      </c>
      <c r="W2095" s="256">
        <f t="shared" ca="1" si="679"/>
        <v>0</v>
      </c>
      <c r="X2095" s="256">
        <f t="shared" ca="1" si="682"/>
        <v>1</v>
      </c>
      <c r="Y2095" s="250"/>
      <c r="Z2095" s="250"/>
    </row>
    <row r="2096" spans="1:29" s="111" customFormat="1" ht="17.25" hidden="1" x14ac:dyDescent="0.2">
      <c r="A2096" s="288"/>
      <c r="B2096" s="322"/>
      <c r="C2096" s="382"/>
      <c r="D2096" s="324"/>
      <c r="E2096" s="325"/>
      <c r="F2096" s="326"/>
      <c r="G2096" s="324"/>
      <c r="H2096" s="325"/>
      <c r="I2096" s="326"/>
      <c r="J2096" s="317"/>
      <c r="K2096" s="328"/>
      <c r="L2096" s="328"/>
      <c r="M2096" s="898"/>
      <c r="N2096" s="328"/>
      <c r="O2096" s="334"/>
      <c r="P2096" s="328"/>
      <c r="Q2096" s="334"/>
      <c r="R2096" s="333"/>
      <c r="S2096" s="331"/>
      <c r="T2096" s="320"/>
      <c r="U2096" s="335"/>
      <c r="V2096" s="291">
        <f t="shared" ca="1" si="686"/>
        <v>0</v>
      </c>
      <c r="W2096" s="256">
        <f t="shared" ca="1" si="679"/>
        <v>0</v>
      </c>
      <c r="X2096" s="256">
        <f t="shared" ca="1" si="682"/>
        <v>1</v>
      </c>
      <c r="Y2096" s="250"/>
      <c r="Z2096" s="250"/>
    </row>
    <row r="2097" spans="1:29" s="111" customFormat="1" ht="15" hidden="1" x14ac:dyDescent="0.2">
      <c r="A2097" s="288"/>
      <c r="B2097" s="338"/>
      <c r="C2097" s="339"/>
      <c r="D2097" s="340"/>
      <c r="E2097" s="341"/>
      <c r="F2097" s="342"/>
      <c r="G2097" s="340"/>
      <c r="H2097" s="341"/>
      <c r="I2097" s="342"/>
      <c r="J2097" s="343"/>
      <c r="K2097" s="344"/>
      <c r="L2097" s="345"/>
      <c r="M2097" s="346"/>
      <c r="N2097" s="347"/>
      <c r="O2097" s="348"/>
      <c r="P2097" s="345"/>
      <c r="Q2097" s="349"/>
      <c r="R2097" s="350"/>
      <c r="S2097" s="351"/>
      <c r="T2097" s="352"/>
      <c r="U2097" s="353"/>
      <c r="V2097" s="291">
        <f t="shared" ca="1" si="686"/>
        <v>0</v>
      </c>
      <c r="W2097" s="256">
        <f t="shared" ca="1" si="679"/>
        <v>0</v>
      </c>
      <c r="X2097" s="256">
        <f t="shared" ca="1" si="682"/>
        <v>1</v>
      </c>
      <c r="Y2097" s="250"/>
      <c r="Z2097" s="250"/>
    </row>
    <row r="2098" spans="1:29" s="111" customFormat="1" ht="15.75" hidden="1" customHeight="1" x14ac:dyDescent="0.2">
      <c r="A2098" s="288"/>
      <c r="B2098" s="354"/>
      <c r="C2098" s="355"/>
      <c r="D2098" s="1354" t="s">
        <v>492</v>
      </c>
      <c r="E2098" s="1355"/>
      <c r="F2098" s="1355"/>
      <c r="G2098" s="1355"/>
      <c r="H2098" s="1355"/>
      <c r="I2098" s="1356"/>
      <c r="J2098" s="1357">
        <f>VLOOKUP(A2100,'11 - FINANCEIRO'!_xlnm.Print_Area,6,FALSE)</f>
        <v>28.38</v>
      </c>
      <c r="K2098" s="1358"/>
      <c r="L2098" s="356" t="str">
        <f>VLOOKUP(A2100,'11 - FINANCEIRO'!_xlnm.Print_Area,4,FALSE)</f>
        <v>m³</v>
      </c>
      <c r="M2098" s="1359" t="s">
        <v>493</v>
      </c>
      <c r="N2098" s="1360"/>
      <c r="O2098" s="1360"/>
      <c r="P2098" s="1360"/>
      <c r="Q2098" s="1361"/>
      <c r="R2098" s="357">
        <f>TRUNC(SUM(R2094:R2097),3)</f>
        <v>25.92</v>
      </c>
      <c r="S2098" s="358" t="str">
        <f>L2098</f>
        <v>m³</v>
      </c>
      <c r="T2098" s="359"/>
      <c r="U2098" s="360"/>
      <c r="V2098" s="291">
        <f t="shared" ca="1" si="686"/>
        <v>0</v>
      </c>
      <c r="W2098" s="256">
        <f t="shared" ca="1" si="679"/>
        <v>2</v>
      </c>
      <c r="X2098" s="256">
        <f t="shared" ca="1" si="682"/>
        <v>1</v>
      </c>
      <c r="Y2098" s="250"/>
      <c r="Z2098" s="250"/>
    </row>
    <row r="2099" spans="1:29" s="395" customFormat="1" ht="15.75" hidden="1" customHeight="1" x14ac:dyDescent="0.2">
      <c r="A2099" s="276"/>
      <c r="B2099" s="354"/>
      <c r="C2099" s="361"/>
      <c r="D2099" s="1362" t="s">
        <v>494</v>
      </c>
      <c r="E2099" s="1363"/>
      <c r="F2099" s="1363"/>
      <c r="G2099" s="1363"/>
      <c r="H2099" s="1363"/>
      <c r="I2099" s="1364"/>
      <c r="J2099" s="1365">
        <f>R2098/J2098</f>
        <v>0.91331923890063438</v>
      </c>
      <c r="K2099" s="1366"/>
      <c r="L2099" s="1369"/>
      <c r="M2099" s="1371" t="s">
        <v>495</v>
      </c>
      <c r="N2099" s="1372"/>
      <c r="O2099" s="1372"/>
      <c r="P2099" s="1372"/>
      <c r="Q2099" s="1373"/>
      <c r="R2099" s="362">
        <f>VLOOKUP(A2100,'11 - FINANCEIRO'!_xlnm.Print_Area,8,FALSE)</f>
        <v>25.92</v>
      </c>
      <c r="S2099" s="363" t="str">
        <f>L2098</f>
        <v>m³</v>
      </c>
      <c r="T2099" s="359"/>
      <c r="U2099" s="360"/>
      <c r="V2099" s="291">
        <f t="shared" ca="1" si="686"/>
        <v>0</v>
      </c>
      <c r="W2099" s="256">
        <f t="shared" ca="1" si="679"/>
        <v>2</v>
      </c>
      <c r="X2099" s="256">
        <f t="shared" ca="1" si="682"/>
        <v>1</v>
      </c>
    </row>
    <row r="2100" spans="1:29" s="293" customFormat="1" ht="15.75" hidden="1" customHeight="1" x14ac:dyDescent="0.2">
      <c r="A2100" s="288" t="s">
        <v>79</v>
      </c>
      <c r="B2100" s="364"/>
      <c r="C2100" s="365"/>
      <c r="D2100" s="1354"/>
      <c r="E2100" s="1355"/>
      <c r="F2100" s="1355"/>
      <c r="G2100" s="1355"/>
      <c r="H2100" s="1355"/>
      <c r="I2100" s="1356"/>
      <c r="J2100" s="1367"/>
      <c r="K2100" s="1368"/>
      <c r="L2100" s="1370"/>
      <c r="M2100" s="1371" t="s">
        <v>496</v>
      </c>
      <c r="N2100" s="1372"/>
      <c r="O2100" s="1372"/>
      <c r="P2100" s="1372"/>
      <c r="Q2100" s="1373"/>
      <c r="R2100" s="362">
        <f>R2098-R2099</f>
        <v>0</v>
      </c>
      <c r="S2100" s="363" t="str">
        <f>L2098</f>
        <v>m³</v>
      </c>
      <c r="T2100" s="366"/>
      <c r="U2100" s="367"/>
      <c r="V2100" s="291">
        <f t="shared" ca="1" si="686"/>
        <v>0</v>
      </c>
      <c r="W2100" s="256">
        <f t="shared" ref="W2100:W2163" ca="1" si="687">IF(LEFT(_xlfn.FORMULATEXT(V2100),3)="=SO",1,IF(COUNTA(A2100:U2100)=0,0,2))</f>
        <v>2</v>
      </c>
      <c r="X2100" s="256">
        <f t="shared" ca="1" si="682"/>
        <v>1</v>
      </c>
      <c r="Y2100" s="256"/>
      <c r="Z2100" s="256"/>
      <c r="AA2100" s="292"/>
      <c r="AB2100" s="292"/>
      <c r="AC2100" s="292"/>
    </row>
    <row r="2101" spans="1:29" s="111" customFormat="1" ht="15.75" hidden="1" x14ac:dyDescent="0.2">
      <c r="A2101" s="288"/>
      <c r="B2101" s="368"/>
      <c r="C2101" s="365"/>
      <c r="D2101" s="369"/>
      <c r="E2101" s="370"/>
      <c r="F2101" s="369"/>
      <c r="G2101" s="369"/>
      <c r="H2101" s="369"/>
      <c r="I2101" s="369"/>
      <c r="J2101" s="371"/>
      <c r="K2101" s="372"/>
      <c r="L2101" s="373"/>
      <c r="M2101" s="374"/>
      <c r="N2101" s="899"/>
      <c r="O2101" s="374"/>
      <c r="P2101" s="374"/>
      <c r="Q2101" s="374"/>
      <c r="R2101" s="375"/>
      <c r="S2101" s="376"/>
      <c r="T2101" s="377"/>
      <c r="U2101" s="378"/>
      <c r="V2101" s="379">
        <f ca="1">SUM(V2092:V2100)</f>
        <v>0</v>
      </c>
      <c r="W2101" s="256">
        <f t="shared" ca="1" si="687"/>
        <v>1</v>
      </c>
      <c r="X2101" s="256">
        <f t="shared" ca="1" si="682"/>
        <v>0</v>
      </c>
      <c r="Y2101" s="250"/>
      <c r="Z2101" s="250"/>
    </row>
    <row r="2102" spans="1:29" s="293" customFormat="1" ht="15.75" hidden="1" customHeight="1" x14ac:dyDescent="0.25">
      <c r="A2102" s="288"/>
      <c r="B2102" s="1374" t="str">
        <f>VLOOKUP(A2110,'11 - FINANCEIRO'!_xlnm.Print_Area,1,FALSE)</f>
        <v>2.5.3.2.3</v>
      </c>
      <c r="C2102" s="1376" t="str">
        <f>VLOOKUP(A2110,'11 - FINANCEIRO'!_xlnm.Print_Area,3,FALSE)</f>
        <v>Aterro Manual Para Regularização Do Terreno Em Areia, Inclusive Adensamento Hidráulico E Fornecimento Do Material (Máximo De 100M3)</v>
      </c>
      <c r="D2102" s="1378" t="s">
        <v>477</v>
      </c>
      <c r="E2102" s="1379"/>
      <c r="F2102" s="1379"/>
      <c r="G2102" s="1379"/>
      <c r="H2102" s="1379"/>
      <c r="I2102" s="1380"/>
      <c r="J2102" s="1338" t="s">
        <v>296</v>
      </c>
      <c r="K2102" s="1338" t="s">
        <v>479</v>
      </c>
      <c r="L2102" s="1338" t="s">
        <v>480</v>
      </c>
      <c r="M2102" s="1338" t="s">
        <v>481</v>
      </c>
      <c r="N2102" s="1338" t="s">
        <v>482</v>
      </c>
      <c r="O2102" s="1338" t="s">
        <v>483</v>
      </c>
      <c r="P2102" s="290" t="s">
        <v>484</v>
      </c>
      <c r="Q2102" s="1338" t="s">
        <v>485</v>
      </c>
      <c r="R2102" s="1336" t="s">
        <v>296</v>
      </c>
      <c r="S2102" s="1338" t="s">
        <v>486</v>
      </c>
      <c r="T2102" s="1338" t="s">
        <v>487</v>
      </c>
      <c r="U2102" s="1340" t="s">
        <v>488</v>
      </c>
      <c r="V2102" s="291">
        <f t="shared" ref="V2102:V2110" ca="1" si="688">IF(OFFSET(V2102,1,1)=1,OFFSET(V2102,0,-4),OFFSET(V2102,1,0))</f>
        <v>0</v>
      </c>
      <c r="W2102" s="256">
        <f t="shared" ca="1" si="687"/>
        <v>2</v>
      </c>
      <c r="X2102" s="256">
        <f t="shared" ca="1" si="682"/>
        <v>1</v>
      </c>
      <c r="Y2102" s="256"/>
      <c r="Z2102" s="256"/>
      <c r="AA2102" s="292"/>
      <c r="AB2102" s="292"/>
      <c r="AC2102" s="292"/>
    </row>
    <row r="2103" spans="1:29" s="337" customFormat="1" ht="15.75" hidden="1" x14ac:dyDescent="0.2">
      <c r="A2103" s="288"/>
      <c r="B2103" s="1375" t="e">
        <f>LEFT(#REF!,5)</f>
        <v>#REF!</v>
      </c>
      <c r="C2103" s="1377" t="e">
        <f>VLOOKUP(LEFT(#REF!,5),'11 - FINANCEIRO'!_xlnm.Print_Area,2,FALSE)</f>
        <v>#REF!</v>
      </c>
      <c r="D2103" s="1342" t="s">
        <v>489</v>
      </c>
      <c r="E2103" s="1343"/>
      <c r="F2103" s="1344"/>
      <c r="G2103" s="1345" t="s">
        <v>490</v>
      </c>
      <c r="H2103" s="1346"/>
      <c r="I2103" s="1347"/>
      <c r="J2103" s="1339"/>
      <c r="K2103" s="1339"/>
      <c r="L2103" s="1339"/>
      <c r="M2103" s="1339"/>
      <c r="N2103" s="1339"/>
      <c r="O2103" s="1339"/>
      <c r="P2103" s="295" t="s">
        <v>491</v>
      </c>
      <c r="Q2103" s="1339"/>
      <c r="R2103" s="1337"/>
      <c r="S2103" s="1339"/>
      <c r="T2103" s="1339"/>
      <c r="U2103" s="1341"/>
      <c r="V2103" s="291">
        <f t="shared" ca="1" si="688"/>
        <v>0</v>
      </c>
      <c r="W2103" s="256">
        <f t="shared" ca="1" si="687"/>
        <v>2</v>
      </c>
      <c r="X2103" s="256">
        <f t="shared" ca="1" si="682"/>
        <v>1</v>
      </c>
      <c r="Y2103" s="336"/>
      <c r="Z2103" s="336"/>
    </row>
    <row r="2104" spans="1:29" s="337" customFormat="1" ht="15.75" hidden="1" x14ac:dyDescent="0.2">
      <c r="A2104" s="288"/>
      <c r="B2104" s="296"/>
      <c r="C2104" s="297" t="s">
        <v>1118</v>
      </c>
      <c r="D2104" s="419"/>
      <c r="E2104" s="316"/>
      <c r="F2104" s="420"/>
      <c r="G2104" s="419"/>
      <c r="H2104" s="316"/>
      <c r="I2104" s="420"/>
      <c r="J2104" s="317"/>
      <c r="K2104" s="433"/>
      <c r="L2104" s="416"/>
      <c r="M2104" s="416"/>
      <c r="N2104" s="304"/>
      <c r="O2104" s="304"/>
      <c r="P2104" s="306"/>
      <c r="Q2104" s="304"/>
      <c r="R2104" s="897">
        <v>10.35</v>
      </c>
      <c r="S2104" s="416" t="str">
        <f>L2108</f>
        <v>m³</v>
      </c>
      <c r="T2104" s="309">
        <v>33</v>
      </c>
      <c r="U2104" s="310"/>
      <c r="V2104" s="291">
        <f t="shared" ca="1" si="688"/>
        <v>0</v>
      </c>
      <c r="W2104" s="256">
        <f t="shared" ca="1" si="687"/>
        <v>2</v>
      </c>
      <c r="X2104" s="256">
        <f t="shared" ca="1" si="682"/>
        <v>1</v>
      </c>
      <c r="Y2104" s="336"/>
      <c r="Z2104" s="336"/>
    </row>
    <row r="2105" spans="1:29" s="111" customFormat="1" ht="15.75" hidden="1" x14ac:dyDescent="0.2">
      <c r="A2105" s="288"/>
      <c r="B2105" s="311"/>
      <c r="C2105" s="312"/>
      <c r="D2105" s="419"/>
      <c r="E2105" s="316"/>
      <c r="F2105" s="420"/>
      <c r="G2105" s="419"/>
      <c r="H2105" s="316"/>
      <c r="I2105" s="420"/>
      <c r="J2105" s="433"/>
      <c r="K2105" s="421"/>
      <c r="L2105" s="433"/>
      <c r="M2105" s="418"/>
      <c r="N2105" s="314"/>
      <c r="O2105" s="313"/>
      <c r="P2105" s="318"/>
      <c r="Q2105" s="315"/>
      <c r="R2105" s="319"/>
      <c r="S2105" s="416"/>
      <c r="T2105" s="320"/>
      <c r="U2105" s="321"/>
      <c r="V2105" s="291">
        <f t="shared" ca="1" si="688"/>
        <v>0</v>
      </c>
      <c r="W2105" s="256">
        <f t="shared" ca="1" si="687"/>
        <v>0</v>
      </c>
      <c r="X2105" s="256">
        <f t="shared" ca="1" si="682"/>
        <v>1</v>
      </c>
      <c r="Y2105" s="250"/>
      <c r="Z2105" s="250"/>
    </row>
    <row r="2106" spans="1:29" s="111" customFormat="1" ht="15" hidden="1" x14ac:dyDescent="0.2">
      <c r="A2106" s="288"/>
      <c r="B2106" s="322"/>
      <c r="C2106" s="382"/>
      <c r="D2106" s="324"/>
      <c r="E2106" s="325"/>
      <c r="F2106" s="326"/>
      <c r="G2106" s="324"/>
      <c r="H2106" s="325"/>
      <c r="I2106" s="326"/>
      <c r="J2106" s="317"/>
      <c r="K2106" s="328"/>
      <c r="L2106" s="328"/>
      <c r="M2106" s="328"/>
      <c r="N2106" s="328"/>
      <c r="O2106" s="334"/>
      <c r="P2106" s="328"/>
      <c r="Q2106" s="334"/>
      <c r="R2106" s="333"/>
      <c r="S2106" s="416"/>
      <c r="T2106" s="320"/>
      <c r="U2106" s="335"/>
      <c r="V2106" s="291">
        <f t="shared" ca="1" si="688"/>
        <v>0</v>
      </c>
      <c r="W2106" s="256">
        <f t="shared" ca="1" si="687"/>
        <v>0</v>
      </c>
      <c r="X2106" s="256">
        <f t="shared" ca="1" si="682"/>
        <v>1</v>
      </c>
      <c r="Y2106" s="250"/>
      <c r="Z2106" s="250"/>
    </row>
    <row r="2107" spans="1:29" s="111" customFormat="1" ht="15" hidden="1" x14ac:dyDescent="0.2">
      <c r="A2107" s="288"/>
      <c r="B2107" s="338"/>
      <c r="C2107" s="339"/>
      <c r="D2107" s="340"/>
      <c r="E2107" s="341"/>
      <c r="F2107" s="342"/>
      <c r="G2107" s="340"/>
      <c r="H2107" s="341"/>
      <c r="I2107" s="342"/>
      <c r="J2107" s="343"/>
      <c r="K2107" s="344"/>
      <c r="L2107" s="345"/>
      <c r="M2107" s="346"/>
      <c r="N2107" s="347"/>
      <c r="O2107" s="348"/>
      <c r="P2107" s="345"/>
      <c r="Q2107" s="349"/>
      <c r="R2107" s="350"/>
      <c r="S2107" s="351"/>
      <c r="T2107" s="352"/>
      <c r="U2107" s="353"/>
      <c r="V2107" s="291">
        <f t="shared" ca="1" si="688"/>
        <v>0</v>
      </c>
      <c r="W2107" s="256">
        <f t="shared" ca="1" si="687"/>
        <v>0</v>
      </c>
      <c r="X2107" s="256">
        <f t="shared" ca="1" si="682"/>
        <v>1</v>
      </c>
      <c r="Y2107" s="250"/>
      <c r="Z2107" s="250"/>
    </row>
    <row r="2108" spans="1:29" s="111" customFormat="1" ht="15.75" hidden="1" customHeight="1" x14ac:dyDescent="0.2">
      <c r="A2108" s="288"/>
      <c r="B2108" s="354"/>
      <c r="C2108" s="355"/>
      <c r="D2108" s="1354" t="s">
        <v>492</v>
      </c>
      <c r="E2108" s="1355"/>
      <c r="F2108" s="1355"/>
      <c r="G2108" s="1355"/>
      <c r="H2108" s="1355"/>
      <c r="I2108" s="1356"/>
      <c r="J2108" s="1357">
        <f>VLOOKUP(A2110,'11 - FINANCEIRO'!_xlnm.Print_Area,6,FALSE)</f>
        <v>10.35</v>
      </c>
      <c r="K2108" s="1358"/>
      <c r="L2108" s="356" t="str">
        <f>VLOOKUP(A2110,'11 - FINANCEIRO'!_xlnm.Print_Area,4,FALSE)</f>
        <v>m³</v>
      </c>
      <c r="M2108" s="1359" t="s">
        <v>493</v>
      </c>
      <c r="N2108" s="1360"/>
      <c r="O2108" s="1360"/>
      <c r="P2108" s="1360"/>
      <c r="Q2108" s="1361"/>
      <c r="R2108" s="357">
        <f>TRUNC(SUM(R2104:R2107),3)</f>
        <v>10.35</v>
      </c>
      <c r="S2108" s="358" t="str">
        <f>L2108</f>
        <v>m³</v>
      </c>
      <c r="T2108" s="359"/>
      <c r="U2108" s="360"/>
      <c r="V2108" s="291">
        <f t="shared" ca="1" si="688"/>
        <v>0</v>
      </c>
      <c r="W2108" s="256">
        <f t="shared" ca="1" si="687"/>
        <v>2</v>
      </c>
      <c r="X2108" s="256">
        <f t="shared" ca="1" si="682"/>
        <v>1</v>
      </c>
      <c r="Y2108" s="250"/>
      <c r="Z2108" s="250"/>
    </row>
    <row r="2109" spans="1:29" s="293" customFormat="1" ht="15.75" hidden="1" customHeight="1" x14ac:dyDescent="0.2">
      <c r="A2109" s="288"/>
      <c r="B2109" s="354"/>
      <c r="C2109" s="361"/>
      <c r="D2109" s="1362" t="s">
        <v>494</v>
      </c>
      <c r="E2109" s="1363"/>
      <c r="F2109" s="1363"/>
      <c r="G2109" s="1363"/>
      <c r="H2109" s="1363"/>
      <c r="I2109" s="1364"/>
      <c r="J2109" s="1365">
        <f>R2108/J2108</f>
        <v>1</v>
      </c>
      <c r="K2109" s="1366"/>
      <c r="L2109" s="1369"/>
      <c r="M2109" s="1371" t="s">
        <v>495</v>
      </c>
      <c r="N2109" s="1372"/>
      <c r="O2109" s="1372"/>
      <c r="P2109" s="1372"/>
      <c r="Q2109" s="1373"/>
      <c r="R2109" s="362">
        <f>VLOOKUP(A2110,'11 - FINANCEIRO'!_xlnm.Print_Area,8,FALSE)</f>
        <v>10.35</v>
      </c>
      <c r="S2109" s="363" t="str">
        <f>L2108</f>
        <v>m³</v>
      </c>
      <c r="T2109" s="858">
        <f>R2108-J2108</f>
        <v>0</v>
      </c>
      <c r="U2109" s="360"/>
      <c r="V2109" s="291">
        <f t="shared" ca="1" si="688"/>
        <v>0</v>
      </c>
      <c r="W2109" s="256">
        <f t="shared" ca="1" si="687"/>
        <v>2</v>
      </c>
      <c r="X2109" s="256">
        <f t="shared" ca="1" si="682"/>
        <v>1</v>
      </c>
      <c r="Y2109" s="256"/>
      <c r="Z2109" s="256"/>
      <c r="AA2109" s="292"/>
      <c r="AB2109" s="292"/>
      <c r="AC2109" s="292"/>
    </row>
    <row r="2110" spans="1:29" s="293" customFormat="1" ht="15.75" hidden="1" customHeight="1" x14ac:dyDescent="0.2">
      <c r="A2110" s="288" t="s">
        <v>80</v>
      </c>
      <c r="B2110" s="364"/>
      <c r="C2110" s="365"/>
      <c r="D2110" s="1354"/>
      <c r="E2110" s="1355"/>
      <c r="F2110" s="1355"/>
      <c r="G2110" s="1355"/>
      <c r="H2110" s="1355"/>
      <c r="I2110" s="1356"/>
      <c r="J2110" s="1367"/>
      <c r="K2110" s="1368"/>
      <c r="L2110" s="1370"/>
      <c r="M2110" s="1371" t="s">
        <v>496</v>
      </c>
      <c r="N2110" s="1372"/>
      <c r="O2110" s="1372"/>
      <c r="P2110" s="1372"/>
      <c r="Q2110" s="1373"/>
      <c r="R2110" s="362">
        <f>R2108-R2109</f>
        <v>0</v>
      </c>
      <c r="S2110" s="363" t="str">
        <f>L2108</f>
        <v>m³</v>
      </c>
      <c r="T2110" s="366"/>
      <c r="U2110" s="367"/>
      <c r="V2110" s="291">
        <f t="shared" ca="1" si="688"/>
        <v>0</v>
      </c>
      <c r="W2110" s="256">
        <f t="shared" ca="1" si="687"/>
        <v>2</v>
      </c>
      <c r="X2110" s="256">
        <f t="shared" ca="1" si="682"/>
        <v>1</v>
      </c>
      <c r="Y2110" s="256"/>
      <c r="Z2110" s="256"/>
      <c r="AA2110" s="292"/>
      <c r="AB2110" s="292"/>
      <c r="AC2110" s="292"/>
    </row>
    <row r="2111" spans="1:29" s="111" customFormat="1" ht="15.75" hidden="1" x14ac:dyDescent="0.2">
      <c r="A2111" s="288"/>
      <c r="B2111" s="368"/>
      <c r="C2111" s="365"/>
      <c r="D2111" s="369"/>
      <c r="E2111" s="370"/>
      <c r="F2111" s="369"/>
      <c r="G2111" s="369"/>
      <c r="H2111" s="369"/>
      <c r="I2111" s="369"/>
      <c r="J2111" s="371"/>
      <c r="K2111" s="372"/>
      <c r="L2111" s="373"/>
      <c r="M2111" s="374"/>
      <c r="N2111" s="374"/>
      <c r="O2111" s="374"/>
      <c r="P2111" s="374"/>
      <c r="Q2111" s="374"/>
      <c r="R2111" s="375"/>
      <c r="S2111" s="376"/>
      <c r="T2111" s="377"/>
      <c r="U2111" s="378"/>
      <c r="V2111" s="379">
        <f ca="1">SUM(V2102:V2110)</f>
        <v>0</v>
      </c>
      <c r="W2111" s="256">
        <f t="shared" ca="1" si="687"/>
        <v>1</v>
      </c>
      <c r="X2111" s="256">
        <f t="shared" ca="1" si="682"/>
        <v>0</v>
      </c>
      <c r="Y2111" s="250"/>
      <c r="Z2111" s="250"/>
    </row>
    <row r="2112" spans="1:29" s="293" customFormat="1" ht="15.75" hidden="1" customHeight="1" x14ac:dyDescent="0.25">
      <c r="A2112" s="288"/>
      <c r="B2112" s="1374" t="str">
        <f>VLOOKUP(A2120,'11 - FINANCEIRO'!_xlnm.Print_Area,1,FALSE)</f>
        <v>2.5.3.2.4</v>
      </c>
      <c r="C2112" s="1376" t="str">
        <f>VLOOKUP(A2120,'11 - FINANCEIRO'!_xlnm.Print_Area,3,FALSE)</f>
        <v>Reaterro Manual Apiloado Com Soquete. Af_10/2017</v>
      </c>
      <c r="D2112" s="1378" t="s">
        <v>477</v>
      </c>
      <c r="E2112" s="1379"/>
      <c r="F2112" s="1379"/>
      <c r="G2112" s="1379"/>
      <c r="H2112" s="1379"/>
      <c r="I2112" s="1380"/>
      <c r="J2112" s="1338" t="s">
        <v>296</v>
      </c>
      <c r="K2112" s="1338" t="s">
        <v>479</v>
      </c>
      <c r="L2112" s="1338" t="s">
        <v>480</v>
      </c>
      <c r="M2112" s="1338" t="s">
        <v>481</v>
      </c>
      <c r="N2112" s="1338" t="s">
        <v>482</v>
      </c>
      <c r="O2112" s="1338" t="s">
        <v>483</v>
      </c>
      <c r="P2112" s="290" t="s">
        <v>484</v>
      </c>
      <c r="Q2112" s="1338" t="s">
        <v>485</v>
      </c>
      <c r="R2112" s="1336" t="s">
        <v>296</v>
      </c>
      <c r="S2112" s="1338" t="s">
        <v>486</v>
      </c>
      <c r="T2112" s="1338" t="s">
        <v>487</v>
      </c>
      <c r="U2112" s="1340" t="s">
        <v>488</v>
      </c>
      <c r="V2112" s="291">
        <f t="shared" ref="V2112:V2120" ca="1" si="689">IF(OFFSET(V2112,1,1)=1,OFFSET(V2112,0,-4),OFFSET(V2112,1,0))</f>
        <v>0</v>
      </c>
      <c r="W2112" s="256">
        <f t="shared" ca="1" si="687"/>
        <v>2</v>
      </c>
      <c r="X2112" s="256">
        <f t="shared" ca="1" si="682"/>
        <v>1</v>
      </c>
      <c r="Y2112" s="256"/>
      <c r="Z2112" s="256"/>
      <c r="AA2112" s="292"/>
      <c r="AB2112" s="292"/>
      <c r="AC2112" s="292"/>
    </row>
    <row r="2113" spans="1:29" s="337" customFormat="1" ht="15.75" hidden="1" x14ac:dyDescent="0.2">
      <c r="A2113" s="288"/>
      <c r="B2113" s="1375" t="e">
        <f>LEFT(#REF!,5)</f>
        <v>#REF!</v>
      </c>
      <c r="C2113" s="1377" t="e">
        <f>VLOOKUP(LEFT(#REF!,5),'11 - FINANCEIRO'!_xlnm.Print_Area,2,FALSE)</f>
        <v>#REF!</v>
      </c>
      <c r="D2113" s="1342" t="s">
        <v>489</v>
      </c>
      <c r="E2113" s="1343"/>
      <c r="F2113" s="1344"/>
      <c r="G2113" s="1345" t="s">
        <v>490</v>
      </c>
      <c r="H2113" s="1346"/>
      <c r="I2113" s="1347"/>
      <c r="J2113" s="1339"/>
      <c r="K2113" s="1339"/>
      <c r="L2113" s="1339"/>
      <c r="M2113" s="1339"/>
      <c r="N2113" s="1339"/>
      <c r="O2113" s="1339"/>
      <c r="P2113" s="295" t="s">
        <v>491</v>
      </c>
      <c r="Q2113" s="1339"/>
      <c r="R2113" s="1337"/>
      <c r="S2113" s="1339"/>
      <c r="T2113" s="1339"/>
      <c r="U2113" s="1341"/>
      <c r="V2113" s="291">
        <f t="shared" ca="1" si="689"/>
        <v>0</v>
      </c>
      <c r="W2113" s="256">
        <f t="shared" ca="1" si="687"/>
        <v>2</v>
      </c>
      <c r="X2113" s="256">
        <f t="shared" ca="1" si="682"/>
        <v>1</v>
      </c>
      <c r="Y2113" s="336"/>
      <c r="Z2113" s="336"/>
    </row>
    <row r="2114" spans="1:29" s="337" customFormat="1" ht="15.75" hidden="1" x14ac:dyDescent="0.2">
      <c r="A2114" s="288"/>
      <c r="B2114" s="296"/>
      <c r="C2114" s="297" t="s">
        <v>1116</v>
      </c>
      <c r="D2114" s="419">
        <v>79</v>
      </c>
      <c r="E2114" s="316" t="s">
        <v>518</v>
      </c>
      <c r="F2114" s="420">
        <v>16</v>
      </c>
      <c r="G2114" s="419">
        <v>69</v>
      </c>
      <c r="H2114" s="316" t="s">
        <v>518</v>
      </c>
      <c r="I2114" s="420">
        <v>9</v>
      </c>
      <c r="J2114" s="317">
        <v>12</v>
      </c>
      <c r="K2114" s="433">
        <v>3</v>
      </c>
      <c r="L2114" s="416">
        <v>0.6</v>
      </c>
      <c r="M2114" s="416">
        <v>0.9</v>
      </c>
      <c r="N2114" s="304"/>
      <c r="O2114" s="304">
        <v>19.440000000000001</v>
      </c>
      <c r="P2114" s="306"/>
      <c r="Q2114" s="304"/>
      <c r="R2114" s="897">
        <v>10.35</v>
      </c>
      <c r="S2114" s="304"/>
      <c r="T2114" s="309">
        <v>33</v>
      </c>
      <c r="U2114" s="310"/>
      <c r="V2114" s="291">
        <f t="shared" ca="1" si="689"/>
        <v>0</v>
      </c>
      <c r="W2114" s="256">
        <f t="shared" ca="1" si="687"/>
        <v>2</v>
      </c>
      <c r="X2114" s="256">
        <f t="shared" ca="1" si="682"/>
        <v>1</v>
      </c>
      <c r="Y2114" s="336"/>
      <c r="Z2114" s="336"/>
    </row>
    <row r="2115" spans="1:29" s="111" customFormat="1" ht="15.75" hidden="1" x14ac:dyDescent="0.2">
      <c r="A2115" s="288"/>
      <c r="B2115" s="311"/>
      <c r="C2115" s="312"/>
      <c r="D2115" s="313"/>
      <c r="E2115" s="314"/>
      <c r="F2115" s="315"/>
      <c r="G2115" s="380"/>
      <c r="H2115" s="316"/>
      <c r="I2115" s="381"/>
      <c r="J2115" s="317"/>
      <c r="K2115" s="313"/>
      <c r="L2115" s="317"/>
      <c r="M2115" s="315"/>
      <c r="N2115" s="314"/>
      <c r="O2115" s="313"/>
      <c r="P2115" s="318"/>
      <c r="Q2115" s="315"/>
      <c r="R2115" s="319"/>
      <c r="S2115" s="317"/>
      <c r="T2115" s="320"/>
      <c r="U2115" s="321"/>
      <c r="V2115" s="291">
        <f t="shared" ca="1" si="689"/>
        <v>0</v>
      </c>
      <c r="W2115" s="256">
        <f t="shared" ca="1" si="687"/>
        <v>0</v>
      </c>
      <c r="X2115" s="256">
        <f t="shared" ca="1" si="682"/>
        <v>1</v>
      </c>
      <c r="Y2115" s="250"/>
      <c r="Z2115" s="250"/>
    </row>
    <row r="2116" spans="1:29" s="111" customFormat="1" ht="15" hidden="1" x14ac:dyDescent="0.2">
      <c r="A2116" s="288"/>
      <c r="B2116" s="322"/>
      <c r="C2116" s="382"/>
      <c r="D2116" s="324"/>
      <c r="E2116" s="325"/>
      <c r="F2116" s="326"/>
      <c r="G2116" s="324"/>
      <c r="H2116" s="325"/>
      <c r="I2116" s="326"/>
      <c r="J2116" s="317"/>
      <c r="K2116" s="328"/>
      <c r="L2116" s="328"/>
      <c r="M2116" s="328"/>
      <c r="N2116" s="328"/>
      <c r="O2116" s="334"/>
      <c r="P2116" s="328"/>
      <c r="Q2116" s="334"/>
      <c r="R2116" s="333"/>
      <c r="S2116" s="331"/>
      <c r="T2116" s="320"/>
      <c r="U2116" s="335"/>
      <c r="V2116" s="291">
        <f t="shared" ca="1" si="689"/>
        <v>0</v>
      </c>
      <c r="W2116" s="256">
        <f t="shared" ca="1" si="687"/>
        <v>0</v>
      </c>
      <c r="X2116" s="256">
        <f t="shared" ca="1" si="682"/>
        <v>1</v>
      </c>
      <c r="Y2116" s="250"/>
      <c r="Z2116" s="250"/>
    </row>
    <row r="2117" spans="1:29" s="111" customFormat="1" ht="15" hidden="1" x14ac:dyDescent="0.2">
      <c r="A2117" s="288"/>
      <c r="B2117" s="338"/>
      <c r="C2117" s="339"/>
      <c r="D2117" s="340"/>
      <c r="E2117" s="341"/>
      <c r="F2117" s="342"/>
      <c r="G2117" s="340"/>
      <c r="H2117" s="341"/>
      <c r="I2117" s="342"/>
      <c r="J2117" s="343"/>
      <c r="K2117" s="344"/>
      <c r="L2117" s="345"/>
      <c r="M2117" s="346"/>
      <c r="N2117" s="347"/>
      <c r="O2117" s="348"/>
      <c r="P2117" s="345"/>
      <c r="Q2117" s="349"/>
      <c r="R2117" s="350"/>
      <c r="S2117" s="351"/>
      <c r="T2117" s="352"/>
      <c r="U2117" s="353"/>
      <c r="V2117" s="291">
        <f t="shared" ca="1" si="689"/>
        <v>0</v>
      </c>
      <c r="W2117" s="256">
        <f t="shared" ca="1" si="687"/>
        <v>0</v>
      </c>
      <c r="X2117" s="256">
        <f t="shared" ca="1" si="682"/>
        <v>1</v>
      </c>
      <c r="Y2117" s="250"/>
      <c r="Z2117" s="250"/>
    </row>
    <row r="2118" spans="1:29" s="111" customFormat="1" ht="15.75" hidden="1" customHeight="1" x14ac:dyDescent="0.2">
      <c r="A2118" s="288"/>
      <c r="B2118" s="354"/>
      <c r="C2118" s="355"/>
      <c r="D2118" s="1354" t="s">
        <v>492</v>
      </c>
      <c r="E2118" s="1355"/>
      <c r="F2118" s="1355"/>
      <c r="G2118" s="1355"/>
      <c r="H2118" s="1355"/>
      <c r="I2118" s="1356"/>
      <c r="J2118" s="1357">
        <f>VLOOKUP(A2120,'11 - FINANCEIRO'!_xlnm.Print_Area,6,FALSE)</f>
        <v>10.35</v>
      </c>
      <c r="K2118" s="1358"/>
      <c r="L2118" s="356" t="str">
        <f>VLOOKUP(A2120,'11 - FINANCEIRO'!_xlnm.Print_Area,4,FALSE)</f>
        <v>m³</v>
      </c>
      <c r="M2118" s="1359" t="s">
        <v>493</v>
      </c>
      <c r="N2118" s="1360"/>
      <c r="O2118" s="1360"/>
      <c r="P2118" s="1360"/>
      <c r="Q2118" s="1361"/>
      <c r="R2118" s="357">
        <f>TRUNC(SUM(R2114:R2117),3)</f>
        <v>10.35</v>
      </c>
      <c r="S2118" s="358" t="str">
        <f>L2118</f>
        <v>m³</v>
      </c>
      <c r="U2118" s="360"/>
      <c r="V2118" s="291">
        <f t="shared" ca="1" si="689"/>
        <v>0</v>
      </c>
      <c r="W2118" s="256">
        <f t="shared" ca="1" si="687"/>
        <v>2</v>
      </c>
      <c r="X2118" s="256">
        <f t="shared" ca="1" si="682"/>
        <v>1</v>
      </c>
      <c r="Y2118" s="250"/>
      <c r="Z2118" s="250"/>
    </row>
    <row r="2119" spans="1:29" s="293" customFormat="1" ht="15.75" hidden="1" customHeight="1" x14ac:dyDescent="0.2">
      <c r="A2119" s="288"/>
      <c r="B2119" s="354"/>
      <c r="C2119" s="361"/>
      <c r="D2119" s="1362" t="s">
        <v>494</v>
      </c>
      <c r="E2119" s="1363"/>
      <c r="F2119" s="1363"/>
      <c r="G2119" s="1363"/>
      <c r="H2119" s="1363"/>
      <c r="I2119" s="1364"/>
      <c r="J2119" s="1365">
        <f>IF(J2118&gt;R2118,R2118-R2119,1)</f>
        <v>1</v>
      </c>
      <c r="K2119" s="1366"/>
      <c r="L2119" s="1369"/>
      <c r="M2119" s="1371" t="s">
        <v>495</v>
      </c>
      <c r="N2119" s="1372"/>
      <c r="O2119" s="1372"/>
      <c r="P2119" s="1372"/>
      <c r="Q2119" s="1373"/>
      <c r="R2119" s="362">
        <f>VLOOKUP(A2120,'11 - FINANCEIRO'!_xlnm.Print_Area,8,FALSE)</f>
        <v>10.35</v>
      </c>
      <c r="S2119" s="363" t="str">
        <f>L2118</f>
        <v>m³</v>
      </c>
      <c r="T2119" s="943">
        <f>R2118-J2118</f>
        <v>0</v>
      </c>
      <c r="U2119" s="944"/>
      <c r="V2119" s="291">
        <f t="shared" ca="1" si="689"/>
        <v>0</v>
      </c>
      <c r="W2119" s="256">
        <f t="shared" ca="1" si="687"/>
        <v>2</v>
      </c>
      <c r="X2119" s="256">
        <f t="shared" ca="1" si="682"/>
        <v>1</v>
      </c>
      <c r="Y2119" s="256"/>
      <c r="Z2119" s="256"/>
      <c r="AA2119" s="292"/>
      <c r="AB2119" s="292"/>
      <c r="AC2119" s="292"/>
    </row>
    <row r="2120" spans="1:29" s="293" customFormat="1" ht="15.75" hidden="1" customHeight="1" x14ac:dyDescent="0.2">
      <c r="A2120" s="288" t="s">
        <v>81</v>
      </c>
      <c r="B2120" s="364"/>
      <c r="C2120" s="365"/>
      <c r="D2120" s="1354"/>
      <c r="E2120" s="1355"/>
      <c r="F2120" s="1355"/>
      <c r="G2120" s="1355"/>
      <c r="H2120" s="1355"/>
      <c r="I2120" s="1356"/>
      <c r="J2120" s="1367"/>
      <c r="K2120" s="1368"/>
      <c r="L2120" s="1370"/>
      <c r="M2120" s="1371" t="s">
        <v>496</v>
      </c>
      <c r="N2120" s="1372"/>
      <c r="O2120" s="1372"/>
      <c r="P2120" s="1372"/>
      <c r="Q2120" s="1373"/>
      <c r="R2120" s="362">
        <f>R2118-R2119</f>
        <v>0</v>
      </c>
      <c r="S2120" s="363" t="str">
        <f>L2118</f>
        <v>m³</v>
      </c>
      <c r="T2120" s="366"/>
      <c r="U2120" s="367"/>
      <c r="V2120" s="291">
        <f t="shared" ca="1" si="689"/>
        <v>0</v>
      </c>
      <c r="W2120" s="256">
        <f t="shared" ca="1" si="687"/>
        <v>2</v>
      </c>
      <c r="X2120" s="256">
        <f t="shared" ca="1" si="682"/>
        <v>1</v>
      </c>
      <c r="Y2120" s="256"/>
      <c r="Z2120" s="256"/>
      <c r="AA2120" s="292"/>
      <c r="AB2120" s="292"/>
      <c r="AC2120" s="292"/>
    </row>
    <row r="2121" spans="1:29" s="111" customFormat="1" ht="15.75" hidden="1" x14ac:dyDescent="0.2">
      <c r="A2121" s="288"/>
      <c r="B2121" s="368"/>
      <c r="C2121" s="365"/>
      <c r="D2121" s="369"/>
      <c r="E2121" s="370"/>
      <c r="F2121" s="369"/>
      <c r="G2121" s="369"/>
      <c r="H2121" s="369"/>
      <c r="I2121" s="369"/>
      <c r="J2121" s="371"/>
      <c r="K2121" s="372"/>
      <c r="L2121" s="373"/>
      <c r="M2121" s="374"/>
      <c r="N2121" s="374"/>
      <c r="O2121" s="374"/>
      <c r="P2121" s="374"/>
      <c r="Q2121" s="374"/>
      <c r="R2121" s="375"/>
      <c r="S2121" s="376"/>
      <c r="T2121" s="377"/>
      <c r="U2121" s="378"/>
      <c r="V2121" s="379">
        <f ca="1">SUM(V2112:V2120)</f>
        <v>0</v>
      </c>
      <c r="W2121" s="256">
        <f t="shared" ca="1" si="687"/>
        <v>1</v>
      </c>
      <c r="X2121" s="256">
        <f t="shared" ca="1" si="682"/>
        <v>0</v>
      </c>
      <c r="Y2121" s="250"/>
      <c r="Z2121" s="250"/>
    </row>
    <row r="2122" spans="1:29" s="293" customFormat="1" ht="15.75" hidden="1" customHeight="1" x14ac:dyDescent="0.25">
      <c r="A2122" s="288"/>
      <c r="B2122" s="1374" t="str">
        <f>VLOOKUP(A2130,'11 - FINANCEIRO'!_xlnm.Print_Area,1,FALSE)</f>
        <v>2.5.3.2.5</v>
      </c>
      <c r="C2122" s="1376" t="str">
        <f>VLOOKUP(A2130,'11 - FINANCEIRO'!_xlnm.Print_Area,3,FALSE)</f>
        <v>Reaterro Manual De Valas Com Compactação Mecanizada. Af_04/2016</v>
      </c>
      <c r="D2122" s="1378" t="s">
        <v>477</v>
      </c>
      <c r="E2122" s="1379"/>
      <c r="F2122" s="1379"/>
      <c r="G2122" s="1379"/>
      <c r="H2122" s="1379"/>
      <c r="I2122" s="1380"/>
      <c r="J2122" s="1338" t="s">
        <v>296</v>
      </c>
      <c r="K2122" s="1338" t="s">
        <v>479</v>
      </c>
      <c r="L2122" s="1338" t="s">
        <v>480</v>
      </c>
      <c r="M2122" s="1338" t="s">
        <v>481</v>
      </c>
      <c r="N2122" s="1338" t="s">
        <v>482</v>
      </c>
      <c r="O2122" s="1338" t="s">
        <v>483</v>
      </c>
      <c r="P2122" s="290" t="s">
        <v>484</v>
      </c>
      <c r="Q2122" s="1338" t="s">
        <v>485</v>
      </c>
      <c r="R2122" s="1336" t="s">
        <v>296</v>
      </c>
      <c r="S2122" s="1338" t="s">
        <v>486</v>
      </c>
      <c r="T2122" s="1338" t="s">
        <v>487</v>
      </c>
      <c r="U2122" s="1340" t="s">
        <v>488</v>
      </c>
      <c r="V2122" s="291">
        <f t="shared" ref="V2122:V2130" ca="1" si="690">IF(OFFSET(V2122,1,1)=1,OFFSET(V2122,0,-4),OFFSET(V2122,1,0))</f>
        <v>0</v>
      </c>
      <c r="W2122" s="256">
        <f t="shared" ca="1" si="687"/>
        <v>2</v>
      </c>
      <c r="X2122" s="256">
        <f t="shared" ca="1" si="682"/>
        <v>1</v>
      </c>
      <c r="Y2122" s="256"/>
      <c r="Z2122" s="256"/>
      <c r="AA2122" s="292"/>
      <c r="AB2122" s="292"/>
      <c r="AC2122" s="292"/>
    </row>
    <row r="2123" spans="1:29" s="337" customFormat="1" ht="15.75" hidden="1" x14ac:dyDescent="0.2">
      <c r="A2123" s="288"/>
      <c r="B2123" s="1375" t="e">
        <f>LEFT(#REF!,5)</f>
        <v>#REF!</v>
      </c>
      <c r="C2123" s="1377" t="e">
        <f>VLOOKUP(LEFT(#REF!,5),'11 - FINANCEIRO'!_xlnm.Print_Area,2,FALSE)</f>
        <v>#REF!</v>
      </c>
      <c r="D2123" s="1342" t="s">
        <v>489</v>
      </c>
      <c r="E2123" s="1343"/>
      <c r="F2123" s="1344"/>
      <c r="G2123" s="1345" t="s">
        <v>490</v>
      </c>
      <c r="H2123" s="1346"/>
      <c r="I2123" s="1347"/>
      <c r="J2123" s="1339"/>
      <c r="K2123" s="1339"/>
      <c r="L2123" s="1339"/>
      <c r="M2123" s="1339"/>
      <c r="N2123" s="1339"/>
      <c r="O2123" s="1339"/>
      <c r="P2123" s="295" t="s">
        <v>491</v>
      </c>
      <c r="Q2123" s="1339"/>
      <c r="R2123" s="1337"/>
      <c r="S2123" s="1339"/>
      <c r="T2123" s="1339"/>
      <c r="U2123" s="1341"/>
      <c r="V2123" s="291">
        <f t="shared" ca="1" si="690"/>
        <v>0</v>
      </c>
      <c r="W2123" s="256">
        <f t="shared" ca="1" si="687"/>
        <v>2</v>
      </c>
      <c r="X2123" s="256">
        <f t="shared" ca="1" si="682"/>
        <v>1</v>
      </c>
      <c r="Y2123" s="336"/>
      <c r="Z2123" s="336"/>
    </row>
    <row r="2124" spans="1:29" s="337" customFormat="1" ht="15.75" hidden="1" x14ac:dyDescent="0.2">
      <c r="A2124" s="288"/>
      <c r="B2124" s="296"/>
      <c r="C2124" s="297" t="s">
        <v>1101</v>
      </c>
      <c r="D2124" s="419">
        <v>79</v>
      </c>
      <c r="E2124" s="316" t="s">
        <v>518</v>
      </c>
      <c r="F2124" s="420">
        <v>16</v>
      </c>
      <c r="G2124" s="419">
        <v>69</v>
      </c>
      <c r="H2124" s="316" t="s">
        <v>518</v>
      </c>
      <c r="I2124" s="420">
        <v>9</v>
      </c>
      <c r="J2124" s="317"/>
      <c r="K2124" s="433">
        <f>ABS((G2124*20+I2124)-(D2124*20+F2124))</f>
        <v>207</v>
      </c>
      <c r="L2124" s="416">
        <v>0.6</v>
      </c>
      <c r="M2124" s="416">
        <v>0.9</v>
      </c>
      <c r="N2124" s="304"/>
      <c r="O2124" s="304">
        <f>M2124*L2124*K2124</f>
        <v>111.78</v>
      </c>
      <c r="P2124" s="306"/>
      <c r="Q2124" s="304"/>
      <c r="R2124" s="897">
        <f>O2124</f>
        <v>111.78</v>
      </c>
      <c r="S2124" s="304"/>
      <c r="T2124" s="309">
        <v>33</v>
      </c>
      <c r="U2124" s="310"/>
      <c r="V2124" s="291">
        <f t="shared" ca="1" si="690"/>
        <v>0</v>
      </c>
      <c r="W2124" s="256">
        <f t="shared" ca="1" si="687"/>
        <v>2</v>
      </c>
      <c r="X2124" s="256">
        <f t="shared" ref="X2124:X2187" ca="1" si="691">IF(COUNTA(OFFSET(A2123,1,0))-COUNTA(A2123)=-1,0,1)</f>
        <v>1</v>
      </c>
      <c r="Y2124" s="336"/>
      <c r="Z2124" s="336"/>
    </row>
    <row r="2125" spans="1:29" s="111" customFormat="1" ht="15.75" hidden="1" x14ac:dyDescent="0.2">
      <c r="A2125" s="288"/>
      <c r="B2125" s="311"/>
      <c r="C2125" s="312"/>
      <c r="D2125" s="313"/>
      <c r="E2125" s="314"/>
      <c r="F2125" s="315"/>
      <c r="G2125" s="380"/>
      <c r="H2125" s="316"/>
      <c r="I2125" s="381"/>
      <c r="J2125" s="317"/>
      <c r="K2125" s="313"/>
      <c r="L2125" s="317"/>
      <c r="M2125" s="315"/>
      <c r="N2125" s="314"/>
      <c r="O2125" s="313"/>
      <c r="P2125" s="318"/>
      <c r="Q2125" s="315"/>
      <c r="R2125" s="319"/>
      <c r="S2125" s="317"/>
      <c r="T2125" s="320"/>
      <c r="U2125" s="321"/>
      <c r="V2125" s="291">
        <f t="shared" ca="1" si="690"/>
        <v>0</v>
      </c>
      <c r="W2125" s="256">
        <f t="shared" ca="1" si="687"/>
        <v>0</v>
      </c>
      <c r="X2125" s="256">
        <f t="shared" ca="1" si="691"/>
        <v>1</v>
      </c>
      <c r="Y2125" s="250"/>
      <c r="Z2125" s="250"/>
    </row>
    <row r="2126" spans="1:29" s="111" customFormat="1" ht="15" hidden="1" x14ac:dyDescent="0.2">
      <c r="A2126" s="288"/>
      <c r="B2126" s="322"/>
      <c r="C2126" s="382"/>
      <c r="D2126" s="324"/>
      <c r="E2126" s="325"/>
      <c r="F2126" s="326"/>
      <c r="G2126" s="324"/>
      <c r="H2126" s="325"/>
      <c r="I2126" s="326"/>
      <c r="J2126" s="317"/>
      <c r="K2126" s="328"/>
      <c r="L2126" s="328"/>
      <c r="M2126" s="328"/>
      <c r="N2126" s="328"/>
      <c r="O2126" s="334"/>
      <c r="P2126" s="328"/>
      <c r="Q2126" s="334"/>
      <c r="R2126" s="333"/>
      <c r="S2126" s="331"/>
      <c r="T2126" s="320"/>
      <c r="U2126" s="335"/>
      <c r="V2126" s="291">
        <f t="shared" ca="1" si="690"/>
        <v>0</v>
      </c>
      <c r="W2126" s="256">
        <f t="shared" ca="1" si="687"/>
        <v>0</v>
      </c>
      <c r="X2126" s="256">
        <f t="shared" ca="1" si="691"/>
        <v>1</v>
      </c>
      <c r="Y2126" s="250"/>
      <c r="Z2126" s="250"/>
    </row>
    <row r="2127" spans="1:29" s="111" customFormat="1" ht="15" hidden="1" x14ac:dyDescent="0.2">
      <c r="A2127" s="288"/>
      <c r="B2127" s="338"/>
      <c r="C2127" s="339"/>
      <c r="D2127" s="340"/>
      <c r="E2127" s="341"/>
      <c r="F2127" s="342"/>
      <c r="G2127" s="340"/>
      <c r="H2127" s="341"/>
      <c r="I2127" s="342"/>
      <c r="J2127" s="343"/>
      <c r="K2127" s="344"/>
      <c r="L2127" s="345"/>
      <c r="M2127" s="346"/>
      <c r="N2127" s="347"/>
      <c r="O2127" s="348"/>
      <c r="P2127" s="345"/>
      <c r="Q2127" s="349"/>
      <c r="R2127" s="350"/>
      <c r="S2127" s="351"/>
      <c r="T2127" s="352"/>
      <c r="U2127" s="353"/>
      <c r="V2127" s="291">
        <f t="shared" ca="1" si="690"/>
        <v>0</v>
      </c>
      <c r="W2127" s="256">
        <f t="shared" ca="1" si="687"/>
        <v>0</v>
      </c>
      <c r="X2127" s="256">
        <f t="shared" ca="1" si="691"/>
        <v>1</v>
      </c>
      <c r="Y2127" s="250"/>
      <c r="Z2127" s="250"/>
    </row>
    <row r="2128" spans="1:29" s="111" customFormat="1" ht="15.75" hidden="1" customHeight="1" x14ac:dyDescent="0.2">
      <c r="A2128" s="288"/>
      <c r="B2128" s="354"/>
      <c r="C2128" s="355"/>
      <c r="D2128" s="1354" t="s">
        <v>492</v>
      </c>
      <c r="E2128" s="1355"/>
      <c r="F2128" s="1355"/>
      <c r="G2128" s="1355"/>
      <c r="H2128" s="1355"/>
      <c r="I2128" s="1356"/>
      <c r="J2128" s="1357">
        <f>VLOOKUP(A2130,'11 - FINANCEIRO'!_xlnm.Print_Area,6,FALSE)</f>
        <v>238.24</v>
      </c>
      <c r="K2128" s="1358"/>
      <c r="L2128" s="356" t="str">
        <f>VLOOKUP(A2130,'11 - FINANCEIRO'!_xlnm.Print_Area,4,FALSE)</f>
        <v>m³</v>
      </c>
      <c r="M2128" s="1359" t="s">
        <v>493</v>
      </c>
      <c r="N2128" s="1360"/>
      <c r="O2128" s="1360"/>
      <c r="P2128" s="1360"/>
      <c r="Q2128" s="1361"/>
      <c r="R2128" s="357">
        <f>TRUNC(SUM(R2124:R2127),3)</f>
        <v>111.78</v>
      </c>
      <c r="S2128" s="358" t="str">
        <f>L2128</f>
        <v>m³</v>
      </c>
      <c r="T2128" s="359"/>
      <c r="U2128" s="360"/>
      <c r="V2128" s="291">
        <f t="shared" ca="1" si="690"/>
        <v>0</v>
      </c>
      <c r="W2128" s="256">
        <f t="shared" ca="1" si="687"/>
        <v>2</v>
      </c>
      <c r="X2128" s="256">
        <f t="shared" ca="1" si="691"/>
        <v>1</v>
      </c>
      <c r="Y2128" s="250"/>
      <c r="Z2128" s="250"/>
    </row>
    <row r="2129" spans="1:29" s="293" customFormat="1" ht="15.75" hidden="1" customHeight="1" x14ac:dyDescent="0.2">
      <c r="A2129" s="288"/>
      <c r="B2129" s="354"/>
      <c r="C2129" s="361"/>
      <c r="D2129" s="1362" t="s">
        <v>494</v>
      </c>
      <c r="E2129" s="1363"/>
      <c r="F2129" s="1363"/>
      <c r="G2129" s="1363"/>
      <c r="H2129" s="1363"/>
      <c r="I2129" s="1364"/>
      <c r="J2129" s="1365">
        <f>R2128/J2128</f>
        <v>0.46919073203492273</v>
      </c>
      <c r="K2129" s="1366"/>
      <c r="L2129" s="1369"/>
      <c r="M2129" s="1371" t="s">
        <v>495</v>
      </c>
      <c r="N2129" s="1372"/>
      <c r="O2129" s="1372"/>
      <c r="P2129" s="1372"/>
      <c r="Q2129" s="1373"/>
      <c r="R2129" s="362">
        <f>VLOOKUP(A2130,'11 - FINANCEIRO'!_xlnm.Print_Area,8,FALSE)</f>
        <v>111.78</v>
      </c>
      <c r="S2129" s="363" t="str">
        <f>L2128</f>
        <v>m³</v>
      </c>
      <c r="T2129" s="359"/>
      <c r="U2129" s="360"/>
      <c r="V2129" s="291">
        <f t="shared" ca="1" si="690"/>
        <v>0</v>
      </c>
      <c r="W2129" s="256">
        <f t="shared" ca="1" si="687"/>
        <v>2</v>
      </c>
      <c r="X2129" s="256">
        <f t="shared" ca="1" si="691"/>
        <v>1</v>
      </c>
      <c r="Y2129" s="256"/>
      <c r="Z2129" s="256"/>
      <c r="AA2129" s="292"/>
      <c r="AB2129" s="292"/>
      <c r="AC2129" s="292"/>
    </row>
    <row r="2130" spans="1:29" s="293" customFormat="1" ht="15.75" hidden="1" customHeight="1" x14ac:dyDescent="0.2">
      <c r="A2130" s="288" t="s">
        <v>82</v>
      </c>
      <c r="B2130" s="364"/>
      <c r="C2130" s="365"/>
      <c r="D2130" s="1354"/>
      <c r="E2130" s="1355"/>
      <c r="F2130" s="1355"/>
      <c r="G2130" s="1355"/>
      <c r="H2130" s="1355"/>
      <c r="I2130" s="1356"/>
      <c r="J2130" s="1367"/>
      <c r="K2130" s="1368"/>
      <c r="L2130" s="1370"/>
      <c r="M2130" s="1371" t="s">
        <v>496</v>
      </c>
      <c r="N2130" s="1372"/>
      <c r="O2130" s="1372"/>
      <c r="P2130" s="1372"/>
      <c r="Q2130" s="1373"/>
      <c r="R2130" s="362">
        <f>R2128-R2129</f>
        <v>0</v>
      </c>
      <c r="S2130" s="363" t="str">
        <f>L2128</f>
        <v>m³</v>
      </c>
      <c r="T2130" s="366"/>
      <c r="U2130" s="367"/>
      <c r="V2130" s="291">
        <f t="shared" ca="1" si="690"/>
        <v>0</v>
      </c>
      <c r="W2130" s="256">
        <f t="shared" ca="1" si="687"/>
        <v>2</v>
      </c>
      <c r="X2130" s="256">
        <f t="shared" ca="1" si="691"/>
        <v>1</v>
      </c>
      <c r="Y2130" s="256"/>
      <c r="Z2130" s="256"/>
      <c r="AA2130" s="292"/>
      <c r="AB2130" s="292"/>
      <c r="AC2130" s="292"/>
    </row>
    <row r="2131" spans="1:29" s="111" customFormat="1" ht="15.75" hidden="1" x14ac:dyDescent="0.2">
      <c r="A2131" s="288"/>
      <c r="B2131" s="368"/>
      <c r="C2131" s="365"/>
      <c r="D2131" s="369"/>
      <c r="E2131" s="370"/>
      <c r="F2131" s="369"/>
      <c r="G2131" s="369"/>
      <c r="H2131" s="369"/>
      <c r="I2131" s="369"/>
      <c r="J2131" s="371"/>
      <c r="K2131" s="372"/>
      <c r="L2131" s="373"/>
      <c r="M2131" s="374"/>
      <c r="N2131" s="374"/>
      <c r="O2131" s="374"/>
      <c r="P2131" s="374"/>
      <c r="Q2131" s="374"/>
      <c r="R2131" s="375"/>
      <c r="S2131" s="376"/>
      <c r="T2131" s="377"/>
      <c r="U2131" s="378"/>
      <c r="V2131" s="379">
        <f ca="1">SUM(V2122:V2130)</f>
        <v>0</v>
      </c>
      <c r="W2131" s="256">
        <f t="shared" ca="1" si="687"/>
        <v>1</v>
      </c>
      <c r="X2131" s="256">
        <f t="shared" ca="1" si="691"/>
        <v>0</v>
      </c>
      <c r="Y2131" s="250"/>
      <c r="Z2131" s="250"/>
    </row>
    <row r="2132" spans="1:29" s="293" customFormat="1" ht="15.75" hidden="1" customHeight="1" x14ac:dyDescent="0.25">
      <c r="A2132" s="288"/>
      <c r="B2132" s="1374" t="str">
        <f>VLOOKUP(A2140,'11 - FINANCEIRO'!_xlnm.Print_Area,1,FALSE)</f>
        <v>2.5.3.2.6</v>
      </c>
      <c r="C2132" s="1376" t="str">
        <f>VLOOKUP(A2140,'11 - FINANCEIRO'!_xlnm.Print_Area,3,FALSE)</f>
        <v>Transporte Com Caminhão Basculante De 6 M³ - Rodovia Em Revestimento Primário</v>
      </c>
      <c r="D2132" s="1378" t="s">
        <v>477</v>
      </c>
      <c r="E2132" s="1379"/>
      <c r="F2132" s="1379"/>
      <c r="G2132" s="1379"/>
      <c r="H2132" s="1379"/>
      <c r="I2132" s="1380"/>
      <c r="J2132" s="1338" t="s">
        <v>296</v>
      </c>
      <c r="K2132" s="1338" t="s">
        <v>479</v>
      </c>
      <c r="L2132" s="1338" t="s">
        <v>480</v>
      </c>
      <c r="M2132" s="1338" t="s">
        <v>481</v>
      </c>
      <c r="N2132" s="1338" t="s">
        <v>482</v>
      </c>
      <c r="O2132" s="1338" t="s">
        <v>483</v>
      </c>
      <c r="P2132" s="290" t="s">
        <v>484</v>
      </c>
      <c r="Q2132" s="1338" t="s">
        <v>485</v>
      </c>
      <c r="R2132" s="1336" t="s">
        <v>296</v>
      </c>
      <c r="S2132" s="1338" t="s">
        <v>486</v>
      </c>
      <c r="T2132" s="1338" t="s">
        <v>487</v>
      </c>
      <c r="U2132" s="1340" t="s">
        <v>488</v>
      </c>
      <c r="V2132" s="291">
        <f t="shared" ref="V2132:V2140" ca="1" si="692">IF(OFFSET(V2132,1,1)=1,OFFSET(V2132,0,-4),OFFSET(V2132,1,0))</f>
        <v>0</v>
      </c>
      <c r="W2132" s="256">
        <f t="shared" ca="1" si="687"/>
        <v>2</v>
      </c>
      <c r="X2132" s="256">
        <f t="shared" ca="1" si="691"/>
        <v>1</v>
      </c>
      <c r="Y2132" s="256"/>
      <c r="Z2132" s="256"/>
      <c r="AA2132" s="292"/>
      <c r="AB2132" s="292"/>
      <c r="AC2132" s="292"/>
    </row>
    <row r="2133" spans="1:29" s="337" customFormat="1" ht="15.75" hidden="1" x14ac:dyDescent="0.2">
      <c r="A2133" s="288"/>
      <c r="B2133" s="1375" t="e">
        <f>LEFT(#REF!,5)</f>
        <v>#REF!</v>
      </c>
      <c r="C2133" s="1377" t="e">
        <f>VLOOKUP(LEFT(#REF!,5),'11 - FINANCEIRO'!_xlnm.Print_Area,2,FALSE)</f>
        <v>#REF!</v>
      </c>
      <c r="D2133" s="1342" t="s">
        <v>489</v>
      </c>
      <c r="E2133" s="1343"/>
      <c r="F2133" s="1344"/>
      <c r="G2133" s="1345" t="s">
        <v>490</v>
      </c>
      <c r="H2133" s="1346"/>
      <c r="I2133" s="1347"/>
      <c r="J2133" s="1339"/>
      <c r="K2133" s="1339"/>
      <c r="L2133" s="1339"/>
      <c r="M2133" s="1339"/>
      <c r="N2133" s="1339"/>
      <c r="O2133" s="1339"/>
      <c r="P2133" s="295" t="s">
        <v>491</v>
      </c>
      <c r="Q2133" s="1339"/>
      <c r="R2133" s="1337"/>
      <c r="S2133" s="1339"/>
      <c r="T2133" s="1339"/>
      <c r="U2133" s="1341"/>
      <c r="V2133" s="291">
        <f t="shared" ca="1" si="692"/>
        <v>0</v>
      </c>
      <c r="W2133" s="256">
        <f t="shared" ca="1" si="687"/>
        <v>2</v>
      </c>
      <c r="X2133" s="256">
        <f t="shared" ca="1" si="691"/>
        <v>1</v>
      </c>
      <c r="Y2133" s="336"/>
      <c r="Z2133" s="336"/>
    </row>
    <row r="2134" spans="1:29" s="337" customFormat="1" ht="15.75" hidden="1" x14ac:dyDescent="0.2">
      <c r="A2134" s="288"/>
      <c r="B2134" s="296"/>
      <c r="C2134" s="297"/>
      <c r="D2134" s="298"/>
      <c r="E2134" s="299"/>
      <c r="F2134" s="300"/>
      <c r="G2134" s="301"/>
      <c r="H2134" s="302"/>
      <c r="I2134" s="303"/>
      <c r="J2134" s="304"/>
      <c r="K2134" s="304"/>
      <c r="L2134" s="304"/>
      <c r="M2134" s="304"/>
      <c r="N2134" s="304"/>
      <c r="O2134" s="304"/>
      <c r="P2134" s="306"/>
      <c r="Q2134" s="304"/>
      <c r="R2134" s="307"/>
      <c r="S2134" s="304"/>
      <c r="T2134" s="309"/>
      <c r="U2134" s="310"/>
      <c r="V2134" s="291">
        <f t="shared" ca="1" si="692"/>
        <v>0</v>
      </c>
      <c r="W2134" s="256">
        <f t="shared" ca="1" si="687"/>
        <v>0</v>
      </c>
      <c r="X2134" s="256">
        <f t="shared" ca="1" si="691"/>
        <v>1</v>
      </c>
      <c r="Y2134" s="336"/>
      <c r="Z2134" s="336"/>
    </row>
    <row r="2135" spans="1:29" s="111" customFormat="1" ht="15.75" hidden="1" x14ac:dyDescent="0.2">
      <c r="A2135" s="288"/>
      <c r="B2135" s="311"/>
      <c r="C2135" s="312"/>
      <c r="D2135" s="313"/>
      <c r="E2135" s="314"/>
      <c r="F2135" s="315"/>
      <c r="G2135" s="380"/>
      <c r="H2135" s="316"/>
      <c r="I2135" s="381"/>
      <c r="J2135" s="317"/>
      <c r="K2135" s="313"/>
      <c r="L2135" s="317"/>
      <c r="M2135" s="315"/>
      <c r="N2135" s="314"/>
      <c r="O2135" s="313"/>
      <c r="P2135" s="318"/>
      <c r="Q2135" s="315"/>
      <c r="R2135" s="319"/>
      <c r="S2135" s="317"/>
      <c r="T2135" s="320"/>
      <c r="U2135" s="321"/>
      <c r="V2135" s="291">
        <f t="shared" ca="1" si="692"/>
        <v>0</v>
      </c>
      <c r="W2135" s="256">
        <f t="shared" ca="1" si="687"/>
        <v>0</v>
      </c>
      <c r="X2135" s="256">
        <f t="shared" ca="1" si="691"/>
        <v>1</v>
      </c>
      <c r="Y2135" s="250"/>
      <c r="Z2135" s="250"/>
    </row>
    <row r="2136" spans="1:29" s="111" customFormat="1" ht="15" hidden="1" x14ac:dyDescent="0.2">
      <c r="A2136" s="288"/>
      <c r="B2136" s="322"/>
      <c r="C2136" s="382"/>
      <c r="D2136" s="324"/>
      <c r="E2136" s="325"/>
      <c r="F2136" s="326"/>
      <c r="G2136" s="324"/>
      <c r="H2136" s="325"/>
      <c r="I2136" s="326"/>
      <c r="J2136" s="317"/>
      <c r="K2136" s="328"/>
      <c r="L2136" s="328"/>
      <c r="M2136" s="328"/>
      <c r="N2136" s="328"/>
      <c r="O2136" s="334"/>
      <c r="P2136" s="328"/>
      <c r="Q2136" s="334"/>
      <c r="R2136" s="333"/>
      <c r="S2136" s="331"/>
      <c r="T2136" s="320"/>
      <c r="U2136" s="335"/>
      <c r="V2136" s="291">
        <f t="shared" ca="1" si="692"/>
        <v>0</v>
      </c>
      <c r="W2136" s="256">
        <f t="shared" ca="1" si="687"/>
        <v>0</v>
      </c>
      <c r="X2136" s="256">
        <f t="shared" ca="1" si="691"/>
        <v>1</v>
      </c>
      <c r="Y2136" s="250"/>
      <c r="Z2136" s="250"/>
    </row>
    <row r="2137" spans="1:29" s="111" customFormat="1" ht="15" hidden="1" x14ac:dyDescent="0.2">
      <c r="A2137" s="288"/>
      <c r="B2137" s="338"/>
      <c r="C2137" s="339"/>
      <c r="D2137" s="340"/>
      <c r="E2137" s="341"/>
      <c r="F2137" s="342"/>
      <c r="G2137" s="340"/>
      <c r="H2137" s="341"/>
      <c r="I2137" s="342"/>
      <c r="J2137" s="343"/>
      <c r="K2137" s="344"/>
      <c r="L2137" s="345"/>
      <c r="M2137" s="346"/>
      <c r="N2137" s="347"/>
      <c r="O2137" s="348"/>
      <c r="P2137" s="345"/>
      <c r="Q2137" s="349"/>
      <c r="R2137" s="350"/>
      <c r="S2137" s="351"/>
      <c r="T2137" s="352"/>
      <c r="U2137" s="353"/>
      <c r="V2137" s="291">
        <f t="shared" ca="1" si="692"/>
        <v>0</v>
      </c>
      <c r="W2137" s="256">
        <f t="shared" ca="1" si="687"/>
        <v>0</v>
      </c>
      <c r="X2137" s="256">
        <f t="shared" ca="1" si="691"/>
        <v>1</v>
      </c>
      <c r="Y2137" s="250"/>
      <c r="Z2137" s="250"/>
    </row>
    <row r="2138" spans="1:29" s="111" customFormat="1" ht="15.75" hidden="1" customHeight="1" x14ac:dyDescent="0.2">
      <c r="A2138" s="288"/>
      <c r="B2138" s="354"/>
      <c r="C2138" s="355"/>
      <c r="D2138" s="1354" t="s">
        <v>492</v>
      </c>
      <c r="E2138" s="1355"/>
      <c r="F2138" s="1355"/>
      <c r="G2138" s="1355"/>
      <c r="H2138" s="1355"/>
      <c r="I2138" s="1356"/>
      <c r="J2138" s="1357">
        <f>VLOOKUP(A2140,'11 - FINANCEIRO'!_xlnm.Print_Area,6,FALSE)</f>
        <v>47.53</v>
      </c>
      <c r="K2138" s="1358"/>
      <c r="L2138" s="356" t="str">
        <f>VLOOKUP(A2140,'11 - FINANCEIRO'!_xlnm.Print_Area,4,FALSE)</f>
        <v>tkm</v>
      </c>
      <c r="M2138" s="1359" t="s">
        <v>493</v>
      </c>
      <c r="N2138" s="1360"/>
      <c r="O2138" s="1360"/>
      <c r="P2138" s="1360"/>
      <c r="Q2138" s="1361"/>
      <c r="R2138" s="357">
        <f>TRUNC(SUM(R2134:R2137),3)</f>
        <v>0</v>
      </c>
      <c r="S2138" s="358" t="str">
        <f>L2138</f>
        <v>tkm</v>
      </c>
      <c r="T2138" s="359"/>
      <c r="U2138" s="360"/>
      <c r="V2138" s="291">
        <f t="shared" ca="1" si="692"/>
        <v>0</v>
      </c>
      <c r="W2138" s="256">
        <f t="shared" ca="1" si="687"/>
        <v>2</v>
      </c>
      <c r="X2138" s="256">
        <f t="shared" ca="1" si="691"/>
        <v>1</v>
      </c>
      <c r="Y2138" s="250"/>
      <c r="Z2138" s="250"/>
    </row>
    <row r="2139" spans="1:29" s="293" customFormat="1" ht="15.75" hidden="1" customHeight="1" x14ac:dyDescent="0.2">
      <c r="A2139" s="288"/>
      <c r="B2139" s="354"/>
      <c r="C2139" s="361"/>
      <c r="D2139" s="1362" t="s">
        <v>494</v>
      </c>
      <c r="E2139" s="1363"/>
      <c r="F2139" s="1363"/>
      <c r="G2139" s="1363"/>
      <c r="H2139" s="1363"/>
      <c r="I2139" s="1364"/>
      <c r="J2139" s="1365">
        <f>R2138/J2138</f>
        <v>0</v>
      </c>
      <c r="K2139" s="1366"/>
      <c r="L2139" s="1369"/>
      <c r="M2139" s="1371" t="s">
        <v>495</v>
      </c>
      <c r="N2139" s="1372"/>
      <c r="O2139" s="1372"/>
      <c r="P2139" s="1372"/>
      <c r="Q2139" s="1373"/>
      <c r="R2139" s="362">
        <f>VLOOKUP(A2140,'11 - FINANCEIRO'!_xlnm.Print_Area,8,FALSE)</f>
        <v>0</v>
      </c>
      <c r="S2139" s="363" t="str">
        <f>L2138</f>
        <v>tkm</v>
      </c>
      <c r="T2139" s="359"/>
      <c r="U2139" s="360"/>
      <c r="V2139" s="291">
        <f t="shared" ca="1" si="692"/>
        <v>0</v>
      </c>
      <c r="W2139" s="256">
        <f t="shared" ca="1" si="687"/>
        <v>2</v>
      </c>
      <c r="X2139" s="256">
        <f t="shared" ca="1" si="691"/>
        <v>1</v>
      </c>
      <c r="Y2139" s="256"/>
      <c r="Z2139" s="256"/>
      <c r="AA2139" s="292"/>
      <c r="AB2139" s="292"/>
      <c r="AC2139" s="292"/>
    </row>
    <row r="2140" spans="1:29" s="293" customFormat="1" ht="15.75" hidden="1" customHeight="1" x14ac:dyDescent="0.2">
      <c r="A2140" s="288" t="s">
        <v>83</v>
      </c>
      <c r="B2140" s="364"/>
      <c r="C2140" s="365"/>
      <c r="D2140" s="1354"/>
      <c r="E2140" s="1355"/>
      <c r="F2140" s="1355"/>
      <c r="G2140" s="1355"/>
      <c r="H2140" s="1355"/>
      <c r="I2140" s="1356"/>
      <c r="J2140" s="1367"/>
      <c r="K2140" s="1368"/>
      <c r="L2140" s="1370"/>
      <c r="M2140" s="1371" t="s">
        <v>496</v>
      </c>
      <c r="N2140" s="1372"/>
      <c r="O2140" s="1372"/>
      <c r="P2140" s="1372"/>
      <c r="Q2140" s="1373"/>
      <c r="R2140" s="362">
        <f>R2138-R2139</f>
        <v>0</v>
      </c>
      <c r="S2140" s="363" t="str">
        <f>L2138</f>
        <v>tkm</v>
      </c>
      <c r="T2140" s="366"/>
      <c r="U2140" s="367"/>
      <c r="V2140" s="291">
        <f t="shared" ca="1" si="692"/>
        <v>0</v>
      </c>
      <c r="W2140" s="256">
        <f t="shared" ca="1" si="687"/>
        <v>2</v>
      </c>
      <c r="X2140" s="256">
        <f t="shared" ca="1" si="691"/>
        <v>1</v>
      </c>
      <c r="Y2140" s="256"/>
      <c r="Z2140" s="256"/>
      <c r="AA2140" s="292"/>
      <c r="AB2140" s="292"/>
      <c r="AC2140" s="292"/>
    </row>
    <row r="2141" spans="1:29" s="111" customFormat="1" ht="15.75" hidden="1" x14ac:dyDescent="0.2">
      <c r="A2141" s="288"/>
      <c r="B2141" s="368"/>
      <c r="C2141" s="365"/>
      <c r="D2141" s="369"/>
      <c r="E2141" s="370"/>
      <c r="F2141" s="369"/>
      <c r="G2141" s="369"/>
      <c r="H2141" s="369"/>
      <c r="I2141" s="369"/>
      <c r="J2141" s="371"/>
      <c r="K2141" s="372"/>
      <c r="L2141" s="373"/>
      <c r="M2141" s="374"/>
      <c r="N2141" s="374"/>
      <c r="O2141" s="374"/>
      <c r="P2141" s="374"/>
      <c r="Q2141" s="374"/>
      <c r="R2141" s="375"/>
      <c r="S2141" s="376"/>
      <c r="T2141" s="377"/>
      <c r="U2141" s="378"/>
      <c r="V2141" s="379">
        <f ca="1">SUM(V2132:V2140)</f>
        <v>0</v>
      </c>
      <c r="W2141" s="256">
        <f t="shared" ca="1" si="687"/>
        <v>1</v>
      </c>
      <c r="X2141" s="256">
        <f t="shared" ca="1" si="691"/>
        <v>0</v>
      </c>
      <c r="Y2141" s="250"/>
      <c r="Z2141" s="250"/>
    </row>
    <row r="2142" spans="1:29" s="293" customFormat="1" ht="15.75" hidden="1" customHeight="1" x14ac:dyDescent="0.25">
      <c r="A2142" s="288"/>
      <c r="B2142" s="1374" t="str">
        <f>VLOOKUP(A2150,'11 - FINANCEIRO'!_xlnm.Print_Area,1,FALSE)</f>
        <v>2.5.3.2.7</v>
      </c>
      <c r="C2142" s="1376" t="str">
        <f>VLOOKUP(A2150,'11 - FINANCEIRO'!_xlnm.Print_Area,3,FALSE)</f>
        <v>Demolição Parcial De Pavimento Asfáltico, De Forma Mecanizada, Sem Reaproveitamento. Af_12/2017</v>
      </c>
      <c r="D2142" s="1378" t="s">
        <v>477</v>
      </c>
      <c r="E2142" s="1379"/>
      <c r="F2142" s="1379"/>
      <c r="G2142" s="1379"/>
      <c r="H2142" s="1379"/>
      <c r="I2142" s="1380"/>
      <c r="J2142" s="1338" t="s">
        <v>296</v>
      </c>
      <c r="K2142" s="1338" t="s">
        <v>479</v>
      </c>
      <c r="L2142" s="1338" t="s">
        <v>480</v>
      </c>
      <c r="M2142" s="1338" t="s">
        <v>481</v>
      </c>
      <c r="N2142" s="1338" t="s">
        <v>482</v>
      </c>
      <c r="O2142" s="1338" t="s">
        <v>483</v>
      </c>
      <c r="P2142" s="290" t="s">
        <v>484</v>
      </c>
      <c r="Q2142" s="1338" t="s">
        <v>485</v>
      </c>
      <c r="R2142" s="1336" t="s">
        <v>296</v>
      </c>
      <c r="S2142" s="1338" t="s">
        <v>486</v>
      </c>
      <c r="T2142" s="1338" t="s">
        <v>487</v>
      </c>
      <c r="U2142" s="1340" t="s">
        <v>488</v>
      </c>
      <c r="V2142" s="291">
        <f t="shared" ref="V2142:V2150" ca="1" si="693">IF(OFFSET(V2142,1,1)=1,OFFSET(V2142,0,-4),OFFSET(V2142,1,0))</f>
        <v>0</v>
      </c>
      <c r="W2142" s="256">
        <f t="shared" ca="1" si="687"/>
        <v>2</v>
      </c>
      <c r="X2142" s="256">
        <f t="shared" ca="1" si="691"/>
        <v>1</v>
      </c>
      <c r="Y2142" s="256"/>
      <c r="Z2142" s="256"/>
      <c r="AA2142" s="292"/>
      <c r="AB2142" s="292"/>
      <c r="AC2142" s="292"/>
    </row>
    <row r="2143" spans="1:29" s="337" customFormat="1" ht="15.75" hidden="1" x14ac:dyDescent="0.2">
      <c r="A2143" s="288"/>
      <c r="B2143" s="1375" t="e">
        <f>LEFT(#REF!,5)</f>
        <v>#REF!</v>
      </c>
      <c r="C2143" s="1377" t="e">
        <f>VLOOKUP(LEFT(#REF!,5),'11 - FINANCEIRO'!_xlnm.Print_Area,2,FALSE)</f>
        <v>#REF!</v>
      </c>
      <c r="D2143" s="1342" t="s">
        <v>489</v>
      </c>
      <c r="E2143" s="1343"/>
      <c r="F2143" s="1344"/>
      <c r="G2143" s="1345" t="s">
        <v>490</v>
      </c>
      <c r="H2143" s="1346"/>
      <c r="I2143" s="1347"/>
      <c r="J2143" s="1339"/>
      <c r="K2143" s="1339"/>
      <c r="L2143" s="1339"/>
      <c r="M2143" s="1339"/>
      <c r="N2143" s="1339"/>
      <c r="O2143" s="1339"/>
      <c r="P2143" s="295" t="s">
        <v>491</v>
      </c>
      <c r="Q2143" s="1339"/>
      <c r="R2143" s="1337"/>
      <c r="S2143" s="1339"/>
      <c r="T2143" s="1339"/>
      <c r="U2143" s="1341"/>
      <c r="V2143" s="291">
        <f t="shared" ca="1" si="693"/>
        <v>0</v>
      </c>
      <c r="W2143" s="256">
        <f t="shared" ref="W2143:W2150" ca="1" si="694">IF(LEFT(_xlfn.FORMULATEXT(V2143),3)="=SO",1,IF(COUNTA(A2143:U2143)=0,0,2))</f>
        <v>2</v>
      </c>
      <c r="X2143" s="256">
        <f t="shared" ref="X2143:X2150" ca="1" si="695">IF(COUNTA(OFFSET(A2142,1,0))-COUNTA(A2142)=-1,0,1)</f>
        <v>1</v>
      </c>
      <c r="Y2143" s="336"/>
      <c r="Z2143" s="336"/>
    </row>
    <row r="2144" spans="1:29" s="337" customFormat="1" ht="15.75" hidden="1" x14ac:dyDescent="0.2">
      <c r="A2144" s="288"/>
      <c r="B2144" s="296"/>
      <c r="C2144" s="312" t="s">
        <v>1099</v>
      </c>
      <c r="D2144" s="419"/>
      <c r="E2144" s="316"/>
      <c r="F2144" s="420"/>
      <c r="G2144" s="419"/>
      <c r="H2144" s="316"/>
      <c r="I2144" s="420"/>
      <c r="J2144" s="317"/>
      <c r="K2144" s="433"/>
      <c r="L2144" s="304"/>
      <c r="M2144" s="533"/>
      <c r="N2144" s="304"/>
      <c r="O2144" s="304"/>
      <c r="P2144" s="306"/>
      <c r="Q2144" s="304"/>
      <c r="R2144" s="307">
        <v>141</v>
      </c>
      <c r="S2144" s="416" t="str">
        <f>L2148</f>
        <v>m²</v>
      </c>
      <c r="T2144" s="309">
        <v>33</v>
      </c>
      <c r="U2144" s="310"/>
      <c r="V2144" s="291">
        <f t="shared" ca="1" si="693"/>
        <v>0</v>
      </c>
      <c r="W2144" s="256">
        <f t="shared" ca="1" si="694"/>
        <v>2</v>
      </c>
      <c r="X2144" s="256">
        <f t="shared" ca="1" si="695"/>
        <v>1</v>
      </c>
      <c r="Y2144" s="336"/>
      <c r="Z2144" s="336"/>
    </row>
    <row r="2145" spans="1:29" s="111" customFormat="1" ht="15.75" hidden="1" x14ac:dyDescent="0.2">
      <c r="A2145" s="288"/>
      <c r="B2145" s="311"/>
      <c r="C2145" s="312"/>
      <c r="D2145" s="313"/>
      <c r="E2145" s="314"/>
      <c r="F2145" s="315"/>
      <c r="G2145" s="380"/>
      <c r="H2145" s="316"/>
      <c r="I2145" s="381"/>
      <c r="J2145" s="317"/>
      <c r="K2145" s="313"/>
      <c r="L2145" s="317"/>
      <c r="M2145" s="315"/>
      <c r="N2145" s="314"/>
      <c r="O2145" s="313"/>
      <c r="P2145" s="318"/>
      <c r="Q2145" s="315"/>
      <c r="R2145" s="319"/>
      <c r="S2145" s="317"/>
      <c r="T2145" s="320"/>
      <c r="U2145" s="321"/>
      <c r="V2145" s="291">
        <f t="shared" ca="1" si="693"/>
        <v>0</v>
      </c>
      <c r="W2145" s="256">
        <f t="shared" ca="1" si="694"/>
        <v>0</v>
      </c>
      <c r="X2145" s="256">
        <f t="shared" ca="1" si="695"/>
        <v>1</v>
      </c>
      <c r="Y2145" s="250"/>
      <c r="Z2145" s="250"/>
    </row>
    <row r="2146" spans="1:29" s="111" customFormat="1" ht="15" hidden="1" x14ac:dyDescent="0.2">
      <c r="A2146" s="288"/>
      <c r="B2146" s="322"/>
      <c r="C2146" s="382"/>
      <c r="D2146" s="324"/>
      <c r="E2146" s="325"/>
      <c r="F2146" s="326"/>
      <c r="G2146" s="324"/>
      <c r="H2146" s="325"/>
      <c r="I2146" s="326"/>
      <c r="J2146" s="317"/>
      <c r="K2146" s="328"/>
      <c r="L2146" s="328"/>
      <c r="M2146" s="328"/>
      <c r="N2146" s="328"/>
      <c r="O2146" s="334"/>
      <c r="P2146" s="328"/>
      <c r="Q2146" s="334"/>
      <c r="R2146" s="333"/>
      <c r="S2146" s="331"/>
      <c r="T2146" s="320"/>
      <c r="U2146" s="335"/>
      <c r="V2146" s="291">
        <f t="shared" ca="1" si="693"/>
        <v>0</v>
      </c>
      <c r="W2146" s="256">
        <f t="shared" ca="1" si="694"/>
        <v>0</v>
      </c>
      <c r="X2146" s="256">
        <f t="shared" ca="1" si="695"/>
        <v>1</v>
      </c>
      <c r="Y2146" s="250"/>
      <c r="Z2146" s="250"/>
    </row>
    <row r="2147" spans="1:29" s="111" customFormat="1" ht="15" hidden="1" x14ac:dyDescent="0.2">
      <c r="A2147" s="288"/>
      <c r="B2147" s="338"/>
      <c r="C2147" s="339"/>
      <c r="D2147" s="340"/>
      <c r="E2147" s="341"/>
      <c r="F2147" s="342"/>
      <c r="G2147" s="340"/>
      <c r="H2147" s="341"/>
      <c r="I2147" s="342"/>
      <c r="J2147" s="343"/>
      <c r="K2147" s="344"/>
      <c r="L2147" s="345"/>
      <c r="M2147" s="346"/>
      <c r="N2147" s="347"/>
      <c r="O2147" s="348"/>
      <c r="P2147" s="345"/>
      <c r="Q2147" s="349"/>
      <c r="R2147" s="350"/>
      <c r="S2147" s="351"/>
      <c r="T2147" s="352"/>
      <c r="U2147" s="353"/>
      <c r="V2147" s="291">
        <f t="shared" ca="1" si="693"/>
        <v>0</v>
      </c>
      <c r="W2147" s="256">
        <f t="shared" ca="1" si="694"/>
        <v>0</v>
      </c>
      <c r="X2147" s="256">
        <f t="shared" ca="1" si="695"/>
        <v>1</v>
      </c>
      <c r="Y2147" s="250"/>
      <c r="Z2147" s="250"/>
    </row>
    <row r="2148" spans="1:29" s="111" customFormat="1" ht="15.75" hidden="1" customHeight="1" x14ac:dyDescent="0.2">
      <c r="A2148" s="288"/>
      <c r="B2148" s="354"/>
      <c r="C2148" s="355"/>
      <c r="D2148" s="1354" t="s">
        <v>492</v>
      </c>
      <c r="E2148" s="1355"/>
      <c r="F2148" s="1355"/>
      <c r="G2148" s="1355"/>
      <c r="H2148" s="1355"/>
      <c r="I2148" s="1356"/>
      <c r="J2148" s="1357">
        <f>VLOOKUP(A2150,'11 - FINANCEIRO'!_xlnm.Print_Area,6,FALSE)</f>
        <v>141</v>
      </c>
      <c r="K2148" s="1358"/>
      <c r="L2148" s="356" t="str">
        <f>VLOOKUP(A2150,'11 - FINANCEIRO'!_xlnm.Print_Area,4,FALSE)</f>
        <v>m²</v>
      </c>
      <c r="M2148" s="1359" t="s">
        <v>493</v>
      </c>
      <c r="N2148" s="1360"/>
      <c r="O2148" s="1360"/>
      <c r="P2148" s="1360"/>
      <c r="Q2148" s="1361"/>
      <c r="R2148" s="357">
        <f>TRUNC(SUM(R2144:R2147),3)</f>
        <v>141</v>
      </c>
      <c r="S2148" s="358" t="str">
        <f>L2148</f>
        <v>m²</v>
      </c>
      <c r="T2148" s="359"/>
      <c r="U2148" s="360"/>
      <c r="V2148" s="291">
        <f t="shared" ca="1" si="693"/>
        <v>0</v>
      </c>
      <c r="W2148" s="256">
        <f t="shared" ca="1" si="694"/>
        <v>2</v>
      </c>
      <c r="X2148" s="256">
        <f t="shared" ca="1" si="695"/>
        <v>1</v>
      </c>
      <c r="Y2148" s="250"/>
      <c r="Z2148" s="250"/>
    </row>
    <row r="2149" spans="1:29" s="293" customFormat="1" ht="15.75" hidden="1" customHeight="1" x14ac:dyDescent="0.2">
      <c r="A2149" s="288"/>
      <c r="B2149" s="354"/>
      <c r="C2149" s="361"/>
      <c r="D2149" s="1362" t="s">
        <v>494</v>
      </c>
      <c r="E2149" s="1363"/>
      <c r="F2149" s="1363"/>
      <c r="G2149" s="1363"/>
      <c r="H2149" s="1363"/>
      <c r="I2149" s="1364"/>
      <c r="J2149" s="1365">
        <f>R2148/J2148</f>
        <v>1</v>
      </c>
      <c r="K2149" s="1366"/>
      <c r="L2149" s="1369"/>
      <c r="M2149" s="1371" t="s">
        <v>495</v>
      </c>
      <c r="N2149" s="1372"/>
      <c r="O2149" s="1372"/>
      <c r="P2149" s="1372"/>
      <c r="Q2149" s="1373"/>
      <c r="R2149" s="362">
        <f>VLOOKUP(A2150,'11 - FINANCEIRO'!_xlnm.Print_Area,8,FALSE)</f>
        <v>141</v>
      </c>
      <c r="S2149" s="363" t="str">
        <f>L2148</f>
        <v>m²</v>
      </c>
      <c r="T2149" s="858">
        <f>R2148-J2148</f>
        <v>0</v>
      </c>
      <c r="U2149" s="360"/>
      <c r="V2149" s="291">
        <f t="shared" ca="1" si="693"/>
        <v>0</v>
      </c>
      <c r="W2149" s="256">
        <f t="shared" ca="1" si="694"/>
        <v>2</v>
      </c>
      <c r="X2149" s="256">
        <f t="shared" ca="1" si="695"/>
        <v>1</v>
      </c>
      <c r="Y2149" s="256"/>
      <c r="Z2149" s="256"/>
      <c r="AA2149" s="292"/>
      <c r="AB2149" s="292"/>
      <c r="AC2149" s="292"/>
    </row>
    <row r="2150" spans="1:29" s="293" customFormat="1" ht="15.75" hidden="1" customHeight="1" x14ac:dyDescent="0.2">
      <c r="A2150" s="288" t="s">
        <v>84</v>
      </c>
      <c r="B2150" s="364"/>
      <c r="C2150" s="365"/>
      <c r="D2150" s="1354"/>
      <c r="E2150" s="1355"/>
      <c r="F2150" s="1355"/>
      <c r="G2150" s="1355"/>
      <c r="H2150" s="1355"/>
      <c r="I2150" s="1356"/>
      <c r="J2150" s="1367"/>
      <c r="K2150" s="1368"/>
      <c r="L2150" s="1370"/>
      <c r="M2150" s="1371" t="s">
        <v>496</v>
      </c>
      <c r="N2150" s="1372"/>
      <c r="O2150" s="1372"/>
      <c r="P2150" s="1372"/>
      <c r="Q2150" s="1373"/>
      <c r="R2150" s="362">
        <f>R2148-R2149</f>
        <v>0</v>
      </c>
      <c r="S2150" s="363" t="str">
        <f>L2148</f>
        <v>m²</v>
      </c>
      <c r="T2150" s="366"/>
      <c r="U2150" s="367"/>
      <c r="V2150" s="291">
        <f t="shared" ca="1" si="693"/>
        <v>0</v>
      </c>
      <c r="W2150" s="256">
        <f t="shared" ca="1" si="694"/>
        <v>2</v>
      </c>
      <c r="X2150" s="256">
        <f t="shared" ca="1" si="695"/>
        <v>1</v>
      </c>
      <c r="Y2150" s="256"/>
      <c r="Z2150" s="256"/>
      <c r="AA2150" s="292"/>
      <c r="AB2150" s="292"/>
      <c r="AC2150" s="292"/>
    </row>
    <row r="2151" spans="1:29" s="111" customFormat="1" ht="15.75" hidden="1" x14ac:dyDescent="0.2">
      <c r="A2151" s="288"/>
      <c r="B2151" s="368"/>
      <c r="C2151" s="365"/>
      <c r="D2151" s="369"/>
      <c r="E2151" s="370"/>
      <c r="F2151" s="369"/>
      <c r="G2151" s="369"/>
      <c r="H2151" s="369"/>
      <c r="I2151" s="369"/>
      <c r="J2151" s="371"/>
      <c r="K2151" s="372"/>
      <c r="L2151" s="373"/>
      <c r="M2151" s="374"/>
      <c r="N2151" s="374"/>
      <c r="O2151" s="374"/>
      <c r="P2151" s="374"/>
      <c r="Q2151" s="374"/>
      <c r="R2151" s="375"/>
      <c r="S2151" s="376"/>
      <c r="T2151" s="377"/>
      <c r="U2151" s="378"/>
      <c r="V2151" s="379">
        <f ca="1">SUM(V2142:V2150)</f>
        <v>0</v>
      </c>
      <c r="W2151" s="256">
        <f t="shared" ca="1" si="687"/>
        <v>1</v>
      </c>
      <c r="X2151" s="256">
        <f t="shared" ca="1" si="691"/>
        <v>0</v>
      </c>
      <c r="Y2151" s="250"/>
      <c r="Z2151" s="250"/>
    </row>
    <row r="2152" spans="1:29" s="293" customFormat="1" ht="15.75" hidden="1" customHeight="1" x14ac:dyDescent="0.25">
      <c r="A2152" s="288"/>
      <c r="B2152" s="1374" t="str">
        <f>VLOOKUP(A2160,'11 - FINANCEIRO'!_xlnm.Print_Area,1,FALSE)</f>
        <v>2.5.3.2.8</v>
      </c>
      <c r="C2152" s="1376" t="str">
        <f>VLOOKUP(A2160,'11 - FINANCEIRO'!_xlnm.Print_Area,3,FALSE)</f>
        <v>Sub-Base De Brita Graduada, Inclusive Fornecimento E Transporte Da Brita Em Vias Urbanas</v>
      </c>
      <c r="D2152" s="1378" t="s">
        <v>477</v>
      </c>
      <c r="E2152" s="1379"/>
      <c r="F2152" s="1379"/>
      <c r="G2152" s="1379"/>
      <c r="H2152" s="1379"/>
      <c r="I2152" s="1380"/>
      <c r="J2152" s="1338" t="s">
        <v>296</v>
      </c>
      <c r="K2152" s="1338" t="s">
        <v>479</v>
      </c>
      <c r="L2152" s="1338" t="s">
        <v>480</v>
      </c>
      <c r="M2152" s="1338" t="s">
        <v>481</v>
      </c>
      <c r="N2152" s="1338" t="s">
        <v>482</v>
      </c>
      <c r="O2152" s="1338" t="s">
        <v>483</v>
      </c>
      <c r="P2152" s="290" t="s">
        <v>484</v>
      </c>
      <c r="Q2152" s="1338" t="s">
        <v>485</v>
      </c>
      <c r="R2152" s="1336" t="s">
        <v>296</v>
      </c>
      <c r="S2152" s="1338" t="s">
        <v>486</v>
      </c>
      <c r="T2152" s="1338" t="s">
        <v>487</v>
      </c>
      <c r="U2152" s="1340" t="s">
        <v>488</v>
      </c>
      <c r="V2152" s="291">
        <f t="shared" ref="V2152:V2160" ca="1" si="696">IF(OFFSET(V2152,1,1)=1,OFFSET(V2152,0,-4),OFFSET(V2152,1,0))</f>
        <v>0</v>
      </c>
      <c r="W2152" s="256">
        <f t="shared" ca="1" si="687"/>
        <v>2</v>
      </c>
      <c r="X2152" s="256">
        <f t="shared" ca="1" si="691"/>
        <v>1</v>
      </c>
      <c r="Y2152" s="256"/>
      <c r="Z2152" s="256"/>
      <c r="AA2152" s="292"/>
      <c r="AB2152" s="292"/>
      <c r="AC2152" s="292"/>
    </row>
    <row r="2153" spans="1:29" s="337" customFormat="1" ht="15.75" hidden="1" x14ac:dyDescent="0.2">
      <c r="A2153" s="288"/>
      <c r="B2153" s="1375" t="e">
        <f>LEFT(#REF!,5)</f>
        <v>#REF!</v>
      </c>
      <c r="C2153" s="1377" t="e">
        <f>VLOOKUP(LEFT(#REF!,5),'11 - FINANCEIRO'!_xlnm.Print_Area,2,FALSE)</f>
        <v>#REF!</v>
      </c>
      <c r="D2153" s="1342" t="s">
        <v>489</v>
      </c>
      <c r="E2153" s="1343"/>
      <c r="F2153" s="1344"/>
      <c r="G2153" s="1345" t="s">
        <v>490</v>
      </c>
      <c r="H2153" s="1346"/>
      <c r="I2153" s="1347"/>
      <c r="J2153" s="1339"/>
      <c r="K2153" s="1339"/>
      <c r="L2153" s="1339"/>
      <c r="M2153" s="1339"/>
      <c r="N2153" s="1339"/>
      <c r="O2153" s="1339"/>
      <c r="P2153" s="295" t="s">
        <v>491</v>
      </c>
      <c r="Q2153" s="1339"/>
      <c r="R2153" s="1337"/>
      <c r="S2153" s="1339"/>
      <c r="T2153" s="1339"/>
      <c r="U2153" s="1341"/>
      <c r="V2153" s="291">
        <f t="shared" ca="1" si="696"/>
        <v>0</v>
      </c>
      <c r="W2153" s="256">
        <f t="shared" ca="1" si="687"/>
        <v>2</v>
      </c>
      <c r="X2153" s="256">
        <f t="shared" ca="1" si="691"/>
        <v>1</v>
      </c>
      <c r="Y2153" s="336"/>
      <c r="Z2153" s="336"/>
    </row>
    <row r="2154" spans="1:29" s="337" customFormat="1" ht="15.75" hidden="1" x14ac:dyDescent="0.2">
      <c r="A2154" s="288"/>
      <c r="B2154" s="296"/>
      <c r="C2154" s="297"/>
      <c r="D2154" s="298"/>
      <c r="E2154" s="299"/>
      <c r="F2154" s="300"/>
      <c r="G2154" s="301"/>
      <c r="H2154" s="302"/>
      <c r="I2154" s="303"/>
      <c r="J2154" s="304"/>
      <c r="K2154" s="304"/>
      <c r="L2154" s="304"/>
      <c r="M2154" s="304"/>
      <c r="N2154" s="304"/>
      <c r="O2154" s="304"/>
      <c r="P2154" s="306"/>
      <c r="Q2154" s="304"/>
      <c r="R2154" s="307"/>
      <c r="S2154" s="304"/>
      <c r="T2154" s="309"/>
      <c r="U2154" s="310"/>
      <c r="V2154" s="291">
        <f t="shared" ca="1" si="696"/>
        <v>0</v>
      </c>
      <c r="W2154" s="256">
        <f t="shared" ca="1" si="687"/>
        <v>0</v>
      </c>
      <c r="X2154" s="256">
        <f t="shared" ca="1" si="691"/>
        <v>1</v>
      </c>
      <c r="Y2154" s="336"/>
      <c r="Z2154" s="336"/>
    </row>
    <row r="2155" spans="1:29" s="111" customFormat="1" ht="15.75" hidden="1" x14ac:dyDescent="0.2">
      <c r="A2155" s="288"/>
      <c r="B2155" s="311"/>
      <c r="C2155" s="312"/>
      <c r="D2155" s="313"/>
      <c r="E2155" s="314"/>
      <c r="F2155" s="315"/>
      <c r="G2155" s="380"/>
      <c r="H2155" s="316"/>
      <c r="I2155" s="381"/>
      <c r="J2155" s="317"/>
      <c r="K2155" s="313"/>
      <c r="L2155" s="317"/>
      <c r="M2155" s="315"/>
      <c r="N2155" s="314"/>
      <c r="O2155" s="313"/>
      <c r="P2155" s="318"/>
      <c r="Q2155" s="315"/>
      <c r="R2155" s="319"/>
      <c r="S2155" s="317"/>
      <c r="T2155" s="320"/>
      <c r="U2155" s="321"/>
      <c r="V2155" s="291">
        <f t="shared" ca="1" si="696"/>
        <v>0</v>
      </c>
      <c r="W2155" s="256">
        <f t="shared" ca="1" si="687"/>
        <v>0</v>
      </c>
      <c r="X2155" s="256">
        <f t="shared" ca="1" si="691"/>
        <v>1</v>
      </c>
      <c r="Y2155" s="250"/>
      <c r="Z2155" s="250"/>
    </row>
    <row r="2156" spans="1:29" s="111" customFormat="1" ht="15" hidden="1" x14ac:dyDescent="0.2">
      <c r="A2156" s="288"/>
      <c r="B2156" s="322"/>
      <c r="C2156" s="382"/>
      <c r="D2156" s="324"/>
      <c r="E2156" s="325"/>
      <c r="F2156" s="326"/>
      <c r="G2156" s="324"/>
      <c r="H2156" s="325"/>
      <c r="I2156" s="326"/>
      <c r="J2156" s="317"/>
      <c r="K2156" s="328"/>
      <c r="L2156" s="328"/>
      <c r="M2156" s="328"/>
      <c r="N2156" s="328"/>
      <c r="O2156" s="334"/>
      <c r="P2156" s="328"/>
      <c r="Q2156" s="334"/>
      <c r="R2156" s="333"/>
      <c r="S2156" s="331"/>
      <c r="T2156" s="320"/>
      <c r="U2156" s="335"/>
      <c r="V2156" s="291">
        <f t="shared" ca="1" si="696"/>
        <v>0</v>
      </c>
      <c r="W2156" s="256">
        <f t="shared" ca="1" si="687"/>
        <v>0</v>
      </c>
      <c r="X2156" s="256">
        <f t="shared" ca="1" si="691"/>
        <v>1</v>
      </c>
      <c r="Y2156" s="250"/>
      <c r="Z2156" s="250"/>
    </row>
    <row r="2157" spans="1:29" s="111" customFormat="1" ht="15" hidden="1" x14ac:dyDescent="0.2">
      <c r="A2157" s="288"/>
      <c r="B2157" s="338"/>
      <c r="C2157" s="339"/>
      <c r="D2157" s="340"/>
      <c r="E2157" s="341"/>
      <c r="F2157" s="342"/>
      <c r="G2157" s="340"/>
      <c r="H2157" s="341"/>
      <c r="I2157" s="342"/>
      <c r="J2157" s="343"/>
      <c r="K2157" s="344"/>
      <c r="L2157" s="345"/>
      <c r="M2157" s="346"/>
      <c r="N2157" s="347"/>
      <c r="O2157" s="348"/>
      <c r="P2157" s="345"/>
      <c r="Q2157" s="349"/>
      <c r="R2157" s="350"/>
      <c r="S2157" s="351"/>
      <c r="T2157" s="352"/>
      <c r="U2157" s="353"/>
      <c r="V2157" s="291">
        <f t="shared" ca="1" si="696"/>
        <v>0</v>
      </c>
      <c r="W2157" s="256">
        <f t="shared" ca="1" si="687"/>
        <v>0</v>
      </c>
      <c r="X2157" s="256">
        <f t="shared" ca="1" si="691"/>
        <v>1</v>
      </c>
      <c r="Y2157" s="250"/>
      <c r="Z2157" s="250"/>
    </row>
    <row r="2158" spans="1:29" s="111" customFormat="1" ht="15.75" hidden="1" customHeight="1" x14ac:dyDescent="0.2">
      <c r="A2158" s="288"/>
      <c r="B2158" s="354"/>
      <c r="C2158" s="355"/>
      <c r="D2158" s="1354" t="s">
        <v>492</v>
      </c>
      <c r="E2158" s="1355"/>
      <c r="F2158" s="1355"/>
      <c r="G2158" s="1355"/>
      <c r="H2158" s="1355"/>
      <c r="I2158" s="1356"/>
      <c r="J2158" s="1357">
        <f>VLOOKUP(A2160,'11 - FINANCEIRO'!_xlnm.Print_Area,6,FALSE)</f>
        <v>21.15</v>
      </c>
      <c r="K2158" s="1358"/>
      <c r="L2158" s="356" t="str">
        <f>VLOOKUP(A2160,'11 - FINANCEIRO'!_xlnm.Print_Area,4,FALSE)</f>
        <v>m³</v>
      </c>
      <c r="M2158" s="1359" t="s">
        <v>493</v>
      </c>
      <c r="N2158" s="1360"/>
      <c r="O2158" s="1360"/>
      <c r="P2158" s="1360"/>
      <c r="Q2158" s="1361"/>
      <c r="R2158" s="357">
        <f>TRUNC(SUM(R2154:R2157),3)</f>
        <v>0</v>
      </c>
      <c r="S2158" s="358" t="str">
        <f>L2158</f>
        <v>m³</v>
      </c>
      <c r="T2158" s="359"/>
      <c r="U2158" s="360"/>
      <c r="V2158" s="291">
        <f t="shared" ca="1" si="696"/>
        <v>0</v>
      </c>
      <c r="W2158" s="256">
        <f t="shared" ca="1" si="687"/>
        <v>2</v>
      </c>
      <c r="X2158" s="256">
        <f t="shared" ca="1" si="691"/>
        <v>1</v>
      </c>
      <c r="Y2158" s="250"/>
      <c r="Z2158" s="250"/>
    </row>
    <row r="2159" spans="1:29" s="293" customFormat="1" ht="15.75" hidden="1" customHeight="1" x14ac:dyDescent="0.2">
      <c r="A2159" s="288"/>
      <c r="B2159" s="354"/>
      <c r="C2159" s="361"/>
      <c r="D2159" s="1362" t="s">
        <v>494</v>
      </c>
      <c r="E2159" s="1363"/>
      <c r="F2159" s="1363"/>
      <c r="G2159" s="1363"/>
      <c r="H2159" s="1363"/>
      <c r="I2159" s="1364"/>
      <c r="J2159" s="1365">
        <f>R2158/J2158</f>
        <v>0</v>
      </c>
      <c r="K2159" s="1366"/>
      <c r="L2159" s="1369"/>
      <c r="M2159" s="1371" t="s">
        <v>495</v>
      </c>
      <c r="N2159" s="1372"/>
      <c r="O2159" s="1372"/>
      <c r="P2159" s="1372"/>
      <c r="Q2159" s="1373"/>
      <c r="R2159" s="362">
        <f>VLOOKUP(A2160,'11 - FINANCEIRO'!_xlnm.Print_Area,8,FALSE)</f>
        <v>0</v>
      </c>
      <c r="S2159" s="363" t="str">
        <f>L2158</f>
        <v>m³</v>
      </c>
      <c r="T2159" s="359"/>
      <c r="U2159" s="360"/>
      <c r="V2159" s="291">
        <f t="shared" ca="1" si="696"/>
        <v>0</v>
      </c>
      <c r="W2159" s="256">
        <f t="shared" ca="1" si="687"/>
        <v>2</v>
      </c>
      <c r="X2159" s="256">
        <f t="shared" ca="1" si="691"/>
        <v>1</v>
      </c>
      <c r="Y2159" s="256"/>
      <c r="Z2159" s="256"/>
      <c r="AA2159" s="292"/>
      <c r="AB2159" s="292"/>
      <c r="AC2159" s="292"/>
    </row>
    <row r="2160" spans="1:29" s="293" customFormat="1" ht="15.75" hidden="1" customHeight="1" x14ac:dyDescent="0.2">
      <c r="A2160" s="288" t="s">
        <v>85</v>
      </c>
      <c r="B2160" s="364"/>
      <c r="C2160" s="365"/>
      <c r="D2160" s="1354"/>
      <c r="E2160" s="1355"/>
      <c r="F2160" s="1355"/>
      <c r="G2160" s="1355"/>
      <c r="H2160" s="1355"/>
      <c r="I2160" s="1356"/>
      <c r="J2160" s="1367"/>
      <c r="K2160" s="1368"/>
      <c r="L2160" s="1370"/>
      <c r="M2160" s="1371" t="s">
        <v>496</v>
      </c>
      <c r="N2160" s="1372"/>
      <c r="O2160" s="1372"/>
      <c r="P2160" s="1372"/>
      <c r="Q2160" s="1373"/>
      <c r="R2160" s="362">
        <f>R2158-R2159</f>
        <v>0</v>
      </c>
      <c r="S2160" s="363" t="str">
        <f>L2158</f>
        <v>m³</v>
      </c>
      <c r="T2160" s="366"/>
      <c r="U2160" s="367"/>
      <c r="V2160" s="291">
        <f t="shared" ca="1" si="696"/>
        <v>0</v>
      </c>
      <c r="W2160" s="256">
        <f t="shared" ca="1" si="687"/>
        <v>2</v>
      </c>
      <c r="X2160" s="256">
        <f t="shared" ca="1" si="691"/>
        <v>1</v>
      </c>
      <c r="Y2160" s="256"/>
      <c r="Z2160" s="256"/>
      <c r="AA2160" s="292"/>
      <c r="AB2160" s="292"/>
      <c r="AC2160" s="292"/>
    </row>
    <row r="2161" spans="1:29" s="111" customFormat="1" ht="15.75" hidden="1" x14ac:dyDescent="0.2">
      <c r="A2161" s="288"/>
      <c r="B2161" s="368"/>
      <c r="C2161" s="365"/>
      <c r="D2161" s="369"/>
      <c r="E2161" s="370"/>
      <c r="F2161" s="369"/>
      <c r="G2161" s="369"/>
      <c r="H2161" s="369"/>
      <c r="I2161" s="369"/>
      <c r="J2161" s="371"/>
      <c r="K2161" s="372"/>
      <c r="L2161" s="373"/>
      <c r="M2161" s="374"/>
      <c r="N2161" s="374"/>
      <c r="O2161" s="374"/>
      <c r="P2161" s="374"/>
      <c r="Q2161" s="374"/>
      <c r="R2161" s="375"/>
      <c r="S2161" s="376"/>
      <c r="T2161" s="377"/>
      <c r="U2161" s="378"/>
      <c r="V2161" s="379">
        <f ca="1">SUM(V2152:V2160)</f>
        <v>0</v>
      </c>
      <c r="W2161" s="256">
        <f t="shared" ca="1" si="687"/>
        <v>1</v>
      </c>
      <c r="X2161" s="256">
        <f t="shared" ca="1" si="691"/>
        <v>0</v>
      </c>
      <c r="Y2161" s="250"/>
      <c r="Z2161" s="250"/>
    </row>
    <row r="2162" spans="1:29" s="293" customFormat="1" ht="15.75" hidden="1" customHeight="1" x14ac:dyDescent="0.25">
      <c r="A2162" s="288"/>
      <c r="B2162" s="1374" t="str">
        <f>VLOOKUP(A2170,'11 - FINANCEIRO'!_xlnm.Print_Area,1,FALSE)</f>
        <v>2.5.3.2.9</v>
      </c>
      <c r="C2162" s="1376" t="str">
        <f>VLOOKUP(A2170,'11 - FINANCEIRO'!_xlnm.Print_Area,3,FALSE)</f>
        <v>Carga, Manobra E Descarga De Material Demolido Em Caminhão Basculante De 6 M³ - Carga Manual E Descarga Livre</v>
      </c>
      <c r="D2162" s="1378" t="s">
        <v>477</v>
      </c>
      <c r="E2162" s="1379"/>
      <c r="F2162" s="1379"/>
      <c r="G2162" s="1379"/>
      <c r="H2162" s="1379"/>
      <c r="I2162" s="1380"/>
      <c r="J2162" s="1338" t="s">
        <v>296</v>
      </c>
      <c r="K2162" s="1338" t="s">
        <v>479</v>
      </c>
      <c r="L2162" s="1338" t="s">
        <v>480</v>
      </c>
      <c r="M2162" s="1338" t="s">
        <v>481</v>
      </c>
      <c r="N2162" s="1338" t="s">
        <v>482</v>
      </c>
      <c r="O2162" s="1338" t="s">
        <v>483</v>
      </c>
      <c r="P2162" s="290" t="s">
        <v>484</v>
      </c>
      <c r="Q2162" s="1338" t="s">
        <v>485</v>
      </c>
      <c r="R2162" s="1336" t="s">
        <v>296</v>
      </c>
      <c r="S2162" s="1338" t="s">
        <v>486</v>
      </c>
      <c r="T2162" s="1338" t="s">
        <v>487</v>
      </c>
      <c r="U2162" s="1340" t="s">
        <v>488</v>
      </c>
      <c r="V2162" s="291">
        <f t="shared" ref="V2162:V2170" ca="1" si="697">IF(OFFSET(V2162,1,1)=1,OFFSET(V2162,0,-4),OFFSET(V2162,1,0))</f>
        <v>0</v>
      </c>
      <c r="W2162" s="256">
        <f t="shared" ca="1" si="687"/>
        <v>2</v>
      </c>
      <c r="X2162" s="256">
        <f t="shared" ca="1" si="691"/>
        <v>1</v>
      </c>
      <c r="Y2162" s="256"/>
      <c r="Z2162" s="256"/>
      <c r="AA2162" s="292"/>
      <c r="AB2162" s="292"/>
      <c r="AC2162" s="292"/>
    </row>
    <row r="2163" spans="1:29" s="337" customFormat="1" ht="15.75" hidden="1" x14ac:dyDescent="0.2">
      <c r="A2163" s="288"/>
      <c r="B2163" s="1375" t="e">
        <f>LEFT(#REF!,5)</f>
        <v>#REF!</v>
      </c>
      <c r="C2163" s="1377" t="e">
        <f>VLOOKUP(LEFT(#REF!,5),'11 - FINANCEIRO'!_xlnm.Print_Area,2,FALSE)</f>
        <v>#REF!</v>
      </c>
      <c r="D2163" s="1342" t="s">
        <v>489</v>
      </c>
      <c r="E2163" s="1343"/>
      <c r="F2163" s="1344"/>
      <c r="G2163" s="1345" t="s">
        <v>490</v>
      </c>
      <c r="H2163" s="1346"/>
      <c r="I2163" s="1347"/>
      <c r="J2163" s="1339"/>
      <c r="K2163" s="1339"/>
      <c r="L2163" s="1339"/>
      <c r="M2163" s="1339"/>
      <c r="N2163" s="1339"/>
      <c r="O2163" s="1339"/>
      <c r="P2163" s="295" t="s">
        <v>491</v>
      </c>
      <c r="Q2163" s="1339"/>
      <c r="R2163" s="1337"/>
      <c r="S2163" s="1339"/>
      <c r="T2163" s="1339"/>
      <c r="U2163" s="1341"/>
      <c r="V2163" s="291">
        <f t="shared" ca="1" si="697"/>
        <v>0</v>
      </c>
      <c r="W2163" s="256">
        <f t="shared" ca="1" si="687"/>
        <v>2</v>
      </c>
      <c r="X2163" s="256">
        <f t="shared" ca="1" si="691"/>
        <v>1</v>
      </c>
      <c r="Y2163" s="336"/>
      <c r="Z2163" s="336"/>
    </row>
    <row r="2164" spans="1:29" s="337" customFormat="1" ht="15.75" hidden="1" x14ac:dyDescent="0.2">
      <c r="A2164" s="288"/>
      <c r="B2164" s="296"/>
      <c r="C2164" s="297"/>
      <c r="D2164" s="298"/>
      <c r="E2164" s="299"/>
      <c r="F2164" s="300"/>
      <c r="G2164" s="301"/>
      <c r="H2164" s="302"/>
      <c r="I2164" s="303"/>
      <c r="J2164" s="304"/>
      <c r="K2164" s="304"/>
      <c r="L2164" s="304"/>
      <c r="M2164" s="304"/>
      <c r="N2164" s="304"/>
      <c r="O2164" s="304"/>
      <c r="P2164" s="306"/>
      <c r="Q2164" s="304"/>
      <c r="R2164" s="307"/>
      <c r="S2164" s="304"/>
      <c r="T2164" s="309"/>
      <c r="U2164" s="310"/>
      <c r="V2164" s="291">
        <f t="shared" ca="1" si="697"/>
        <v>0</v>
      </c>
      <c r="W2164" s="256">
        <f t="shared" ref="W2164:W2227" ca="1" si="698">IF(LEFT(_xlfn.FORMULATEXT(V2164),3)="=SO",1,IF(COUNTA(A2164:U2164)=0,0,2))</f>
        <v>0</v>
      </c>
      <c r="X2164" s="256">
        <f t="shared" ca="1" si="691"/>
        <v>1</v>
      </c>
      <c r="Y2164" s="336"/>
      <c r="Z2164" s="336"/>
    </row>
    <row r="2165" spans="1:29" s="111" customFormat="1" ht="15.75" hidden="1" x14ac:dyDescent="0.2">
      <c r="A2165" s="288"/>
      <c r="B2165" s="311"/>
      <c r="C2165" s="312"/>
      <c r="D2165" s="313"/>
      <c r="E2165" s="314"/>
      <c r="F2165" s="315"/>
      <c r="G2165" s="380"/>
      <c r="H2165" s="316"/>
      <c r="I2165" s="381"/>
      <c r="J2165" s="317"/>
      <c r="K2165" s="313"/>
      <c r="L2165" s="317"/>
      <c r="M2165" s="315"/>
      <c r="N2165" s="314"/>
      <c r="O2165" s="313"/>
      <c r="P2165" s="318"/>
      <c r="Q2165" s="315"/>
      <c r="R2165" s="319"/>
      <c r="S2165" s="317"/>
      <c r="T2165" s="320"/>
      <c r="U2165" s="321"/>
      <c r="V2165" s="291">
        <f t="shared" ca="1" si="697"/>
        <v>0</v>
      </c>
      <c r="W2165" s="256">
        <f t="shared" ca="1" si="698"/>
        <v>0</v>
      </c>
      <c r="X2165" s="256">
        <f t="shared" ca="1" si="691"/>
        <v>1</v>
      </c>
      <c r="Y2165" s="250"/>
      <c r="Z2165" s="250"/>
    </row>
    <row r="2166" spans="1:29" s="111" customFormat="1" ht="15" hidden="1" x14ac:dyDescent="0.2">
      <c r="A2166" s="288"/>
      <c r="B2166" s="322"/>
      <c r="C2166" s="382"/>
      <c r="D2166" s="324"/>
      <c r="E2166" s="325"/>
      <c r="F2166" s="326"/>
      <c r="G2166" s="324"/>
      <c r="H2166" s="325"/>
      <c r="I2166" s="326"/>
      <c r="J2166" s="317"/>
      <c r="K2166" s="328"/>
      <c r="L2166" s="328"/>
      <c r="M2166" s="328"/>
      <c r="N2166" s="328"/>
      <c r="O2166" s="334"/>
      <c r="P2166" s="328"/>
      <c r="Q2166" s="334"/>
      <c r="R2166" s="333"/>
      <c r="S2166" s="331"/>
      <c r="T2166" s="320"/>
      <c r="U2166" s="335"/>
      <c r="V2166" s="291">
        <f t="shared" ca="1" si="697"/>
        <v>0</v>
      </c>
      <c r="W2166" s="256">
        <f t="shared" ca="1" si="698"/>
        <v>0</v>
      </c>
      <c r="X2166" s="256">
        <f t="shared" ca="1" si="691"/>
        <v>1</v>
      </c>
      <c r="Y2166" s="250"/>
      <c r="Z2166" s="250"/>
    </row>
    <row r="2167" spans="1:29" s="111" customFormat="1" ht="15" hidden="1" x14ac:dyDescent="0.2">
      <c r="A2167" s="288"/>
      <c r="B2167" s="338"/>
      <c r="C2167" s="339"/>
      <c r="D2167" s="340"/>
      <c r="E2167" s="341"/>
      <c r="F2167" s="342"/>
      <c r="G2167" s="340"/>
      <c r="H2167" s="341"/>
      <c r="I2167" s="342"/>
      <c r="J2167" s="343"/>
      <c r="K2167" s="344"/>
      <c r="L2167" s="345"/>
      <c r="M2167" s="346"/>
      <c r="N2167" s="347"/>
      <c r="O2167" s="348"/>
      <c r="P2167" s="345"/>
      <c r="Q2167" s="349"/>
      <c r="R2167" s="350"/>
      <c r="S2167" s="351"/>
      <c r="T2167" s="352"/>
      <c r="U2167" s="353"/>
      <c r="V2167" s="291">
        <f t="shared" ca="1" si="697"/>
        <v>0</v>
      </c>
      <c r="W2167" s="256">
        <f t="shared" ca="1" si="698"/>
        <v>0</v>
      </c>
      <c r="X2167" s="256">
        <f t="shared" ca="1" si="691"/>
        <v>1</v>
      </c>
      <c r="Y2167" s="250"/>
      <c r="Z2167" s="250"/>
    </row>
    <row r="2168" spans="1:29" s="111" customFormat="1" ht="15.75" hidden="1" customHeight="1" x14ac:dyDescent="0.2">
      <c r="A2168" s="288"/>
      <c r="B2168" s="354"/>
      <c r="C2168" s="355"/>
      <c r="D2168" s="1354" t="s">
        <v>492</v>
      </c>
      <c r="E2168" s="1355"/>
      <c r="F2168" s="1355"/>
      <c r="G2168" s="1355"/>
      <c r="H2168" s="1355"/>
      <c r="I2168" s="1356"/>
      <c r="J2168" s="1357">
        <f>VLOOKUP(A2170,'11 - FINANCEIRO'!_xlnm.Print_Area,6,FALSE)</f>
        <v>16.5</v>
      </c>
      <c r="K2168" s="1358"/>
      <c r="L2168" s="356" t="str">
        <f>VLOOKUP(A2170,'11 - FINANCEIRO'!_xlnm.Print_Area,4,FALSE)</f>
        <v>t</v>
      </c>
      <c r="M2168" s="1359" t="s">
        <v>493</v>
      </c>
      <c r="N2168" s="1360"/>
      <c r="O2168" s="1360"/>
      <c r="P2168" s="1360"/>
      <c r="Q2168" s="1361"/>
      <c r="R2168" s="357">
        <f>TRUNC(SUM(R2164:R2167),3)</f>
        <v>0</v>
      </c>
      <c r="S2168" s="358" t="str">
        <f>L2168</f>
        <v>t</v>
      </c>
      <c r="T2168" s="359"/>
      <c r="U2168" s="360"/>
      <c r="V2168" s="291">
        <f t="shared" ca="1" si="697"/>
        <v>0</v>
      </c>
      <c r="W2168" s="256">
        <f t="shared" ca="1" si="698"/>
        <v>2</v>
      </c>
      <c r="X2168" s="256">
        <f t="shared" ca="1" si="691"/>
        <v>1</v>
      </c>
      <c r="Y2168" s="250"/>
      <c r="Z2168" s="250"/>
    </row>
    <row r="2169" spans="1:29" s="293" customFormat="1" ht="15.75" hidden="1" customHeight="1" x14ac:dyDescent="0.2">
      <c r="A2169" s="288"/>
      <c r="B2169" s="354"/>
      <c r="C2169" s="361"/>
      <c r="D2169" s="1362" t="s">
        <v>494</v>
      </c>
      <c r="E2169" s="1363"/>
      <c r="F2169" s="1363"/>
      <c r="G2169" s="1363"/>
      <c r="H2169" s="1363"/>
      <c r="I2169" s="1364"/>
      <c r="J2169" s="1365">
        <f>R2168/J2168</f>
        <v>0</v>
      </c>
      <c r="K2169" s="1366"/>
      <c r="L2169" s="1369"/>
      <c r="M2169" s="1371" t="s">
        <v>495</v>
      </c>
      <c r="N2169" s="1372"/>
      <c r="O2169" s="1372"/>
      <c r="P2169" s="1372"/>
      <c r="Q2169" s="1373"/>
      <c r="R2169" s="362">
        <f>VLOOKUP(A2170,'11 - FINANCEIRO'!_xlnm.Print_Area,8,FALSE)</f>
        <v>0</v>
      </c>
      <c r="S2169" s="363" t="str">
        <f>L2168</f>
        <v>t</v>
      </c>
      <c r="T2169" s="359"/>
      <c r="U2169" s="360"/>
      <c r="V2169" s="291">
        <f t="shared" ca="1" si="697"/>
        <v>0</v>
      </c>
      <c r="W2169" s="256">
        <f t="shared" ca="1" si="698"/>
        <v>2</v>
      </c>
      <c r="X2169" s="256">
        <f t="shared" ca="1" si="691"/>
        <v>1</v>
      </c>
      <c r="Y2169" s="256"/>
      <c r="Z2169" s="256"/>
      <c r="AA2169" s="292"/>
      <c r="AB2169" s="292"/>
      <c r="AC2169" s="292"/>
    </row>
    <row r="2170" spans="1:29" s="293" customFormat="1" ht="15.75" hidden="1" customHeight="1" x14ac:dyDescent="0.2">
      <c r="A2170" s="288" t="s">
        <v>86</v>
      </c>
      <c r="B2170" s="364"/>
      <c r="C2170" s="365"/>
      <c r="D2170" s="1354"/>
      <c r="E2170" s="1355"/>
      <c r="F2170" s="1355"/>
      <c r="G2170" s="1355"/>
      <c r="H2170" s="1355"/>
      <c r="I2170" s="1356"/>
      <c r="J2170" s="1367"/>
      <c r="K2170" s="1368"/>
      <c r="L2170" s="1370"/>
      <c r="M2170" s="1371" t="s">
        <v>496</v>
      </c>
      <c r="N2170" s="1372"/>
      <c r="O2170" s="1372"/>
      <c r="P2170" s="1372"/>
      <c r="Q2170" s="1373"/>
      <c r="R2170" s="362">
        <f>R2168-R2169</f>
        <v>0</v>
      </c>
      <c r="S2170" s="363" t="str">
        <f>L2168</f>
        <v>t</v>
      </c>
      <c r="T2170" s="366"/>
      <c r="U2170" s="367"/>
      <c r="V2170" s="291">
        <f t="shared" ca="1" si="697"/>
        <v>0</v>
      </c>
      <c r="W2170" s="256">
        <f t="shared" ca="1" si="698"/>
        <v>2</v>
      </c>
      <c r="X2170" s="256">
        <f t="shared" ca="1" si="691"/>
        <v>1</v>
      </c>
      <c r="Y2170" s="256"/>
      <c r="Z2170" s="256"/>
      <c r="AA2170" s="292"/>
      <c r="AB2170" s="292"/>
      <c r="AC2170" s="292"/>
    </row>
    <row r="2171" spans="1:29" s="111" customFormat="1" ht="15.75" hidden="1" x14ac:dyDescent="0.2">
      <c r="A2171" s="288"/>
      <c r="B2171" s="368"/>
      <c r="C2171" s="365"/>
      <c r="D2171" s="369"/>
      <c r="E2171" s="370"/>
      <c r="F2171" s="369"/>
      <c r="G2171" s="369"/>
      <c r="H2171" s="369"/>
      <c r="I2171" s="369"/>
      <c r="J2171" s="371"/>
      <c r="K2171" s="372"/>
      <c r="L2171" s="373"/>
      <c r="M2171" s="374"/>
      <c r="N2171" s="374"/>
      <c r="O2171" s="374"/>
      <c r="P2171" s="374"/>
      <c r="Q2171" s="374"/>
      <c r="R2171" s="375"/>
      <c r="S2171" s="376"/>
      <c r="T2171" s="377"/>
      <c r="U2171" s="378"/>
      <c r="V2171" s="379">
        <f ca="1">SUM(V2162:V2170)</f>
        <v>0</v>
      </c>
      <c r="W2171" s="256">
        <f t="shared" ca="1" si="698"/>
        <v>1</v>
      </c>
      <c r="X2171" s="256">
        <f t="shared" ca="1" si="691"/>
        <v>0</v>
      </c>
      <c r="Y2171" s="250"/>
      <c r="Z2171" s="250"/>
    </row>
    <row r="2172" spans="1:29" s="293" customFormat="1" ht="15.75" hidden="1" customHeight="1" x14ac:dyDescent="0.25">
      <c r="A2172" s="288"/>
      <c r="B2172" s="1374" t="str">
        <f>VLOOKUP(A2180,'11 - FINANCEIRO'!_xlnm.Print_Area,1,FALSE)</f>
        <v>2.5.3.2.10</v>
      </c>
      <c r="C2172" s="1376" t="str">
        <f>VLOOKUP(A2180,'11 - FINANCEIRO'!_xlnm.Print_Area,3,FALSE)</f>
        <v>Transporte De Mistura Betuminosa A Quente Com Caminhão Com Caçamba Térmica De 6 M³ - Rodovia Pavimentada</v>
      </c>
      <c r="D2172" s="1378" t="s">
        <v>477</v>
      </c>
      <c r="E2172" s="1379"/>
      <c r="F2172" s="1379"/>
      <c r="G2172" s="1379"/>
      <c r="H2172" s="1379"/>
      <c r="I2172" s="1380"/>
      <c r="J2172" s="1338" t="s">
        <v>296</v>
      </c>
      <c r="K2172" s="1338" t="s">
        <v>479</v>
      </c>
      <c r="L2172" s="1338" t="s">
        <v>480</v>
      </c>
      <c r="M2172" s="1338" t="s">
        <v>481</v>
      </c>
      <c r="N2172" s="1338" t="s">
        <v>482</v>
      </c>
      <c r="O2172" s="1338" t="s">
        <v>483</v>
      </c>
      <c r="P2172" s="290" t="s">
        <v>484</v>
      </c>
      <c r="Q2172" s="1338" t="s">
        <v>485</v>
      </c>
      <c r="R2172" s="1336" t="s">
        <v>296</v>
      </c>
      <c r="S2172" s="1338" t="s">
        <v>486</v>
      </c>
      <c r="T2172" s="1338" t="s">
        <v>487</v>
      </c>
      <c r="U2172" s="1340" t="s">
        <v>488</v>
      </c>
      <c r="V2172" s="291">
        <f t="shared" ref="V2172:V2180" ca="1" si="699">IF(OFFSET(V2172,1,1)=1,OFFSET(V2172,0,-4),OFFSET(V2172,1,0))</f>
        <v>0</v>
      </c>
      <c r="W2172" s="256">
        <f t="shared" ca="1" si="698"/>
        <v>2</v>
      </c>
      <c r="X2172" s="256">
        <f t="shared" ca="1" si="691"/>
        <v>1</v>
      </c>
      <c r="Y2172" s="256"/>
      <c r="Z2172" s="256"/>
      <c r="AA2172" s="292"/>
      <c r="AB2172" s="292"/>
      <c r="AC2172" s="292"/>
    </row>
    <row r="2173" spans="1:29" s="337" customFormat="1" ht="15.75" hidden="1" x14ac:dyDescent="0.2">
      <c r="A2173" s="288"/>
      <c r="B2173" s="1375" t="e">
        <f>LEFT(#REF!,5)</f>
        <v>#REF!</v>
      </c>
      <c r="C2173" s="1377" t="e">
        <f>VLOOKUP(LEFT(#REF!,5),'11 - FINANCEIRO'!_xlnm.Print_Area,2,FALSE)</f>
        <v>#REF!</v>
      </c>
      <c r="D2173" s="1342" t="s">
        <v>489</v>
      </c>
      <c r="E2173" s="1343"/>
      <c r="F2173" s="1344"/>
      <c r="G2173" s="1345" t="s">
        <v>490</v>
      </c>
      <c r="H2173" s="1346"/>
      <c r="I2173" s="1347"/>
      <c r="J2173" s="1339"/>
      <c r="K2173" s="1339"/>
      <c r="L2173" s="1339"/>
      <c r="M2173" s="1339"/>
      <c r="N2173" s="1339"/>
      <c r="O2173" s="1339"/>
      <c r="P2173" s="295" t="s">
        <v>491</v>
      </c>
      <c r="Q2173" s="1339"/>
      <c r="R2173" s="1337"/>
      <c r="S2173" s="1339"/>
      <c r="T2173" s="1339"/>
      <c r="U2173" s="1341"/>
      <c r="V2173" s="291">
        <f t="shared" ca="1" si="699"/>
        <v>0</v>
      </c>
      <c r="W2173" s="256">
        <f t="shared" ca="1" si="698"/>
        <v>2</v>
      </c>
      <c r="X2173" s="256">
        <f t="shared" ca="1" si="691"/>
        <v>1</v>
      </c>
      <c r="Y2173" s="336"/>
      <c r="Z2173" s="336"/>
    </row>
    <row r="2174" spans="1:29" s="337" customFormat="1" ht="15.75" hidden="1" x14ac:dyDescent="0.2">
      <c r="A2174" s="288"/>
      <c r="B2174" s="296"/>
      <c r="C2174" s="297"/>
      <c r="D2174" s="298"/>
      <c r="E2174" s="299"/>
      <c r="F2174" s="300"/>
      <c r="G2174" s="301"/>
      <c r="H2174" s="302"/>
      <c r="I2174" s="303"/>
      <c r="J2174" s="304"/>
      <c r="K2174" s="304"/>
      <c r="L2174" s="304"/>
      <c r="M2174" s="304"/>
      <c r="N2174" s="304"/>
      <c r="O2174" s="304"/>
      <c r="P2174" s="306"/>
      <c r="Q2174" s="304"/>
      <c r="R2174" s="307"/>
      <c r="S2174" s="304"/>
      <c r="T2174" s="309"/>
      <c r="U2174" s="310"/>
      <c r="V2174" s="291">
        <f t="shared" ca="1" si="699"/>
        <v>0</v>
      </c>
      <c r="W2174" s="256">
        <f t="shared" ca="1" si="698"/>
        <v>0</v>
      </c>
      <c r="X2174" s="256">
        <f t="shared" ca="1" si="691"/>
        <v>1</v>
      </c>
      <c r="Y2174" s="336"/>
      <c r="Z2174" s="336"/>
    </row>
    <row r="2175" spans="1:29" s="111" customFormat="1" ht="15.75" hidden="1" x14ac:dyDescent="0.2">
      <c r="A2175" s="288"/>
      <c r="B2175" s="311"/>
      <c r="C2175" s="312"/>
      <c r="D2175" s="313"/>
      <c r="E2175" s="314"/>
      <c r="F2175" s="315"/>
      <c r="G2175" s="380"/>
      <c r="H2175" s="316"/>
      <c r="I2175" s="381"/>
      <c r="J2175" s="317"/>
      <c r="K2175" s="313"/>
      <c r="L2175" s="317"/>
      <c r="M2175" s="315"/>
      <c r="N2175" s="314"/>
      <c r="O2175" s="313"/>
      <c r="P2175" s="318"/>
      <c r="Q2175" s="315"/>
      <c r="R2175" s="319"/>
      <c r="S2175" s="317"/>
      <c r="T2175" s="320"/>
      <c r="U2175" s="321"/>
      <c r="V2175" s="291">
        <f t="shared" ca="1" si="699"/>
        <v>0</v>
      </c>
      <c r="W2175" s="256">
        <f t="shared" ca="1" si="698"/>
        <v>0</v>
      </c>
      <c r="X2175" s="256">
        <f t="shared" ca="1" si="691"/>
        <v>1</v>
      </c>
      <c r="Y2175" s="250"/>
      <c r="Z2175" s="250"/>
    </row>
    <row r="2176" spans="1:29" s="111" customFormat="1" ht="15" hidden="1" x14ac:dyDescent="0.2">
      <c r="A2176" s="288"/>
      <c r="B2176" s="322"/>
      <c r="C2176" s="382"/>
      <c r="D2176" s="324"/>
      <c r="E2176" s="325"/>
      <c r="F2176" s="326"/>
      <c r="G2176" s="324"/>
      <c r="H2176" s="325"/>
      <c r="I2176" s="326"/>
      <c r="J2176" s="317"/>
      <c r="K2176" s="328"/>
      <c r="L2176" s="328"/>
      <c r="M2176" s="328"/>
      <c r="N2176" s="328"/>
      <c r="O2176" s="334"/>
      <c r="P2176" s="328"/>
      <c r="Q2176" s="334"/>
      <c r="R2176" s="333"/>
      <c r="S2176" s="331"/>
      <c r="T2176" s="320"/>
      <c r="U2176" s="335"/>
      <c r="V2176" s="291">
        <f t="shared" ca="1" si="699"/>
        <v>0</v>
      </c>
      <c r="W2176" s="256">
        <f t="shared" ca="1" si="698"/>
        <v>0</v>
      </c>
      <c r="X2176" s="256">
        <f t="shared" ca="1" si="691"/>
        <v>1</v>
      </c>
      <c r="Y2176" s="250"/>
      <c r="Z2176" s="250"/>
    </row>
    <row r="2177" spans="1:29" s="111" customFormat="1" ht="15" hidden="1" x14ac:dyDescent="0.2">
      <c r="A2177" s="288"/>
      <c r="B2177" s="338"/>
      <c r="C2177" s="339"/>
      <c r="D2177" s="340"/>
      <c r="E2177" s="341"/>
      <c r="F2177" s="342"/>
      <c r="G2177" s="340"/>
      <c r="H2177" s="341"/>
      <c r="I2177" s="342"/>
      <c r="J2177" s="343"/>
      <c r="K2177" s="344"/>
      <c r="L2177" s="345"/>
      <c r="M2177" s="346"/>
      <c r="N2177" s="347"/>
      <c r="O2177" s="348"/>
      <c r="P2177" s="345"/>
      <c r="Q2177" s="349"/>
      <c r="R2177" s="350"/>
      <c r="S2177" s="351"/>
      <c r="T2177" s="352"/>
      <c r="U2177" s="353"/>
      <c r="V2177" s="291">
        <f t="shared" ca="1" si="699"/>
        <v>0</v>
      </c>
      <c r="W2177" s="256">
        <f t="shared" ca="1" si="698"/>
        <v>0</v>
      </c>
      <c r="X2177" s="256">
        <f t="shared" ca="1" si="691"/>
        <v>1</v>
      </c>
      <c r="Y2177" s="250"/>
      <c r="Z2177" s="250"/>
    </row>
    <row r="2178" spans="1:29" s="111" customFormat="1" ht="15.75" hidden="1" customHeight="1" x14ac:dyDescent="0.2">
      <c r="A2178" s="288"/>
      <c r="B2178" s="354"/>
      <c r="C2178" s="355"/>
      <c r="D2178" s="1354" t="s">
        <v>492</v>
      </c>
      <c r="E2178" s="1355"/>
      <c r="F2178" s="1355"/>
      <c r="G2178" s="1355"/>
      <c r="H2178" s="1355"/>
      <c r="I2178" s="1356"/>
      <c r="J2178" s="1357">
        <f>VLOOKUP(A2180,'11 - FINANCEIRO'!_xlnm.Print_Area,6,FALSE)</f>
        <v>310.14</v>
      </c>
      <c r="K2178" s="1358"/>
      <c r="L2178" s="356" t="str">
        <f>VLOOKUP(A2180,'11 - FINANCEIRO'!_xlnm.Print_Area,4,FALSE)</f>
        <v>tkm</v>
      </c>
      <c r="M2178" s="1359" t="s">
        <v>493</v>
      </c>
      <c r="N2178" s="1360"/>
      <c r="O2178" s="1360"/>
      <c r="P2178" s="1360"/>
      <c r="Q2178" s="1361"/>
      <c r="R2178" s="357">
        <f>TRUNC(SUM(R2174:R2177),3)</f>
        <v>0</v>
      </c>
      <c r="S2178" s="358" t="str">
        <f>L2178</f>
        <v>tkm</v>
      </c>
      <c r="T2178" s="359"/>
      <c r="U2178" s="360"/>
      <c r="V2178" s="291">
        <f t="shared" ca="1" si="699"/>
        <v>0</v>
      </c>
      <c r="W2178" s="256">
        <f t="shared" ca="1" si="698"/>
        <v>2</v>
      </c>
      <c r="X2178" s="256">
        <f t="shared" ca="1" si="691"/>
        <v>1</v>
      </c>
      <c r="Y2178" s="250"/>
      <c r="Z2178" s="250"/>
    </row>
    <row r="2179" spans="1:29" s="293" customFormat="1" ht="15.75" hidden="1" customHeight="1" x14ac:dyDescent="0.2">
      <c r="A2179" s="288"/>
      <c r="B2179" s="354"/>
      <c r="C2179" s="361"/>
      <c r="D2179" s="1362" t="s">
        <v>494</v>
      </c>
      <c r="E2179" s="1363"/>
      <c r="F2179" s="1363"/>
      <c r="G2179" s="1363"/>
      <c r="H2179" s="1363"/>
      <c r="I2179" s="1364"/>
      <c r="J2179" s="1365">
        <f>R2178/J2178</f>
        <v>0</v>
      </c>
      <c r="K2179" s="1366"/>
      <c r="L2179" s="1369"/>
      <c r="M2179" s="1371" t="s">
        <v>495</v>
      </c>
      <c r="N2179" s="1372"/>
      <c r="O2179" s="1372"/>
      <c r="P2179" s="1372"/>
      <c r="Q2179" s="1373"/>
      <c r="R2179" s="362">
        <f>VLOOKUP(A2180,'11 - FINANCEIRO'!_xlnm.Print_Area,8,FALSE)</f>
        <v>0</v>
      </c>
      <c r="S2179" s="363" t="str">
        <f>L2178</f>
        <v>tkm</v>
      </c>
      <c r="T2179" s="359"/>
      <c r="U2179" s="360"/>
      <c r="V2179" s="291">
        <f t="shared" ca="1" si="699"/>
        <v>0</v>
      </c>
      <c r="W2179" s="256">
        <f t="shared" ca="1" si="698"/>
        <v>2</v>
      </c>
      <c r="X2179" s="256">
        <f t="shared" ca="1" si="691"/>
        <v>1</v>
      </c>
      <c r="Y2179" s="256"/>
      <c r="Z2179" s="256"/>
      <c r="AA2179" s="292"/>
      <c r="AB2179" s="292"/>
      <c r="AC2179" s="292"/>
    </row>
    <row r="2180" spans="1:29" s="293" customFormat="1" ht="15.75" hidden="1" customHeight="1" x14ac:dyDescent="0.2">
      <c r="A2180" s="288" t="s">
        <v>87</v>
      </c>
      <c r="B2180" s="364"/>
      <c r="C2180" s="365"/>
      <c r="D2180" s="1354"/>
      <c r="E2180" s="1355"/>
      <c r="F2180" s="1355"/>
      <c r="G2180" s="1355"/>
      <c r="H2180" s="1355"/>
      <c r="I2180" s="1356"/>
      <c r="J2180" s="1367"/>
      <c r="K2180" s="1368"/>
      <c r="L2180" s="1370"/>
      <c r="M2180" s="1371" t="s">
        <v>496</v>
      </c>
      <c r="N2180" s="1372"/>
      <c r="O2180" s="1372"/>
      <c r="P2180" s="1372"/>
      <c r="Q2180" s="1373"/>
      <c r="R2180" s="362">
        <f>R2178-R2179</f>
        <v>0</v>
      </c>
      <c r="S2180" s="363" t="str">
        <f>L2178</f>
        <v>tkm</v>
      </c>
      <c r="T2180" s="366"/>
      <c r="U2180" s="367"/>
      <c r="V2180" s="291">
        <f t="shared" ca="1" si="699"/>
        <v>0</v>
      </c>
      <c r="W2180" s="256">
        <f t="shared" ca="1" si="698"/>
        <v>2</v>
      </c>
      <c r="X2180" s="256">
        <f t="shared" ca="1" si="691"/>
        <v>1</v>
      </c>
      <c r="Y2180" s="256"/>
      <c r="Z2180" s="256"/>
      <c r="AA2180" s="292"/>
      <c r="AB2180" s="292"/>
      <c r="AC2180" s="292"/>
    </row>
    <row r="2181" spans="1:29" s="111" customFormat="1" ht="15.75" hidden="1" x14ac:dyDescent="0.2">
      <c r="A2181" s="288"/>
      <c r="B2181" s="368"/>
      <c r="C2181" s="365"/>
      <c r="D2181" s="369"/>
      <c r="E2181" s="370"/>
      <c r="F2181" s="369"/>
      <c r="G2181" s="369"/>
      <c r="H2181" s="369"/>
      <c r="I2181" s="369"/>
      <c r="J2181" s="371"/>
      <c r="K2181" s="372"/>
      <c r="L2181" s="373"/>
      <c r="M2181" s="374"/>
      <c r="N2181" s="374"/>
      <c r="O2181" s="374"/>
      <c r="P2181" s="374"/>
      <c r="Q2181" s="374"/>
      <c r="R2181" s="375"/>
      <c r="S2181" s="376"/>
      <c r="T2181" s="377"/>
      <c r="U2181" s="378"/>
      <c r="V2181" s="379">
        <f ca="1">SUM(V2172:V2180)</f>
        <v>0</v>
      </c>
      <c r="W2181" s="256">
        <f t="shared" ca="1" si="698"/>
        <v>1</v>
      </c>
      <c r="X2181" s="256">
        <f t="shared" ca="1" si="691"/>
        <v>0</v>
      </c>
      <c r="Y2181" s="250"/>
      <c r="Z2181" s="250"/>
    </row>
    <row r="2182" spans="1:29" s="293" customFormat="1" ht="15.75" hidden="1" customHeight="1" x14ac:dyDescent="0.25">
      <c r="A2182" s="288"/>
      <c r="B2182" s="1374" t="str">
        <f>VLOOKUP(A2190,'11 - FINANCEIRO'!_xlnm.Print_Area,1,FALSE)</f>
        <v>2.5.3.2.11</v>
      </c>
      <c r="C2182" s="1376" t="str">
        <f>VLOOKUP(A2190,'11 - FINANCEIRO'!_xlnm.Print_Area,3,FALSE)</f>
        <v>Imprimação Com Emulsão Asfáltica</v>
      </c>
      <c r="D2182" s="1378" t="s">
        <v>477</v>
      </c>
      <c r="E2182" s="1379"/>
      <c r="F2182" s="1379"/>
      <c r="G2182" s="1379"/>
      <c r="H2182" s="1379"/>
      <c r="I2182" s="1380"/>
      <c r="J2182" s="1338" t="s">
        <v>296</v>
      </c>
      <c r="K2182" s="1338" t="s">
        <v>479</v>
      </c>
      <c r="L2182" s="1338" t="s">
        <v>480</v>
      </c>
      <c r="M2182" s="1338" t="s">
        <v>481</v>
      </c>
      <c r="N2182" s="1338" t="s">
        <v>482</v>
      </c>
      <c r="O2182" s="1338" t="s">
        <v>483</v>
      </c>
      <c r="P2182" s="290" t="s">
        <v>484</v>
      </c>
      <c r="Q2182" s="1338" t="s">
        <v>485</v>
      </c>
      <c r="R2182" s="1336" t="s">
        <v>296</v>
      </c>
      <c r="S2182" s="1338" t="s">
        <v>486</v>
      </c>
      <c r="T2182" s="1338" t="s">
        <v>487</v>
      </c>
      <c r="U2182" s="1340" t="s">
        <v>488</v>
      </c>
      <c r="V2182" s="291">
        <f t="shared" ref="V2182:V2190" ca="1" si="700">IF(OFFSET(V2182,1,1)=1,OFFSET(V2182,0,-4),OFFSET(V2182,1,0))</f>
        <v>0</v>
      </c>
      <c r="W2182" s="256">
        <f t="shared" ca="1" si="698"/>
        <v>2</v>
      </c>
      <c r="X2182" s="256">
        <f t="shared" ca="1" si="691"/>
        <v>1</v>
      </c>
      <c r="Y2182" s="256"/>
      <c r="Z2182" s="256"/>
      <c r="AA2182" s="292"/>
      <c r="AB2182" s="292"/>
      <c r="AC2182" s="292"/>
    </row>
    <row r="2183" spans="1:29" s="337" customFormat="1" ht="15.75" hidden="1" x14ac:dyDescent="0.2">
      <c r="A2183" s="288"/>
      <c r="B2183" s="1375" t="e">
        <f>LEFT(#REF!,5)</f>
        <v>#REF!</v>
      </c>
      <c r="C2183" s="1377" t="e">
        <f>VLOOKUP(LEFT(#REF!,5),'11 - FINANCEIRO'!_xlnm.Print_Area,2,FALSE)</f>
        <v>#REF!</v>
      </c>
      <c r="D2183" s="1342" t="s">
        <v>489</v>
      </c>
      <c r="E2183" s="1343"/>
      <c r="F2183" s="1344"/>
      <c r="G2183" s="1345" t="s">
        <v>490</v>
      </c>
      <c r="H2183" s="1346"/>
      <c r="I2183" s="1347"/>
      <c r="J2183" s="1339"/>
      <c r="K2183" s="1339"/>
      <c r="L2183" s="1339"/>
      <c r="M2183" s="1339"/>
      <c r="N2183" s="1339"/>
      <c r="O2183" s="1339"/>
      <c r="P2183" s="295" t="s">
        <v>491</v>
      </c>
      <c r="Q2183" s="1339"/>
      <c r="R2183" s="1337"/>
      <c r="S2183" s="1339"/>
      <c r="T2183" s="1339"/>
      <c r="U2183" s="1341"/>
      <c r="V2183" s="291">
        <f t="shared" ca="1" si="700"/>
        <v>0</v>
      </c>
      <c r="W2183" s="256">
        <f t="shared" ca="1" si="698"/>
        <v>2</v>
      </c>
      <c r="X2183" s="256">
        <f t="shared" ca="1" si="691"/>
        <v>1</v>
      </c>
      <c r="Y2183" s="336"/>
      <c r="Z2183" s="336"/>
    </row>
    <row r="2184" spans="1:29" s="337" customFormat="1" ht="15.75" hidden="1" x14ac:dyDescent="0.2">
      <c r="A2184" s="288"/>
      <c r="B2184" s="296"/>
      <c r="C2184" s="297"/>
      <c r="D2184" s="298"/>
      <c r="E2184" s="299"/>
      <c r="F2184" s="300"/>
      <c r="G2184" s="301"/>
      <c r="H2184" s="302"/>
      <c r="I2184" s="303"/>
      <c r="J2184" s="304"/>
      <c r="K2184" s="304"/>
      <c r="L2184" s="304"/>
      <c r="M2184" s="304"/>
      <c r="N2184" s="304"/>
      <c r="O2184" s="304"/>
      <c r="P2184" s="306"/>
      <c r="Q2184" s="304"/>
      <c r="R2184" s="307"/>
      <c r="S2184" s="304"/>
      <c r="T2184" s="309"/>
      <c r="U2184" s="310"/>
      <c r="V2184" s="291">
        <f t="shared" ca="1" si="700"/>
        <v>0</v>
      </c>
      <c r="W2184" s="256">
        <f t="shared" ca="1" si="698"/>
        <v>0</v>
      </c>
      <c r="X2184" s="256">
        <f t="shared" ca="1" si="691"/>
        <v>1</v>
      </c>
      <c r="Y2184" s="336"/>
      <c r="Z2184" s="336"/>
    </row>
    <row r="2185" spans="1:29" s="111" customFormat="1" ht="15.75" hidden="1" x14ac:dyDescent="0.2">
      <c r="A2185" s="288"/>
      <c r="B2185" s="311"/>
      <c r="C2185" s="312"/>
      <c r="D2185" s="313"/>
      <c r="E2185" s="314"/>
      <c r="F2185" s="315"/>
      <c r="G2185" s="380"/>
      <c r="H2185" s="316"/>
      <c r="I2185" s="381"/>
      <c r="J2185" s="317"/>
      <c r="K2185" s="313"/>
      <c r="L2185" s="317"/>
      <c r="M2185" s="315"/>
      <c r="N2185" s="314"/>
      <c r="O2185" s="313"/>
      <c r="P2185" s="318"/>
      <c r="Q2185" s="315"/>
      <c r="R2185" s="319"/>
      <c r="S2185" s="317"/>
      <c r="T2185" s="320"/>
      <c r="U2185" s="321"/>
      <c r="V2185" s="291">
        <f t="shared" ca="1" si="700"/>
        <v>0</v>
      </c>
      <c r="W2185" s="256">
        <f t="shared" ca="1" si="698"/>
        <v>0</v>
      </c>
      <c r="X2185" s="256">
        <f t="shared" ca="1" si="691"/>
        <v>1</v>
      </c>
      <c r="Y2185" s="250"/>
      <c r="Z2185" s="250"/>
    </row>
    <row r="2186" spans="1:29" s="111" customFormat="1" ht="15" hidden="1" x14ac:dyDescent="0.2">
      <c r="A2186" s="288"/>
      <c r="B2186" s="322"/>
      <c r="C2186" s="382"/>
      <c r="D2186" s="324"/>
      <c r="E2186" s="325"/>
      <c r="F2186" s="326"/>
      <c r="G2186" s="324"/>
      <c r="H2186" s="325"/>
      <c r="I2186" s="326"/>
      <c r="J2186" s="317"/>
      <c r="K2186" s="328"/>
      <c r="L2186" s="328"/>
      <c r="M2186" s="328"/>
      <c r="N2186" s="328"/>
      <c r="O2186" s="334"/>
      <c r="P2186" s="328"/>
      <c r="Q2186" s="334"/>
      <c r="R2186" s="333"/>
      <c r="S2186" s="331"/>
      <c r="T2186" s="320"/>
      <c r="U2186" s="335"/>
      <c r="V2186" s="291">
        <f t="shared" ca="1" si="700"/>
        <v>0</v>
      </c>
      <c r="W2186" s="256">
        <f t="shared" ca="1" si="698"/>
        <v>0</v>
      </c>
      <c r="X2186" s="256">
        <f t="shared" ca="1" si="691"/>
        <v>1</v>
      </c>
      <c r="Y2186" s="250"/>
      <c r="Z2186" s="250"/>
    </row>
    <row r="2187" spans="1:29" s="111" customFormat="1" ht="15" hidden="1" x14ac:dyDescent="0.2">
      <c r="A2187" s="288"/>
      <c r="B2187" s="338"/>
      <c r="C2187" s="339"/>
      <c r="D2187" s="340"/>
      <c r="E2187" s="341"/>
      <c r="F2187" s="342"/>
      <c r="G2187" s="340"/>
      <c r="H2187" s="341"/>
      <c r="I2187" s="342"/>
      <c r="J2187" s="343"/>
      <c r="K2187" s="344"/>
      <c r="L2187" s="345"/>
      <c r="M2187" s="346"/>
      <c r="N2187" s="347"/>
      <c r="O2187" s="348"/>
      <c r="P2187" s="345"/>
      <c r="Q2187" s="349"/>
      <c r="R2187" s="350"/>
      <c r="S2187" s="351"/>
      <c r="T2187" s="352"/>
      <c r="U2187" s="353"/>
      <c r="V2187" s="291">
        <f t="shared" ca="1" si="700"/>
        <v>0</v>
      </c>
      <c r="W2187" s="256">
        <f t="shared" ca="1" si="698"/>
        <v>0</v>
      </c>
      <c r="X2187" s="256">
        <f t="shared" ca="1" si="691"/>
        <v>1</v>
      </c>
      <c r="Y2187" s="250"/>
      <c r="Z2187" s="250"/>
    </row>
    <row r="2188" spans="1:29" s="111" customFormat="1" ht="15.75" hidden="1" customHeight="1" x14ac:dyDescent="0.2">
      <c r="A2188" s="288"/>
      <c r="B2188" s="354"/>
      <c r="C2188" s="355"/>
      <c r="D2188" s="1354" t="s">
        <v>492</v>
      </c>
      <c r="E2188" s="1355"/>
      <c r="F2188" s="1355"/>
      <c r="G2188" s="1355"/>
      <c r="H2188" s="1355"/>
      <c r="I2188" s="1356"/>
      <c r="J2188" s="1357">
        <f>VLOOKUP(A2190,'11 - FINANCEIRO'!_xlnm.Print_Area,6,FALSE)</f>
        <v>141</v>
      </c>
      <c r="K2188" s="1358"/>
      <c r="L2188" s="356" t="str">
        <f>VLOOKUP(A2190,'11 - FINANCEIRO'!_xlnm.Print_Area,4,FALSE)</f>
        <v>m²</v>
      </c>
      <c r="M2188" s="1359" t="s">
        <v>493</v>
      </c>
      <c r="N2188" s="1360"/>
      <c r="O2188" s="1360"/>
      <c r="P2188" s="1360"/>
      <c r="Q2188" s="1361"/>
      <c r="R2188" s="357">
        <f>TRUNC(SUM(R2184:R2187),3)</f>
        <v>0</v>
      </c>
      <c r="S2188" s="358" t="str">
        <f>L2188</f>
        <v>m²</v>
      </c>
      <c r="T2188" s="359"/>
      <c r="U2188" s="360"/>
      <c r="V2188" s="291">
        <f t="shared" ca="1" si="700"/>
        <v>0</v>
      </c>
      <c r="W2188" s="256">
        <f t="shared" ca="1" si="698"/>
        <v>2</v>
      </c>
      <c r="X2188" s="256">
        <f t="shared" ref="X2188:X2297" ca="1" si="701">IF(COUNTA(OFFSET(A2187,1,0))-COUNTA(A2187)=-1,0,1)</f>
        <v>1</v>
      </c>
      <c r="Y2188" s="250"/>
      <c r="Z2188" s="250"/>
    </row>
    <row r="2189" spans="1:29" s="293" customFormat="1" ht="15.75" hidden="1" customHeight="1" x14ac:dyDescent="0.2">
      <c r="A2189" s="288"/>
      <c r="B2189" s="354"/>
      <c r="C2189" s="361"/>
      <c r="D2189" s="1362" t="s">
        <v>494</v>
      </c>
      <c r="E2189" s="1363"/>
      <c r="F2189" s="1363"/>
      <c r="G2189" s="1363"/>
      <c r="H2189" s="1363"/>
      <c r="I2189" s="1364"/>
      <c r="J2189" s="1365">
        <f>R2188/J2188</f>
        <v>0</v>
      </c>
      <c r="K2189" s="1366"/>
      <c r="L2189" s="1369"/>
      <c r="M2189" s="1371" t="s">
        <v>495</v>
      </c>
      <c r="N2189" s="1372"/>
      <c r="O2189" s="1372"/>
      <c r="P2189" s="1372"/>
      <c r="Q2189" s="1373"/>
      <c r="R2189" s="362">
        <f>VLOOKUP(A2190,'11 - FINANCEIRO'!_xlnm.Print_Area,8,FALSE)</f>
        <v>0</v>
      </c>
      <c r="S2189" s="363" t="str">
        <f>L2188</f>
        <v>m²</v>
      </c>
      <c r="T2189" s="359"/>
      <c r="U2189" s="360"/>
      <c r="V2189" s="291">
        <f t="shared" ca="1" si="700"/>
        <v>0</v>
      </c>
      <c r="W2189" s="256">
        <f t="shared" ca="1" si="698"/>
        <v>2</v>
      </c>
      <c r="X2189" s="256">
        <f t="shared" ca="1" si="701"/>
        <v>1</v>
      </c>
      <c r="Y2189" s="256"/>
      <c r="Z2189" s="256"/>
      <c r="AA2189" s="292"/>
      <c r="AB2189" s="292"/>
      <c r="AC2189" s="292"/>
    </row>
    <row r="2190" spans="1:29" s="293" customFormat="1" ht="15.75" hidden="1" customHeight="1" x14ac:dyDescent="0.2">
      <c r="A2190" s="288" t="s">
        <v>88</v>
      </c>
      <c r="B2190" s="364"/>
      <c r="C2190" s="365"/>
      <c r="D2190" s="1354"/>
      <c r="E2190" s="1355"/>
      <c r="F2190" s="1355"/>
      <c r="G2190" s="1355"/>
      <c r="H2190" s="1355"/>
      <c r="I2190" s="1356"/>
      <c r="J2190" s="1367"/>
      <c r="K2190" s="1368"/>
      <c r="L2190" s="1370"/>
      <c r="M2190" s="1371" t="s">
        <v>496</v>
      </c>
      <c r="N2190" s="1372"/>
      <c r="O2190" s="1372"/>
      <c r="P2190" s="1372"/>
      <c r="Q2190" s="1373"/>
      <c r="R2190" s="362">
        <f>R2188-R2189</f>
        <v>0</v>
      </c>
      <c r="S2190" s="363" t="str">
        <f>L2188</f>
        <v>m²</v>
      </c>
      <c r="T2190" s="366"/>
      <c r="U2190" s="367"/>
      <c r="V2190" s="291">
        <f t="shared" ca="1" si="700"/>
        <v>0</v>
      </c>
      <c r="W2190" s="256">
        <f t="shared" ca="1" si="698"/>
        <v>2</v>
      </c>
      <c r="X2190" s="256">
        <f t="shared" ca="1" si="701"/>
        <v>1</v>
      </c>
      <c r="Y2190" s="256"/>
      <c r="Z2190" s="256"/>
      <c r="AA2190" s="292"/>
      <c r="AB2190" s="292"/>
      <c r="AC2190" s="292"/>
    </row>
    <row r="2191" spans="1:29" s="111" customFormat="1" ht="15.75" hidden="1" x14ac:dyDescent="0.2">
      <c r="A2191" s="288"/>
      <c r="B2191" s="368"/>
      <c r="C2191" s="365"/>
      <c r="D2191" s="369"/>
      <c r="E2191" s="370"/>
      <c r="F2191" s="369"/>
      <c r="G2191" s="369"/>
      <c r="H2191" s="369"/>
      <c r="I2191" s="369"/>
      <c r="J2191" s="371"/>
      <c r="K2191" s="372"/>
      <c r="L2191" s="373"/>
      <c r="M2191" s="374"/>
      <c r="N2191" s="374"/>
      <c r="O2191" s="374"/>
      <c r="P2191" s="374"/>
      <c r="Q2191" s="374"/>
      <c r="R2191" s="375"/>
      <c r="S2191" s="376"/>
      <c r="T2191" s="377"/>
      <c r="U2191" s="378"/>
      <c r="V2191" s="379">
        <f ca="1">SUM(V2182:V2190)</f>
        <v>0</v>
      </c>
      <c r="W2191" s="256">
        <f t="shared" ca="1" si="698"/>
        <v>1</v>
      </c>
      <c r="X2191" s="256">
        <f t="shared" ca="1" si="701"/>
        <v>0</v>
      </c>
      <c r="Y2191" s="250"/>
      <c r="Z2191" s="250"/>
    </row>
    <row r="2192" spans="1:29" s="293" customFormat="1" ht="15.75" hidden="1" customHeight="1" x14ac:dyDescent="0.25">
      <c r="A2192" s="288"/>
      <c r="B2192" s="1374" t="str">
        <f>VLOOKUP(A2200,'11 - FINANCEIRO'!_xlnm.Print_Area,1,FALSE)</f>
        <v>2.5.3.2.12</v>
      </c>
      <c r="C2192" s="1376" t="str">
        <f>VLOOKUP(A2200,'11 - FINANCEIRO'!_xlnm.Print_Area,3,FALSE)</f>
        <v>Emulsão Asfáltica Para Imprimação (Eai), Fornecimento</v>
      </c>
      <c r="D2192" s="1378" t="s">
        <v>477</v>
      </c>
      <c r="E2192" s="1379"/>
      <c r="F2192" s="1379"/>
      <c r="G2192" s="1379"/>
      <c r="H2192" s="1379"/>
      <c r="I2192" s="1380"/>
      <c r="J2192" s="1338" t="s">
        <v>296</v>
      </c>
      <c r="K2192" s="1338" t="s">
        <v>479</v>
      </c>
      <c r="L2192" s="1338" t="s">
        <v>480</v>
      </c>
      <c r="M2192" s="1338" t="s">
        <v>481</v>
      </c>
      <c r="N2192" s="1338" t="s">
        <v>482</v>
      </c>
      <c r="O2192" s="1338" t="s">
        <v>483</v>
      </c>
      <c r="P2192" s="290" t="s">
        <v>484</v>
      </c>
      <c r="Q2192" s="1338" t="s">
        <v>485</v>
      </c>
      <c r="R2192" s="1336" t="s">
        <v>296</v>
      </c>
      <c r="S2192" s="1338" t="s">
        <v>486</v>
      </c>
      <c r="T2192" s="1338" t="s">
        <v>487</v>
      </c>
      <c r="U2192" s="1340" t="s">
        <v>488</v>
      </c>
      <c r="V2192" s="291">
        <f t="shared" ref="V2192:V2200" ca="1" si="702">IF(OFFSET(V2192,1,1)=1,OFFSET(V2192,0,-4),OFFSET(V2192,1,0))</f>
        <v>0</v>
      </c>
      <c r="W2192" s="256">
        <f t="shared" ca="1" si="698"/>
        <v>2</v>
      </c>
      <c r="X2192" s="256">
        <f t="shared" ca="1" si="701"/>
        <v>1</v>
      </c>
      <c r="Y2192" s="256"/>
      <c r="Z2192" s="256"/>
      <c r="AA2192" s="292"/>
      <c r="AB2192" s="292"/>
      <c r="AC2192" s="292"/>
    </row>
    <row r="2193" spans="1:29" s="337" customFormat="1" ht="15.75" hidden="1" x14ac:dyDescent="0.2">
      <c r="A2193" s="288"/>
      <c r="B2193" s="1375" t="e">
        <f>LEFT(#REF!,5)</f>
        <v>#REF!</v>
      </c>
      <c r="C2193" s="1377" t="e">
        <f>VLOOKUP(LEFT(#REF!,5),'11 - FINANCEIRO'!_xlnm.Print_Area,2,FALSE)</f>
        <v>#REF!</v>
      </c>
      <c r="D2193" s="1342" t="s">
        <v>489</v>
      </c>
      <c r="E2193" s="1343"/>
      <c r="F2193" s="1344"/>
      <c r="G2193" s="1345" t="s">
        <v>490</v>
      </c>
      <c r="H2193" s="1346"/>
      <c r="I2193" s="1347"/>
      <c r="J2193" s="1339"/>
      <c r="K2193" s="1339"/>
      <c r="L2193" s="1339"/>
      <c r="M2193" s="1339"/>
      <c r="N2193" s="1339"/>
      <c r="O2193" s="1339"/>
      <c r="P2193" s="295" t="s">
        <v>491</v>
      </c>
      <c r="Q2193" s="1339"/>
      <c r="R2193" s="1337"/>
      <c r="S2193" s="1339"/>
      <c r="T2193" s="1339"/>
      <c r="U2193" s="1341"/>
      <c r="V2193" s="291">
        <f t="shared" ca="1" si="702"/>
        <v>0</v>
      </c>
      <c r="W2193" s="256">
        <f t="shared" ca="1" si="698"/>
        <v>2</v>
      </c>
      <c r="X2193" s="256">
        <f t="shared" ca="1" si="701"/>
        <v>1</v>
      </c>
      <c r="Y2193" s="336"/>
      <c r="Z2193" s="336"/>
    </row>
    <row r="2194" spans="1:29" s="337" customFormat="1" ht="15.75" hidden="1" x14ac:dyDescent="0.2">
      <c r="A2194" s="288"/>
      <c r="B2194" s="296"/>
      <c r="C2194" s="297"/>
      <c r="D2194" s="298"/>
      <c r="E2194" s="299"/>
      <c r="F2194" s="300"/>
      <c r="G2194" s="301"/>
      <c r="H2194" s="302"/>
      <c r="I2194" s="303"/>
      <c r="J2194" s="304"/>
      <c r="K2194" s="304"/>
      <c r="L2194" s="304"/>
      <c r="M2194" s="304"/>
      <c r="N2194" s="304"/>
      <c r="O2194" s="304"/>
      <c r="P2194" s="306"/>
      <c r="Q2194" s="304"/>
      <c r="R2194" s="307"/>
      <c r="S2194" s="304"/>
      <c r="T2194" s="309"/>
      <c r="U2194" s="310"/>
      <c r="V2194" s="291">
        <f t="shared" ca="1" si="702"/>
        <v>0</v>
      </c>
      <c r="W2194" s="256">
        <f t="shared" ca="1" si="698"/>
        <v>0</v>
      </c>
      <c r="X2194" s="256">
        <f t="shared" ca="1" si="701"/>
        <v>1</v>
      </c>
      <c r="Y2194" s="336"/>
      <c r="Z2194" s="336"/>
    </row>
    <row r="2195" spans="1:29" s="111" customFormat="1" ht="15.75" hidden="1" x14ac:dyDescent="0.2">
      <c r="A2195" s="288"/>
      <c r="B2195" s="311"/>
      <c r="C2195" s="312"/>
      <c r="D2195" s="313"/>
      <c r="E2195" s="314"/>
      <c r="F2195" s="315"/>
      <c r="G2195" s="380"/>
      <c r="H2195" s="316"/>
      <c r="I2195" s="381"/>
      <c r="J2195" s="317"/>
      <c r="K2195" s="313"/>
      <c r="L2195" s="317"/>
      <c r="M2195" s="315"/>
      <c r="N2195" s="314"/>
      <c r="O2195" s="313"/>
      <c r="P2195" s="318"/>
      <c r="Q2195" s="315"/>
      <c r="R2195" s="319"/>
      <c r="S2195" s="317"/>
      <c r="T2195" s="320"/>
      <c r="U2195" s="321"/>
      <c r="V2195" s="291">
        <f t="shared" ca="1" si="702"/>
        <v>0</v>
      </c>
      <c r="W2195" s="256">
        <f t="shared" ca="1" si="698"/>
        <v>0</v>
      </c>
      <c r="X2195" s="256">
        <f t="shared" ca="1" si="701"/>
        <v>1</v>
      </c>
      <c r="Y2195" s="250"/>
      <c r="Z2195" s="250"/>
    </row>
    <row r="2196" spans="1:29" s="111" customFormat="1" ht="15" hidden="1" x14ac:dyDescent="0.2">
      <c r="A2196" s="288"/>
      <c r="B2196" s="322"/>
      <c r="C2196" s="382"/>
      <c r="D2196" s="324"/>
      <c r="E2196" s="325"/>
      <c r="F2196" s="326"/>
      <c r="G2196" s="324"/>
      <c r="H2196" s="325"/>
      <c r="I2196" s="326"/>
      <c r="J2196" s="317"/>
      <c r="K2196" s="328"/>
      <c r="L2196" s="328"/>
      <c r="M2196" s="328"/>
      <c r="N2196" s="328"/>
      <c r="O2196" s="334"/>
      <c r="P2196" s="328"/>
      <c r="Q2196" s="334"/>
      <c r="R2196" s="333"/>
      <c r="S2196" s="331"/>
      <c r="T2196" s="320"/>
      <c r="U2196" s="335"/>
      <c r="V2196" s="291">
        <f t="shared" ca="1" si="702"/>
        <v>0</v>
      </c>
      <c r="W2196" s="256">
        <f t="shared" ca="1" si="698"/>
        <v>0</v>
      </c>
      <c r="X2196" s="256">
        <f t="shared" ca="1" si="701"/>
        <v>1</v>
      </c>
      <c r="Y2196" s="250"/>
      <c r="Z2196" s="250"/>
    </row>
    <row r="2197" spans="1:29" s="111" customFormat="1" ht="15" hidden="1" x14ac:dyDescent="0.2">
      <c r="A2197" s="288"/>
      <c r="B2197" s="338"/>
      <c r="C2197" s="339"/>
      <c r="D2197" s="340"/>
      <c r="E2197" s="341"/>
      <c r="F2197" s="342"/>
      <c r="G2197" s="340"/>
      <c r="H2197" s="341"/>
      <c r="I2197" s="342"/>
      <c r="J2197" s="343"/>
      <c r="K2197" s="344"/>
      <c r="L2197" s="345"/>
      <c r="M2197" s="346"/>
      <c r="N2197" s="347"/>
      <c r="O2197" s="348"/>
      <c r="P2197" s="345"/>
      <c r="Q2197" s="349"/>
      <c r="R2197" s="350"/>
      <c r="S2197" s="351"/>
      <c r="T2197" s="352"/>
      <c r="U2197" s="353"/>
      <c r="V2197" s="291">
        <f t="shared" ca="1" si="702"/>
        <v>0</v>
      </c>
      <c r="W2197" s="256">
        <f t="shared" ca="1" si="698"/>
        <v>0</v>
      </c>
      <c r="X2197" s="256">
        <f t="shared" ca="1" si="701"/>
        <v>1</v>
      </c>
      <c r="Y2197" s="250"/>
      <c r="Z2197" s="250"/>
    </row>
    <row r="2198" spans="1:29" s="111" customFormat="1" ht="15.75" hidden="1" customHeight="1" x14ac:dyDescent="0.2">
      <c r="A2198" s="288"/>
      <c r="B2198" s="354"/>
      <c r="C2198" s="355"/>
      <c r="D2198" s="1354" t="s">
        <v>492</v>
      </c>
      <c r="E2198" s="1355"/>
      <c r="F2198" s="1355"/>
      <c r="G2198" s="1355"/>
      <c r="H2198" s="1355"/>
      <c r="I2198" s="1356"/>
      <c r="J2198" s="1357">
        <f>VLOOKUP(A2200,'11 - FINANCEIRO'!_xlnm.Print_Area,6,FALSE)</f>
        <v>0.11</v>
      </c>
      <c r="K2198" s="1358"/>
      <c r="L2198" s="356" t="str">
        <f>VLOOKUP(A2200,'11 - FINANCEIRO'!_xlnm.Print_Area,4,FALSE)</f>
        <v>t</v>
      </c>
      <c r="M2198" s="1359" t="s">
        <v>493</v>
      </c>
      <c r="N2198" s="1360"/>
      <c r="O2198" s="1360"/>
      <c r="P2198" s="1360"/>
      <c r="Q2198" s="1361"/>
      <c r="R2198" s="357">
        <f>TRUNC(SUM(R2194:R2197),3)</f>
        <v>0</v>
      </c>
      <c r="S2198" s="358" t="str">
        <f>L2198</f>
        <v>t</v>
      </c>
      <c r="T2198" s="359"/>
      <c r="U2198" s="360"/>
      <c r="V2198" s="291">
        <f t="shared" ca="1" si="702"/>
        <v>0</v>
      </c>
      <c r="W2198" s="256">
        <f t="shared" ca="1" si="698"/>
        <v>2</v>
      </c>
      <c r="X2198" s="256">
        <f t="shared" ca="1" si="701"/>
        <v>1</v>
      </c>
      <c r="Y2198" s="250"/>
      <c r="Z2198" s="250"/>
    </row>
    <row r="2199" spans="1:29" s="293" customFormat="1" ht="15.75" hidden="1" customHeight="1" x14ac:dyDescent="0.2">
      <c r="A2199" s="288"/>
      <c r="B2199" s="354"/>
      <c r="C2199" s="361"/>
      <c r="D2199" s="1362" t="s">
        <v>494</v>
      </c>
      <c r="E2199" s="1363"/>
      <c r="F2199" s="1363"/>
      <c r="G2199" s="1363"/>
      <c r="H2199" s="1363"/>
      <c r="I2199" s="1364"/>
      <c r="J2199" s="1365">
        <f>R2198/J2198</f>
        <v>0</v>
      </c>
      <c r="K2199" s="1366"/>
      <c r="L2199" s="1369"/>
      <c r="M2199" s="1371" t="s">
        <v>495</v>
      </c>
      <c r="N2199" s="1372"/>
      <c r="O2199" s="1372"/>
      <c r="P2199" s="1372"/>
      <c r="Q2199" s="1373"/>
      <c r="R2199" s="362">
        <f>VLOOKUP(A2200,'11 - FINANCEIRO'!_xlnm.Print_Area,8,FALSE)</f>
        <v>0</v>
      </c>
      <c r="S2199" s="363" t="str">
        <f>L2198</f>
        <v>t</v>
      </c>
      <c r="T2199" s="359"/>
      <c r="U2199" s="360"/>
      <c r="V2199" s="291">
        <f t="shared" ca="1" si="702"/>
        <v>0</v>
      </c>
      <c r="W2199" s="256">
        <f t="shared" ca="1" si="698"/>
        <v>2</v>
      </c>
      <c r="X2199" s="256">
        <f t="shared" ca="1" si="701"/>
        <v>1</v>
      </c>
      <c r="Y2199" s="256"/>
      <c r="Z2199" s="256"/>
      <c r="AA2199" s="292"/>
      <c r="AB2199" s="292"/>
      <c r="AC2199" s="292"/>
    </row>
    <row r="2200" spans="1:29" s="293" customFormat="1" ht="15.75" hidden="1" customHeight="1" x14ac:dyDescent="0.2">
      <c r="A2200" s="288" t="s">
        <v>89</v>
      </c>
      <c r="B2200" s="364"/>
      <c r="C2200" s="365"/>
      <c r="D2200" s="1354"/>
      <c r="E2200" s="1355"/>
      <c r="F2200" s="1355"/>
      <c r="G2200" s="1355"/>
      <c r="H2200" s="1355"/>
      <c r="I2200" s="1356"/>
      <c r="J2200" s="1367"/>
      <c r="K2200" s="1368"/>
      <c r="L2200" s="1370"/>
      <c r="M2200" s="1371" t="s">
        <v>496</v>
      </c>
      <c r="N2200" s="1372"/>
      <c r="O2200" s="1372"/>
      <c r="P2200" s="1372"/>
      <c r="Q2200" s="1373"/>
      <c r="R2200" s="362">
        <f>R2198-R2199</f>
        <v>0</v>
      </c>
      <c r="S2200" s="363" t="str">
        <f>L2198</f>
        <v>t</v>
      </c>
      <c r="T2200" s="366"/>
      <c r="U2200" s="367"/>
      <c r="V2200" s="291">
        <f t="shared" ca="1" si="702"/>
        <v>0</v>
      </c>
      <c r="W2200" s="256">
        <f t="shared" ca="1" si="698"/>
        <v>2</v>
      </c>
      <c r="X2200" s="256">
        <f t="shared" ca="1" si="701"/>
        <v>1</v>
      </c>
      <c r="Y2200" s="256"/>
      <c r="Z2200" s="256"/>
      <c r="AA2200" s="292"/>
      <c r="AB2200" s="292"/>
      <c r="AC2200" s="292"/>
    </row>
    <row r="2201" spans="1:29" s="111" customFormat="1" ht="15.75" hidden="1" x14ac:dyDescent="0.2">
      <c r="A2201" s="288"/>
      <c r="B2201" s="368"/>
      <c r="C2201" s="365"/>
      <c r="D2201" s="369"/>
      <c r="E2201" s="370"/>
      <c r="F2201" s="369"/>
      <c r="G2201" s="369"/>
      <c r="H2201" s="369"/>
      <c r="I2201" s="369"/>
      <c r="J2201" s="371"/>
      <c r="K2201" s="372"/>
      <c r="L2201" s="373"/>
      <c r="M2201" s="374"/>
      <c r="N2201" s="374"/>
      <c r="O2201" s="374"/>
      <c r="P2201" s="374"/>
      <c r="Q2201" s="374"/>
      <c r="R2201" s="375"/>
      <c r="S2201" s="376"/>
      <c r="T2201" s="377"/>
      <c r="U2201" s="378"/>
      <c r="V2201" s="379">
        <f ca="1">SUM(V2192:V2200)</f>
        <v>0</v>
      </c>
      <c r="W2201" s="256">
        <f t="shared" ca="1" si="698"/>
        <v>1</v>
      </c>
      <c r="X2201" s="256">
        <f t="shared" ca="1" si="701"/>
        <v>0</v>
      </c>
      <c r="Y2201" s="250"/>
      <c r="Z2201" s="250"/>
    </row>
    <row r="2202" spans="1:29" s="293" customFormat="1" ht="15.75" hidden="1" customHeight="1" x14ac:dyDescent="0.25">
      <c r="A2202" s="288"/>
      <c r="B2202" s="1374" t="str">
        <f>VLOOKUP(A2210,'11 - FINANCEIRO'!_xlnm.Print_Area,1,FALSE)</f>
        <v>2.5.3.2.13</v>
      </c>
      <c r="C2202" s="1376" t="str">
        <f>VLOOKUP(A2210,'11 - FINANCEIRO'!_xlnm.Print_Area,3,FALSE)</f>
        <v>Transporte De Material Asfáltico (Dnit), Inclusive Bdi Diferenciado</v>
      </c>
      <c r="D2202" s="1378" t="s">
        <v>477</v>
      </c>
      <c r="E2202" s="1379"/>
      <c r="F2202" s="1379"/>
      <c r="G2202" s="1379"/>
      <c r="H2202" s="1379"/>
      <c r="I2202" s="1380"/>
      <c r="J2202" s="1338" t="s">
        <v>296</v>
      </c>
      <c r="K2202" s="1338" t="s">
        <v>479</v>
      </c>
      <c r="L2202" s="1338" t="s">
        <v>480</v>
      </c>
      <c r="M2202" s="1338" t="s">
        <v>481</v>
      </c>
      <c r="N2202" s="1338" t="s">
        <v>482</v>
      </c>
      <c r="O2202" s="1338" t="s">
        <v>483</v>
      </c>
      <c r="P2202" s="290" t="s">
        <v>484</v>
      </c>
      <c r="Q2202" s="1338" t="s">
        <v>485</v>
      </c>
      <c r="R2202" s="1336" t="s">
        <v>296</v>
      </c>
      <c r="S2202" s="1338" t="s">
        <v>486</v>
      </c>
      <c r="T2202" s="1338" t="s">
        <v>487</v>
      </c>
      <c r="U2202" s="1340" t="s">
        <v>488</v>
      </c>
      <c r="V2202" s="291">
        <f t="shared" ref="V2202:V2210" ca="1" si="703">IF(OFFSET(V2202,1,1)=1,OFFSET(V2202,0,-4),OFFSET(V2202,1,0))</f>
        <v>0</v>
      </c>
      <c r="W2202" s="256">
        <f t="shared" ca="1" si="698"/>
        <v>2</v>
      </c>
      <c r="X2202" s="256">
        <f t="shared" ca="1" si="701"/>
        <v>1</v>
      </c>
      <c r="Y2202" s="256"/>
      <c r="Z2202" s="256"/>
      <c r="AA2202" s="292"/>
      <c r="AB2202" s="292"/>
      <c r="AC2202" s="292"/>
    </row>
    <row r="2203" spans="1:29" s="337" customFormat="1" ht="15.75" hidden="1" x14ac:dyDescent="0.2">
      <c r="A2203" s="288"/>
      <c r="B2203" s="1375" t="e">
        <f>LEFT(#REF!,5)</f>
        <v>#REF!</v>
      </c>
      <c r="C2203" s="1377" t="e">
        <f>VLOOKUP(LEFT(#REF!,5),'11 - FINANCEIRO'!_xlnm.Print_Area,2,FALSE)</f>
        <v>#REF!</v>
      </c>
      <c r="D2203" s="1342" t="s">
        <v>489</v>
      </c>
      <c r="E2203" s="1343"/>
      <c r="F2203" s="1344"/>
      <c r="G2203" s="1345" t="s">
        <v>490</v>
      </c>
      <c r="H2203" s="1346"/>
      <c r="I2203" s="1347"/>
      <c r="J2203" s="1339"/>
      <c r="K2203" s="1339"/>
      <c r="L2203" s="1339"/>
      <c r="M2203" s="1339"/>
      <c r="N2203" s="1339"/>
      <c r="O2203" s="1339"/>
      <c r="P2203" s="295" t="s">
        <v>491</v>
      </c>
      <c r="Q2203" s="1339"/>
      <c r="R2203" s="1337"/>
      <c r="S2203" s="1339"/>
      <c r="T2203" s="1339"/>
      <c r="U2203" s="1341"/>
      <c r="V2203" s="291">
        <f t="shared" ca="1" si="703"/>
        <v>0</v>
      </c>
      <c r="W2203" s="256">
        <f t="shared" ca="1" si="698"/>
        <v>2</v>
      </c>
      <c r="X2203" s="256">
        <f t="shared" ca="1" si="701"/>
        <v>1</v>
      </c>
      <c r="Y2203" s="336"/>
      <c r="Z2203" s="336"/>
    </row>
    <row r="2204" spans="1:29" s="337" customFormat="1" ht="15.75" hidden="1" x14ac:dyDescent="0.2">
      <c r="A2204" s="288"/>
      <c r="B2204" s="296"/>
      <c r="C2204" s="297"/>
      <c r="D2204" s="298"/>
      <c r="E2204" s="299"/>
      <c r="F2204" s="300"/>
      <c r="G2204" s="301"/>
      <c r="H2204" s="302"/>
      <c r="I2204" s="303"/>
      <c r="J2204" s="304"/>
      <c r="K2204" s="304"/>
      <c r="L2204" s="304"/>
      <c r="M2204" s="304"/>
      <c r="N2204" s="304"/>
      <c r="O2204" s="304"/>
      <c r="P2204" s="306"/>
      <c r="Q2204" s="304"/>
      <c r="R2204" s="307"/>
      <c r="S2204" s="304"/>
      <c r="T2204" s="309"/>
      <c r="U2204" s="310"/>
      <c r="V2204" s="291">
        <f t="shared" ca="1" si="703"/>
        <v>0</v>
      </c>
      <c r="W2204" s="256">
        <f t="shared" ca="1" si="698"/>
        <v>0</v>
      </c>
      <c r="X2204" s="256">
        <f t="shared" ca="1" si="701"/>
        <v>1</v>
      </c>
      <c r="Y2204" s="336"/>
      <c r="Z2204" s="336"/>
    </row>
    <row r="2205" spans="1:29" s="111" customFormat="1" ht="15.75" hidden="1" x14ac:dyDescent="0.2">
      <c r="A2205" s="288"/>
      <c r="B2205" s="311"/>
      <c r="C2205" s="312"/>
      <c r="D2205" s="313"/>
      <c r="E2205" s="314"/>
      <c r="F2205" s="315"/>
      <c r="G2205" s="380"/>
      <c r="H2205" s="316"/>
      <c r="I2205" s="381"/>
      <c r="J2205" s="317"/>
      <c r="K2205" s="313"/>
      <c r="L2205" s="317"/>
      <c r="M2205" s="315"/>
      <c r="N2205" s="314"/>
      <c r="O2205" s="313"/>
      <c r="P2205" s="318"/>
      <c r="Q2205" s="315"/>
      <c r="R2205" s="319"/>
      <c r="S2205" s="317"/>
      <c r="T2205" s="320"/>
      <c r="U2205" s="321"/>
      <c r="V2205" s="291">
        <f t="shared" ca="1" si="703"/>
        <v>0</v>
      </c>
      <c r="W2205" s="256">
        <f t="shared" ca="1" si="698"/>
        <v>0</v>
      </c>
      <c r="X2205" s="256">
        <f t="shared" ca="1" si="701"/>
        <v>1</v>
      </c>
      <c r="Y2205" s="250"/>
      <c r="Z2205" s="250"/>
    </row>
    <row r="2206" spans="1:29" s="111" customFormat="1" ht="15" hidden="1" x14ac:dyDescent="0.2">
      <c r="A2206" s="288"/>
      <c r="B2206" s="322"/>
      <c r="C2206" s="382"/>
      <c r="D2206" s="324"/>
      <c r="E2206" s="325"/>
      <c r="F2206" s="326"/>
      <c r="G2206" s="324"/>
      <c r="H2206" s="325"/>
      <c r="I2206" s="326"/>
      <c r="J2206" s="317"/>
      <c r="K2206" s="328"/>
      <c r="L2206" s="328"/>
      <c r="M2206" s="328"/>
      <c r="N2206" s="328"/>
      <c r="O2206" s="334"/>
      <c r="P2206" s="328"/>
      <c r="Q2206" s="334"/>
      <c r="R2206" s="333"/>
      <c r="S2206" s="331"/>
      <c r="T2206" s="320"/>
      <c r="U2206" s="335"/>
      <c r="V2206" s="291">
        <f t="shared" ca="1" si="703"/>
        <v>0</v>
      </c>
      <c r="W2206" s="256">
        <f t="shared" ca="1" si="698"/>
        <v>0</v>
      </c>
      <c r="X2206" s="256">
        <f t="shared" ca="1" si="701"/>
        <v>1</v>
      </c>
      <c r="Y2206" s="250"/>
      <c r="Z2206" s="250"/>
    </row>
    <row r="2207" spans="1:29" s="111" customFormat="1" ht="15" hidden="1" x14ac:dyDescent="0.2">
      <c r="A2207" s="288"/>
      <c r="B2207" s="338"/>
      <c r="C2207" s="339"/>
      <c r="D2207" s="340"/>
      <c r="E2207" s="341"/>
      <c r="F2207" s="342"/>
      <c r="G2207" s="340"/>
      <c r="H2207" s="341"/>
      <c r="I2207" s="342"/>
      <c r="J2207" s="343"/>
      <c r="K2207" s="344"/>
      <c r="L2207" s="345"/>
      <c r="M2207" s="346"/>
      <c r="N2207" s="347"/>
      <c r="O2207" s="348"/>
      <c r="P2207" s="345"/>
      <c r="Q2207" s="349"/>
      <c r="R2207" s="350"/>
      <c r="S2207" s="351"/>
      <c r="T2207" s="352"/>
      <c r="U2207" s="353"/>
      <c r="V2207" s="291">
        <f t="shared" ca="1" si="703"/>
        <v>0</v>
      </c>
      <c r="W2207" s="256">
        <f t="shared" ca="1" si="698"/>
        <v>0</v>
      </c>
      <c r="X2207" s="256">
        <f t="shared" ca="1" si="701"/>
        <v>1</v>
      </c>
      <c r="Y2207" s="250"/>
      <c r="Z2207" s="250"/>
    </row>
    <row r="2208" spans="1:29" s="111" customFormat="1" ht="15.75" hidden="1" customHeight="1" x14ac:dyDescent="0.2">
      <c r="A2208" s="288"/>
      <c r="B2208" s="354"/>
      <c r="C2208" s="355"/>
      <c r="D2208" s="1354" t="s">
        <v>492</v>
      </c>
      <c r="E2208" s="1355"/>
      <c r="F2208" s="1355"/>
      <c r="G2208" s="1355"/>
      <c r="H2208" s="1355"/>
      <c r="I2208" s="1356"/>
      <c r="J2208" s="1357">
        <f>VLOOKUP(A2210,'11 - FINANCEIRO'!_xlnm.Print_Area,6,FALSE)</f>
        <v>0.17</v>
      </c>
      <c r="K2208" s="1358"/>
      <c r="L2208" s="356" t="str">
        <f>VLOOKUP(A2210,'11 - FINANCEIRO'!_xlnm.Print_Area,4,FALSE)</f>
        <v>t</v>
      </c>
      <c r="M2208" s="1359" t="s">
        <v>493</v>
      </c>
      <c r="N2208" s="1360"/>
      <c r="O2208" s="1360"/>
      <c r="P2208" s="1360"/>
      <c r="Q2208" s="1361"/>
      <c r="R2208" s="357">
        <f>TRUNC(SUM(R2204:R2207),3)</f>
        <v>0</v>
      </c>
      <c r="S2208" s="358" t="str">
        <f>L2208</f>
        <v>t</v>
      </c>
      <c r="T2208" s="359"/>
      <c r="U2208" s="360"/>
      <c r="V2208" s="291">
        <f t="shared" ca="1" si="703"/>
        <v>0</v>
      </c>
      <c r="W2208" s="256">
        <f t="shared" ca="1" si="698"/>
        <v>2</v>
      </c>
      <c r="X2208" s="256">
        <f t="shared" ca="1" si="701"/>
        <v>1</v>
      </c>
      <c r="Y2208" s="250"/>
      <c r="Z2208" s="250"/>
    </row>
    <row r="2209" spans="1:29" s="395" customFormat="1" ht="15.75" hidden="1" customHeight="1" x14ac:dyDescent="0.2">
      <c r="A2209" s="276"/>
      <c r="B2209" s="354"/>
      <c r="C2209" s="361"/>
      <c r="D2209" s="1362" t="s">
        <v>494</v>
      </c>
      <c r="E2209" s="1363"/>
      <c r="F2209" s="1363"/>
      <c r="G2209" s="1363"/>
      <c r="H2209" s="1363"/>
      <c r="I2209" s="1364"/>
      <c r="J2209" s="1365">
        <f>R2208/J2208</f>
        <v>0</v>
      </c>
      <c r="K2209" s="1366"/>
      <c r="L2209" s="1369"/>
      <c r="M2209" s="1371" t="s">
        <v>495</v>
      </c>
      <c r="N2209" s="1372"/>
      <c r="O2209" s="1372"/>
      <c r="P2209" s="1372"/>
      <c r="Q2209" s="1373"/>
      <c r="R2209" s="362">
        <f>VLOOKUP(A2210,'11 - FINANCEIRO'!_xlnm.Print_Area,8,FALSE)</f>
        <v>0</v>
      </c>
      <c r="S2209" s="363" t="str">
        <f>L2208</f>
        <v>t</v>
      </c>
      <c r="T2209" s="359"/>
      <c r="U2209" s="360"/>
      <c r="V2209" s="291">
        <f t="shared" ca="1" si="703"/>
        <v>0</v>
      </c>
      <c r="W2209" s="256">
        <f t="shared" ca="1" si="698"/>
        <v>2</v>
      </c>
      <c r="X2209" s="256">
        <f t="shared" ca="1" si="701"/>
        <v>1</v>
      </c>
    </row>
    <row r="2210" spans="1:29" s="293" customFormat="1" ht="15.75" hidden="1" customHeight="1" x14ac:dyDescent="0.2">
      <c r="A2210" s="288" t="s">
        <v>90</v>
      </c>
      <c r="B2210" s="364"/>
      <c r="C2210" s="365"/>
      <c r="D2210" s="1354"/>
      <c r="E2210" s="1355"/>
      <c r="F2210" s="1355"/>
      <c r="G2210" s="1355"/>
      <c r="H2210" s="1355"/>
      <c r="I2210" s="1356"/>
      <c r="J2210" s="1367"/>
      <c r="K2210" s="1368"/>
      <c r="L2210" s="1370"/>
      <c r="M2210" s="1371" t="s">
        <v>496</v>
      </c>
      <c r="N2210" s="1372"/>
      <c r="O2210" s="1372"/>
      <c r="P2210" s="1372"/>
      <c r="Q2210" s="1373"/>
      <c r="R2210" s="362">
        <f>R2208-R2209</f>
        <v>0</v>
      </c>
      <c r="S2210" s="363" t="str">
        <f>L2208</f>
        <v>t</v>
      </c>
      <c r="T2210" s="366"/>
      <c r="U2210" s="367"/>
      <c r="V2210" s="291">
        <f t="shared" ca="1" si="703"/>
        <v>0</v>
      </c>
      <c r="W2210" s="256">
        <f t="shared" ca="1" si="698"/>
        <v>2</v>
      </c>
      <c r="X2210" s="256">
        <f t="shared" ca="1" si="701"/>
        <v>1</v>
      </c>
      <c r="Y2210" s="256"/>
      <c r="Z2210" s="256"/>
      <c r="AA2210" s="292"/>
      <c r="AB2210" s="292"/>
      <c r="AC2210" s="292"/>
    </row>
    <row r="2211" spans="1:29" s="111" customFormat="1" ht="15.75" hidden="1" x14ac:dyDescent="0.2">
      <c r="A2211" s="288"/>
      <c r="B2211" s="368"/>
      <c r="C2211" s="365"/>
      <c r="D2211" s="369"/>
      <c r="E2211" s="370"/>
      <c r="F2211" s="369"/>
      <c r="G2211" s="369"/>
      <c r="H2211" s="369"/>
      <c r="I2211" s="369"/>
      <c r="J2211" s="371"/>
      <c r="K2211" s="372"/>
      <c r="L2211" s="373"/>
      <c r="M2211" s="374"/>
      <c r="N2211" s="374"/>
      <c r="O2211" s="374"/>
      <c r="P2211" s="374"/>
      <c r="Q2211" s="374"/>
      <c r="R2211" s="375"/>
      <c r="S2211" s="376"/>
      <c r="T2211" s="377"/>
      <c r="U2211" s="378"/>
      <c r="V2211" s="379">
        <f ca="1">SUM(V2202:V2210)</f>
        <v>0</v>
      </c>
      <c r="W2211" s="256">
        <f t="shared" ca="1" si="698"/>
        <v>1</v>
      </c>
      <c r="X2211" s="256">
        <f t="shared" ca="1" si="701"/>
        <v>0</v>
      </c>
      <c r="Y2211" s="250"/>
      <c r="Z2211" s="250"/>
    </row>
    <row r="2212" spans="1:29" s="293" customFormat="1" ht="15.75" hidden="1" x14ac:dyDescent="0.2">
      <c r="A2212" s="288"/>
      <c r="B2212" s="385" t="str">
        <f>LEFT(A2220,7)</f>
        <v>2.5.3.3</v>
      </c>
      <c r="C2212" s="386" t="str">
        <f>VLOOKUP(LEFT(A2220,7),'11 - FINANCEIRO'!_xlnm.Print_Area,2,FALSE)</f>
        <v>Escoramento</v>
      </c>
      <c r="D2212" s="386"/>
      <c r="E2212" s="387"/>
      <c r="F2212" s="386"/>
      <c r="G2212" s="1395"/>
      <c r="H2212" s="1395"/>
      <c r="I2212" s="1395"/>
      <c r="J2212" s="1395"/>
      <c r="K2212" s="1395"/>
      <c r="L2212" s="1395"/>
      <c r="M2212" s="389"/>
      <c r="N2212" s="390"/>
      <c r="O2212" s="389"/>
      <c r="P2212" s="389"/>
      <c r="Q2212" s="389"/>
      <c r="R2212" s="390"/>
      <c r="S2212" s="389"/>
      <c r="T2212" s="389"/>
      <c r="U2212" s="601"/>
      <c r="V2212" s="549">
        <f ca="1">SUM(V2213:V2222)</f>
        <v>0</v>
      </c>
      <c r="W2212" s="256">
        <f t="shared" ca="1" si="698"/>
        <v>1</v>
      </c>
      <c r="X2212" s="256">
        <f t="shared" ca="1" si="701"/>
        <v>1</v>
      </c>
      <c r="Y2212" s="256"/>
      <c r="Z2212" s="256"/>
      <c r="AA2212" s="292"/>
      <c r="AB2212" s="292"/>
      <c r="AC2212" s="292"/>
    </row>
    <row r="2213" spans="1:29" s="293" customFormat="1" ht="15.75" hidden="1" customHeight="1" x14ac:dyDescent="0.25">
      <c r="A2213" s="288"/>
      <c r="B2213" s="1374" t="str">
        <f>VLOOKUP(A2221,'11 - FINANCEIRO'!_xlnm.Print_Area,1,FALSE)</f>
        <v>2.5.3.3.1</v>
      </c>
      <c r="C2213" s="1376" t="str">
        <f>VLOOKUP(A2221,'11 - FINANCEIRO'!_xlnm.Print_Area,3,FALSE)</f>
        <v>Escoramento De Vala, Tipo Pontaleteamento, Com Profundidade De 0 A 1,5 M, Largura Menor Que 1,5 M, Em Local Com Nível Alto De Interferência.</v>
      </c>
      <c r="D2213" s="1378" t="s">
        <v>477</v>
      </c>
      <c r="E2213" s="1379"/>
      <c r="F2213" s="1379"/>
      <c r="G2213" s="1379"/>
      <c r="H2213" s="1379"/>
      <c r="I2213" s="1380"/>
      <c r="J2213" s="1338" t="s">
        <v>296</v>
      </c>
      <c r="K2213" s="1338" t="s">
        <v>479</v>
      </c>
      <c r="L2213" s="1338" t="s">
        <v>480</v>
      </c>
      <c r="M2213" s="1338" t="s">
        <v>481</v>
      </c>
      <c r="N2213" s="1338" t="s">
        <v>482</v>
      </c>
      <c r="O2213" s="1338" t="s">
        <v>483</v>
      </c>
      <c r="P2213" s="290" t="s">
        <v>484</v>
      </c>
      <c r="Q2213" s="1338" t="s">
        <v>485</v>
      </c>
      <c r="R2213" s="1336" t="s">
        <v>296</v>
      </c>
      <c r="S2213" s="1338" t="s">
        <v>486</v>
      </c>
      <c r="T2213" s="1338" t="s">
        <v>487</v>
      </c>
      <c r="U2213" s="1340" t="s">
        <v>488</v>
      </c>
      <c r="V2213" s="291">
        <f t="shared" ref="V2213:V2221" ca="1" si="704">IF(OFFSET(V2213,1,1)=1,OFFSET(V2213,0,-4),OFFSET(V2213,1,0))</f>
        <v>0</v>
      </c>
      <c r="W2213" s="256">
        <f t="shared" ca="1" si="698"/>
        <v>2</v>
      </c>
      <c r="X2213" s="256">
        <f t="shared" ca="1" si="701"/>
        <v>1</v>
      </c>
      <c r="Y2213" s="256"/>
      <c r="Z2213" s="256"/>
      <c r="AA2213" s="292"/>
      <c r="AB2213" s="292"/>
      <c r="AC2213" s="292"/>
    </row>
    <row r="2214" spans="1:29" s="337" customFormat="1" ht="15.75" hidden="1" x14ac:dyDescent="0.2">
      <c r="A2214" s="288"/>
      <c r="B2214" s="1375" t="e">
        <f>LEFT(#REF!,5)</f>
        <v>#REF!</v>
      </c>
      <c r="C2214" s="1377" t="e">
        <f>VLOOKUP(LEFT(#REF!,5),'11 - FINANCEIRO'!_xlnm.Print_Area,2,FALSE)</f>
        <v>#REF!</v>
      </c>
      <c r="D2214" s="1342" t="s">
        <v>489</v>
      </c>
      <c r="E2214" s="1343"/>
      <c r="F2214" s="1344"/>
      <c r="G2214" s="1345" t="s">
        <v>490</v>
      </c>
      <c r="H2214" s="1346"/>
      <c r="I2214" s="1347"/>
      <c r="J2214" s="1339"/>
      <c r="K2214" s="1339"/>
      <c r="L2214" s="1339"/>
      <c r="M2214" s="1339"/>
      <c r="N2214" s="1339"/>
      <c r="O2214" s="1339"/>
      <c r="P2214" s="295" t="s">
        <v>491</v>
      </c>
      <c r="Q2214" s="1339"/>
      <c r="R2214" s="1337"/>
      <c r="S2214" s="1339"/>
      <c r="T2214" s="1339"/>
      <c r="U2214" s="1341"/>
      <c r="V2214" s="291">
        <f t="shared" ca="1" si="704"/>
        <v>0</v>
      </c>
      <c r="W2214" s="256">
        <f t="shared" ca="1" si="698"/>
        <v>2</v>
      </c>
      <c r="X2214" s="256">
        <f t="shared" ca="1" si="701"/>
        <v>1</v>
      </c>
      <c r="Y2214" s="336"/>
      <c r="Z2214" s="336"/>
    </row>
    <row r="2215" spans="1:29" s="337" customFormat="1" ht="15.75" hidden="1" x14ac:dyDescent="0.2">
      <c r="A2215" s="288"/>
      <c r="B2215" s="296"/>
      <c r="C2215" s="297"/>
      <c r="D2215" s="298"/>
      <c r="E2215" s="299"/>
      <c r="F2215" s="300"/>
      <c r="G2215" s="301"/>
      <c r="H2215" s="302"/>
      <c r="I2215" s="303"/>
      <c r="J2215" s="304"/>
      <c r="K2215" s="304"/>
      <c r="L2215" s="304"/>
      <c r="M2215" s="304"/>
      <c r="N2215" s="304"/>
      <c r="O2215" s="304"/>
      <c r="P2215" s="306"/>
      <c r="Q2215" s="304"/>
      <c r="R2215" s="307"/>
      <c r="S2215" s="304"/>
      <c r="T2215" s="309"/>
      <c r="U2215" s="310"/>
      <c r="V2215" s="291">
        <f t="shared" ca="1" si="704"/>
        <v>0</v>
      </c>
      <c r="W2215" s="256">
        <f t="shared" ca="1" si="698"/>
        <v>0</v>
      </c>
      <c r="X2215" s="256">
        <f t="shared" ca="1" si="701"/>
        <v>1</v>
      </c>
      <c r="Y2215" s="336"/>
      <c r="Z2215" s="336"/>
    </row>
    <row r="2216" spans="1:29" s="111" customFormat="1" ht="15.75" hidden="1" x14ac:dyDescent="0.2">
      <c r="A2216" s="288"/>
      <c r="B2216" s="311"/>
      <c r="C2216" s="312"/>
      <c r="D2216" s="313"/>
      <c r="E2216" s="314"/>
      <c r="F2216" s="315"/>
      <c r="G2216" s="380"/>
      <c r="H2216" s="316"/>
      <c r="I2216" s="381"/>
      <c r="J2216" s="317"/>
      <c r="K2216" s="313"/>
      <c r="L2216" s="317"/>
      <c r="M2216" s="315"/>
      <c r="N2216" s="314"/>
      <c r="O2216" s="313"/>
      <c r="P2216" s="318"/>
      <c r="Q2216" s="315"/>
      <c r="R2216" s="319"/>
      <c r="S2216" s="317"/>
      <c r="T2216" s="320"/>
      <c r="U2216" s="321"/>
      <c r="V2216" s="291">
        <f t="shared" ca="1" si="704"/>
        <v>0</v>
      </c>
      <c r="W2216" s="256">
        <f t="shared" ca="1" si="698"/>
        <v>0</v>
      </c>
      <c r="X2216" s="256">
        <f t="shared" ca="1" si="701"/>
        <v>1</v>
      </c>
      <c r="Y2216" s="250"/>
      <c r="Z2216" s="250"/>
    </row>
    <row r="2217" spans="1:29" s="111" customFormat="1" ht="15" hidden="1" x14ac:dyDescent="0.2">
      <c r="A2217" s="288"/>
      <c r="B2217" s="322"/>
      <c r="C2217" s="382"/>
      <c r="D2217" s="324"/>
      <c r="E2217" s="325"/>
      <c r="F2217" s="326"/>
      <c r="G2217" s="324"/>
      <c r="H2217" s="325"/>
      <c r="I2217" s="326"/>
      <c r="J2217" s="317"/>
      <c r="K2217" s="328"/>
      <c r="L2217" s="328"/>
      <c r="M2217" s="328"/>
      <c r="N2217" s="328"/>
      <c r="O2217" s="334"/>
      <c r="P2217" s="328"/>
      <c r="Q2217" s="334"/>
      <c r="R2217" s="333"/>
      <c r="S2217" s="331"/>
      <c r="T2217" s="320"/>
      <c r="U2217" s="335"/>
      <c r="V2217" s="291">
        <f t="shared" ca="1" si="704"/>
        <v>0</v>
      </c>
      <c r="W2217" s="256">
        <f t="shared" ca="1" si="698"/>
        <v>0</v>
      </c>
      <c r="X2217" s="256">
        <f t="shared" ca="1" si="701"/>
        <v>1</v>
      </c>
      <c r="Y2217" s="250"/>
      <c r="Z2217" s="250"/>
    </row>
    <row r="2218" spans="1:29" s="111" customFormat="1" ht="15" hidden="1" x14ac:dyDescent="0.2">
      <c r="A2218" s="288"/>
      <c r="B2218" s="338"/>
      <c r="C2218" s="339"/>
      <c r="D2218" s="340"/>
      <c r="E2218" s="341"/>
      <c r="F2218" s="342"/>
      <c r="G2218" s="340"/>
      <c r="H2218" s="341"/>
      <c r="I2218" s="342"/>
      <c r="J2218" s="343"/>
      <c r="K2218" s="344"/>
      <c r="L2218" s="345"/>
      <c r="M2218" s="346"/>
      <c r="N2218" s="347"/>
      <c r="O2218" s="348"/>
      <c r="P2218" s="345"/>
      <c r="Q2218" s="349"/>
      <c r="R2218" s="350"/>
      <c r="S2218" s="351"/>
      <c r="T2218" s="352"/>
      <c r="U2218" s="353"/>
      <c r="V2218" s="291">
        <f t="shared" ca="1" si="704"/>
        <v>0</v>
      </c>
      <c r="W2218" s="256">
        <f t="shared" ca="1" si="698"/>
        <v>0</v>
      </c>
      <c r="X2218" s="256">
        <f t="shared" ca="1" si="701"/>
        <v>1</v>
      </c>
      <c r="Y2218" s="250"/>
      <c r="Z2218" s="250"/>
    </row>
    <row r="2219" spans="1:29" s="111" customFormat="1" ht="15.75" hidden="1" customHeight="1" x14ac:dyDescent="0.2">
      <c r="A2219" s="288"/>
      <c r="B2219" s="354"/>
      <c r="C2219" s="355"/>
      <c r="D2219" s="1354" t="s">
        <v>492</v>
      </c>
      <c r="E2219" s="1355"/>
      <c r="F2219" s="1355"/>
      <c r="G2219" s="1355"/>
      <c r="H2219" s="1355"/>
      <c r="I2219" s="1356"/>
      <c r="J2219" s="1357">
        <f>VLOOKUP(A2221,'11 - FINANCEIRO'!_xlnm.Print_Area,6,FALSE)</f>
        <v>175</v>
      </c>
      <c r="K2219" s="1358"/>
      <c r="L2219" s="356" t="str">
        <f>VLOOKUP(A2221,'11 - FINANCEIRO'!_xlnm.Print_Area,4,FALSE)</f>
        <v>m²</v>
      </c>
      <c r="M2219" s="1359" t="s">
        <v>493</v>
      </c>
      <c r="N2219" s="1360"/>
      <c r="O2219" s="1360"/>
      <c r="P2219" s="1360"/>
      <c r="Q2219" s="1361"/>
      <c r="R2219" s="357">
        <f>TRUNC(SUM(R2215:R2218),3)</f>
        <v>0</v>
      </c>
      <c r="S2219" s="358" t="str">
        <f>L2219</f>
        <v>m²</v>
      </c>
      <c r="T2219" s="359"/>
      <c r="U2219" s="360"/>
      <c r="V2219" s="291">
        <f t="shared" ca="1" si="704"/>
        <v>0</v>
      </c>
      <c r="W2219" s="256">
        <f t="shared" ca="1" si="698"/>
        <v>2</v>
      </c>
      <c r="X2219" s="256">
        <f t="shared" ca="1" si="701"/>
        <v>1</v>
      </c>
      <c r="Y2219" s="250"/>
      <c r="Z2219" s="250"/>
    </row>
    <row r="2220" spans="1:29" s="395" customFormat="1" ht="15.75" hidden="1" customHeight="1" x14ac:dyDescent="0.2">
      <c r="A2220" s="288" t="s">
        <v>91</v>
      </c>
      <c r="B2220" s="354"/>
      <c r="C2220" s="361"/>
      <c r="D2220" s="1362" t="s">
        <v>494</v>
      </c>
      <c r="E2220" s="1363"/>
      <c r="F2220" s="1363"/>
      <c r="G2220" s="1363"/>
      <c r="H2220" s="1363"/>
      <c r="I2220" s="1364"/>
      <c r="J2220" s="1365">
        <f>R2219/J2219</f>
        <v>0</v>
      </c>
      <c r="K2220" s="1366"/>
      <c r="L2220" s="1369"/>
      <c r="M2220" s="1371" t="s">
        <v>495</v>
      </c>
      <c r="N2220" s="1372"/>
      <c r="O2220" s="1372"/>
      <c r="P2220" s="1372"/>
      <c r="Q2220" s="1373"/>
      <c r="R2220" s="362">
        <f>VLOOKUP(A2221,'11 - FINANCEIRO'!_xlnm.Print_Area,8,FALSE)</f>
        <v>0</v>
      </c>
      <c r="S2220" s="363" t="str">
        <f>L2219</f>
        <v>m²</v>
      </c>
      <c r="T2220" s="359"/>
      <c r="U2220" s="360"/>
      <c r="V2220" s="291">
        <f t="shared" ca="1" si="704"/>
        <v>0</v>
      </c>
      <c r="W2220" s="256">
        <f t="shared" ca="1" si="698"/>
        <v>2</v>
      </c>
      <c r="X2220" s="256">
        <f t="shared" ca="1" si="701"/>
        <v>1</v>
      </c>
    </row>
    <row r="2221" spans="1:29" s="293" customFormat="1" ht="15.75" hidden="1" customHeight="1" x14ac:dyDescent="0.2">
      <c r="A2221" s="288" t="s">
        <v>92</v>
      </c>
      <c r="B2221" s="364"/>
      <c r="C2221" s="365"/>
      <c r="D2221" s="1354"/>
      <c r="E2221" s="1355"/>
      <c r="F2221" s="1355"/>
      <c r="G2221" s="1355"/>
      <c r="H2221" s="1355"/>
      <c r="I2221" s="1356"/>
      <c r="J2221" s="1367"/>
      <c r="K2221" s="1368"/>
      <c r="L2221" s="1370"/>
      <c r="M2221" s="1371" t="s">
        <v>496</v>
      </c>
      <c r="N2221" s="1372"/>
      <c r="O2221" s="1372"/>
      <c r="P2221" s="1372"/>
      <c r="Q2221" s="1373"/>
      <c r="R2221" s="362">
        <f>R2219-R2220</f>
        <v>0</v>
      </c>
      <c r="S2221" s="363" t="str">
        <f>L2219</f>
        <v>m²</v>
      </c>
      <c r="T2221" s="366"/>
      <c r="U2221" s="367"/>
      <c r="V2221" s="291">
        <f t="shared" ca="1" si="704"/>
        <v>0</v>
      </c>
      <c r="W2221" s="256">
        <f t="shared" ca="1" si="698"/>
        <v>2</v>
      </c>
      <c r="X2221" s="256">
        <f t="shared" ca="1" si="701"/>
        <v>1</v>
      </c>
      <c r="Y2221" s="256"/>
      <c r="Z2221" s="256"/>
      <c r="AA2221" s="292"/>
      <c r="AB2221" s="292"/>
      <c r="AC2221" s="292"/>
    </row>
    <row r="2222" spans="1:29" s="111" customFormat="1" ht="15.75" hidden="1" x14ac:dyDescent="0.2">
      <c r="A2222" s="288"/>
      <c r="B2222" s="368"/>
      <c r="C2222" s="365"/>
      <c r="D2222" s="369"/>
      <c r="E2222" s="370"/>
      <c r="F2222" s="369"/>
      <c r="G2222" s="369"/>
      <c r="H2222" s="369"/>
      <c r="I2222" s="369"/>
      <c r="J2222" s="371"/>
      <c r="K2222" s="372"/>
      <c r="L2222" s="373"/>
      <c r="M2222" s="374"/>
      <c r="N2222" s="374"/>
      <c r="O2222" s="374"/>
      <c r="P2222" s="374"/>
      <c r="Q2222" s="374"/>
      <c r="R2222" s="375"/>
      <c r="S2222" s="376"/>
      <c r="T2222" s="377"/>
      <c r="U2222" s="378"/>
      <c r="V2222" s="379">
        <f ca="1">SUM(V2213:V2221)</f>
        <v>0</v>
      </c>
      <c r="W2222" s="256">
        <f t="shared" ca="1" si="698"/>
        <v>1</v>
      </c>
      <c r="X2222" s="256">
        <f t="shared" ca="1" si="701"/>
        <v>0</v>
      </c>
      <c r="Y2222" s="250"/>
      <c r="Z2222" s="250"/>
    </row>
    <row r="2223" spans="1:29" s="293" customFormat="1" ht="15.75" x14ac:dyDescent="0.2">
      <c r="A2223" s="288"/>
      <c r="B2223" s="385" t="str">
        <f>LEFT(A2253,7)</f>
        <v>2.5.3.4</v>
      </c>
      <c r="C2223" s="386" t="str">
        <f>VLOOKUP(LEFT(A2253,7),'11 - FINANCEIRO'!_xlnm.Print_Area,2,FALSE)</f>
        <v>Assentamento</v>
      </c>
      <c r="D2223" s="386"/>
      <c r="E2223" s="387"/>
      <c r="F2223" s="386"/>
      <c r="G2223" s="1395"/>
      <c r="H2223" s="1395"/>
      <c r="I2223" s="1395"/>
      <c r="J2223" s="1395"/>
      <c r="K2223" s="1395"/>
      <c r="L2223" s="1395"/>
      <c r="M2223" s="389"/>
      <c r="N2223" s="390"/>
      <c r="O2223" s="389"/>
      <c r="P2223" s="389"/>
      <c r="Q2223" s="389"/>
      <c r="R2223" s="390"/>
      <c r="S2223" s="389"/>
      <c r="T2223" s="389"/>
      <c r="U2223" s="601"/>
      <c r="V2223" s="549">
        <f ca="1">SUM(V2224:V2299)</f>
        <v>12408</v>
      </c>
      <c r="W2223" s="256">
        <f t="shared" ca="1" si="698"/>
        <v>1</v>
      </c>
      <c r="X2223" s="256">
        <f t="shared" ca="1" si="701"/>
        <v>1</v>
      </c>
      <c r="Y2223" s="256"/>
      <c r="Z2223" s="256"/>
      <c r="AA2223" s="292"/>
      <c r="AB2223" s="292"/>
      <c r="AC2223" s="292"/>
    </row>
    <row r="2224" spans="1:29" s="293" customFormat="1" ht="15.75" customHeight="1" x14ac:dyDescent="0.2">
      <c r="A2224" s="288"/>
      <c r="B2224" s="1374" t="str">
        <f>VLOOKUP(A2254,'11 - FINANCEIRO'!_xlnm.Print_Area,1,FALSE)</f>
        <v>2.5.3.4.1</v>
      </c>
      <c r="C2224" s="1376" t="str">
        <f>VLOOKUP(A2254,'11 - FINANCEIRO'!_xlnm.Print_Area,3,FALSE)</f>
        <v>Assentamento De Tubo De Pvc Para Rede Coletora De Esgoto De Parede Maciça, Dn 150 Mm, Junta Elástica, Instalado Em Local Com Nível Alto De Interferências (Não Inclui Fornecimento).</v>
      </c>
      <c r="D2224" s="1378" t="s">
        <v>477</v>
      </c>
      <c r="E2224" s="1379"/>
      <c r="F2224" s="1379"/>
      <c r="G2224" s="1379"/>
      <c r="H2224" s="1379"/>
      <c r="I2224" s="1380"/>
      <c r="J2224" s="1338" t="s">
        <v>296</v>
      </c>
      <c r="K2224" s="1338" t="s">
        <v>479</v>
      </c>
      <c r="L2224" s="1338" t="s">
        <v>480</v>
      </c>
      <c r="M2224" s="1338" t="s">
        <v>481</v>
      </c>
      <c r="N2224" s="1338" t="s">
        <v>482</v>
      </c>
      <c r="O2224" s="1338" t="s">
        <v>483</v>
      </c>
      <c r="P2224" s="1416" t="s">
        <v>296</v>
      </c>
      <c r="Q2224" s="1338" t="s">
        <v>485</v>
      </c>
      <c r="R2224" s="1336" t="s">
        <v>296</v>
      </c>
      <c r="S2224" s="1338" t="s">
        <v>486</v>
      </c>
      <c r="T2224" s="1338" t="s">
        <v>487</v>
      </c>
      <c r="U2224" s="1340" t="s">
        <v>488</v>
      </c>
      <c r="V2224" s="291">
        <f t="shared" ref="V2224:V2254" ca="1" si="705">IF(OFFSET(V2224,1,1)=1,OFFSET(V2224,0,-4),OFFSET(V2224,1,0))</f>
        <v>165</v>
      </c>
      <c r="W2224" s="256">
        <f t="shared" ca="1" si="698"/>
        <v>2</v>
      </c>
      <c r="X2224" s="256">
        <f t="shared" ca="1" si="701"/>
        <v>1</v>
      </c>
      <c r="Y2224" s="256"/>
      <c r="Z2224" s="256"/>
      <c r="AA2224" s="292"/>
      <c r="AB2224" s="292"/>
      <c r="AC2224" s="292"/>
    </row>
    <row r="2225" spans="1:26" s="337" customFormat="1" ht="15.75" x14ac:dyDescent="0.2">
      <c r="A2225" s="288"/>
      <c r="B2225" s="1375" t="e">
        <f>LEFT(#REF!,5)</f>
        <v>#REF!</v>
      </c>
      <c r="C2225" s="1377" t="e">
        <f>VLOOKUP(LEFT(#REF!,5),'11 - FINANCEIRO'!_xlnm.Print_Area,2,FALSE)</f>
        <v>#REF!</v>
      </c>
      <c r="D2225" s="1342" t="s">
        <v>489</v>
      </c>
      <c r="E2225" s="1343"/>
      <c r="F2225" s="1344"/>
      <c r="G2225" s="1345" t="s">
        <v>490</v>
      </c>
      <c r="H2225" s="1346"/>
      <c r="I2225" s="1347"/>
      <c r="J2225" s="1339"/>
      <c r="K2225" s="1339"/>
      <c r="L2225" s="1339"/>
      <c r="M2225" s="1339"/>
      <c r="N2225" s="1339"/>
      <c r="O2225" s="1339"/>
      <c r="P2225" s="1417"/>
      <c r="Q2225" s="1339"/>
      <c r="R2225" s="1337"/>
      <c r="S2225" s="1339"/>
      <c r="T2225" s="1339"/>
      <c r="U2225" s="1341"/>
      <c r="V2225" s="291">
        <f t="shared" ca="1" si="705"/>
        <v>165</v>
      </c>
      <c r="W2225" s="256">
        <f t="shared" ca="1" si="698"/>
        <v>2</v>
      </c>
      <c r="X2225" s="256">
        <f t="shared" ca="1" si="701"/>
        <v>1</v>
      </c>
      <c r="Y2225" s="336"/>
      <c r="Z2225" s="336"/>
    </row>
    <row r="2226" spans="1:26" s="337" customFormat="1" ht="15.75" x14ac:dyDescent="0.2">
      <c r="A2226" s="288"/>
      <c r="B2226" s="296"/>
      <c r="C2226" s="297" t="s">
        <v>624</v>
      </c>
      <c r="D2226" s="412">
        <v>9</v>
      </c>
      <c r="E2226" s="299" t="s">
        <v>518</v>
      </c>
      <c r="F2226" s="413">
        <v>0</v>
      </c>
      <c r="G2226" s="414">
        <v>11</v>
      </c>
      <c r="H2226" s="302" t="s">
        <v>518</v>
      </c>
      <c r="I2226" s="415">
        <v>1.7</v>
      </c>
      <c r="J2226" s="416"/>
      <c r="K2226" s="480">
        <f>ABS((G2226*20+I2226)-(D2226*20+F2226))</f>
        <v>41.699999999999989</v>
      </c>
      <c r="L2226" s="304"/>
      <c r="M2226" s="304"/>
      <c r="N2226" s="304"/>
      <c r="O2226" s="304"/>
      <c r="P2226" s="306"/>
      <c r="Q2226" s="304"/>
      <c r="R2226" s="307">
        <f>K2226</f>
        <v>41.699999999999989</v>
      </c>
      <c r="S2226" s="308" t="str">
        <f>$L$2252</f>
        <v>m</v>
      </c>
      <c r="T2226" s="309">
        <v>6</v>
      </c>
      <c r="U2226" s="310"/>
      <c r="V2226" s="291">
        <f t="shared" ca="1" si="705"/>
        <v>165</v>
      </c>
      <c r="W2226" s="256">
        <f t="shared" ca="1" si="698"/>
        <v>2</v>
      </c>
      <c r="X2226" s="256">
        <f t="shared" ca="1" si="701"/>
        <v>1</v>
      </c>
      <c r="Y2226" s="336"/>
      <c r="Z2226" s="336"/>
    </row>
    <row r="2227" spans="1:26" s="111" customFormat="1" ht="15.75" x14ac:dyDescent="0.2">
      <c r="A2227" s="288"/>
      <c r="B2227" s="311"/>
      <c r="C2227" s="312" t="s">
        <v>922</v>
      </c>
      <c r="D2227" s="417">
        <v>6</v>
      </c>
      <c r="E2227" s="314" t="s">
        <v>518</v>
      </c>
      <c r="F2227" s="418">
        <v>10</v>
      </c>
      <c r="G2227" s="419">
        <v>31</v>
      </c>
      <c r="H2227" s="316" t="s">
        <v>518</v>
      </c>
      <c r="I2227" s="420">
        <v>10</v>
      </c>
      <c r="J2227" s="433"/>
      <c r="K2227" s="433">
        <f>ABS((G2227*20+I2227)-(D2227*20+F2227))</f>
        <v>500</v>
      </c>
      <c r="L2227" s="317"/>
      <c r="M2227" s="315"/>
      <c r="N2227" s="314"/>
      <c r="O2227" s="313"/>
      <c r="P2227" s="318">
        <v>2</v>
      </c>
      <c r="Q2227" s="315"/>
      <c r="R2227" s="319">
        <f>P2227*K2227</f>
        <v>1000</v>
      </c>
      <c r="S2227" s="398" t="str">
        <f t="shared" ref="S2227:S2232" si="706">$L$2252</f>
        <v>m</v>
      </c>
      <c r="T2227" s="320">
        <v>18</v>
      </c>
      <c r="U2227" s="321"/>
      <c r="V2227" s="291">
        <f t="shared" ca="1" si="705"/>
        <v>165</v>
      </c>
      <c r="W2227" s="256">
        <f t="shared" ca="1" si="698"/>
        <v>2</v>
      </c>
      <c r="X2227" s="256">
        <f t="shared" ca="1" si="701"/>
        <v>1</v>
      </c>
      <c r="Y2227" s="250"/>
      <c r="Z2227" s="250"/>
    </row>
    <row r="2228" spans="1:26" s="111" customFormat="1" ht="15" x14ac:dyDescent="0.2">
      <c r="A2228" s="288"/>
      <c r="B2228" s="322"/>
      <c r="C2228" s="312" t="s">
        <v>923</v>
      </c>
      <c r="D2228" s="417">
        <v>100</v>
      </c>
      <c r="E2228" s="314" t="s">
        <v>518</v>
      </c>
      <c r="F2228" s="418">
        <v>0</v>
      </c>
      <c r="G2228" s="419">
        <v>80</v>
      </c>
      <c r="H2228" s="316" t="s">
        <v>518</v>
      </c>
      <c r="I2228" s="420">
        <v>8</v>
      </c>
      <c r="J2228" s="433"/>
      <c r="K2228" s="433">
        <f>ABS((G2228*20+I2228)-(D2228*20+F2228))</f>
        <v>392</v>
      </c>
      <c r="L2228" s="328"/>
      <c r="M2228" s="328"/>
      <c r="N2228" s="328"/>
      <c r="O2228" s="334"/>
      <c r="P2228" s="318">
        <v>2</v>
      </c>
      <c r="Q2228" s="334"/>
      <c r="R2228" s="333">
        <f>P2228*K2228</f>
        <v>784</v>
      </c>
      <c r="S2228" s="398" t="str">
        <f t="shared" si="706"/>
        <v>m</v>
      </c>
      <c r="T2228" s="320">
        <v>28</v>
      </c>
      <c r="U2228" s="335"/>
      <c r="V2228" s="291">
        <f t="shared" ca="1" si="705"/>
        <v>165</v>
      </c>
      <c r="W2228" s="256">
        <f t="shared" ref="W2228:W2359" ca="1" si="707">IF(LEFT(_xlfn.FORMULATEXT(V2228),3)="=SO",1,IF(COUNTA(A2228:U2228)=0,0,2))</f>
        <v>2</v>
      </c>
      <c r="X2228" s="256">
        <f t="shared" ca="1" si="701"/>
        <v>1</v>
      </c>
      <c r="Y2228" s="250"/>
      <c r="Z2228" s="250"/>
    </row>
    <row r="2229" spans="1:26" s="111" customFormat="1" ht="15" x14ac:dyDescent="0.2">
      <c r="A2229" s="288"/>
      <c r="B2229" s="322"/>
      <c r="C2229" s="312" t="s">
        <v>923</v>
      </c>
      <c r="D2229" s="417">
        <v>70</v>
      </c>
      <c r="E2229" s="314" t="s">
        <v>518</v>
      </c>
      <c r="F2229" s="418">
        <v>0</v>
      </c>
      <c r="G2229" s="419">
        <v>80</v>
      </c>
      <c r="H2229" s="316" t="s">
        <v>518</v>
      </c>
      <c r="I2229" s="420">
        <v>8</v>
      </c>
      <c r="J2229" s="433"/>
      <c r="K2229" s="433">
        <f>ABS((G2229*20+I2229)-(D2229*20+F2229))</f>
        <v>208</v>
      </c>
      <c r="L2229" s="328"/>
      <c r="M2229" s="328"/>
      <c r="N2229" s="328"/>
      <c r="O2229" s="334"/>
      <c r="P2229" s="318">
        <v>2</v>
      </c>
      <c r="Q2229" s="334"/>
      <c r="R2229" s="333">
        <f>P2229*K2229</f>
        <v>416</v>
      </c>
      <c r="S2229" s="398" t="str">
        <f t="shared" si="706"/>
        <v>m</v>
      </c>
      <c r="T2229" s="320">
        <v>32</v>
      </c>
      <c r="U2229" s="335"/>
      <c r="V2229" s="291">
        <f t="shared" ca="1" si="705"/>
        <v>165</v>
      </c>
      <c r="W2229" s="256">
        <f t="shared" ref="W2229:W2232" ca="1" si="708">IF(LEFT(_xlfn.FORMULATEXT(V2229),3)="=SO",1,IF(COUNTA(A2229:U2229)=0,0,2))</f>
        <v>2</v>
      </c>
      <c r="X2229" s="256">
        <f t="shared" ref="X2229:X2232" ca="1" si="709">IF(COUNTA(OFFSET(A2223,1,0))-COUNTA(A2223)=-1,0,1)</f>
        <v>1</v>
      </c>
      <c r="Y2229" s="250"/>
      <c r="Z2229" s="250"/>
    </row>
    <row r="2230" spans="1:26" s="111" customFormat="1" ht="15" x14ac:dyDescent="0.2">
      <c r="A2230" s="288"/>
      <c r="B2230" s="322"/>
      <c r="C2230" s="312" t="s">
        <v>923</v>
      </c>
      <c r="D2230" s="417">
        <v>67</v>
      </c>
      <c r="E2230" s="314" t="s">
        <v>518</v>
      </c>
      <c r="F2230" s="418">
        <v>0</v>
      </c>
      <c r="G2230" s="417">
        <v>70</v>
      </c>
      <c r="H2230" s="314" t="s">
        <v>518</v>
      </c>
      <c r="I2230" s="418">
        <v>0</v>
      </c>
      <c r="J2230" s="433"/>
      <c r="K2230" s="433">
        <f>ABS((G2230*20+I2230)-(D2230*20+F2230))</f>
        <v>60</v>
      </c>
      <c r="L2230" s="328"/>
      <c r="M2230" s="328"/>
      <c r="N2230" s="328"/>
      <c r="O2230" s="334"/>
      <c r="P2230" s="318">
        <v>2</v>
      </c>
      <c r="Q2230" s="334"/>
      <c r="R2230" s="333">
        <f>P2230*K2230</f>
        <v>120</v>
      </c>
      <c r="S2230" s="398" t="str">
        <f t="shared" si="706"/>
        <v>m</v>
      </c>
      <c r="T2230" s="320">
        <v>33</v>
      </c>
      <c r="U2230" s="335"/>
      <c r="V2230" s="291">
        <f t="shared" ca="1" si="705"/>
        <v>165</v>
      </c>
      <c r="W2230" s="256">
        <f t="shared" ca="1" si="708"/>
        <v>2</v>
      </c>
      <c r="X2230" s="256">
        <f t="shared" ca="1" si="709"/>
        <v>1</v>
      </c>
      <c r="Y2230" s="250"/>
      <c r="Z2230" s="250"/>
    </row>
    <row r="2231" spans="1:26" s="111" customFormat="1" ht="15" x14ac:dyDescent="0.2">
      <c r="A2231" s="288"/>
      <c r="B2231" s="494"/>
      <c r="C2231" s="495" t="s">
        <v>1102</v>
      </c>
      <c r="D2231" s="419">
        <v>79</v>
      </c>
      <c r="E2231" s="316" t="s">
        <v>518</v>
      </c>
      <c r="F2231" s="420">
        <v>16</v>
      </c>
      <c r="G2231" s="419">
        <v>69</v>
      </c>
      <c r="H2231" s="316" t="s">
        <v>518</v>
      </c>
      <c r="I2231" s="420">
        <v>9</v>
      </c>
      <c r="J2231" s="508"/>
      <c r="K2231" s="500">
        <v>243</v>
      </c>
      <c r="L2231" s="501"/>
      <c r="M2231" s="760"/>
      <c r="N2231" s="761"/>
      <c r="O2231" s="505"/>
      <c r="P2231" s="565">
        <v>1</v>
      </c>
      <c r="Q2231" s="739"/>
      <c r="R2231" s="504">
        <f>P2231*K2231</f>
        <v>243</v>
      </c>
      <c r="S2231" s="398" t="str">
        <f t="shared" si="706"/>
        <v>m</v>
      </c>
      <c r="T2231" s="506">
        <v>33</v>
      </c>
      <c r="U2231" s="574"/>
      <c r="V2231" s="291">
        <f t="shared" ca="1" si="705"/>
        <v>165</v>
      </c>
      <c r="W2231" s="256">
        <f t="shared" ca="1" si="708"/>
        <v>2</v>
      </c>
      <c r="X2231" s="256">
        <f t="shared" ca="1" si="709"/>
        <v>1</v>
      </c>
      <c r="Y2231" s="250"/>
      <c r="Z2231" s="250"/>
    </row>
    <row r="2232" spans="1:26" s="111" customFormat="1" ht="15" x14ac:dyDescent="0.2">
      <c r="A2232" s="288"/>
      <c r="B2232" s="494"/>
      <c r="C2232" s="312" t="s">
        <v>923</v>
      </c>
      <c r="D2232" s="419">
        <v>60</v>
      </c>
      <c r="E2232" s="316" t="s">
        <v>518</v>
      </c>
      <c r="F2232" s="420">
        <v>5</v>
      </c>
      <c r="G2232" s="417">
        <v>67</v>
      </c>
      <c r="H2232" s="314" t="s">
        <v>518</v>
      </c>
      <c r="I2232" s="418">
        <v>0</v>
      </c>
      <c r="J2232" s="508"/>
      <c r="K2232" s="433">
        <f>ABS((G2232*20+I2232)-(D2232*20+F2232))</f>
        <v>135</v>
      </c>
      <c r="L2232" s="501"/>
      <c r="M2232" s="760"/>
      <c r="N2232" s="761"/>
      <c r="O2232" s="505"/>
      <c r="P2232" s="565">
        <v>1</v>
      </c>
      <c r="Q2232" s="739"/>
      <c r="R2232" s="504">
        <f t="shared" ref="R2232:R2243" si="710">P2232*K2232</f>
        <v>135</v>
      </c>
      <c r="S2232" s="398" t="str">
        <f t="shared" si="706"/>
        <v>m</v>
      </c>
      <c r="T2232" s="506">
        <v>35</v>
      </c>
      <c r="U2232" s="574"/>
      <c r="V2232" s="291">
        <f t="shared" ca="1" si="705"/>
        <v>165</v>
      </c>
      <c r="W2232" s="256">
        <f t="shared" ca="1" si="708"/>
        <v>2</v>
      </c>
      <c r="X2232" s="256">
        <f t="shared" ca="1" si="709"/>
        <v>1</v>
      </c>
      <c r="Y2232" s="250"/>
      <c r="Z2232" s="250"/>
    </row>
    <row r="2233" spans="1:26" s="111" customFormat="1" ht="15" x14ac:dyDescent="0.2">
      <c r="A2233" s="288"/>
      <c r="B2233" s="494"/>
      <c r="C2233" s="312" t="s">
        <v>923</v>
      </c>
      <c r="D2233" s="496">
        <v>59</v>
      </c>
      <c r="E2233" s="316" t="s">
        <v>518</v>
      </c>
      <c r="F2233" s="498">
        <v>0</v>
      </c>
      <c r="G2233" s="419">
        <v>60</v>
      </c>
      <c r="H2233" s="316" t="s">
        <v>518</v>
      </c>
      <c r="I2233" s="420">
        <v>5</v>
      </c>
      <c r="J2233" s="508"/>
      <c r="K2233" s="500">
        <f>ABS((G2233*20+I2233)-(D2233*20+F2233))</f>
        <v>25</v>
      </c>
      <c r="L2233" s="501"/>
      <c r="M2233" s="760"/>
      <c r="N2233" s="761"/>
      <c r="O2233" s="505"/>
      <c r="P2233" s="565">
        <v>1</v>
      </c>
      <c r="Q2233" s="739"/>
      <c r="R2233" s="504">
        <f t="shared" si="710"/>
        <v>25</v>
      </c>
      <c r="S2233" s="398" t="str">
        <f t="shared" ref="S2233:S2240" si="711">$L$2252</f>
        <v>m</v>
      </c>
      <c r="T2233" s="506">
        <v>36</v>
      </c>
      <c r="U2233" s="574"/>
      <c r="V2233" s="291">
        <f t="shared" ca="1" si="705"/>
        <v>165</v>
      </c>
      <c r="W2233" s="256">
        <f t="shared" ref="W2233:W2254" ca="1" si="712">IF(LEFT(_xlfn.FORMULATEXT(V2233),3)="=SO",1,IF(COUNTA(A2233:U2233)=0,0,2))</f>
        <v>2</v>
      </c>
      <c r="X2233" s="256">
        <f t="shared" ref="X2233:X2254" ca="1" si="713">IF(COUNTA(OFFSET(A2227,1,0))-COUNTA(A2227)=-1,0,1)</f>
        <v>1</v>
      </c>
      <c r="Y2233" s="250"/>
      <c r="Z2233" s="250"/>
    </row>
    <row r="2234" spans="1:26" s="111" customFormat="1" ht="15" x14ac:dyDescent="0.2">
      <c r="A2234" s="288"/>
      <c r="B2234" s="494"/>
      <c r="C2234" s="312" t="s">
        <v>923</v>
      </c>
      <c r="D2234" s="496">
        <v>56</v>
      </c>
      <c r="E2234" s="316" t="s">
        <v>518</v>
      </c>
      <c r="F2234" s="498">
        <v>10</v>
      </c>
      <c r="G2234" s="419">
        <v>59</v>
      </c>
      <c r="H2234" s="316" t="s">
        <v>518</v>
      </c>
      <c r="I2234" s="420">
        <v>0</v>
      </c>
      <c r="J2234" s="508"/>
      <c r="K2234" s="500">
        <f>ABS((G2234*20+I2234)-(D2234*20+F2234))</f>
        <v>50</v>
      </c>
      <c r="L2234" s="501"/>
      <c r="M2234" s="760"/>
      <c r="N2234" s="761"/>
      <c r="O2234" s="505"/>
      <c r="P2234" s="565">
        <v>1</v>
      </c>
      <c r="Q2234" s="739"/>
      <c r="R2234" s="504">
        <f t="shared" si="710"/>
        <v>50</v>
      </c>
      <c r="S2234" s="398" t="str">
        <f t="shared" si="711"/>
        <v>m</v>
      </c>
      <c r="T2234" s="506">
        <v>37</v>
      </c>
      <c r="U2234" s="574"/>
      <c r="V2234" s="291">
        <f t="shared" ca="1" si="705"/>
        <v>165</v>
      </c>
      <c r="W2234" s="256">
        <f t="shared" ca="1" si="712"/>
        <v>2</v>
      </c>
      <c r="X2234" s="256">
        <f t="shared" ca="1" si="713"/>
        <v>1</v>
      </c>
      <c r="Y2234" s="250"/>
      <c r="Z2234" s="250"/>
    </row>
    <row r="2235" spans="1:26" s="111" customFormat="1" ht="15" x14ac:dyDescent="0.2">
      <c r="A2235" s="288"/>
      <c r="B2235" s="494"/>
      <c r="C2235" s="312" t="s">
        <v>923</v>
      </c>
      <c r="D2235" s="496">
        <v>55</v>
      </c>
      <c r="E2235" s="316" t="s">
        <v>518</v>
      </c>
      <c r="F2235" s="498">
        <v>10</v>
      </c>
      <c r="G2235" s="496">
        <v>56</v>
      </c>
      <c r="H2235" s="316" t="s">
        <v>518</v>
      </c>
      <c r="I2235" s="498">
        <v>10</v>
      </c>
      <c r="J2235" s="508"/>
      <c r="K2235" s="500">
        <f>ABS((G2235*20+I2235)-(D2235*20+F2235))</f>
        <v>20</v>
      </c>
      <c r="L2235" s="501"/>
      <c r="M2235" s="760"/>
      <c r="N2235" s="761"/>
      <c r="O2235" s="505"/>
      <c r="P2235" s="565">
        <v>1</v>
      </c>
      <c r="Q2235" s="739"/>
      <c r="R2235" s="504">
        <f t="shared" si="710"/>
        <v>20</v>
      </c>
      <c r="S2235" s="398" t="str">
        <f t="shared" si="711"/>
        <v>m</v>
      </c>
      <c r="T2235" s="506">
        <v>38</v>
      </c>
      <c r="U2235" s="574"/>
      <c r="V2235" s="291">
        <f t="shared" ca="1" si="705"/>
        <v>165</v>
      </c>
      <c r="W2235" s="256">
        <f t="shared" ref="W2235:W2247" ca="1" si="714">IF(LEFT(_xlfn.FORMULATEXT(V2235),3)="=SO",1,IF(COUNTA(A2235:U2235)=0,0,2))</f>
        <v>2</v>
      </c>
      <c r="X2235" s="256">
        <f t="shared" ref="X2235:X2247" ca="1" si="715">IF(COUNTA(OFFSET(A2229,1,0))-COUNTA(A2229)=-1,0,1)</f>
        <v>1</v>
      </c>
      <c r="Y2235" s="250"/>
      <c r="Z2235" s="250"/>
    </row>
    <row r="2236" spans="1:26" s="111" customFormat="1" ht="15" x14ac:dyDescent="0.2">
      <c r="A2236" s="288"/>
      <c r="B2236" s="494"/>
      <c r="C2236" s="312" t="s">
        <v>923</v>
      </c>
      <c r="D2236" s="496">
        <v>51</v>
      </c>
      <c r="E2236" s="316" t="s">
        <v>518</v>
      </c>
      <c r="F2236" s="498">
        <v>8</v>
      </c>
      <c r="G2236" s="496">
        <v>55</v>
      </c>
      <c r="H2236" s="316" t="s">
        <v>518</v>
      </c>
      <c r="I2236" s="498">
        <v>10</v>
      </c>
      <c r="J2236" s="508"/>
      <c r="K2236" s="500">
        <f t="shared" ref="K2236:K2247" si="716">ABS((G2236*20+I2236)-(D2236*20+F2236))</f>
        <v>82</v>
      </c>
      <c r="L2236" s="501"/>
      <c r="M2236" s="760"/>
      <c r="N2236" s="761"/>
      <c r="O2236" s="505"/>
      <c r="P2236" s="565">
        <v>1</v>
      </c>
      <c r="Q2236" s="739"/>
      <c r="R2236" s="1104">
        <f t="shared" si="710"/>
        <v>82</v>
      </c>
      <c r="S2236" s="398" t="str">
        <f t="shared" si="711"/>
        <v>m</v>
      </c>
      <c r="T2236" s="506">
        <v>39</v>
      </c>
      <c r="U2236" s="574"/>
      <c r="V2236" s="291">
        <f t="shared" ca="1" si="705"/>
        <v>165</v>
      </c>
      <c r="W2236" s="256">
        <f t="shared" ca="1" si="714"/>
        <v>2</v>
      </c>
      <c r="X2236" s="256">
        <f t="shared" ca="1" si="715"/>
        <v>1</v>
      </c>
      <c r="Y2236" s="250"/>
      <c r="Z2236" s="250"/>
    </row>
    <row r="2237" spans="1:26" s="111" customFormat="1" ht="15" x14ac:dyDescent="0.2">
      <c r="A2237" s="288"/>
      <c r="B2237" s="494"/>
      <c r="C2237" s="312" t="s">
        <v>923</v>
      </c>
      <c r="D2237" s="496">
        <v>49</v>
      </c>
      <c r="E2237" s="316" t="s">
        <v>518</v>
      </c>
      <c r="F2237" s="498">
        <v>13</v>
      </c>
      <c r="G2237" s="496">
        <v>51</v>
      </c>
      <c r="H2237" s="316" t="s">
        <v>518</v>
      </c>
      <c r="I2237" s="498">
        <v>8</v>
      </c>
      <c r="J2237" s="508"/>
      <c r="K2237" s="500">
        <f t="shared" si="716"/>
        <v>35</v>
      </c>
      <c r="L2237" s="501"/>
      <c r="M2237" s="760"/>
      <c r="N2237" s="761"/>
      <c r="O2237" s="505"/>
      <c r="P2237" s="565">
        <v>1</v>
      </c>
      <c r="Q2237" s="739"/>
      <c r="R2237" s="1111">
        <f t="shared" si="710"/>
        <v>35</v>
      </c>
      <c r="S2237" s="398" t="str">
        <f t="shared" si="711"/>
        <v>m</v>
      </c>
      <c r="T2237" s="506">
        <v>40</v>
      </c>
      <c r="U2237" s="574"/>
      <c r="V2237" s="291">
        <f t="shared" ca="1" si="705"/>
        <v>165</v>
      </c>
      <c r="W2237" s="256">
        <f t="shared" ca="1" si="714"/>
        <v>2</v>
      </c>
      <c r="X2237" s="256">
        <f t="shared" ca="1" si="715"/>
        <v>1</v>
      </c>
      <c r="Y2237" s="250"/>
      <c r="Z2237" s="250"/>
    </row>
    <row r="2238" spans="1:26" s="111" customFormat="1" ht="15" x14ac:dyDescent="0.2">
      <c r="A2238" s="288"/>
      <c r="B2238" s="494"/>
      <c r="C2238" s="312" t="s">
        <v>923</v>
      </c>
      <c r="D2238" s="496">
        <v>48</v>
      </c>
      <c r="E2238" s="316" t="s">
        <v>518</v>
      </c>
      <c r="F2238" s="498">
        <v>8</v>
      </c>
      <c r="G2238" s="496">
        <v>49</v>
      </c>
      <c r="H2238" s="316" t="s">
        <v>518</v>
      </c>
      <c r="I2238" s="498">
        <v>13</v>
      </c>
      <c r="J2238" s="508"/>
      <c r="K2238" s="500">
        <f t="shared" si="716"/>
        <v>25</v>
      </c>
      <c r="L2238" s="501"/>
      <c r="M2238" s="760"/>
      <c r="N2238" s="761"/>
      <c r="O2238" s="505"/>
      <c r="P2238" s="565">
        <v>1</v>
      </c>
      <c r="Q2238" s="739"/>
      <c r="R2238" s="1111">
        <f t="shared" si="710"/>
        <v>25</v>
      </c>
      <c r="S2238" s="398" t="str">
        <f t="shared" si="711"/>
        <v>m</v>
      </c>
      <c r="T2238" s="506">
        <v>41</v>
      </c>
      <c r="U2238" s="574"/>
      <c r="V2238" s="291">
        <f t="shared" ca="1" si="705"/>
        <v>165</v>
      </c>
      <c r="W2238" s="256">
        <f t="shared" ca="1" si="714"/>
        <v>2</v>
      </c>
      <c r="X2238" s="256">
        <f t="shared" ca="1" si="715"/>
        <v>1</v>
      </c>
      <c r="Y2238" s="250"/>
      <c r="Z2238" s="250"/>
    </row>
    <row r="2239" spans="1:26" s="111" customFormat="1" ht="15" x14ac:dyDescent="0.2">
      <c r="A2239" s="288"/>
      <c r="B2239" s="494"/>
      <c r="C2239" s="312" t="s">
        <v>923</v>
      </c>
      <c r="D2239" s="496">
        <v>45</v>
      </c>
      <c r="E2239" s="316" t="s">
        <v>518</v>
      </c>
      <c r="F2239" s="498">
        <v>6</v>
      </c>
      <c r="G2239" s="496">
        <v>48</v>
      </c>
      <c r="H2239" s="316" t="s">
        <v>518</v>
      </c>
      <c r="I2239" s="498">
        <v>8</v>
      </c>
      <c r="J2239" s="508"/>
      <c r="K2239" s="500">
        <f t="shared" si="716"/>
        <v>62</v>
      </c>
      <c r="L2239" s="501"/>
      <c r="M2239" s="760"/>
      <c r="N2239" s="761"/>
      <c r="O2239" s="505"/>
      <c r="P2239" s="565">
        <v>1</v>
      </c>
      <c r="Q2239" s="739"/>
      <c r="R2239" s="1111">
        <f t="shared" si="710"/>
        <v>62</v>
      </c>
      <c r="S2239" s="398" t="str">
        <f t="shared" si="711"/>
        <v>m</v>
      </c>
      <c r="T2239" s="506">
        <v>42</v>
      </c>
      <c r="U2239" s="574"/>
      <c r="V2239" s="291">
        <f t="shared" ca="1" si="705"/>
        <v>165</v>
      </c>
      <c r="W2239" s="256">
        <f t="shared" ca="1" si="714"/>
        <v>2</v>
      </c>
      <c r="X2239" s="256">
        <f t="shared" ca="1" si="715"/>
        <v>1</v>
      </c>
      <c r="Y2239" s="250"/>
      <c r="Z2239" s="250"/>
    </row>
    <row r="2240" spans="1:26" s="111" customFormat="1" ht="15" x14ac:dyDescent="0.2">
      <c r="A2240" s="288"/>
      <c r="B2240" s="494"/>
      <c r="C2240" s="312" t="s">
        <v>923</v>
      </c>
      <c r="D2240" s="496">
        <v>42</v>
      </c>
      <c r="E2240" s="316" t="s">
        <v>518</v>
      </c>
      <c r="F2240" s="498">
        <v>3</v>
      </c>
      <c r="G2240" s="496">
        <v>45</v>
      </c>
      <c r="H2240" s="316" t="s">
        <v>518</v>
      </c>
      <c r="I2240" s="498">
        <v>6</v>
      </c>
      <c r="J2240" s="508"/>
      <c r="K2240" s="500">
        <f t="shared" si="716"/>
        <v>63</v>
      </c>
      <c r="L2240" s="501"/>
      <c r="M2240" s="760"/>
      <c r="N2240" s="761"/>
      <c r="O2240" s="505"/>
      <c r="P2240" s="565">
        <v>1</v>
      </c>
      <c r="Q2240" s="739"/>
      <c r="R2240" s="1111">
        <f t="shared" si="710"/>
        <v>63</v>
      </c>
      <c r="S2240" s="398" t="str">
        <f t="shared" si="711"/>
        <v>m</v>
      </c>
      <c r="T2240" s="506">
        <v>43</v>
      </c>
      <c r="U2240" s="574"/>
      <c r="V2240" s="291">
        <f t="shared" ca="1" si="705"/>
        <v>165</v>
      </c>
      <c r="W2240" s="256">
        <f t="shared" ca="1" si="714"/>
        <v>2</v>
      </c>
      <c r="X2240" s="256">
        <f t="shared" ca="1" si="715"/>
        <v>1</v>
      </c>
      <c r="Y2240" s="250"/>
      <c r="Z2240" s="250"/>
    </row>
    <row r="2241" spans="1:29" s="111" customFormat="1" ht="15" x14ac:dyDescent="0.2">
      <c r="A2241" s="288"/>
      <c r="B2241" s="494"/>
      <c r="C2241" s="312" t="s">
        <v>923</v>
      </c>
      <c r="D2241" s="496">
        <v>39</v>
      </c>
      <c r="E2241" s="316" t="s">
        <v>518</v>
      </c>
      <c r="F2241" s="498">
        <v>2</v>
      </c>
      <c r="G2241" s="496">
        <v>42</v>
      </c>
      <c r="H2241" s="316" t="s">
        <v>518</v>
      </c>
      <c r="I2241" s="498">
        <v>3</v>
      </c>
      <c r="J2241" s="508"/>
      <c r="K2241" s="500">
        <f t="shared" si="716"/>
        <v>61</v>
      </c>
      <c r="L2241" s="501"/>
      <c r="M2241" s="760"/>
      <c r="N2241" s="761"/>
      <c r="O2241" s="505"/>
      <c r="P2241" s="565">
        <v>1</v>
      </c>
      <c r="Q2241" s="739"/>
      <c r="R2241" s="1111">
        <f t="shared" si="710"/>
        <v>61</v>
      </c>
      <c r="S2241" s="398" t="str">
        <f t="shared" ref="S2241:S2243" si="717">$L$2252</f>
        <v>m</v>
      </c>
      <c r="T2241" s="506">
        <v>44</v>
      </c>
      <c r="U2241" s="574"/>
      <c r="V2241" s="291">
        <f t="shared" ca="1" si="705"/>
        <v>165</v>
      </c>
      <c r="W2241" s="256">
        <f t="shared" ca="1" si="714"/>
        <v>2</v>
      </c>
      <c r="X2241" s="256">
        <f t="shared" ca="1" si="715"/>
        <v>1</v>
      </c>
      <c r="Y2241" s="250"/>
      <c r="Z2241" s="250"/>
    </row>
    <row r="2242" spans="1:29" s="111" customFormat="1" ht="15" x14ac:dyDescent="0.2">
      <c r="A2242" s="288"/>
      <c r="B2242" s="494"/>
      <c r="C2242" s="312" t="s">
        <v>923</v>
      </c>
      <c r="D2242" s="417">
        <v>0</v>
      </c>
      <c r="E2242" s="314" t="s">
        <v>518</v>
      </c>
      <c r="F2242" s="418">
        <v>4</v>
      </c>
      <c r="G2242" s="417">
        <v>2</v>
      </c>
      <c r="H2242" s="314" t="s">
        <v>518</v>
      </c>
      <c r="I2242" s="418">
        <v>16</v>
      </c>
      <c r="J2242" s="433"/>
      <c r="K2242" s="433">
        <f t="shared" si="716"/>
        <v>52</v>
      </c>
      <c r="L2242" s="501"/>
      <c r="M2242" s="760"/>
      <c r="N2242" s="761"/>
      <c r="O2242" s="505"/>
      <c r="P2242" s="565">
        <v>2</v>
      </c>
      <c r="Q2242" s="739"/>
      <c r="R2242" s="1111">
        <f t="shared" si="710"/>
        <v>104</v>
      </c>
      <c r="S2242" s="398" t="str">
        <f t="shared" si="717"/>
        <v>m</v>
      </c>
      <c r="T2242" s="506">
        <v>44</v>
      </c>
      <c r="U2242" s="574"/>
      <c r="V2242" s="291">
        <f t="shared" ca="1" si="705"/>
        <v>165</v>
      </c>
      <c r="W2242" s="256">
        <f t="shared" ca="1" si="714"/>
        <v>2</v>
      </c>
      <c r="X2242" s="256">
        <f t="shared" ca="1" si="715"/>
        <v>1</v>
      </c>
      <c r="Y2242" s="250"/>
      <c r="Z2242" s="250"/>
    </row>
    <row r="2243" spans="1:29" s="111" customFormat="1" ht="15" x14ac:dyDescent="0.2">
      <c r="A2243" s="288"/>
      <c r="B2243" s="494"/>
      <c r="C2243" s="312" t="s">
        <v>923</v>
      </c>
      <c r="D2243" s="417">
        <v>1</v>
      </c>
      <c r="E2243" s="314" t="s">
        <v>518</v>
      </c>
      <c r="F2243" s="418">
        <v>8</v>
      </c>
      <c r="G2243" s="417">
        <v>2</v>
      </c>
      <c r="H2243" s="314" t="s">
        <v>518</v>
      </c>
      <c r="I2243" s="418">
        <v>0</v>
      </c>
      <c r="J2243" s="433"/>
      <c r="K2243" s="433">
        <f t="shared" si="716"/>
        <v>12</v>
      </c>
      <c r="L2243" s="501"/>
      <c r="M2243" s="760"/>
      <c r="N2243" s="761"/>
      <c r="O2243" s="505"/>
      <c r="P2243" s="565">
        <v>1</v>
      </c>
      <c r="Q2243" s="739"/>
      <c r="R2243" s="1111">
        <f t="shared" si="710"/>
        <v>12</v>
      </c>
      <c r="S2243" s="398" t="str">
        <f t="shared" si="717"/>
        <v>m</v>
      </c>
      <c r="T2243" s="506">
        <v>43</v>
      </c>
      <c r="U2243" s="574"/>
      <c r="V2243" s="291">
        <f t="shared" ca="1" si="705"/>
        <v>165</v>
      </c>
      <c r="W2243" s="256">
        <f t="shared" ca="1" si="714"/>
        <v>2</v>
      </c>
      <c r="X2243" s="256">
        <f t="shared" ca="1" si="715"/>
        <v>1</v>
      </c>
      <c r="Y2243" s="250"/>
      <c r="Z2243" s="250"/>
    </row>
    <row r="2244" spans="1:29" s="111" customFormat="1" ht="15" x14ac:dyDescent="0.2">
      <c r="A2244" s="288"/>
      <c r="B2244" s="494"/>
      <c r="C2244" s="312" t="s">
        <v>922</v>
      </c>
      <c r="D2244" s="417">
        <v>2</v>
      </c>
      <c r="E2244" s="314" t="s">
        <v>518</v>
      </c>
      <c r="F2244" s="418">
        <v>0</v>
      </c>
      <c r="G2244" s="417">
        <v>2</v>
      </c>
      <c r="H2244" s="314" t="s">
        <v>518</v>
      </c>
      <c r="I2244" s="418">
        <v>6</v>
      </c>
      <c r="J2244" s="433"/>
      <c r="K2244" s="433">
        <f t="shared" si="716"/>
        <v>6</v>
      </c>
      <c r="L2244" s="317"/>
      <c r="M2244" s="315"/>
      <c r="N2244" s="314"/>
      <c r="O2244" s="313"/>
      <c r="P2244" s="318">
        <v>1</v>
      </c>
      <c r="Q2244" s="315"/>
      <c r="R2244" s="319">
        <f>P2244*K2244</f>
        <v>6</v>
      </c>
      <c r="S2244" s="398" t="str">
        <f>$L$2252</f>
        <v>m</v>
      </c>
      <c r="T2244" s="320">
        <v>42</v>
      </c>
      <c r="U2244" s="574"/>
      <c r="V2244" s="291">
        <f t="shared" ca="1" si="705"/>
        <v>165</v>
      </c>
      <c r="W2244" s="256">
        <f t="shared" ca="1" si="714"/>
        <v>2</v>
      </c>
      <c r="X2244" s="256">
        <f t="shared" ca="1" si="715"/>
        <v>1</v>
      </c>
      <c r="Y2244" s="250"/>
      <c r="Z2244" s="250"/>
    </row>
    <row r="2245" spans="1:29" s="111" customFormat="1" ht="15" x14ac:dyDescent="0.2">
      <c r="A2245" s="288"/>
      <c r="B2245" s="494"/>
      <c r="C2245" s="312" t="s">
        <v>922</v>
      </c>
      <c r="D2245" s="417">
        <v>2</v>
      </c>
      <c r="E2245" s="314" t="s">
        <v>518</v>
      </c>
      <c r="F2245" s="418">
        <v>6</v>
      </c>
      <c r="G2245" s="417">
        <v>3</v>
      </c>
      <c r="H2245" s="314" t="s">
        <v>518</v>
      </c>
      <c r="I2245" s="418">
        <v>4</v>
      </c>
      <c r="J2245" s="433"/>
      <c r="K2245" s="433">
        <f t="shared" ref="K2245" si="718">ABS((G2245*20+I2245)-(D2245*20+F2245))</f>
        <v>18</v>
      </c>
      <c r="L2245" s="317"/>
      <c r="M2245" s="315"/>
      <c r="N2245" s="314"/>
      <c r="O2245" s="313"/>
      <c r="P2245" s="318">
        <v>1</v>
      </c>
      <c r="Q2245" s="315"/>
      <c r="R2245" s="319">
        <f>P2245*K2245</f>
        <v>18</v>
      </c>
      <c r="S2245" s="398" t="str">
        <f>$L$2252</f>
        <v>m</v>
      </c>
      <c r="T2245" s="320">
        <v>41</v>
      </c>
      <c r="U2245" s="574"/>
      <c r="V2245" s="291">
        <f t="shared" ca="1" si="705"/>
        <v>165</v>
      </c>
      <c r="W2245" s="256">
        <f t="shared" ca="1" si="714"/>
        <v>2</v>
      </c>
      <c r="X2245" s="256">
        <f t="shared" ca="1" si="715"/>
        <v>1</v>
      </c>
      <c r="Y2245" s="250"/>
      <c r="Z2245" s="250"/>
    </row>
    <row r="2246" spans="1:29" s="111" customFormat="1" ht="15" x14ac:dyDescent="0.2">
      <c r="A2246" s="288"/>
      <c r="B2246" s="494"/>
      <c r="C2246" s="312" t="s">
        <v>922</v>
      </c>
      <c r="D2246" s="417">
        <v>3</v>
      </c>
      <c r="E2246" s="314" t="s">
        <v>518</v>
      </c>
      <c r="F2246" s="418">
        <v>4</v>
      </c>
      <c r="G2246" s="417">
        <v>4</v>
      </c>
      <c r="H2246" s="314" t="s">
        <v>518</v>
      </c>
      <c r="I2246" s="418">
        <v>0</v>
      </c>
      <c r="J2246" s="433"/>
      <c r="K2246" s="433">
        <f t="shared" si="716"/>
        <v>16</v>
      </c>
      <c r="L2246" s="317"/>
      <c r="M2246" s="315"/>
      <c r="N2246" s="314"/>
      <c r="O2246" s="313"/>
      <c r="P2246" s="318">
        <v>1</v>
      </c>
      <c r="Q2246" s="315"/>
      <c r="R2246" s="319">
        <f>P2246*K2246</f>
        <v>16</v>
      </c>
      <c r="S2246" s="398" t="str">
        <f>$L$2252</f>
        <v>m</v>
      </c>
      <c r="T2246" s="320">
        <v>40</v>
      </c>
      <c r="U2246" s="574"/>
      <c r="V2246" s="291">
        <f t="shared" ca="1" si="705"/>
        <v>165</v>
      </c>
      <c r="W2246" s="256">
        <f t="shared" ca="1" si="714"/>
        <v>2</v>
      </c>
      <c r="X2246" s="256">
        <f t="shared" ca="1" si="715"/>
        <v>1</v>
      </c>
      <c r="Y2246" s="250"/>
      <c r="Z2246" s="250"/>
    </row>
    <row r="2247" spans="1:29" s="111" customFormat="1" ht="15" x14ac:dyDescent="0.2">
      <c r="A2247" s="288"/>
      <c r="B2247" s="494"/>
      <c r="C2247" s="312" t="s">
        <v>922</v>
      </c>
      <c r="D2247" s="417">
        <v>4</v>
      </c>
      <c r="E2247" s="314" t="s">
        <v>518</v>
      </c>
      <c r="F2247" s="418">
        <v>0</v>
      </c>
      <c r="G2247" s="417">
        <v>4</v>
      </c>
      <c r="H2247" s="314" t="s">
        <v>518</v>
      </c>
      <c r="I2247" s="418">
        <v>10</v>
      </c>
      <c r="J2247" s="433"/>
      <c r="K2247" s="433">
        <f t="shared" si="716"/>
        <v>10</v>
      </c>
      <c r="L2247" s="317"/>
      <c r="M2247" s="315"/>
      <c r="N2247" s="314"/>
      <c r="O2247" s="313"/>
      <c r="P2247" s="318">
        <v>1</v>
      </c>
      <c r="Q2247" s="315"/>
      <c r="R2247" s="319">
        <f>P2247*K2247</f>
        <v>10</v>
      </c>
      <c r="S2247" s="398" t="str">
        <f>$L$2252</f>
        <v>m</v>
      </c>
      <c r="T2247" s="320">
        <v>39</v>
      </c>
      <c r="U2247" s="574"/>
      <c r="V2247" s="291">
        <f t="shared" ca="1" si="705"/>
        <v>165</v>
      </c>
      <c r="W2247" s="256">
        <f t="shared" ca="1" si="714"/>
        <v>2</v>
      </c>
      <c r="X2247" s="256">
        <f t="shared" ca="1" si="715"/>
        <v>1</v>
      </c>
      <c r="Y2247" s="250"/>
      <c r="Z2247" s="250"/>
    </row>
    <row r="2248" spans="1:29" s="111" customFormat="1" ht="15" x14ac:dyDescent="0.2">
      <c r="A2248" s="288"/>
      <c r="B2248" s="494"/>
      <c r="C2248" s="312" t="s">
        <v>922</v>
      </c>
      <c r="D2248" s="417">
        <v>4</v>
      </c>
      <c r="E2248" s="314" t="s">
        <v>518</v>
      </c>
      <c r="F2248" s="418">
        <v>10</v>
      </c>
      <c r="G2248" s="417">
        <v>6</v>
      </c>
      <c r="H2248" s="314" t="s">
        <v>518</v>
      </c>
      <c r="I2248" s="418">
        <v>10</v>
      </c>
      <c r="J2248" s="433"/>
      <c r="K2248" s="433">
        <f>ABS((G2248*20+I2248)-(D2248*20+F2248))</f>
        <v>40</v>
      </c>
      <c r="L2248" s="317"/>
      <c r="M2248" s="315"/>
      <c r="N2248" s="314"/>
      <c r="O2248" s="313"/>
      <c r="P2248" s="318">
        <v>1</v>
      </c>
      <c r="Q2248" s="315"/>
      <c r="R2248" s="319">
        <f>P2248*K2248</f>
        <v>40</v>
      </c>
      <c r="S2248" s="398" t="str">
        <f>$L$2252</f>
        <v>m</v>
      </c>
      <c r="T2248" s="320">
        <v>38</v>
      </c>
      <c r="U2248" s="574"/>
      <c r="V2248" s="291">
        <f t="shared" ca="1" si="705"/>
        <v>165</v>
      </c>
      <c r="W2248" s="256">
        <f t="shared" ca="1" si="712"/>
        <v>2</v>
      </c>
      <c r="X2248" s="256">
        <f ca="1">IF(COUNTA(OFFSET(A2240,1,0))-COUNTA(A2240)=-1,0,1)</f>
        <v>1</v>
      </c>
      <c r="Y2248" s="250"/>
      <c r="Z2248" s="250"/>
    </row>
    <row r="2249" spans="1:29" s="111" customFormat="1" ht="15" x14ac:dyDescent="0.2">
      <c r="A2249" s="288"/>
      <c r="B2249" s="494"/>
      <c r="C2249" s="495"/>
      <c r="D2249" s="551"/>
      <c r="E2249" s="552"/>
      <c r="F2249" s="553"/>
      <c r="G2249" s="551"/>
      <c r="H2249" s="552"/>
      <c r="I2249" s="553"/>
      <c r="J2249" s="508"/>
      <c r="K2249" s="500"/>
      <c r="L2249" s="1102"/>
      <c r="M2249" s="752"/>
      <c r="N2249" s="552"/>
      <c r="O2249" s="738"/>
      <c r="P2249" s="565"/>
      <c r="Q2249" s="752"/>
      <c r="R2249" s="558"/>
      <c r="S2249" s="554"/>
      <c r="T2249" s="506"/>
      <c r="U2249" s="574"/>
      <c r="V2249" s="291">
        <f t="shared" ca="1" si="705"/>
        <v>165</v>
      </c>
      <c r="W2249" s="256">
        <f t="shared" ca="1" si="712"/>
        <v>0</v>
      </c>
      <c r="X2249" s="256">
        <f t="shared" ca="1" si="713"/>
        <v>1</v>
      </c>
      <c r="Y2249" s="250"/>
      <c r="Z2249" s="250"/>
    </row>
    <row r="2250" spans="1:29" s="111" customFormat="1" ht="15" x14ac:dyDescent="0.2">
      <c r="A2250" s="288"/>
      <c r="B2250" s="494"/>
      <c r="C2250" s="495"/>
      <c r="D2250" s="551"/>
      <c r="E2250" s="552"/>
      <c r="F2250" s="553"/>
      <c r="G2250" s="551"/>
      <c r="H2250" s="552"/>
      <c r="I2250" s="553"/>
      <c r="J2250" s="508"/>
      <c r="K2250" s="500"/>
      <c r="L2250" s="1102"/>
      <c r="M2250" s="752"/>
      <c r="N2250" s="552"/>
      <c r="O2250" s="738"/>
      <c r="P2250" s="565"/>
      <c r="Q2250" s="752"/>
      <c r="R2250" s="558"/>
      <c r="S2250" s="554"/>
      <c r="T2250" s="506"/>
      <c r="U2250" s="574"/>
      <c r="V2250" s="291">
        <f t="shared" ca="1" si="705"/>
        <v>165</v>
      </c>
      <c r="W2250" s="256">
        <f t="shared" ca="1" si="712"/>
        <v>0</v>
      </c>
      <c r="X2250" s="256">
        <f t="shared" ca="1" si="713"/>
        <v>1</v>
      </c>
      <c r="Y2250" s="250"/>
      <c r="Z2250" s="250"/>
    </row>
    <row r="2251" spans="1:29" s="111" customFormat="1" ht="15" x14ac:dyDescent="0.2">
      <c r="A2251" s="288"/>
      <c r="B2251" s="338"/>
      <c r="C2251" s="339"/>
      <c r="D2251" s="340"/>
      <c r="E2251" s="341"/>
      <c r="F2251" s="342"/>
      <c r="G2251" s="340"/>
      <c r="H2251" s="341"/>
      <c r="I2251" s="342"/>
      <c r="J2251" s="343"/>
      <c r="K2251" s="344"/>
      <c r="L2251" s="345"/>
      <c r="M2251" s="346"/>
      <c r="N2251" s="347"/>
      <c r="O2251" s="348"/>
      <c r="P2251" s="345"/>
      <c r="Q2251" s="349"/>
      <c r="R2251" s="350"/>
      <c r="S2251" s="351"/>
      <c r="T2251" s="352"/>
      <c r="U2251" s="353"/>
      <c r="V2251" s="291">
        <f t="shared" ca="1" si="705"/>
        <v>165</v>
      </c>
      <c r="W2251" s="256">
        <f t="shared" ca="1" si="712"/>
        <v>0</v>
      </c>
      <c r="X2251" s="256">
        <f t="shared" ca="1" si="713"/>
        <v>1</v>
      </c>
      <c r="Y2251" s="250"/>
      <c r="Z2251" s="250"/>
    </row>
    <row r="2252" spans="1:29" s="111" customFormat="1" ht="15.75" customHeight="1" x14ac:dyDescent="0.2">
      <c r="A2252" s="288"/>
      <c r="B2252" s="354"/>
      <c r="C2252" s="355"/>
      <c r="D2252" s="1354" t="s">
        <v>492</v>
      </c>
      <c r="E2252" s="1355"/>
      <c r="F2252" s="1355"/>
      <c r="G2252" s="1355"/>
      <c r="H2252" s="1355"/>
      <c r="I2252" s="1356"/>
      <c r="J2252" s="1357">
        <f>VLOOKUP(A2254,'11 - FINANCEIRO'!_xlnm.Print_Area,6,FALSE)</f>
        <v>5161.3999999999996</v>
      </c>
      <c r="K2252" s="1358"/>
      <c r="L2252" s="356" t="str">
        <f>VLOOKUP(A2254,'11 - FINANCEIRO'!_xlnm.Print_Area,4,FALSE)</f>
        <v>m</v>
      </c>
      <c r="M2252" s="1359" t="s">
        <v>493</v>
      </c>
      <c r="N2252" s="1360"/>
      <c r="O2252" s="1360"/>
      <c r="P2252" s="1360"/>
      <c r="Q2252" s="1361"/>
      <c r="R2252" s="357">
        <f>TRUNC(SUM(R2226:R2251),3)</f>
        <v>3368.7</v>
      </c>
      <c r="S2252" s="358" t="str">
        <f>L2252</f>
        <v>m</v>
      </c>
      <c r="T2252" s="858"/>
      <c r="U2252" s="360"/>
      <c r="V2252" s="291">
        <f t="shared" ca="1" si="705"/>
        <v>165</v>
      </c>
      <c r="W2252" s="256">
        <f t="shared" ca="1" si="712"/>
        <v>2</v>
      </c>
      <c r="X2252" s="256">
        <f t="shared" ca="1" si="713"/>
        <v>1</v>
      </c>
      <c r="Y2252" s="250"/>
      <c r="Z2252" s="250"/>
    </row>
    <row r="2253" spans="1:29" s="293" customFormat="1" ht="15.75" customHeight="1" x14ac:dyDescent="0.2">
      <c r="A2253" s="288" t="s">
        <v>93</v>
      </c>
      <c r="B2253" s="354"/>
      <c r="C2253" s="361"/>
      <c r="D2253" s="1362" t="s">
        <v>494</v>
      </c>
      <c r="E2253" s="1363"/>
      <c r="F2253" s="1363"/>
      <c r="G2253" s="1363"/>
      <c r="H2253" s="1363"/>
      <c r="I2253" s="1364"/>
      <c r="J2253" s="1365">
        <f>IF(R2252&gt;J2252,1,R2252/J2252)</f>
        <v>0.65267175572519087</v>
      </c>
      <c r="K2253" s="1366"/>
      <c r="L2253" s="1369"/>
      <c r="M2253" s="1371" t="s">
        <v>495</v>
      </c>
      <c r="N2253" s="1372"/>
      <c r="O2253" s="1372"/>
      <c r="P2253" s="1372"/>
      <c r="Q2253" s="1373"/>
      <c r="R2253" s="362">
        <f>VLOOKUP(A2254,'11 - FINANCEIRO'!_xlnm.Print_Area,8,FALSE)</f>
        <v>3203.7</v>
      </c>
      <c r="S2253" s="363" t="str">
        <f>L2252</f>
        <v>m</v>
      </c>
      <c r="T2253" s="359"/>
      <c r="U2253" s="829"/>
      <c r="V2253" s="291">
        <f t="shared" ca="1" si="705"/>
        <v>165</v>
      </c>
      <c r="W2253" s="256">
        <f t="shared" ca="1" si="712"/>
        <v>2</v>
      </c>
      <c r="X2253" s="256">
        <f t="shared" ca="1" si="713"/>
        <v>1</v>
      </c>
      <c r="Y2253" s="256"/>
      <c r="Z2253" s="256"/>
      <c r="AA2253" s="292"/>
      <c r="AB2253" s="292"/>
      <c r="AC2253" s="292"/>
    </row>
    <row r="2254" spans="1:29" s="293" customFormat="1" ht="15.75" customHeight="1" x14ac:dyDescent="0.2">
      <c r="A2254" s="288" t="s">
        <v>94</v>
      </c>
      <c r="B2254" s="364"/>
      <c r="C2254" s="365"/>
      <c r="D2254" s="1354"/>
      <c r="E2254" s="1355"/>
      <c r="F2254" s="1355"/>
      <c r="G2254" s="1355"/>
      <c r="H2254" s="1355"/>
      <c r="I2254" s="1356"/>
      <c r="J2254" s="1367"/>
      <c r="K2254" s="1368"/>
      <c r="L2254" s="1370"/>
      <c r="M2254" s="1371" t="s">
        <v>496</v>
      </c>
      <c r="N2254" s="1372"/>
      <c r="O2254" s="1372"/>
      <c r="P2254" s="1372"/>
      <c r="Q2254" s="1373"/>
      <c r="R2254" s="362">
        <f>R2252-R2253</f>
        <v>165</v>
      </c>
      <c r="S2254" s="363" t="str">
        <f>L2252</f>
        <v>m</v>
      </c>
      <c r="T2254" s="366"/>
      <c r="U2254" s="367"/>
      <c r="V2254" s="291">
        <f t="shared" ca="1" si="705"/>
        <v>165</v>
      </c>
      <c r="W2254" s="256">
        <f t="shared" ca="1" si="712"/>
        <v>2</v>
      </c>
      <c r="X2254" s="256">
        <f t="shared" ca="1" si="713"/>
        <v>1</v>
      </c>
      <c r="Y2254" s="256"/>
      <c r="Z2254" s="256"/>
      <c r="AA2254" s="292"/>
      <c r="AB2254" s="292"/>
      <c r="AC2254" s="292"/>
    </row>
    <row r="2255" spans="1:29" s="111" customFormat="1" ht="15.75" x14ac:dyDescent="0.2">
      <c r="A2255" s="288"/>
      <c r="B2255" s="368"/>
      <c r="C2255" s="365"/>
      <c r="D2255" s="369"/>
      <c r="E2255" s="370"/>
      <c r="F2255" s="369"/>
      <c r="G2255" s="369"/>
      <c r="H2255" s="369"/>
      <c r="I2255" s="369"/>
      <c r="J2255" s="371"/>
      <c r="K2255" s="372"/>
      <c r="L2255" s="373"/>
      <c r="M2255" s="374"/>
      <c r="N2255" s="374"/>
      <c r="O2255" s="374"/>
      <c r="P2255" s="374"/>
      <c r="Q2255" s="374"/>
      <c r="R2255" s="375"/>
      <c r="S2255" s="376"/>
      <c r="T2255" s="377"/>
      <c r="U2255" s="378"/>
      <c r="V2255" s="379">
        <f ca="1">SUM(V2224:V2254)</f>
        <v>5115</v>
      </c>
      <c r="W2255" s="256">
        <f t="shared" ca="1" si="707"/>
        <v>1</v>
      </c>
      <c r="X2255" s="256">
        <f t="shared" ca="1" si="701"/>
        <v>0</v>
      </c>
      <c r="Y2255" s="250"/>
      <c r="Z2255" s="250"/>
    </row>
    <row r="2256" spans="1:29" s="293" customFormat="1" ht="15.75" customHeight="1" x14ac:dyDescent="0.2">
      <c r="A2256" s="288"/>
      <c r="B2256" s="1374" t="str">
        <f>VLOOKUP(A2288,'11 - FINANCEIRO'!_xlnm.Print_Area,1,FALSE)</f>
        <v>2.5.3.4.2</v>
      </c>
      <c r="C2256" s="1376" t="str">
        <f>VLOOKUP(A2288,'11 - FINANCEIRO'!_xlnm.Print_Area,3,FALSE)</f>
        <v>Tubo Coletor De Esgoto, Pvc, Jei, Dn 150 Mm  (Nbr 7362)</v>
      </c>
      <c r="D2256" s="1378" t="s">
        <v>477</v>
      </c>
      <c r="E2256" s="1379"/>
      <c r="F2256" s="1379"/>
      <c r="G2256" s="1379"/>
      <c r="H2256" s="1379"/>
      <c r="I2256" s="1380"/>
      <c r="J2256" s="1338" t="s">
        <v>296</v>
      </c>
      <c r="K2256" s="1338" t="s">
        <v>479</v>
      </c>
      <c r="L2256" s="1338"/>
      <c r="M2256" s="1338"/>
      <c r="N2256" s="1338"/>
      <c r="O2256" s="1338"/>
      <c r="P2256" s="1416" t="s">
        <v>296</v>
      </c>
      <c r="Q2256" s="1338" t="s">
        <v>1115</v>
      </c>
      <c r="R2256" s="1336" t="s">
        <v>296</v>
      </c>
      <c r="S2256" s="1338" t="s">
        <v>486</v>
      </c>
      <c r="T2256" s="1338" t="s">
        <v>487</v>
      </c>
      <c r="U2256" s="1340" t="s">
        <v>488</v>
      </c>
      <c r="V2256" s="291">
        <f t="shared" ref="V2256:V2288" ca="1" si="719">IF(OFFSET(V2256,1,1)=1,OFFSET(V2256,0,-4),OFFSET(V2256,1,0))</f>
        <v>33</v>
      </c>
      <c r="W2256" s="256">
        <f t="shared" ca="1" si="707"/>
        <v>2</v>
      </c>
      <c r="X2256" s="256">
        <f t="shared" ca="1" si="701"/>
        <v>1</v>
      </c>
      <c r="Y2256" s="256"/>
      <c r="Z2256" s="256"/>
      <c r="AA2256" s="292"/>
      <c r="AB2256" s="292"/>
      <c r="AC2256" s="292"/>
    </row>
    <row r="2257" spans="1:26" s="337" customFormat="1" ht="15.75" x14ac:dyDescent="0.2">
      <c r="A2257" s="288"/>
      <c r="B2257" s="1375" t="e">
        <f>LEFT(#REF!,5)</f>
        <v>#REF!</v>
      </c>
      <c r="C2257" s="1377" t="e">
        <f>VLOOKUP(LEFT(#REF!,5),'11 - FINANCEIRO'!_xlnm.Print_Area,2,FALSE)</f>
        <v>#REF!</v>
      </c>
      <c r="D2257" s="1342" t="s">
        <v>489</v>
      </c>
      <c r="E2257" s="1343"/>
      <c r="F2257" s="1344"/>
      <c r="G2257" s="1345" t="s">
        <v>490</v>
      </c>
      <c r="H2257" s="1346"/>
      <c r="I2257" s="1347"/>
      <c r="J2257" s="1339"/>
      <c r="K2257" s="1339"/>
      <c r="L2257" s="1339"/>
      <c r="M2257" s="1339"/>
      <c r="N2257" s="1339"/>
      <c r="O2257" s="1339"/>
      <c r="P2257" s="1417"/>
      <c r="Q2257" s="1339"/>
      <c r="R2257" s="1337"/>
      <c r="S2257" s="1339"/>
      <c r="T2257" s="1339"/>
      <c r="U2257" s="1341"/>
      <c r="V2257" s="291">
        <f t="shared" ca="1" si="719"/>
        <v>33</v>
      </c>
      <c r="W2257" s="256">
        <f t="shared" ca="1" si="707"/>
        <v>2</v>
      </c>
      <c r="X2257" s="256">
        <f t="shared" ca="1" si="701"/>
        <v>1</v>
      </c>
      <c r="Y2257" s="336"/>
      <c r="Z2257" s="336"/>
    </row>
    <row r="2258" spans="1:26" s="337" customFormat="1" ht="15.75" x14ac:dyDescent="0.2">
      <c r="A2258" s="288"/>
      <c r="B2258" s="296"/>
      <c r="C2258" s="297" t="s">
        <v>624</v>
      </c>
      <c r="D2258" s="583">
        <v>9</v>
      </c>
      <c r="E2258" s="584" t="s">
        <v>518</v>
      </c>
      <c r="F2258" s="585">
        <v>0</v>
      </c>
      <c r="G2258" s="586">
        <v>11</v>
      </c>
      <c r="H2258" s="587" t="s">
        <v>518</v>
      </c>
      <c r="I2258" s="588">
        <v>1.7</v>
      </c>
      <c r="J2258" s="747"/>
      <c r="K2258" s="590">
        <f t="shared" ref="K2258:K2263" si="720">ABS((G2258*20+I2258)-(D2258*20+F2258))</f>
        <v>41.699999999999989</v>
      </c>
      <c r="L2258" s="304"/>
      <c r="M2258" s="304"/>
      <c r="N2258" s="304"/>
      <c r="O2258" s="304"/>
      <c r="P2258" s="306"/>
      <c r="Q2258" s="304">
        <v>0</v>
      </c>
      <c r="R2258" s="307">
        <f>K2258</f>
        <v>41.699999999999989</v>
      </c>
      <c r="S2258" s="308" t="str">
        <f t="shared" ref="S2258:S2271" si="721">$L$2286</f>
        <v xml:space="preserve"> m</v>
      </c>
      <c r="T2258" s="309">
        <v>6</v>
      </c>
      <c r="U2258" s="310"/>
      <c r="V2258" s="291">
        <f t="shared" ca="1" si="719"/>
        <v>33</v>
      </c>
      <c r="W2258" s="256">
        <f t="shared" ca="1" si="707"/>
        <v>2</v>
      </c>
      <c r="X2258" s="256">
        <f t="shared" ca="1" si="701"/>
        <v>1</v>
      </c>
      <c r="Y2258" s="336"/>
      <c r="Z2258" s="336"/>
    </row>
    <row r="2259" spans="1:26" s="111" customFormat="1" ht="15.75" x14ac:dyDescent="0.2">
      <c r="A2259" s="288"/>
      <c r="B2259" s="311"/>
      <c r="C2259" s="312" t="s">
        <v>922</v>
      </c>
      <c r="D2259" s="417">
        <v>6</v>
      </c>
      <c r="E2259" s="314" t="s">
        <v>518</v>
      </c>
      <c r="F2259" s="418">
        <v>10</v>
      </c>
      <c r="G2259" s="419">
        <v>31</v>
      </c>
      <c r="H2259" s="316" t="s">
        <v>518</v>
      </c>
      <c r="I2259" s="420">
        <v>10</v>
      </c>
      <c r="J2259" s="433"/>
      <c r="K2259" s="433">
        <f t="shared" si="720"/>
        <v>500</v>
      </c>
      <c r="L2259" s="317"/>
      <c r="M2259" s="315"/>
      <c r="N2259" s="314"/>
      <c r="O2259" s="313"/>
      <c r="P2259" s="318">
        <v>2</v>
      </c>
      <c r="Q2259" s="315">
        <v>3</v>
      </c>
      <c r="R2259" s="319">
        <f>K2259*P2259/Q2259</f>
        <v>333.33333333333331</v>
      </c>
      <c r="S2259" s="398" t="str">
        <f t="shared" si="721"/>
        <v xml:space="preserve"> m</v>
      </c>
      <c r="T2259" s="320">
        <v>19</v>
      </c>
      <c r="U2259" s="321"/>
      <c r="V2259" s="817">
        <f t="shared" ca="1" si="719"/>
        <v>33</v>
      </c>
      <c r="W2259" s="250">
        <f t="shared" ca="1" si="707"/>
        <v>2</v>
      </c>
      <c r="X2259" s="250">
        <f ca="1">IF(COUNTA(OFFSET(A2258,1,0))-COUNTA(A2258)=-1,0,1)</f>
        <v>1</v>
      </c>
      <c r="Y2259" s="250"/>
      <c r="Z2259" s="250"/>
    </row>
    <row r="2260" spans="1:26" s="111" customFormat="1" ht="15.75" x14ac:dyDescent="0.2">
      <c r="A2260" s="288"/>
      <c r="B2260" s="311"/>
      <c r="C2260" s="312" t="s">
        <v>923</v>
      </c>
      <c r="D2260" s="417">
        <v>100</v>
      </c>
      <c r="E2260" s="314" t="s">
        <v>518</v>
      </c>
      <c r="F2260" s="418">
        <v>0</v>
      </c>
      <c r="G2260" s="419">
        <v>80</v>
      </c>
      <c r="H2260" s="316" t="s">
        <v>518</v>
      </c>
      <c r="I2260" s="420">
        <v>8</v>
      </c>
      <c r="J2260" s="433"/>
      <c r="K2260" s="433">
        <f t="shared" si="720"/>
        <v>392</v>
      </c>
      <c r="L2260" s="317"/>
      <c r="M2260" s="315"/>
      <c r="N2260" s="314"/>
      <c r="O2260" s="313"/>
      <c r="P2260" s="318">
        <v>2</v>
      </c>
      <c r="Q2260" s="315">
        <v>5</v>
      </c>
      <c r="R2260" s="319">
        <f>K2260*P2260/Q2260</f>
        <v>156.80000000000001</v>
      </c>
      <c r="S2260" s="398" t="str">
        <f t="shared" si="721"/>
        <v xml:space="preserve"> m</v>
      </c>
      <c r="T2260" s="320">
        <v>28</v>
      </c>
      <c r="U2260" s="321"/>
      <c r="V2260" s="817">
        <f t="shared" ca="1" si="719"/>
        <v>33</v>
      </c>
      <c r="W2260" s="250">
        <f t="shared" ca="1" si="707"/>
        <v>2</v>
      </c>
      <c r="X2260" s="250">
        <f ca="1">IF(COUNTA(OFFSET(A2258,1,0))-COUNTA(A2258)=-1,0,1)</f>
        <v>1</v>
      </c>
      <c r="Y2260" s="250"/>
      <c r="Z2260" s="250"/>
    </row>
    <row r="2261" spans="1:26" s="111" customFormat="1" ht="15.75" x14ac:dyDescent="0.2">
      <c r="A2261" s="288"/>
      <c r="B2261" s="311"/>
      <c r="C2261" s="312" t="s">
        <v>923</v>
      </c>
      <c r="D2261" s="417">
        <v>71</v>
      </c>
      <c r="E2261" s="314" t="s">
        <v>518</v>
      </c>
      <c r="F2261" s="418">
        <v>0</v>
      </c>
      <c r="G2261" s="419">
        <v>80</v>
      </c>
      <c r="H2261" s="316" t="s">
        <v>518</v>
      </c>
      <c r="I2261" s="420">
        <v>8</v>
      </c>
      <c r="J2261" s="433"/>
      <c r="K2261" s="433">
        <f t="shared" si="720"/>
        <v>188</v>
      </c>
      <c r="L2261" s="317"/>
      <c r="M2261" s="315"/>
      <c r="N2261" s="314"/>
      <c r="O2261" s="313"/>
      <c r="P2261" s="318">
        <v>2</v>
      </c>
      <c r="Q2261" s="315">
        <v>5</v>
      </c>
      <c r="R2261" s="319">
        <f>K2261*P2261/Q2261</f>
        <v>75.2</v>
      </c>
      <c r="S2261" s="398" t="str">
        <f t="shared" si="721"/>
        <v xml:space="preserve"> m</v>
      </c>
      <c r="T2261" s="320">
        <v>31</v>
      </c>
      <c r="U2261" s="321"/>
      <c r="V2261" s="817">
        <f t="shared" ca="1" si="719"/>
        <v>33</v>
      </c>
      <c r="W2261" s="250">
        <f t="shared" ca="1" si="707"/>
        <v>2</v>
      </c>
      <c r="X2261" s="250">
        <f ca="1">IF(COUNTA(OFFSET(A2259,1,0))-COUNTA(A2259)=-1,0,1)</f>
        <v>1</v>
      </c>
      <c r="Y2261" s="250"/>
      <c r="Z2261" s="250"/>
    </row>
    <row r="2262" spans="1:26" s="111" customFormat="1" ht="15.75" x14ac:dyDescent="0.2">
      <c r="A2262" s="288"/>
      <c r="B2262" s="311"/>
      <c r="C2262" s="312" t="s">
        <v>923</v>
      </c>
      <c r="D2262" s="417">
        <v>69</v>
      </c>
      <c r="E2262" s="314" t="s">
        <v>518</v>
      </c>
      <c r="F2262" s="418">
        <v>10</v>
      </c>
      <c r="G2262" s="419">
        <v>71</v>
      </c>
      <c r="H2262" s="316" t="s">
        <v>518</v>
      </c>
      <c r="I2262" s="420">
        <v>0</v>
      </c>
      <c r="J2262" s="433"/>
      <c r="K2262" s="433">
        <f t="shared" si="720"/>
        <v>30</v>
      </c>
      <c r="L2262" s="317"/>
      <c r="M2262" s="315"/>
      <c r="N2262" s="314"/>
      <c r="O2262" s="313"/>
      <c r="P2262" s="318">
        <v>2</v>
      </c>
      <c r="Q2262" s="315">
        <v>5</v>
      </c>
      <c r="R2262" s="319">
        <f>K2262*P2262/Q2262</f>
        <v>12</v>
      </c>
      <c r="S2262" s="398" t="str">
        <f t="shared" si="721"/>
        <v xml:space="preserve"> m</v>
      </c>
      <c r="T2262" s="320">
        <v>32</v>
      </c>
      <c r="U2262" s="321"/>
      <c r="V2262" s="817">
        <f t="shared" ca="1" si="719"/>
        <v>33</v>
      </c>
      <c r="W2262" s="250">
        <f t="shared" ref="W2262:W2264" ca="1" si="722">IF(LEFT(_xlfn.FORMULATEXT(V2262),3)="=SO",1,IF(COUNTA(A2262:U2262)=0,0,2))</f>
        <v>2</v>
      </c>
      <c r="X2262" s="250">
        <f ca="1">IF(COUNTA(OFFSET(A2259,1,0))-COUNTA(A2259)=-1,0,1)</f>
        <v>1</v>
      </c>
      <c r="Y2262" s="250"/>
      <c r="Z2262" s="250"/>
    </row>
    <row r="2263" spans="1:26" s="111" customFormat="1" ht="15.75" x14ac:dyDescent="0.2">
      <c r="A2263" s="288"/>
      <c r="B2263" s="311"/>
      <c r="C2263" s="312" t="s">
        <v>923</v>
      </c>
      <c r="D2263" s="417">
        <v>67</v>
      </c>
      <c r="E2263" s="314" t="s">
        <v>518</v>
      </c>
      <c r="F2263" s="418">
        <v>0</v>
      </c>
      <c r="G2263" s="417">
        <v>69</v>
      </c>
      <c r="H2263" s="314" t="s">
        <v>518</v>
      </c>
      <c r="I2263" s="418">
        <v>10</v>
      </c>
      <c r="J2263" s="433"/>
      <c r="K2263" s="433">
        <f t="shared" si="720"/>
        <v>50</v>
      </c>
      <c r="L2263" s="317"/>
      <c r="M2263" s="315"/>
      <c r="N2263" s="314"/>
      <c r="O2263" s="313"/>
      <c r="P2263" s="318">
        <v>2</v>
      </c>
      <c r="Q2263" s="315">
        <v>5</v>
      </c>
      <c r="R2263" s="319">
        <f>K2263*P2263/Q2263</f>
        <v>20</v>
      </c>
      <c r="S2263" s="398" t="str">
        <f t="shared" si="721"/>
        <v xml:space="preserve"> m</v>
      </c>
      <c r="T2263" s="320">
        <v>33</v>
      </c>
      <c r="U2263" s="321"/>
      <c r="V2263" s="291">
        <f t="shared" ca="1" si="719"/>
        <v>33</v>
      </c>
      <c r="W2263" s="256">
        <f t="shared" ca="1" si="722"/>
        <v>2</v>
      </c>
      <c r="X2263" s="256">
        <f t="shared" ref="X2263:X2264" ca="1" si="723">IF(COUNTA(OFFSET(A2258,1,0))-COUNTA(A2258)=-1,0,1)</f>
        <v>1</v>
      </c>
      <c r="Y2263" s="250"/>
      <c r="Z2263" s="250"/>
    </row>
    <row r="2264" spans="1:26" s="111" customFormat="1" ht="15" x14ac:dyDescent="0.2">
      <c r="A2264" s="288"/>
      <c r="B2264" s="322"/>
      <c r="C2264" s="382" t="s">
        <v>1103</v>
      </c>
      <c r="D2264" s="419">
        <v>79</v>
      </c>
      <c r="E2264" s="316" t="s">
        <v>518</v>
      </c>
      <c r="F2264" s="420">
        <v>16</v>
      </c>
      <c r="G2264" s="419">
        <v>69</v>
      </c>
      <c r="H2264" s="316" t="s">
        <v>518</v>
      </c>
      <c r="I2264" s="420">
        <v>9</v>
      </c>
      <c r="J2264" s="317"/>
      <c r="K2264" s="433">
        <v>207</v>
      </c>
      <c r="L2264" s="328"/>
      <c r="M2264" s="328"/>
      <c r="N2264" s="328"/>
      <c r="O2264" s="334"/>
      <c r="P2264" s="318">
        <v>1</v>
      </c>
      <c r="Q2264" s="315">
        <v>1</v>
      </c>
      <c r="R2264" s="319">
        <f>P2264*K2264</f>
        <v>207</v>
      </c>
      <c r="S2264" s="398" t="str">
        <f t="shared" si="721"/>
        <v xml:space="preserve"> m</v>
      </c>
      <c r="T2264" s="320">
        <v>33</v>
      </c>
      <c r="U2264" s="335"/>
      <c r="V2264" s="291">
        <f t="shared" ca="1" si="719"/>
        <v>33</v>
      </c>
      <c r="W2264" s="256">
        <f t="shared" ca="1" si="722"/>
        <v>2</v>
      </c>
      <c r="X2264" s="256">
        <f t="shared" ca="1" si="723"/>
        <v>1</v>
      </c>
      <c r="Y2264" s="250"/>
      <c r="Z2264" s="250"/>
    </row>
    <row r="2265" spans="1:26" s="111" customFormat="1" ht="15" x14ac:dyDescent="0.2">
      <c r="A2265" s="288"/>
      <c r="B2265" s="494"/>
      <c r="C2265" s="963" t="s">
        <v>923</v>
      </c>
      <c r="D2265" s="1092">
        <v>65</v>
      </c>
      <c r="E2265" s="964" t="s">
        <v>518</v>
      </c>
      <c r="F2265" s="970">
        <v>0</v>
      </c>
      <c r="G2265" s="1092">
        <v>67</v>
      </c>
      <c r="H2265" s="964" t="s">
        <v>518</v>
      </c>
      <c r="I2265" s="970">
        <v>0</v>
      </c>
      <c r="J2265" s="1093"/>
      <c r="K2265" s="1093">
        <f t="shared" ref="K2265" si="724">ABS((G2265*20+I2265)-(D2265*20+F2265))</f>
        <v>40</v>
      </c>
      <c r="L2265" s="949"/>
      <c r="M2265" s="947"/>
      <c r="N2265" s="964"/>
      <c r="O2265" s="945"/>
      <c r="P2265" s="946">
        <v>2</v>
      </c>
      <c r="Q2265" s="947">
        <v>5</v>
      </c>
      <c r="R2265" s="948">
        <f>K2265*P2265/Q2265</f>
        <v>16</v>
      </c>
      <c r="S2265" s="1094" t="str">
        <f t="shared" si="721"/>
        <v xml:space="preserve"> m</v>
      </c>
      <c r="T2265" s="950">
        <v>33</v>
      </c>
      <c r="U2265" s="574"/>
      <c r="V2265" s="291">
        <f t="shared" ca="1" si="719"/>
        <v>33</v>
      </c>
      <c r="W2265" s="256">
        <f t="shared" ref="W2265:W2268" ca="1" si="725">IF(LEFT(_xlfn.FORMULATEXT(V2265),3)="=SO",1,IF(COUNTA(A2265:U2265)=0,0,2))</f>
        <v>2</v>
      </c>
      <c r="X2265" s="256">
        <f t="shared" ref="X2265:X2268" ca="1" si="726">IF(COUNTA(OFFSET(A2260,1,0))-COUNTA(A2260)=-1,0,1)</f>
        <v>1</v>
      </c>
      <c r="Y2265" s="250"/>
      <c r="Z2265" s="250"/>
    </row>
    <row r="2266" spans="1:26" s="111" customFormat="1" ht="15" x14ac:dyDescent="0.2">
      <c r="A2266" s="288"/>
      <c r="B2266" s="494"/>
      <c r="C2266" s="312" t="s">
        <v>923</v>
      </c>
      <c r="D2266" s="417">
        <v>60</v>
      </c>
      <c r="E2266" s="314" t="s">
        <v>518</v>
      </c>
      <c r="F2266" s="418">
        <v>0</v>
      </c>
      <c r="G2266" s="417">
        <v>65</v>
      </c>
      <c r="H2266" s="314" t="s">
        <v>518</v>
      </c>
      <c r="I2266" s="418">
        <v>0</v>
      </c>
      <c r="J2266" s="433"/>
      <c r="K2266" s="433">
        <f t="shared" ref="K2266" si="727">ABS((G2266*20+I2266)-(D2266*20+F2266))</f>
        <v>100</v>
      </c>
      <c r="L2266" s="317"/>
      <c r="M2266" s="315"/>
      <c r="N2266" s="314"/>
      <c r="O2266" s="313"/>
      <c r="P2266" s="318">
        <v>2</v>
      </c>
      <c r="Q2266" s="315">
        <v>5</v>
      </c>
      <c r="R2266" s="319">
        <f>K2266*P2266/Q2266</f>
        <v>40</v>
      </c>
      <c r="S2266" s="398" t="str">
        <f t="shared" si="721"/>
        <v xml:space="preserve"> m</v>
      </c>
      <c r="T2266" s="320">
        <v>35</v>
      </c>
      <c r="U2266" s="574"/>
      <c r="V2266" s="291">
        <f t="shared" ca="1" si="719"/>
        <v>33</v>
      </c>
      <c r="W2266" s="256">
        <f t="shared" ca="1" si="725"/>
        <v>2</v>
      </c>
      <c r="X2266" s="256">
        <f t="shared" ca="1" si="726"/>
        <v>1</v>
      </c>
      <c r="Y2266" s="250"/>
      <c r="Z2266" s="250"/>
    </row>
    <row r="2267" spans="1:26" s="111" customFormat="1" ht="15" x14ac:dyDescent="0.2">
      <c r="A2267" s="288"/>
      <c r="B2267" s="494"/>
      <c r="C2267" s="312" t="s">
        <v>923</v>
      </c>
      <c r="D2267" s="496">
        <v>60</v>
      </c>
      <c r="E2267" s="497" t="s">
        <v>518</v>
      </c>
      <c r="F2267" s="498">
        <v>0</v>
      </c>
      <c r="G2267" s="496">
        <v>62</v>
      </c>
      <c r="H2267" s="497" t="s">
        <v>518</v>
      </c>
      <c r="I2267" s="498">
        <v>5</v>
      </c>
      <c r="J2267" s="508"/>
      <c r="K2267" s="500">
        <f>ABS((G2267*20+I2267)-(D2267*20+F2267))</f>
        <v>45</v>
      </c>
      <c r="L2267" s="501"/>
      <c r="M2267" s="760"/>
      <c r="N2267" s="761"/>
      <c r="O2267" s="505"/>
      <c r="P2267" s="565">
        <v>1</v>
      </c>
      <c r="Q2267" s="315">
        <v>5</v>
      </c>
      <c r="R2267" s="319">
        <f t="shared" ref="R2267:R2275" si="728">K2267*P2267/Q2267</f>
        <v>9</v>
      </c>
      <c r="S2267" s="398" t="str">
        <f t="shared" si="721"/>
        <v xml:space="preserve"> m</v>
      </c>
      <c r="T2267" s="506">
        <v>36</v>
      </c>
      <c r="U2267" s="574" t="s">
        <v>1224</v>
      </c>
      <c r="V2267" s="291">
        <f t="shared" ca="1" si="719"/>
        <v>33</v>
      </c>
      <c r="W2267" s="256">
        <f t="shared" ca="1" si="725"/>
        <v>2</v>
      </c>
      <c r="X2267" s="256">
        <f t="shared" ca="1" si="726"/>
        <v>1</v>
      </c>
      <c r="Y2267" s="250"/>
      <c r="Z2267" s="250"/>
    </row>
    <row r="2268" spans="1:26" s="111" customFormat="1" ht="15" x14ac:dyDescent="0.2">
      <c r="A2268" s="288"/>
      <c r="B2268" s="494"/>
      <c r="C2268" s="312" t="s">
        <v>923</v>
      </c>
      <c r="D2268" s="496">
        <v>56</v>
      </c>
      <c r="E2268" s="314" t="s">
        <v>518</v>
      </c>
      <c r="F2268" s="498">
        <v>10</v>
      </c>
      <c r="G2268" s="496">
        <v>60</v>
      </c>
      <c r="H2268" s="497" t="s">
        <v>518</v>
      </c>
      <c r="I2268" s="498">
        <v>0</v>
      </c>
      <c r="J2268" s="508"/>
      <c r="K2268" s="500">
        <f>ABS((G2268*20+I2268)-(D2268*20+F2268))</f>
        <v>70</v>
      </c>
      <c r="L2268" s="501"/>
      <c r="M2268" s="760"/>
      <c r="N2268" s="761"/>
      <c r="O2268" s="505"/>
      <c r="P2268" s="565">
        <v>1</v>
      </c>
      <c r="Q2268" s="315">
        <v>5</v>
      </c>
      <c r="R2268" s="319">
        <f t="shared" si="728"/>
        <v>14</v>
      </c>
      <c r="S2268" s="398" t="str">
        <f t="shared" si="721"/>
        <v xml:space="preserve"> m</v>
      </c>
      <c r="T2268" s="506">
        <v>37</v>
      </c>
      <c r="U2268" s="574" t="s">
        <v>1224</v>
      </c>
      <c r="V2268" s="291">
        <f t="shared" ca="1" si="719"/>
        <v>33</v>
      </c>
      <c r="W2268" s="256">
        <f t="shared" ca="1" si="725"/>
        <v>2</v>
      </c>
      <c r="X2268" s="256">
        <f t="shared" ca="1" si="726"/>
        <v>1</v>
      </c>
      <c r="Y2268" s="250"/>
      <c r="Z2268" s="250"/>
    </row>
    <row r="2269" spans="1:26" s="111" customFormat="1" ht="15" x14ac:dyDescent="0.2">
      <c r="A2269" s="288"/>
      <c r="B2269" s="494"/>
      <c r="C2269" s="312" t="s">
        <v>923</v>
      </c>
      <c r="D2269" s="496">
        <v>51</v>
      </c>
      <c r="E2269" s="316" t="s">
        <v>518</v>
      </c>
      <c r="F2269" s="498">
        <v>8</v>
      </c>
      <c r="G2269" s="496">
        <v>55</v>
      </c>
      <c r="H2269" s="316" t="s">
        <v>518</v>
      </c>
      <c r="I2269" s="498">
        <v>10</v>
      </c>
      <c r="J2269" s="508"/>
      <c r="K2269" s="500">
        <f t="shared" ref="K2269:K2270" si="729">ABS((G2269*20+I2269)-(D2269*20+F2269))</f>
        <v>82</v>
      </c>
      <c r="L2269" s="501"/>
      <c r="M2269" s="760"/>
      <c r="N2269" s="761"/>
      <c r="O2269" s="505"/>
      <c r="P2269" s="565">
        <v>1</v>
      </c>
      <c r="Q2269" s="315">
        <v>5</v>
      </c>
      <c r="R2269" s="319">
        <f t="shared" si="728"/>
        <v>16.399999999999999</v>
      </c>
      <c r="S2269" s="398" t="str">
        <f t="shared" si="721"/>
        <v xml:space="preserve"> m</v>
      </c>
      <c r="T2269" s="506">
        <v>39</v>
      </c>
      <c r="U2269" s="574"/>
      <c r="V2269" s="291">
        <f t="shared" ca="1" si="719"/>
        <v>33</v>
      </c>
      <c r="W2269" s="256">
        <f t="shared" ref="W2269:W2270" ca="1" si="730">IF(LEFT(_xlfn.FORMULATEXT(V2269),3)="=SO",1,IF(COUNTA(A2269:U2269)=0,0,2))</f>
        <v>2</v>
      </c>
      <c r="X2269" s="256">
        <f t="shared" ref="X2269:X2270" ca="1" si="731">IF(COUNTA(OFFSET(A2264,1,0))-COUNTA(A2264)=-1,0,1)</f>
        <v>1</v>
      </c>
      <c r="Y2269" s="250"/>
      <c r="Z2269" s="250"/>
    </row>
    <row r="2270" spans="1:26" s="111" customFormat="1" ht="15" x14ac:dyDescent="0.2">
      <c r="A2270" s="288"/>
      <c r="B2270" s="494"/>
      <c r="C2270" s="312" t="s">
        <v>922</v>
      </c>
      <c r="D2270" s="417">
        <v>4</v>
      </c>
      <c r="E2270" s="314" t="s">
        <v>518</v>
      </c>
      <c r="F2270" s="418">
        <v>0</v>
      </c>
      <c r="G2270" s="417">
        <v>4</v>
      </c>
      <c r="H2270" s="314" t="s">
        <v>518</v>
      </c>
      <c r="I2270" s="418">
        <v>10</v>
      </c>
      <c r="J2270" s="433"/>
      <c r="K2270" s="433">
        <f t="shared" si="729"/>
        <v>10</v>
      </c>
      <c r="L2270" s="317"/>
      <c r="M2270" s="315"/>
      <c r="N2270" s="314"/>
      <c r="O2270" s="313"/>
      <c r="P2270" s="318">
        <v>1</v>
      </c>
      <c r="Q2270" s="315">
        <v>5</v>
      </c>
      <c r="R2270" s="319">
        <f t="shared" si="728"/>
        <v>2</v>
      </c>
      <c r="S2270" s="398" t="str">
        <f t="shared" si="721"/>
        <v xml:space="preserve"> m</v>
      </c>
      <c r="T2270" s="320">
        <v>39</v>
      </c>
      <c r="U2270" s="574"/>
      <c r="V2270" s="291">
        <f t="shared" ca="1" si="719"/>
        <v>33</v>
      </c>
      <c r="W2270" s="256">
        <f t="shared" ca="1" si="730"/>
        <v>2</v>
      </c>
      <c r="X2270" s="256">
        <f t="shared" ca="1" si="731"/>
        <v>1</v>
      </c>
      <c r="Y2270" s="250"/>
      <c r="Z2270" s="250"/>
    </row>
    <row r="2271" spans="1:26" s="111" customFormat="1" ht="15" x14ac:dyDescent="0.2">
      <c r="A2271" s="288"/>
      <c r="B2271" s="494"/>
      <c r="C2271" s="312" t="s">
        <v>923</v>
      </c>
      <c r="D2271" s="496">
        <v>55</v>
      </c>
      <c r="E2271" s="316" t="s">
        <v>518</v>
      </c>
      <c r="F2271" s="498">
        <v>10</v>
      </c>
      <c r="G2271" s="496">
        <v>56</v>
      </c>
      <c r="H2271" s="316" t="s">
        <v>518</v>
      </c>
      <c r="I2271" s="498">
        <v>10</v>
      </c>
      <c r="J2271" s="508"/>
      <c r="K2271" s="500">
        <f>ABS((G2271*20+I2271)-(D2271*20+F2271))</f>
        <v>20</v>
      </c>
      <c r="L2271" s="501"/>
      <c r="M2271" s="760"/>
      <c r="N2271" s="761"/>
      <c r="O2271" s="505"/>
      <c r="P2271" s="565">
        <v>1</v>
      </c>
      <c r="Q2271" s="315">
        <v>5</v>
      </c>
      <c r="R2271" s="319">
        <f t="shared" si="728"/>
        <v>4</v>
      </c>
      <c r="S2271" s="398" t="str">
        <f t="shared" si="721"/>
        <v xml:space="preserve"> m</v>
      </c>
      <c r="T2271" s="506">
        <v>38</v>
      </c>
      <c r="U2271" s="574"/>
      <c r="V2271" s="291">
        <f t="shared" ca="1" si="719"/>
        <v>33</v>
      </c>
      <c r="W2271" s="256">
        <f t="shared" ref="W2271:W2288" ca="1" si="732">IF(LEFT(_xlfn.FORMULATEXT(V2271),3)="=SO",1,IF(COUNTA(A2271:U2271)=0,0,2))</f>
        <v>2</v>
      </c>
      <c r="X2271" s="256">
        <f t="shared" ref="X2271:X2279" ca="1" si="733">IF(COUNTA(OFFSET(A2266,1,0))-COUNTA(A2266)=-1,0,1)</f>
        <v>1</v>
      </c>
      <c r="Y2271" s="250"/>
      <c r="Z2271" s="250"/>
    </row>
    <row r="2272" spans="1:26" s="111" customFormat="1" ht="15" x14ac:dyDescent="0.2">
      <c r="A2272" s="288"/>
      <c r="B2272" s="494"/>
      <c r="C2272" s="312" t="s">
        <v>922</v>
      </c>
      <c r="D2272" s="417">
        <v>4</v>
      </c>
      <c r="E2272" s="314" t="s">
        <v>518</v>
      </c>
      <c r="F2272" s="418">
        <v>10</v>
      </c>
      <c r="G2272" s="417">
        <v>6</v>
      </c>
      <c r="H2272" s="314" t="s">
        <v>518</v>
      </c>
      <c r="I2272" s="418">
        <v>10</v>
      </c>
      <c r="J2272" s="433"/>
      <c r="K2272" s="433">
        <f>ABS((G2272*20+I2272)-(D2272*20+F2272))</f>
        <v>40</v>
      </c>
      <c r="L2272" s="317"/>
      <c r="M2272" s="315"/>
      <c r="N2272" s="314"/>
      <c r="O2272" s="313"/>
      <c r="P2272" s="565">
        <v>1</v>
      </c>
      <c r="Q2272" s="315">
        <v>5</v>
      </c>
      <c r="R2272" s="319">
        <f t="shared" si="728"/>
        <v>8</v>
      </c>
      <c r="S2272" s="398" t="str">
        <f t="shared" ref="S2272:S2280" si="734">$L$2286</f>
        <v xml:space="preserve"> m</v>
      </c>
      <c r="T2272" s="320">
        <v>38</v>
      </c>
      <c r="U2272" s="574"/>
      <c r="V2272" s="291">
        <f t="shared" ca="1" si="719"/>
        <v>33</v>
      </c>
      <c r="W2272" s="256">
        <f t="shared" ca="1" si="732"/>
        <v>2</v>
      </c>
      <c r="X2272" s="256">
        <f t="shared" ca="1" si="733"/>
        <v>1</v>
      </c>
      <c r="Y2272" s="250"/>
      <c r="Z2272" s="250"/>
    </row>
    <row r="2273" spans="1:29" s="111" customFormat="1" ht="15" x14ac:dyDescent="0.2">
      <c r="A2273" s="288"/>
      <c r="B2273" s="494"/>
      <c r="C2273" s="312" t="s">
        <v>923</v>
      </c>
      <c r="D2273" s="496">
        <v>49</v>
      </c>
      <c r="E2273" s="316" t="s">
        <v>518</v>
      </c>
      <c r="F2273" s="498">
        <v>13</v>
      </c>
      <c r="G2273" s="496">
        <v>51</v>
      </c>
      <c r="H2273" s="316" t="s">
        <v>518</v>
      </c>
      <c r="I2273" s="498">
        <v>8</v>
      </c>
      <c r="J2273" s="508"/>
      <c r="K2273" s="500">
        <f t="shared" ref="K2273:K2282" si="735">ABS((G2273*20+I2273)-(D2273*20+F2273))</f>
        <v>35</v>
      </c>
      <c r="L2273" s="501"/>
      <c r="M2273" s="760"/>
      <c r="N2273" s="761"/>
      <c r="O2273" s="505"/>
      <c r="P2273" s="565">
        <v>1</v>
      </c>
      <c r="Q2273" s="315">
        <v>5</v>
      </c>
      <c r="R2273" s="319">
        <f t="shared" si="728"/>
        <v>7</v>
      </c>
      <c r="S2273" s="398" t="str">
        <f t="shared" si="734"/>
        <v xml:space="preserve"> m</v>
      </c>
      <c r="T2273" s="506">
        <v>40</v>
      </c>
      <c r="U2273" s="574"/>
      <c r="V2273" s="291">
        <f t="shared" ca="1" si="719"/>
        <v>33</v>
      </c>
      <c r="W2273" s="256">
        <f t="shared" ca="1" si="732"/>
        <v>2</v>
      </c>
      <c r="X2273" s="256">
        <f t="shared" ca="1" si="733"/>
        <v>1</v>
      </c>
      <c r="Y2273" s="250"/>
      <c r="Z2273" s="250"/>
    </row>
    <row r="2274" spans="1:29" s="111" customFormat="1" ht="15" x14ac:dyDescent="0.2">
      <c r="A2274" s="288"/>
      <c r="B2274" s="494"/>
      <c r="C2274" s="312" t="s">
        <v>923</v>
      </c>
      <c r="D2274" s="417">
        <v>3</v>
      </c>
      <c r="E2274" s="314" t="s">
        <v>518</v>
      </c>
      <c r="F2274" s="418">
        <v>4</v>
      </c>
      <c r="G2274" s="417">
        <v>4</v>
      </c>
      <c r="H2274" s="314" t="s">
        <v>518</v>
      </c>
      <c r="I2274" s="418">
        <v>0</v>
      </c>
      <c r="J2274" s="433"/>
      <c r="K2274" s="433">
        <f t="shared" si="735"/>
        <v>16</v>
      </c>
      <c r="L2274" s="501"/>
      <c r="M2274" s="760"/>
      <c r="N2274" s="761"/>
      <c r="O2274" s="505"/>
      <c r="P2274" s="565">
        <v>1</v>
      </c>
      <c r="Q2274" s="315">
        <v>5</v>
      </c>
      <c r="R2274" s="319">
        <f t="shared" si="728"/>
        <v>3.2</v>
      </c>
      <c r="S2274" s="398" t="str">
        <f t="shared" si="734"/>
        <v xml:space="preserve"> m</v>
      </c>
      <c r="T2274" s="506">
        <v>40</v>
      </c>
      <c r="U2274" s="574"/>
      <c r="V2274" s="291">
        <f t="shared" ca="1" si="719"/>
        <v>33</v>
      </c>
      <c r="W2274" s="256">
        <f t="shared" ca="1" si="732"/>
        <v>2</v>
      </c>
      <c r="X2274" s="256">
        <f t="shared" ca="1" si="733"/>
        <v>1</v>
      </c>
      <c r="Y2274" s="250"/>
      <c r="Z2274" s="250"/>
    </row>
    <row r="2275" spans="1:29" s="111" customFormat="1" ht="15" x14ac:dyDescent="0.2">
      <c r="A2275" s="288"/>
      <c r="B2275" s="494"/>
      <c r="C2275" s="312" t="s">
        <v>923</v>
      </c>
      <c r="D2275" s="496">
        <v>48</v>
      </c>
      <c r="E2275" s="316" t="s">
        <v>518</v>
      </c>
      <c r="F2275" s="498">
        <v>8</v>
      </c>
      <c r="G2275" s="496">
        <v>49</v>
      </c>
      <c r="H2275" s="316" t="s">
        <v>518</v>
      </c>
      <c r="I2275" s="498">
        <v>13</v>
      </c>
      <c r="J2275" s="508"/>
      <c r="K2275" s="500">
        <f t="shared" si="735"/>
        <v>25</v>
      </c>
      <c r="L2275" s="501"/>
      <c r="M2275" s="760"/>
      <c r="N2275" s="761"/>
      <c r="O2275" s="505"/>
      <c r="P2275" s="565">
        <v>1</v>
      </c>
      <c r="Q2275" s="315">
        <v>5</v>
      </c>
      <c r="R2275" s="319">
        <f t="shared" si="728"/>
        <v>5</v>
      </c>
      <c r="S2275" s="398" t="str">
        <f t="shared" si="734"/>
        <v xml:space="preserve"> m</v>
      </c>
      <c r="T2275" s="506">
        <v>41</v>
      </c>
      <c r="U2275" s="574"/>
      <c r="V2275" s="291">
        <f t="shared" ca="1" si="719"/>
        <v>33</v>
      </c>
      <c r="W2275" s="256">
        <f t="shared" ca="1" si="732"/>
        <v>2</v>
      </c>
      <c r="X2275" s="256">
        <f t="shared" ca="1" si="733"/>
        <v>1</v>
      </c>
      <c r="Y2275" s="250"/>
      <c r="Z2275" s="250"/>
    </row>
    <row r="2276" spans="1:29" s="111" customFormat="1" ht="15" x14ac:dyDescent="0.2">
      <c r="A2276" s="288"/>
      <c r="B2276" s="494"/>
      <c r="C2276" s="312" t="s">
        <v>922</v>
      </c>
      <c r="D2276" s="417">
        <v>2</v>
      </c>
      <c r="E2276" s="314" t="s">
        <v>518</v>
      </c>
      <c r="F2276" s="418">
        <v>6</v>
      </c>
      <c r="G2276" s="417">
        <v>3</v>
      </c>
      <c r="H2276" s="314" t="s">
        <v>518</v>
      </c>
      <c r="I2276" s="418">
        <v>4</v>
      </c>
      <c r="J2276" s="433"/>
      <c r="K2276" s="433">
        <f t="shared" si="735"/>
        <v>18</v>
      </c>
      <c r="L2276" s="317"/>
      <c r="M2276" s="315"/>
      <c r="N2276" s="314"/>
      <c r="O2276" s="313"/>
      <c r="P2276" s="565">
        <v>1</v>
      </c>
      <c r="Q2276" s="315">
        <v>5</v>
      </c>
      <c r="R2276" s="319">
        <f>K2276*P2276/Q2276</f>
        <v>3.6</v>
      </c>
      <c r="S2276" s="398" t="str">
        <f t="shared" si="734"/>
        <v xml:space="preserve"> m</v>
      </c>
      <c r="T2276" s="320">
        <v>41</v>
      </c>
      <c r="U2276" s="574"/>
      <c r="V2276" s="291">
        <f t="shared" ca="1" si="719"/>
        <v>33</v>
      </c>
      <c r="W2276" s="256">
        <f t="shared" ca="1" si="732"/>
        <v>2</v>
      </c>
      <c r="X2276" s="256">
        <f t="shared" ca="1" si="733"/>
        <v>1</v>
      </c>
      <c r="Y2276" s="250"/>
      <c r="Z2276" s="250"/>
    </row>
    <row r="2277" spans="1:29" s="111" customFormat="1" ht="15" x14ac:dyDescent="0.2">
      <c r="A2277" s="288"/>
      <c r="B2277" s="494"/>
      <c r="C2277" s="312" t="s">
        <v>923</v>
      </c>
      <c r="D2277" s="496">
        <v>45</v>
      </c>
      <c r="E2277" s="316" t="s">
        <v>518</v>
      </c>
      <c r="F2277" s="498">
        <v>6</v>
      </c>
      <c r="G2277" s="496">
        <v>48</v>
      </c>
      <c r="H2277" s="316" t="s">
        <v>518</v>
      </c>
      <c r="I2277" s="498">
        <v>8</v>
      </c>
      <c r="J2277" s="508"/>
      <c r="K2277" s="500">
        <f t="shared" si="735"/>
        <v>62</v>
      </c>
      <c r="L2277" s="501"/>
      <c r="M2277" s="760"/>
      <c r="N2277" s="761"/>
      <c r="O2277" s="505"/>
      <c r="P2277" s="565">
        <v>1</v>
      </c>
      <c r="Q2277" s="315">
        <v>5</v>
      </c>
      <c r="R2277" s="319">
        <f t="shared" ref="R2277:R2282" si="736">K2277*P2277/Q2277</f>
        <v>12.4</v>
      </c>
      <c r="S2277" s="398" t="str">
        <f t="shared" si="734"/>
        <v xml:space="preserve"> m</v>
      </c>
      <c r="T2277" s="506">
        <v>42</v>
      </c>
      <c r="U2277" s="574"/>
      <c r="V2277" s="291">
        <f t="shared" ca="1" si="719"/>
        <v>33</v>
      </c>
      <c r="W2277" s="256">
        <f t="shared" ca="1" si="732"/>
        <v>2</v>
      </c>
      <c r="X2277" s="256">
        <f t="shared" ca="1" si="733"/>
        <v>1</v>
      </c>
      <c r="Y2277" s="250"/>
      <c r="Z2277" s="250"/>
    </row>
    <row r="2278" spans="1:29" s="111" customFormat="1" ht="15" x14ac:dyDescent="0.2">
      <c r="A2278" s="288"/>
      <c r="B2278" s="494"/>
      <c r="C2278" s="312" t="s">
        <v>922</v>
      </c>
      <c r="D2278" s="417">
        <v>2</v>
      </c>
      <c r="E2278" s="314" t="s">
        <v>518</v>
      </c>
      <c r="F2278" s="418">
        <v>0</v>
      </c>
      <c r="G2278" s="417">
        <v>2</v>
      </c>
      <c r="H2278" s="314" t="s">
        <v>518</v>
      </c>
      <c r="I2278" s="418">
        <v>6</v>
      </c>
      <c r="J2278" s="433"/>
      <c r="K2278" s="433">
        <f t="shared" si="735"/>
        <v>6</v>
      </c>
      <c r="L2278" s="317"/>
      <c r="M2278" s="315"/>
      <c r="N2278" s="314"/>
      <c r="O2278" s="313"/>
      <c r="P2278" s="318">
        <v>1</v>
      </c>
      <c r="Q2278" s="315">
        <v>5</v>
      </c>
      <c r="R2278" s="319">
        <f t="shared" si="736"/>
        <v>1.2</v>
      </c>
      <c r="S2278" s="398" t="str">
        <f t="shared" si="734"/>
        <v xml:space="preserve"> m</v>
      </c>
      <c r="T2278" s="320">
        <v>42</v>
      </c>
      <c r="U2278" s="574"/>
      <c r="V2278" s="291">
        <f t="shared" ca="1" si="719"/>
        <v>33</v>
      </c>
      <c r="W2278" s="256">
        <f t="shared" ca="1" si="732"/>
        <v>2</v>
      </c>
      <c r="X2278" s="256">
        <f t="shared" ca="1" si="733"/>
        <v>1</v>
      </c>
      <c r="Y2278" s="250"/>
      <c r="Z2278" s="250"/>
    </row>
    <row r="2279" spans="1:29" s="111" customFormat="1" ht="15" x14ac:dyDescent="0.2">
      <c r="A2279" s="288"/>
      <c r="B2279" s="494"/>
      <c r="C2279" s="312" t="s">
        <v>923</v>
      </c>
      <c r="D2279" s="496">
        <v>42</v>
      </c>
      <c r="E2279" s="316" t="s">
        <v>518</v>
      </c>
      <c r="F2279" s="498">
        <v>3</v>
      </c>
      <c r="G2279" s="496">
        <v>45</v>
      </c>
      <c r="H2279" s="316" t="s">
        <v>518</v>
      </c>
      <c r="I2279" s="498">
        <v>6</v>
      </c>
      <c r="J2279" s="508"/>
      <c r="K2279" s="500">
        <f t="shared" si="735"/>
        <v>63</v>
      </c>
      <c r="L2279" s="501"/>
      <c r="M2279" s="760"/>
      <c r="N2279" s="761"/>
      <c r="O2279" s="505"/>
      <c r="P2279" s="565">
        <v>1</v>
      </c>
      <c r="Q2279" s="315">
        <v>5</v>
      </c>
      <c r="R2279" s="319">
        <f t="shared" si="736"/>
        <v>12.6</v>
      </c>
      <c r="S2279" s="398" t="str">
        <f t="shared" si="734"/>
        <v xml:space="preserve"> m</v>
      </c>
      <c r="T2279" s="506">
        <v>43</v>
      </c>
      <c r="U2279" s="574"/>
      <c r="V2279" s="291">
        <f t="shared" ca="1" si="719"/>
        <v>33</v>
      </c>
      <c r="W2279" s="256">
        <f t="shared" ca="1" si="732"/>
        <v>2</v>
      </c>
      <c r="X2279" s="256">
        <f t="shared" ca="1" si="733"/>
        <v>1</v>
      </c>
      <c r="Y2279" s="250"/>
      <c r="Z2279" s="250"/>
    </row>
    <row r="2280" spans="1:29" s="111" customFormat="1" ht="15" x14ac:dyDescent="0.2">
      <c r="A2280" s="288"/>
      <c r="B2280" s="494"/>
      <c r="C2280" s="312" t="s">
        <v>923</v>
      </c>
      <c r="D2280" s="417">
        <v>1</v>
      </c>
      <c r="E2280" s="314" t="s">
        <v>518</v>
      </c>
      <c r="F2280" s="418">
        <v>8</v>
      </c>
      <c r="G2280" s="417">
        <v>2</v>
      </c>
      <c r="H2280" s="314" t="s">
        <v>518</v>
      </c>
      <c r="I2280" s="418">
        <v>0</v>
      </c>
      <c r="J2280" s="433"/>
      <c r="K2280" s="433">
        <f t="shared" si="735"/>
        <v>12</v>
      </c>
      <c r="L2280" s="501"/>
      <c r="M2280" s="760"/>
      <c r="N2280" s="761"/>
      <c r="O2280" s="505"/>
      <c r="P2280" s="565">
        <v>2</v>
      </c>
      <c r="Q2280" s="315">
        <v>5</v>
      </c>
      <c r="R2280" s="319">
        <f t="shared" si="736"/>
        <v>4.8</v>
      </c>
      <c r="S2280" s="398" t="str">
        <f t="shared" si="734"/>
        <v xml:space="preserve"> m</v>
      </c>
      <c r="T2280" s="506">
        <v>43</v>
      </c>
      <c r="U2280" s="574"/>
      <c r="V2280" s="291">
        <f t="shared" ca="1" si="719"/>
        <v>33</v>
      </c>
      <c r="W2280" s="256">
        <f t="shared" ref="W2280:W2286" ca="1" si="737">IF(LEFT(_xlfn.FORMULATEXT(V2280),3)="=SO",1,IF(COUNTA(A2280:U2280)=0,0,2))</f>
        <v>2</v>
      </c>
      <c r="X2280" s="256">
        <f t="shared" ref="X2280:X2286" ca="1" si="738">IF(COUNTA(OFFSET(A2275,1,0))-COUNTA(A2275)=-1,0,1)</f>
        <v>1</v>
      </c>
      <c r="Y2280" s="250"/>
      <c r="Z2280" s="250"/>
    </row>
    <row r="2281" spans="1:29" s="111" customFormat="1" ht="15" x14ac:dyDescent="0.2">
      <c r="A2281" s="288"/>
      <c r="B2281" s="494"/>
      <c r="C2281" s="312" t="s">
        <v>923</v>
      </c>
      <c r="D2281" s="496">
        <v>39</v>
      </c>
      <c r="E2281" s="316" t="s">
        <v>518</v>
      </c>
      <c r="F2281" s="498">
        <v>2</v>
      </c>
      <c r="G2281" s="496">
        <v>42</v>
      </c>
      <c r="H2281" s="316" t="s">
        <v>518</v>
      </c>
      <c r="I2281" s="498">
        <v>3</v>
      </c>
      <c r="J2281" s="508"/>
      <c r="K2281" s="500">
        <f t="shared" si="735"/>
        <v>61</v>
      </c>
      <c r="L2281" s="501"/>
      <c r="M2281" s="760"/>
      <c r="N2281" s="761"/>
      <c r="O2281" s="505"/>
      <c r="P2281" s="565">
        <v>1</v>
      </c>
      <c r="Q2281" s="315">
        <v>5</v>
      </c>
      <c r="R2281" s="319">
        <f t="shared" si="736"/>
        <v>12.2</v>
      </c>
      <c r="S2281" s="398" t="s">
        <v>409</v>
      </c>
      <c r="T2281" s="506">
        <v>44</v>
      </c>
      <c r="U2281" s="574"/>
      <c r="V2281" s="291">
        <f t="shared" ca="1" si="719"/>
        <v>33</v>
      </c>
      <c r="W2281" s="256">
        <f t="shared" ca="1" si="737"/>
        <v>2</v>
      </c>
      <c r="X2281" s="256">
        <f t="shared" ca="1" si="738"/>
        <v>1</v>
      </c>
      <c r="Y2281" s="250"/>
      <c r="Z2281" s="250"/>
    </row>
    <row r="2282" spans="1:29" s="111" customFormat="1" ht="15" x14ac:dyDescent="0.2">
      <c r="A2282" s="288"/>
      <c r="B2282" s="494"/>
      <c r="C2282" s="312" t="s">
        <v>923</v>
      </c>
      <c r="D2282" s="417">
        <v>0</v>
      </c>
      <c r="E2282" s="314" t="s">
        <v>518</v>
      </c>
      <c r="F2282" s="418">
        <v>4</v>
      </c>
      <c r="G2282" s="417">
        <v>2</v>
      </c>
      <c r="H2282" s="314" t="s">
        <v>518</v>
      </c>
      <c r="I2282" s="418">
        <v>16</v>
      </c>
      <c r="J2282" s="433"/>
      <c r="K2282" s="433">
        <f t="shared" si="735"/>
        <v>52</v>
      </c>
      <c r="L2282" s="501"/>
      <c r="M2282" s="760"/>
      <c r="N2282" s="761"/>
      <c r="O2282" s="505"/>
      <c r="P2282" s="565">
        <v>2</v>
      </c>
      <c r="Q2282" s="315">
        <v>5</v>
      </c>
      <c r="R2282" s="319">
        <f t="shared" si="736"/>
        <v>20.8</v>
      </c>
      <c r="S2282" s="398" t="s">
        <v>409</v>
      </c>
      <c r="T2282" s="506">
        <v>44</v>
      </c>
      <c r="U2282" s="574"/>
      <c r="V2282" s="291">
        <f t="shared" ca="1" si="719"/>
        <v>33</v>
      </c>
      <c r="W2282" s="256">
        <f t="shared" ca="1" si="737"/>
        <v>2</v>
      </c>
      <c r="X2282" s="256">
        <f t="shared" ca="1" si="738"/>
        <v>1</v>
      </c>
      <c r="Y2282" s="250"/>
      <c r="Z2282" s="250"/>
    </row>
    <row r="2283" spans="1:29" s="111" customFormat="1" ht="15" x14ac:dyDescent="0.2">
      <c r="A2283" s="288"/>
      <c r="B2283" s="494"/>
      <c r="C2283" s="495"/>
      <c r="D2283" s="551"/>
      <c r="E2283" s="552"/>
      <c r="F2283" s="553"/>
      <c r="G2283" s="551"/>
      <c r="H2283" s="552"/>
      <c r="I2283" s="553"/>
      <c r="J2283" s="508"/>
      <c r="K2283" s="500"/>
      <c r="L2283" s="1109"/>
      <c r="M2283" s="752"/>
      <c r="N2283" s="552"/>
      <c r="O2283" s="738"/>
      <c r="P2283" s="565"/>
      <c r="Q2283" s="752"/>
      <c r="R2283" s="558"/>
      <c r="S2283" s="554"/>
      <c r="T2283" s="506"/>
      <c r="U2283" s="574"/>
      <c r="V2283" s="291">
        <f t="shared" ca="1" si="719"/>
        <v>33</v>
      </c>
      <c r="W2283" s="256">
        <f t="shared" ca="1" si="737"/>
        <v>0</v>
      </c>
      <c r="X2283" s="256">
        <f t="shared" ca="1" si="738"/>
        <v>1</v>
      </c>
      <c r="Y2283" s="250"/>
      <c r="Z2283" s="250"/>
    </row>
    <row r="2284" spans="1:29" s="111" customFormat="1" ht="15" x14ac:dyDescent="0.2">
      <c r="A2284" s="288"/>
      <c r="B2284" s="494"/>
      <c r="C2284" s="495"/>
      <c r="D2284" s="551"/>
      <c r="E2284" s="552"/>
      <c r="F2284" s="553"/>
      <c r="G2284" s="551"/>
      <c r="H2284" s="552"/>
      <c r="I2284" s="553"/>
      <c r="J2284" s="508"/>
      <c r="K2284" s="500"/>
      <c r="L2284" s="1109"/>
      <c r="M2284" s="752"/>
      <c r="N2284" s="552"/>
      <c r="O2284" s="738"/>
      <c r="P2284" s="565"/>
      <c r="Q2284" s="752"/>
      <c r="R2284" s="558"/>
      <c r="S2284" s="554"/>
      <c r="T2284" s="506"/>
      <c r="U2284" s="574"/>
      <c r="V2284" s="291">
        <f t="shared" ca="1" si="719"/>
        <v>33</v>
      </c>
      <c r="W2284" s="256">
        <f t="shared" ca="1" si="737"/>
        <v>0</v>
      </c>
      <c r="X2284" s="256">
        <f t="shared" ca="1" si="738"/>
        <v>1</v>
      </c>
      <c r="Y2284" s="250"/>
      <c r="Z2284" s="250"/>
    </row>
    <row r="2285" spans="1:29" s="111" customFormat="1" ht="15" x14ac:dyDescent="0.2">
      <c r="A2285" s="288"/>
      <c r="B2285" s="338"/>
      <c r="C2285" s="339"/>
      <c r="D2285" s="340"/>
      <c r="E2285" s="341"/>
      <c r="F2285" s="342"/>
      <c r="G2285" s="340"/>
      <c r="H2285" s="341"/>
      <c r="I2285" s="342"/>
      <c r="J2285" s="343"/>
      <c r="K2285" s="344"/>
      <c r="L2285" s="345"/>
      <c r="M2285" s="346"/>
      <c r="N2285" s="347"/>
      <c r="O2285" s="348"/>
      <c r="P2285" s="345"/>
      <c r="Q2285" s="349"/>
      <c r="R2285" s="350"/>
      <c r="S2285" s="351"/>
      <c r="T2285" s="352"/>
      <c r="U2285" s="353"/>
      <c r="V2285" s="291">
        <f t="shared" ca="1" si="719"/>
        <v>33</v>
      </c>
      <c r="W2285" s="256">
        <f t="shared" ca="1" si="737"/>
        <v>0</v>
      </c>
      <c r="X2285" s="256">
        <f t="shared" ca="1" si="738"/>
        <v>1</v>
      </c>
      <c r="Y2285" s="250"/>
      <c r="Z2285" s="250"/>
    </row>
    <row r="2286" spans="1:29" s="111" customFormat="1" ht="15.75" customHeight="1" x14ac:dyDescent="0.2">
      <c r="A2286" s="288"/>
      <c r="B2286" s="354"/>
      <c r="C2286" s="355"/>
      <c r="D2286" s="1354" t="s">
        <v>492</v>
      </c>
      <c r="E2286" s="1355"/>
      <c r="F2286" s="1355"/>
      <c r="G2286" s="1355"/>
      <c r="H2286" s="1355"/>
      <c r="I2286" s="1356"/>
      <c r="J2286" s="1357">
        <f>VLOOKUP(A2288,'11 - FINANCEIRO'!_xlnm.Print_Area,6,FALSE)</f>
        <v>1072.79</v>
      </c>
      <c r="K2286" s="1358"/>
      <c r="L2286" s="356" t="str">
        <f>VLOOKUP(A2288,'11 - FINANCEIRO'!_xlnm.Print_Area,4,FALSE)</f>
        <v xml:space="preserve"> m</v>
      </c>
      <c r="M2286" s="1359" t="s">
        <v>493</v>
      </c>
      <c r="N2286" s="1360"/>
      <c r="O2286" s="1360"/>
      <c r="P2286" s="1360"/>
      <c r="Q2286" s="1361"/>
      <c r="R2286" s="357">
        <f>TRUNC(SUM(R2258:R2285),3)</f>
        <v>1038.2329999999999</v>
      </c>
      <c r="S2286" s="358" t="str">
        <f>L2286</f>
        <v xml:space="preserve"> m</v>
      </c>
      <c r="T2286" s="1384"/>
      <c r="U2286" s="1385"/>
      <c r="V2286" s="291">
        <f t="shared" ca="1" si="719"/>
        <v>33</v>
      </c>
      <c r="W2286" s="256">
        <f t="shared" ca="1" si="737"/>
        <v>2</v>
      </c>
      <c r="X2286" s="256">
        <f t="shared" ca="1" si="738"/>
        <v>1</v>
      </c>
      <c r="Y2286" s="250"/>
      <c r="Z2286" s="250"/>
    </row>
    <row r="2287" spans="1:29" s="293" customFormat="1" ht="15.75" customHeight="1" x14ac:dyDescent="0.2">
      <c r="A2287" s="288"/>
      <c r="B2287" s="354"/>
      <c r="C2287" s="361"/>
      <c r="D2287" s="1362" t="s">
        <v>494</v>
      </c>
      <c r="E2287" s="1363"/>
      <c r="F2287" s="1363"/>
      <c r="G2287" s="1363"/>
      <c r="H2287" s="1363"/>
      <c r="I2287" s="1364"/>
      <c r="J2287" s="1365">
        <f>IF(R2286&gt;J2286,1,R2286/J2286)</f>
        <v>0.96778773105640437</v>
      </c>
      <c r="K2287" s="1366"/>
      <c r="L2287" s="1369"/>
      <c r="M2287" s="1371" t="s">
        <v>495</v>
      </c>
      <c r="N2287" s="1372"/>
      <c r="O2287" s="1372"/>
      <c r="P2287" s="1372"/>
      <c r="Q2287" s="1373"/>
      <c r="R2287" s="362">
        <f>VLOOKUP(A2288,'11 - FINANCEIRO'!_xlnm.Print_Area,8,FALSE)</f>
        <v>1005.2329999999999</v>
      </c>
      <c r="S2287" s="363" t="str">
        <f>L2286</f>
        <v xml:space="preserve"> m</v>
      </c>
      <c r="T2287" s="1386"/>
      <c r="U2287" s="1387"/>
      <c r="V2287" s="291">
        <f t="shared" ca="1" si="719"/>
        <v>33</v>
      </c>
      <c r="W2287" s="256">
        <f t="shared" ca="1" si="732"/>
        <v>2</v>
      </c>
      <c r="X2287" s="256">
        <f ca="1">IF(COUNTA(OFFSET(A2280,1,0))-COUNTA(A2280)=-1,0,1)</f>
        <v>1</v>
      </c>
      <c r="Y2287" s="256"/>
      <c r="Z2287" s="256"/>
      <c r="AA2287" s="292"/>
      <c r="AB2287" s="292"/>
      <c r="AC2287" s="292"/>
    </row>
    <row r="2288" spans="1:29" s="293" customFormat="1" ht="15.75" customHeight="1" x14ac:dyDescent="0.2">
      <c r="A2288" s="288" t="s">
        <v>95</v>
      </c>
      <c r="B2288" s="364"/>
      <c r="C2288" s="365"/>
      <c r="D2288" s="1354"/>
      <c r="E2288" s="1355"/>
      <c r="F2288" s="1355"/>
      <c r="G2288" s="1355"/>
      <c r="H2288" s="1355"/>
      <c r="I2288" s="1356"/>
      <c r="J2288" s="1367"/>
      <c r="K2288" s="1368"/>
      <c r="L2288" s="1370"/>
      <c r="M2288" s="1371" t="s">
        <v>496</v>
      </c>
      <c r="N2288" s="1372"/>
      <c r="O2288" s="1372"/>
      <c r="P2288" s="1372"/>
      <c r="Q2288" s="1373"/>
      <c r="R2288" s="362">
        <f>R2286-R2287</f>
        <v>33</v>
      </c>
      <c r="S2288" s="363" t="str">
        <f>L2286</f>
        <v xml:space="preserve"> m</v>
      </c>
      <c r="T2288" s="1388"/>
      <c r="U2288" s="1389"/>
      <c r="V2288" s="291">
        <f t="shared" ca="1" si="719"/>
        <v>33</v>
      </c>
      <c r="W2288" s="256">
        <f t="shared" ca="1" si="732"/>
        <v>2</v>
      </c>
      <c r="X2288" s="256">
        <f ca="1">IF(COUNTA(OFFSET(A2281,1,0))-COUNTA(A2281)=-1,0,1)</f>
        <v>1</v>
      </c>
      <c r="Y2288" s="256"/>
      <c r="Z2288" s="256"/>
      <c r="AA2288" s="292"/>
      <c r="AB2288" s="292"/>
      <c r="AC2288" s="292"/>
    </row>
    <row r="2289" spans="1:29" s="111" customFormat="1" ht="15.75" x14ac:dyDescent="0.2">
      <c r="A2289" s="288"/>
      <c r="B2289" s="368"/>
      <c r="C2289" s="365"/>
      <c r="D2289" s="369"/>
      <c r="E2289" s="370"/>
      <c r="F2289" s="369"/>
      <c r="G2289" s="369"/>
      <c r="H2289" s="369"/>
      <c r="I2289" s="369"/>
      <c r="J2289" s="371"/>
      <c r="K2289" s="372"/>
      <c r="L2289" s="373"/>
      <c r="M2289" s="374"/>
      <c r="N2289" s="374"/>
      <c r="O2289" s="374"/>
      <c r="P2289" s="374"/>
      <c r="Q2289" s="374"/>
      <c r="R2289" s="375"/>
      <c r="S2289" s="376"/>
      <c r="T2289" s="377"/>
      <c r="U2289" s="378"/>
      <c r="V2289" s="379">
        <f ca="1">SUM(V2256:V2288)</f>
        <v>1089</v>
      </c>
      <c r="W2289" s="256">
        <f t="shared" ca="1" si="707"/>
        <v>1</v>
      </c>
      <c r="X2289" s="256">
        <f t="shared" ca="1" si="701"/>
        <v>0</v>
      </c>
      <c r="Y2289" s="250"/>
      <c r="Z2289" s="250"/>
    </row>
    <row r="2290" spans="1:29" s="293" customFormat="1" ht="15.75" hidden="1" customHeight="1" x14ac:dyDescent="0.25">
      <c r="A2290" s="288"/>
      <c r="B2290" s="1374" t="str">
        <f>VLOOKUP(A2298,'11 - FINANCEIRO'!_xlnm.Print_Area,1,FALSE)</f>
        <v>2.5.3.4.3</v>
      </c>
      <c r="C2290" s="1376" t="str">
        <f>VLOOKUP(A2298,'11 - FINANCEIRO'!_xlnm.Print_Area,3,FALSE)</f>
        <v>Execução De Pavimento Com Aplicação De Concreto Asfáltico, Camada De Rolamento - Exclusive Carga E Transporte. Af_11/2019</v>
      </c>
      <c r="D2290" s="1378" t="s">
        <v>477</v>
      </c>
      <c r="E2290" s="1379"/>
      <c r="F2290" s="1379"/>
      <c r="G2290" s="1379"/>
      <c r="H2290" s="1379"/>
      <c r="I2290" s="1380"/>
      <c r="J2290" s="1338" t="s">
        <v>296</v>
      </c>
      <c r="K2290" s="1338" t="s">
        <v>479</v>
      </c>
      <c r="L2290" s="1338" t="s">
        <v>480</v>
      </c>
      <c r="M2290" s="1338" t="s">
        <v>481</v>
      </c>
      <c r="N2290" s="1338" t="s">
        <v>482</v>
      </c>
      <c r="O2290" s="1338" t="s">
        <v>483</v>
      </c>
      <c r="P2290" s="290" t="s">
        <v>484</v>
      </c>
      <c r="Q2290" s="1338" t="s">
        <v>485</v>
      </c>
      <c r="R2290" s="1336" t="s">
        <v>296</v>
      </c>
      <c r="S2290" s="1338" t="s">
        <v>486</v>
      </c>
      <c r="T2290" s="1338" t="s">
        <v>487</v>
      </c>
      <c r="U2290" s="1340" t="s">
        <v>488</v>
      </c>
      <c r="V2290" s="291">
        <f t="shared" ref="V2290:V2298" ca="1" si="739">IF(OFFSET(V2290,1,1)=1,OFFSET(V2290,0,-4),OFFSET(V2290,1,0))</f>
        <v>0</v>
      </c>
      <c r="W2290" s="256">
        <f t="shared" ca="1" si="707"/>
        <v>2</v>
      </c>
      <c r="X2290" s="256">
        <f t="shared" ca="1" si="701"/>
        <v>1</v>
      </c>
      <c r="Y2290" s="256"/>
      <c r="Z2290" s="256"/>
      <c r="AA2290" s="292"/>
      <c r="AB2290" s="292"/>
      <c r="AC2290" s="292"/>
    </row>
    <row r="2291" spans="1:29" s="337" customFormat="1" ht="15.75" hidden="1" x14ac:dyDescent="0.2">
      <c r="A2291" s="288"/>
      <c r="B2291" s="1375" t="e">
        <f>LEFT(#REF!,5)</f>
        <v>#REF!</v>
      </c>
      <c r="C2291" s="1377" t="e">
        <f>VLOOKUP(LEFT(#REF!,5),'11 - FINANCEIRO'!_xlnm.Print_Area,2,FALSE)</f>
        <v>#REF!</v>
      </c>
      <c r="D2291" s="1342" t="s">
        <v>489</v>
      </c>
      <c r="E2291" s="1343"/>
      <c r="F2291" s="1344"/>
      <c r="G2291" s="1345" t="s">
        <v>490</v>
      </c>
      <c r="H2291" s="1346"/>
      <c r="I2291" s="1347"/>
      <c r="J2291" s="1339"/>
      <c r="K2291" s="1339"/>
      <c r="L2291" s="1339"/>
      <c r="M2291" s="1339"/>
      <c r="N2291" s="1339"/>
      <c r="O2291" s="1339"/>
      <c r="P2291" s="295" t="s">
        <v>491</v>
      </c>
      <c r="Q2291" s="1339"/>
      <c r="R2291" s="1337"/>
      <c r="S2291" s="1339"/>
      <c r="T2291" s="1339"/>
      <c r="U2291" s="1341"/>
      <c r="V2291" s="291">
        <f t="shared" ca="1" si="739"/>
        <v>0</v>
      </c>
      <c r="W2291" s="256">
        <f t="shared" ca="1" si="707"/>
        <v>2</v>
      </c>
      <c r="X2291" s="256">
        <f t="shared" ca="1" si="701"/>
        <v>1</v>
      </c>
      <c r="Y2291" s="336"/>
      <c r="Z2291" s="336"/>
    </row>
    <row r="2292" spans="1:29" s="337" customFormat="1" ht="15.75" hidden="1" x14ac:dyDescent="0.2">
      <c r="A2292" s="288"/>
      <c r="B2292" s="296"/>
      <c r="C2292" s="297"/>
      <c r="D2292" s="298"/>
      <c r="E2292" s="299"/>
      <c r="F2292" s="300"/>
      <c r="G2292" s="301"/>
      <c r="H2292" s="302"/>
      <c r="I2292" s="303"/>
      <c r="J2292" s="304"/>
      <c r="K2292" s="304"/>
      <c r="L2292" s="304"/>
      <c r="M2292" s="304"/>
      <c r="N2292" s="304"/>
      <c r="O2292" s="304"/>
      <c r="P2292" s="306"/>
      <c r="Q2292" s="304"/>
      <c r="R2292" s="307"/>
      <c r="S2292" s="304"/>
      <c r="T2292" s="309"/>
      <c r="U2292" s="310"/>
      <c r="V2292" s="291">
        <f t="shared" ca="1" si="739"/>
        <v>0</v>
      </c>
      <c r="W2292" s="256">
        <f t="shared" ca="1" si="707"/>
        <v>0</v>
      </c>
      <c r="X2292" s="256">
        <f t="shared" ca="1" si="701"/>
        <v>1</v>
      </c>
      <c r="Y2292" s="336"/>
      <c r="Z2292" s="336"/>
    </row>
    <row r="2293" spans="1:29" s="111" customFormat="1" ht="15.75" hidden="1" x14ac:dyDescent="0.2">
      <c r="A2293" s="288"/>
      <c r="B2293" s="311"/>
      <c r="C2293" s="312"/>
      <c r="D2293" s="313"/>
      <c r="E2293" s="314"/>
      <c r="F2293" s="315"/>
      <c r="G2293" s="380"/>
      <c r="H2293" s="316"/>
      <c r="I2293" s="381"/>
      <c r="J2293" s="317"/>
      <c r="K2293" s="313"/>
      <c r="L2293" s="317"/>
      <c r="M2293" s="315"/>
      <c r="N2293" s="314"/>
      <c r="O2293" s="313"/>
      <c r="P2293" s="318"/>
      <c r="Q2293" s="315"/>
      <c r="R2293" s="319"/>
      <c r="S2293" s="317"/>
      <c r="T2293" s="320"/>
      <c r="U2293" s="321"/>
      <c r="V2293" s="291">
        <f t="shared" ca="1" si="739"/>
        <v>0</v>
      </c>
      <c r="W2293" s="256">
        <f t="shared" ca="1" si="707"/>
        <v>0</v>
      </c>
      <c r="X2293" s="256">
        <f t="shared" ca="1" si="701"/>
        <v>1</v>
      </c>
      <c r="Y2293" s="250"/>
      <c r="Z2293" s="250"/>
    </row>
    <row r="2294" spans="1:29" s="111" customFormat="1" ht="15" hidden="1" x14ac:dyDescent="0.2">
      <c r="A2294" s="288"/>
      <c r="B2294" s="322"/>
      <c r="C2294" s="382"/>
      <c r="D2294" s="324"/>
      <c r="E2294" s="325"/>
      <c r="F2294" s="326"/>
      <c r="G2294" s="324"/>
      <c r="H2294" s="325"/>
      <c r="I2294" s="326"/>
      <c r="J2294" s="317"/>
      <c r="K2294" s="328"/>
      <c r="L2294" s="328"/>
      <c r="M2294" s="328"/>
      <c r="N2294" s="328"/>
      <c r="O2294" s="334"/>
      <c r="P2294" s="328"/>
      <c r="Q2294" s="334"/>
      <c r="R2294" s="333"/>
      <c r="S2294" s="331"/>
      <c r="T2294" s="320"/>
      <c r="U2294" s="335"/>
      <c r="V2294" s="291">
        <f t="shared" ca="1" si="739"/>
        <v>0</v>
      </c>
      <c r="W2294" s="256">
        <f t="shared" ca="1" si="707"/>
        <v>0</v>
      </c>
      <c r="X2294" s="256">
        <f t="shared" ca="1" si="701"/>
        <v>1</v>
      </c>
      <c r="Y2294" s="250"/>
      <c r="Z2294" s="250"/>
    </row>
    <row r="2295" spans="1:29" s="111" customFormat="1" ht="15" hidden="1" x14ac:dyDescent="0.2">
      <c r="A2295" s="288"/>
      <c r="B2295" s="338"/>
      <c r="C2295" s="339"/>
      <c r="D2295" s="340"/>
      <c r="E2295" s="341"/>
      <c r="F2295" s="342"/>
      <c r="G2295" s="340"/>
      <c r="H2295" s="341"/>
      <c r="I2295" s="342"/>
      <c r="J2295" s="343"/>
      <c r="K2295" s="344"/>
      <c r="L2295" s="345"/>
      <c r="M2295" s="346"/>
      <c r="N2295" s="347"/>
      <c r="O2295" s="348"/>
      <c r="P2295" s="345"/>
      <c r="Q2295" s="349"/>
      <c r="R2295" s="350"/>
      <c r="S2295" s="351"/>
      <c r="T2295" s="352"/>
      <c r="U2295" s="353"/>
      <c r="V2295" s="291">
        <f t="shared" ca="1" si="739"/>
        <v>0</v>
      </c>
      <c r="W2295" s="256">
        <f t="shared" ca="1" si="707"/>
        <v>0</v>
      </c>
      <c r="X2295" s="256">
        <f t="shared" ca="1" si="701"/>
        <v>1</v>
      </c>
      <c r="Y2295" s="250"/>
      <c r="Z2295" s="250"/>
    </row>
    <row r="2296" spans="1:29" s="111" customFormat="1" ht="15.75" hidden="1" customHeight="1" x14ac:dyDescent="0.2">
      <c r="A2296" s="288"/>
      <c r="B2296" s="354"/>
      <c r="C2296" s="355"/>
      <c r="D2296" s="1354" t="s">
        <v>492</v>
      </c>
      <c r="E2296" s="1355"/>
      <c r="F2296" s="1355"/>
      <c r="G2296" s="1355"/>
      <c r="H2296" s="1355"/>
      <c r="I2296" s="1356"/>
      <c r="J2296" s="1357">
        <f>VLOOKUP(A2298,'11 - FINANCEIRO'!_xlnm.Print_Area,6,FALSE)</f>
        <v>7.05</v>
      </c>
      <c r="K2296" s="1358"/>
      <c r="L2296" s="356" t="str">
        <f>VLOOKUP(A2298,'11 - FINANCEIRO'!_xlnm.Print_Area,4,FALSE)</f>
        <v>m³</v>
      </c>
      <c r="M2296" s="1359" t="s">
        <v>493</v>
      </c>
      <c r="N2296" s="1360"/>
      <c r="O2296" s="1360"/>
      <c r="P2296" s="1360"/>
      <c r="Q2296" s="1361"/>
      <c r="R2296" s="357">
        <f>TRUNC(SUM(R2292:R2295),3)</f>
        <v>0</v>
      </c>
      <c r="S2296" s="358" t="str">
        <f>L2296</f>
        <v>m³</v>
      </c>
      <c r="T2296" s="359"/>
      <c r="U2296" s="360"/>
      <c r="V2296" s="291">
        <f t="shared" ca="1" si="739"/>
        <v>0</v>
      </c>
      <c r="W2296" s="256">
        <f t="shared" ca="1" si="707"/>
        <v>2</v>
      </c>
      <c r="X2296" s="256">
        <f t="shared" ca="1" si="701"/>
        <v>1</v>
      </c>
      <c r="Y2296" s="250"/>
      <c r="Z2296" s="250"/>
    </row>
    <row r="2297" spans="1:29" s="395" customFormat="1" ht="15.75" hidden="1" customHeight="1" x14ac:dyDescent="0.2">
      <c r="A2297" s="276"/>
      <c r="B2297" s="354"/>
      <c r="C2297" s="361"/>
      <c r="D2297" s="1362" t="s">
        <v>494</v>
      </c>
      <c r="E2297" s="1363"/>
      <c r="F2297" s="1363"/>
      <c r="G2297" s="1363"/>
      <c r="H2297" s="1363"/>
      <c r="I2297" s="1364"/>
      <c r="J2297" s="1365">
        <f>R2296/J2296</f>
        <v>0</v>
      </c>
      <c r="K2297" s="1366"/>
      <c r="L2297" s="1369"/>
      <c r="M2297" s="1371" t="s">
        <v>495</v>
      </c>
      <c r="N2297" s="1372"/>
      <c r="O2297" s="1372"/>
      <c r="P2297" s="1372"/>
      <c r="Q2297" s="1373"/>
      <c r="R2297" s="362">
        <f>VLOOKUP(A2298,'11 - FINANCEIRO'!_xlnm.Print_Area,8,FALSE)</f>
        <v>0</v>
      </c>
      <c r="S2297" s="363" t="str">
        <f>L2296</f>
        <v>m³</v>
      </c>
      <c r="T2297" s="359"/>
      <c r="U2297" s="360"/>
      <c r="V2297" s="291">
        <f t="shared" ca="1" si="739"/>
        <v>0</v>
      </c>
      <c r="W2297" s="256">
        <f t="shared" ca="1" si="707"/>
        <v>2</v>
      </c>
      <c r="X2297" s="256">
        <f t="shared" ca="1" si="701"/>
        <v>1</v>
      </c>
    </row>
    <row r="2298" spans="1:29" s="293" customFormat="1" ht="15.75" hidden="1" customHeight="1" x14ac:dyDescent="0.2">
      <c r="A2298" s="288" t="s">
        <v>96</v>
      </c>
      <c r="B2298" s="364"/>
      <c r="C2298" s="365"/>
      <c r="D2298" s="1354"/>
      <c r="E2298" s="1355"/>
      <c r="F2298" s="1355"/>
      <c r="G2298" s="1355"/>
      <c r="H2298" s="1355"/>
      <c r="I2298" s="1356"/>
      <c r="J2298" s="1367"/>
      <c r="K2298" s="1368"/>
      <c r="L2298" s="1370"/>
      <c r="M2298" s="1371" t="s">
        <v>496</v>
      </c>
      <c r="N2298" s="1372"/>
      <c r="O2298" s="1372"/>
      <c r="P2298" s="1372"/>
      <c r="Q2298" s="1373"/>
      <c r="R2298" s="362">
        <f>R2296-R2297</f>
        <v>0</v>
      </c>
      <c r="S2298" s="363" t="str">
        <f>L2296</f>
        <v>m³</v>
      </c>
      <c r="T2298" s="366"/>
      <c r="U2298" s="367"/>
      <c r="V2298" s="291">
        <f t="shared" ca="1" si="739"/>
        <v>0</v>
      </c>
      <c r="W2298" s="256">
        <f t="shared" ca="1" si="707"/>
        <v>2</v>
      </c>
      <c r="X2298" s="256">
        <f t="shared" ref="X2298:X2387" ca="1" si="740">IF(COUNTA(OFFSET(A2297,1,0))-COUNTA(A2297)=-1,0,1)</f>
        <v>1</v>
      </c>
      <c r="Y2298" s="256"/>
      <c r="Z2298" s="256"/>
      <c r="AA2298" s="292"/>
      <c r="AB2298" s="292"/>
      <c r="AC2298" s="292"/>
    </row>
    <row r="2299" spans="1:29" s="111" customFormat="1" ht="15.75" hidden="1" x14ac:dyDescent="0.2">
      <c r="A2299" s="288"/>
      <c r="B2299" s="368"/>
      <c r="C2299" s="365"/>
      <c r="D2299" s="369"/>
      <c r="E2299" s="370"/>
      <c r="F2299" s="369"/>
      <c r="G2299" s="369"/>
      <c r="H2299" s="369"/>
      <c r="I2299" s="369"/>
      <c r="J2299" s="371"/>
      <c r="K2299" s="372"/>
      <c r="L2299" s="373"/>
      <c r="M2299" s="374"/>
      <c r="N2299" s="374"/>
      <c r="O2299" s="374"/>
      <c r="P2299" s="374"/>
      <c r="Q2299" s="374"/>
      <c r="R2299" s="375"/>
      <c r="S2299" s="376"/>
      <c r="T2299" s="377"/>
      <c r="U2299" s="378"/>
      <c r="V2299" s="379">
        <f ca="1">SUM(V2290:V2298)</f>
        <v>0</v>
      </c>
      <c r="W2299" s="256">
        <f t="shared" ca="1" si="707"/>
        <v>1</v>
      </c>
      <c r="X2299" s="256">
        <f t="shared" ca="1" si="740"/>
        <v>0</v>
      </c>
      <c r="Y2299" s="250"/>
      <c r="Z2299" s="250"/>
    </row>
    <row r="2300" spans="1:29" s="293" customFormat="1" ht="15.75" x14ac:dyDescent="0.2">
      <c r="A2300" s="288"/>
      <c r="B2300" s="385" t="str">
        <f>LEFT(A2311,7)</f>
        <v>2.6</v>
      </c>
      <c r="C2300" s="386" t="str">
        <f>VLOOKUP(LEFT(A2311,7),'11 - FINANCEIRO'!_xlnm.Print_Area,2,FALSE)</f>
        <v>Sinalização de Obra</v>
      </c>
      <c r="D2300" s="386"/>
      <c r="E2300" s="387"/>
      <c r="F2300" s="386"/>
      <c r="G2300" s="1395"/>
      <c r="H2300" s="1395"/>
      <c r="I2300" s="1395"/>
      <c r="J2300" s="1395"/>
      <c r="K2300" s="1395"/>
      <c r="L2300" s="1395"/>
      <c r="M2300" s="389"/>
      <c r="N2300" s="390"/>
      <c r="O2300" s="389"/>
      <c r="P2300" s="389"/>
      <c r="Q2300" s="389"/>
      <c r="R2300" s="390"/>
      <c r="S2300" s="389"/>
      <c r="T2300" s="389"/>
      <c r="U2300" s="601"/>
      <c r="V2300" s="549">
        <f ca="1">SUM(V2301:V2351)</f>
        <v>4749.1999999999989</v>
      </c>
      <c r="W2300" s="256">
        <f t="shared" ca="1" si="707"/>
        <v>1</v>
      </c>
      <c r="X2300" s="256">
        <f t="shared" ca="1" si="740"/>
        <v>1</v>
      </c>
      <c r="Y2300" s="256"/>
      <c r="Z2300" s="256"/>
      <c r="AA2300" s="292"/>
      <c r="AB2300" s="292"/>
      <c r="AC2300" s="292"/>
    </row>
    <row r="2301" spans="1:29" s="293" customFormat="1" ht="15.75" customHeight="1" x14ac:dyDescent="0.25">
      <c r="A2301" s="288"/>
      <c r="B2301" s="1374" t="str">
        <f>VLOOKUP(A2312,'11 - FINANCEIRO'!_xlnm.Print_Area,1,FALSE)</f>
        <v>2.6.1</v>
      </c>
      <c r="C2301" s="1376" t="str">
        <f>VLOOKUP(A2312,'11 - FINANCEIRO'!_xlnm.Print_Area,3,FALSE)</f>
        <v>Elementos De Madeira Para Sinalização - Cavaletes</v>
      </c>
      <c r="D2301" s="1378" t="s">
        <v>477</v>
      </c>
      <c r="E2301" s="1379"/>
      <c r="F2301" s="1379"/>
      <c r="G2301" s="1379"/>
      <c r="H2301" s="1379"/>
      <c r="I2301" s="1380"/>
      <c r="J2301" s="1338" t="s">
        <v>296</v>
      </c>
      <c r="K2301" s="1338" t="s">
        <v>479</v>
      </c>
      <c r="L2301" s="1338" t="s">
        <v>480</v>
      </c>
      <c r="M2301" s="1338" t="s">
        <v>481</v>
      </c>
      <c r="N2301" s="1338" t="s">
        <v>482</v>
      </c>
      <c r="O2301" s="1338" t="s">
        <v>483</v>
      </c>
      <c r="P2301" s="290" t="s">
        <v>484</v>
      </c>
      <c r="Q2301" s="1338" t="s">
        <v>485</v>
      </c>
      <c r="R2301" s="1336" t="s">
        <v>296</v>
      </c>
      <c r="S2301" s="1338" t="s">
        <v>486</v>
      </c>
      <c r="T2301" s="1338" t="s">
        <v>487</v>
      </c>
      <c r="U2301" s="1340" t="s">
        <v>488</v>
      </c>
      <c r="V2301" s="291">
        <f t="shared" ref="V2301:V2312" ca="1" si="741">IF(OFFSET(V2301,1,1)=1,OFFSET(V2301,0,-4),OFFSET(V2301,1,0))</f>
        <v>40</v>
      </c>
      <c r="W2301" s="256">
        <f t="shared" ca="1" si="707"/>
        <v>2</v>
      </c>
      <c r="X2301" s="256">
        <f t="shared" ca="1" si="740"/>
        <v>1</v>
      </c>
      <c r="Y2301" s="256"/>
      <c r="Z2301" s="256"/>
      <c r="AA2301" s="292"/>
      <c r="AB2301" s="292"/>
      <c r="AC2301" s="292"/>
    </row>
    <row r="2302" spans="1:29" s="337" customFormat="1" ht="15.75" x14ac:dyDescent="0.2">
      <c r="A2302" s="288"/>
      <c r="B2302" s="1375" t="e">
        <f>LEFT(#REF!,5)</f>
        <v>#REF!</v>
      </c>
      <c r="C2302" s="1377" t="e">
        <f>VLOOKUP(LEFT(#REF!,5),'11 - FINANCEIRO'!_xlnm.Print_Area,2,FALSE)</f>
        <v>#REF!</v>
      </c>
      <c r="D2302" s="1342" t="s">
        <v>489</v>
      </c>
      <c r="E2302" s="1343"/>
      <c r="F2302" s="1344"/>
      <c r="G2302" s="1345" t="s">
        <v>490</v>
      </c>
      <c r="H2302" s="1346"/>
      <c r="I2302" s="1347"/>
      <c r="J2302" s="1339"/>
      <c r="K2302" s="1339"/>
      <c r="L2302" s="1339"/>
      <c r="M2302" s="1339"/>
      <c r="N2302" s="1339"/>
      <c r="O2302" s="1339"/>
      <c r="P2302" s="295" t="s">
        <v>491</v>
      </c>
      <c r="Q2302" s="1339"/>
      <c r="R2302" s="1337"/>
      <c r="S2302" s="1339"/>
      <c r="T2302" s="1339"/>
      <c r="U2302" s="1341"/>
      <c r="V2302" s="291">
        <f t="shared" ca="1" si="741"/>
        <v>40</v>
      </c>
      <c r="W2302" s="256">
        <f t="shared" ca="1" si="707"/>
        <v>2</v>
      </c>
      <c r="X2302" s="256">
        <f t="shared" ca="1" si="740"/>
        <v>1</v>
      </c>
      <c r="Y2302" s="336"/>
      <c r="Z2302" s="336"/>
    </row>
    <row r="2303" spans="1:29" s="337" customFormat="1" ht="15.75" customHeight="1" x14ac:dyDescent="0.2">
      <c r="A2303" s="288"/>
      <c r="B2303" s="296"/>
      <c r="C2303" s="297" t="s">
        <v>625</v>
      </c>
      <c r="D2303" s="298"/>
      <c r="E2303" s="299"/>
      <c r="F2303" s="300"/>
      <c r="G2303" s="301"/>
      <c r="H2303" s="302"/>
      <c r="I2303" s="303"/>
      <c r="J2303" s="304"/>
      <c r="K2303" s="304"/>
      <c r="L2303" s="304"/>
      <c r="M2303" s="304"/>
      <c r="N2303" s="304"/>
      <c r="O2303" s="304"/>
      <c r="P2303" s="306"/>
      <c r="Q2303" s="304"/>
      <c r="R2303" s="307">
        <v>4</v>
      </c>
      <c r="S2303" s="308" t="str">
        <f>$L$2310</f>
        <v>ud</v>
      </c>
      <c r="T2303" s="309">
        <v>2</v>
      </c>
      <c r="U2303" s="310"/>
      <c r="V2303" s="291">
        <f t="shared" ca="1" si="741"/>
        <v>40</v>
      </c>
      <c r="W2303" s="256">
        <f t="shared" ref="W2303:W2306" ca="1" si="742">IF(LEFT(_xlfn.FORMULATEXT(V2303),3)="=SO",1,IF(COUNTA(A2303:U2303)=0,0,2))</f>
        <v>2</v>
      </c>
      <c r="X2303" s="256">
        <f t="shared" ref="X2303:X2306" ca="1" si="743">IF(COUNTA(OFFSET(A2299,1,0))-COUNTA(A2299)=-1,0,1)</f>
        <v>1</v>
      </c>
      <c r="Y2303" s="336"/>
      <c r="Z2303" s="336"/>
    </row>
    <row r="2304" spans="1:29" s="337" customFormat="1" ht="15.75" customHeight="1" x14ac:dyDescent="0.2">
      <c r="A2304" s="288"/>
      <c r="B2304" s="512"/>
      <c r="C2304" s="312" t="s">
        <v>924</v>
      </c>
      <c r="D2304" s="313">
        <v>80</v>
      </c>
      <c r="E2304" s="314" t="s">
        <v>518</v>
      </c>
      <c r="F2304" s="418">
        <v>8</v>
      </c>
      <c r="G2304" s="380">
        <v>99</v>
      </c>
      <c r="H2304" s="316" t="s">
        <v>518</v>
      </c>
      <c r="I2304" s="420">
        <v>6.4</v>
      </c>
      <c r="J2304" s="317"/>
      <c r="K2304" s="317">
        <f>ABS((G2304*20+I2304)-(D2304*20+F2304))</f>
        <v>378.40000000000009</v>
      </c>
      <c r="L2304" s="317"/>
      <c r="M2304" s="317"/>
      <c r="N2304" s="314"/>
      <c r="O2304" s="313"/>
      <c r="P2304" s="318"/>
      <c r="Q2304" s="315"/>
      <c r="R2304" s="319">
        <v>31</v>
      </c>
      <c r="S2304" s="317" t="s">
        <v>370</v>
      </c>
      <c r="T2304" s="320">
        <v>35</v>
      </c>
      <c r="U2304" s="321"/>
      <c r="V2304" s="291">
        <f t="shared" ca="1" si="741"/>
        <v>40</v>
      </c>
      <c r="W2304" s="256">
        <f t="shared" ca="1" si="742"/>
        <v>2</v>
      </c>
      <c r="X2304" s="256">
        <f t="shared" ca="1" si="743"/>
        <v>1</v>
      </c>
      <c r="Y2304" s="336"/>
      <c r="Z2304" s="336"/>
    </row>
    <row r="2305" spans="1:29" s="337" customFormat="1" ht="15.75" customHeight="1" x14ac:dyDescent="0.2">
      <c r="A2305" s="288"/>
      <c r="B2305" s="512"/>
      <c r="C2305" s="312" t="s">
        <v>1159</v>
      </c>
      <c r="D2305" s="313">
        <v>34</v>
      </c>
      <c r="E2305" s="314" t="s">
        <v>518</v>
      </c>
      <c r="F2305" s="418">
        <v>10</v>
      </c>
      <c r="G2305" s="380">
        <v>80</v>
      </c>
      <c r="H2305" s="316" t="s">
        <v>518</v>
      </c>
      <c r="I2305" s="420">
        <v>8</v>
      </c>
      <c r="J2305" s="317"/>
      <c r="K2305" s="317">
        <f>ABS((G2305*20+I2305)-(D2305*20+F2305))</f>
        <v>918</v>
      </c>
      <c r="L2305" s="317"/>
      <c r="M2305" s="317"/>
      <c r="N2305" s="314"/>
      <c r="O2305" s="313"/>
      <c r="P2305" s="318"/>
      <c r="Q2305" s="315"/>
      <c r="R2305" s="319">
        <v>40</v>
      </c>
      <c r="S2305" s="317" t="s">
        <v>370</v>
      </c>
      <c r="T2305" s="320">
        <v>35</v>
      </c>
      <c r="U2305" s="111"/>
      <c r="V2305" s="291">
        <f t="shared" ca="1" si="741"/>
        <v>40</v>
      </c>
      <c r="W2305" s="256">
        <f t="shared" ca="1" si="742"/>
        <v>2</v>
      </c>
      <c r="X2305" s="256">
        <f t="shared" ca="1" si="743"/>
        <v>1</v>
      </c>
      <c r="Y2305" s="336"/>
      <c r="Z2305" s="336"/>
    </row>
    <row r="2306" spans="1:29" s="337" customFormat="1" ht="15.75" customHeight="1" x14ac:dyDescent="0.2">
      <c r="A2306" s="288"/>
      <c r="B2306" s="512"/>
      <c r="C2306" s="312" t="s">
        <v>1360</v>
      </c>
      <c r="D2306" s="313">
        <v>0</v>
      </c>
      <c r="E2306" s="314" t="s">
        <v>518</v>
      </c>
      <c r="F2306" s="418">
        <v>0</v>
      </c>
      <c r="G2306" s="380">
        <v>5</v>
      </c>
      <c r="H2306" s="316" t="s">
        <v>518</v>
      </c>
      <c r="I2306" s="420">
        <v>14.9</v>
      </c>
      <c r="J2306" s="317"/>
      <c r="K2306" s="317">
        <f>ABS((G2306*20+I2306)-(D2306*20+F2306))</f>
        <v>114.9</v>
      </c>
      <c r="L2306" s="317"/>
      <c r="M2306" s="317"/>
      <c r="N2306" s="314"/>
      <c r="O2306" s="313"/>
      <c r="P2306" s="318"/>
      <c r="Q2306" s="315"/>
      <c r="R2306" s="319">
        <v>40</v>
      </c>
      <c r="S2306" s="317" t="s">
        <v>370</v>
      </c>
      <c r="T2306" s="320">
        <v>44</v>
      </c>
      <c r="U2306" s="765"/>
      <c r="V2306" s="291">
        <f t="shared" ca="1" si="741"/>
        <v>40</v>
      </c>
      <c r="W2306" s="256">
        <f t="shared" ca="1" si="742"/>
        <v>2</v>
      </c>
      <c r="X2306" s="256">
        <f t="shared" ca="1" si="743"/>
        <v>1</v>
      </c>
      <c r="Y2306" s="336"/>
      <c r="Z2306" s="336"/>
    </row>
    <row r="2307" spans="1:29" s="111" customFormat="1" ht="15.75" x14ac:dyDescent="0.2">
      <c r="A2307" s="288"/>
      <c r="B2307" s="311"/>
      <c r="C2307" s="312"/>
      <c r="D2307" s="313"/>
      <c r="E2307" s="314"/>
      <c r="F2307" s="315"/>
      <c r="G2307" s="380"/>
      <c r="H2307" s="316"/>
      <c r="I2307" s="381"/>
      <c r="J2307" s="317"/>
      <c r="K2307" s="313"/>
      <c r="L2307" s="317"/>
      <c r="M2307" s="315"/>
      <c r="N2307" s="314"/>
      <c r="O2307" s="313"/>
      <c r="P2307" s="318"/>
      <c r="Q2307" s="315"/>
      <c r="R2307" s="319"/>
      <c r="S2307" s="317"/>
      <c r="T2307" s="320"/>
      <c r="U2307" s="321"/>
      <c r="V2307" s="291">
        <f t="shared" ca="1" si="741"/>
        <v>40</v>
      </c>
      <c r="W2307" s="256">
        <f t="shared" ca="1" si="707"/>
        <v>0</v>
      </c>
      <c r="X2307" s="256">
        <f ca="1">IF(COUNTA(OFFSET(A2303,1,0))-COUNTA(A2303)=-1,0,1)</f>
        <v>1</v>
      </c>
      <c r="Y2307" s="250"/>
      <c r="Z2307" s="250"/>
    </row>
    <row r="2308" spans="1:29" s="111" customFormat="1" ht="15" x14ac:dyDescent="0.2">
      <c r="A2308" s="288"/>
      <c r="B2308" s="322"/>
      <c r="C2308" s="382"/>
      <c r="D2308" s="324"/>
      <c r="E2308" s="325"/>
      <c r="F2308" s="326"/>
      <c r="G2308" s="324"/>
      <c r="H2308" s="325"/>
      <c r="I2308" s="326"/>
      <c r="J2308" s="317"/>
      <c r="K2308" s="328"/>
      <c r="L2308" s="328"/>
      <c r="M2308" s="328"/>
      <c r="N2308" s="328"/>
      <c r="O2308" s="334"/>
      <c r="P2308" s="328"/>
      <c r="Q2308" s="334"/>
      <c r="R2308" s="333"/>
      <c r="S2308" s="331"/>
      <c r="T2308" s="320"/>
      <c r="U2308" s="335"/>
      <c r="V2308" s="291">
        <f t="shared" ca="1" si="741"/>
        <v>40</v>
      </c>
      <c r="W2308" s="256">
        <f t="shared" ca="1" si="707"/>
        <v>0</v>
      </c>
      <c r="X2308" s="256">
        <f t="shared" ca="1" si="740"/>
        <v>1</v>
      </c>
      <c r="Y2308" s="250"/>
      <c r="Z2308" s="250"/>
    </row>
    <row r="2309" spans="1:29" s="111" customFormat="1" ht="15" x14ac:dyDescent="0.2">
      <c r="A2309" s="288"/>
      <c r="B2309" s="338"/>
      <c r="C2309" s="339"/>
      <c r="D2309" s="340"/>
      <c r="E2309" s="341"/>
      <c r="F2309" s="342"/>
      <c r="G2309" s="340"/>
      <c r="H2309" s="341"/>
      <c r="I2309" s="342"/>
      <c r="J2309" s="343"/>
      <c r="K2309" s="344"/>
      <c r="L2309" s="345"/>
      <c r="M2309" s="346"/>
      <c r="N2309" s="347"/>
      <c r="O2309" s="348"/>
      <c r="P2309" s="345"/>
      <c r="Q2309" s="349"/>
      <c r="R2309" s="350"/>
      <c r="S2309" s="351"/>
      <c r="T2309" s="352"/>
      <c r="U2309" s="353"/>
      <c r="V2309" s="291">
        <f t="shared" ca="1" si="741"/>
        <v>40</v>
      </c>
      <c r="W2309" s="256">
        <f t="shared" ca="1" si="707"/>
        <v>0</v>
      </c>
      <c r="X2309" s="256">
        <f t="shared" ca="1" si="740"/>
        <v>1</v>
      </c>
      <c r="Y2309" s="250"/>
      <c r="Z2309" s="250"/>
    </row>
    <row r="2310" spans="1:29" s="111" customFormat="1" ht="15.75" customHeight="1" x14ac:dyDescent="0.2">
      <c r="A2310" s="288"/>
      <c r="B2310" s="354"/>
      <c r="C2310" s="355"/>
      <c r="D2310" s="1354" t="s">
        <v>492</v>
      </c>
      <c r="E2310" s="1355"/>
      <c r="F2310" s="1355"/>
      <c r="G2310" s="1355"/>
      <c r="H2310" s="1355"/>
      <c r="I2310" s="1356"/>
      <c r="J2310" s="1357">
        <f>VLOOKUP(A2312,'11 - FINANCEIRO'!_xlnm.Print_Area,6,FALSE)</f>
        <v>115</v>
      </c>
      <c r="K2310" s="1358"/>
      <c r="L2310" s="356" t="str">
        <f>VLOOKUP(A2312,'11 - FINANCEIRO'!_xlnm.Print_Area,4,FALSE)</f>
        <v>ud</v>
      </c>
      <c r="M2310" s="1359" t="s">
        <v>493</v>
      </c>
      <c r="N2310" s="1360"/>
      <c r="O2310" s="1360"/>
      <c r="P2310" s="1360"/>
      <c r="Q2310" s="1361"/>
      <c r="R2310" s="357">
        <f>TRUNC(SUM(R2303:R2309),3)</f>
        <v>115</v>
      </c>
      <c r="S2310" s="358" t="str">
        <f>L2310</f>
        <v>ud</v>
      </c>
      <c r="T2310" s="359"/>
      <c r="U2310" s="360"/>
      <c r="V2310" s="291">
        <f t="shared" ca="1" si="741"/>
        <v>40</v>
      </c>
      <c r="W2310" s="256">
        <f t="shared" ca="1" si="707"/>
        <v>2</v>
      </c>
      <c r="X2310" s="256">
        <f t="shared" ca="1" si="740"/>
        <v>1</v>
      </c>
      <c r="Y2310" s="250"/>
      <c r="Z2310" s="250"/>
    </row>
    <row r="2311" spans="1:29" s="293" customFormat="1" ht="15.75" customHeight="1" x14ac:dyDescent="0.2">
      <c r="A2311" s="288" t="s">
        <v>97</v>
      </c>
      <c r="B2311" s="354"/>
      <c r="C2311" s="361"/>
      <c r="D2311" s="1362" t="s">
        <v>494</v>
      </c>
      <c r="E2311" s="1363"/>
      <c r="F2311" s="1363"/>
      <c r="G2311" s="1363"/>
      <c r="H2311" s="1363"/>
      <c r="I2311" s="1364"/>
      <c r="J2311" s="1365">
        <f>R2310/J2310</f>
        <v>1</v>
      </c>
      <c r="K2311" s="1366"/>
      <c r="L2311" s="1369"/>
      <c r="M2311" s="1371" t="s">
        <v>495</v>
      </c>
      <c r="N2311" s="1372"/>
      <c r="O2311" s="1372"/>
      <c r="P2311" s="1372"/>
      <c r="Q2311" s="1373"/>
      <c r="R2311" s="362">
        <f>VLOOKUP(A2312,'11 - FINANCEIRO'!_xlnm.Print_Area,8,FALSE)</f>
        <v>75</v>
      </c>
      <c r="S2311" s="363" t="str">
        <f>L2310</f>
        <v>ud</v>
      </c>
      <c r="T2311" s="359"/>
      <c r="U2311" s="360"/>
      <c r="V2311" s="291">
        <f t="shared" ca="1" si="741"/>
        <v>40</v>
      </c>
      <c r="W2311" s="256">
        <f t="shared" ca="1" si="707"/>
        <v>2</v>
      </c>
      <c r="X2311" s="256">
        <f t="shared" ca="1" si="740"/>
        <v>1</v>
      </c>
      <c r="Y2311" s="256"/>
      <c r="Z2311" s="256"/>
      <c r="AA2311" s="292"/>
      <c r="AB2311" s="292"/>
      <c r="AC2311" s="292"/>
    </row>
    <row r="2312" spans="1:29" s="293" customFormat="1" ht="15.75" customHeight="1" x14ac:dyDescent="0.2">
      <c r="A2312" s="288" t="s">
        <v>98</v>
      </c>
      <c r="B2312" s="364"/>
      <c r="C2312" s="365"/>
      <c r="D2312" s="1354"/>
      <c r="E2312" s="1355"/>
      <c r="F2312" s="1355"/>
      <c r="G2312" s="1355"/>
      <c r="H2312" s="1355"/>
      <c r="I2312" s="1356"/>
      <c r="J2312" s="1367"/>
      <c r="K2312" s="1368"/>
      <c r="L2312" s="1370"/>
      <c r="M2312" s="1371" t="s">
        <v>496</v>
      </c>
      <c r="N2312" s="1372"/>
      <c r="O2312" s="1372"/>
      <c r="P2312" s="1372"/>
      <c r="Q2312" s="1373"/>
      <c r="R2312" s="362">
        <f>R2310-R2311</f>
        <v>40</v>
      </c>
      <c r="S2312" s="363" t="str">
        <f>L2310</f>
        <v>ud</v>
      </c>
      <c r="T2312" s="366"/>
      <c r="U2312" s="367"/>
      <c r="V2312" s="291">
        <f t="shared" ca="1" si="741"/>
        <v>40</v>
      </c>
      <c r="W2312" s="256">
        <f t="shared" ca="1" si="707"/>
        <v>2</v>
      </c>
      <c r="X2312" s="256">
        <f t="shared" ca="1" si="740"/>
        <v>1</v>
      </c>
      <c r="Y2312" s="256"/>
      <c r="Z2312" s="256"/>
      <c r="AA2312" s="292"/>
      <c r="AB2312" s="292"/>
      <c r="AC2312" s="292"/>
    </row>
    <row r="2313" spans="1:29" s="111" customFormat="1" ht="15.75" x14ac:dyDescent="0.2">
      <c r="A2313" s="288"/>
      <c r="B2313" s="368"/>
      <c r="C2313" s="365"/>
      <c r="D2313" s="369"/>
      <c r="E2313" s="370"/>
      <c r="F2313" s="369"/>
      <c r="G2313" s="369"/>
      <c r="H2313" s="369"/>
      <c r="I2313" s="369"/>
      <c r="J2313" s="371"/>
      <c r="K2313" s="372"/>
      <c r="L2313" s="373"/>
      <c r="M2313" s="374"/>
      <c r="N2313" s="374"/>
      <c r="O2313" s="374"/>
      <c r="P2313" s="374"/>
      <c r="Q2313" s="374"/>
      <c r="R2313" s="375"/>
      <c r="S2313" s="376"/>
      <c r="T2313" s="377"/>
      <c r="U2313" s="378"/>
      <c r="V2313" s="379">
        <f ca="1">SUM(V2301:V2312)</f>
        <v>480</v>
      </c>
      <c r="W2313" s="256">
        <f t="shared" ca="1" si="707"/>
        <v>1</v>
      </c>
      <c r="X2313" s="256">
        <f t="shared" ca="1" si="740"/>
        <v>0</v>
      </c>
      <c r="Y2313" s="250"/>
      <c r="Z2313" s="250"/>
    </row>
    <row r="2314" spans="1:29" s="293" customFormat="1" ht="15.75" x14ac:dyDescent="0.25">
      <c r="A2314" s="288"/>
      <c r="B2314" s="1374" t="str">
        <f>VLOOKUP(A2324,'11 - FINANCEIRO'!_xlnm.Print_Area,1,FALSE)</f>
        <v>2.6.2</v>
      </c>
      <c r="C2314" s="1376" t="str">
        <f>VLOOKUP(A2324,'11 - FINANCEIRO'!_xlnm.Print_Area,3,FALSE)</f>
        <v>Sinalização Vertical Com Chapa Em Esmalte Sintético</v>
      </c>
      <c r="D2314" s="1378" t="s">
        <v>477</v>
      </c>
      <c r="E2314" s="1379"/>
      <c r="F2314" s="1379"/>
      <c r="G2314" s="1379"/>
      <c r="H2314" s="1379"/>
      <c r="I2314" s="1380"/>
      <c r="J2314" s="1338" t="s">
        <v>478</v>
      </c>
      <c r="K2314" s="1338" t="s">
        <v>479</v>
      </c>
      <c r="L2314" s="1338" t="s">
        <v>480</v>
      </c>
      <c r="M2314" s="1338" t="s">
        <v>481</v>
      </c>
      <c r="N2314" s="1338" t="s">
        <v>482</v>
      </c>
      <c r="O2314" s="1338" t="s">
        <v>483</v>
      </c>
      <c r="P2314" s="290" t="s">
        <v>484</v>
      </c>
      <c r="Q2314" s="1338" t="s">
        <v>485</v>
      </c>
      <c r="R2314" s="1336" t="s">
        <v>296</v>
      </c>
      <c r="S2314" s="1338" t="s">
        <v>486</v>
      </c>
      <c r="T2314" s="1338" t="s">
        <v>487</v>
      </c>
      <c r="U2314" s="1340" t="s">
        <v>488</v>
      </c>
      <c r="V2314" s="291">
        <f t="shared" ref="V2314:V2324" ca="1" si="744">IF(OFFSET(V2314,1,1)=1,OFFSET(V2314,0,-4),OFFSET(V2314,1,0))</f>
        <v>33.599999999999994</v>
      </c>
      <c r="W2314" s="256">
        <f t="shared" ca="1" si="707"/>
        <v>2</v>
      </c>
      <c r="X2314" s="256">
        <f t="shared" ca="1" si="740"/>
        <v>1</v>
      </c>
      <c r="Y2314" s="256"/>
      <c r="Z2314" s="256"/>
      <c r="AA2314" s="292"/>
      <c r="AB2314" s="292"/>
      <c r="AC2314" s="292"/>
    </row>
    <row r="2315" spans="1:29" s="337" customFormat="1" ht="15.75" x14ac:dyDescent="0.2">
      <c r="A2315" s="288"/>
      <c r="B2315" s="1375" t="e">
        <f>LEFT(#REF!,5)</f>
        <v>#REF!</v>
      </c>
      <c r="C2315" s="1377" t="e">
        <f>VLOOKUP(LEFT(#REF!,5),'11 - FINANCEIRO'!_xlnm.Print_Area,2,FALSE)</f>
        <v>#REF!</v>
      </c>
      <c r="D2315" s="1342" t="s">
        <v>489</v>
      </c>
      <c r="E2315" s="1343"/>
      <c r="F2315" s="1344"/>
      <c r="G2315" s="1345" t="s">
        <v>490</v>
      </c>
      <c r="H2315" s="1346"/>
      <c r="I2315" s="1347"/>
      <c r="J2315" s="1339"/>
      <c r="K2315" s="1339"/>
      <c r="L2315" s="1339"/>
      <c r="M2315" s="1339"/>
      <c r="N2315" s="1339"/>
      <c r="O2315" s="1339"/>
      <c r="P2315" s="295" t="s">
        <v>491</v>
      </c>
      <c r="Q2315" s="1339"/>
      <c r="R2315" s="1337"/>
      <c r="S2315" s="1339"/>
      <c r="T2315" s="1339"/>
      <c r="U2315" s="1341"/>
      <c r="V2315" s="291">
        <f t="shared" ca="1" si="744"/>
        <v>33.599999999999994</v>
      </c>
      <c r="W2315" s="256">
        <f t="shared" ca="1" si="707"/>
        <v>2</v>
      </c>
      <c r="X2315" s="256">
        <f t="shared" ca="1" si="740"/>
        <v>1</v>
      </c>
      <c r="Y2315" s="336"/>
      <c r="Z2315" s="336"/>
    </row>
    <row r="2316" spans="1:29" s="337" customFormat="1" ht="15.75" x14ac:dyDescent="0.2">
      <c r="A2316" s="288"/>
      <c r="B2316" s="296"/>
      <c r="C2316" s="582" t="s">
        <v>625</v>
      </c>
      <c r="D2316" s="298"/>
      <c r="E2316" s="299"/>
      <c r="F2316" s="300"/>
      <c r="G2316" s="301"/>
      <c r="H2316" s="302"/>
      <c r="I2316" s="303"/>
      <c r="J2316" s="304"/>
      <c r="K2316" s="589">
        <v>1</v>
      </c>
      <c r="L2316" s="589"/>
      <c r="M2316" s="589">
        <v>0.7</v>
      </c>
      <c r="N2316" s="304"/>
      <c r="O2316" s="304"/>
      <c r="P2316" s="306"/>
      <c r="Q2316" s="304" t="s">
        <v>626</v>
      </c>
      <c r="R2316" s="307">
        <v>10</v>
      </c>
      <c r="S2316" s="308" t="str">
        <f>S2322</f>
        <v>m²</v>
      </c>
      <c r="T2316" s="309">
        <v>2</v>
      </c>
      <c r="U2316" s="310"/>
      <c r="V2316" s="291">
        <f t="shared" ca="1" si="744"/>
        <v>33.599999999999994</v>
      </c>
      <c r="W2316" s="256">
        <f t="shared" ca="1" si="707"/>
        <v>2</v>
      </c>
      <c r="X2316" s="256">
        <f t="shared" ca="1" si="740"/>
        <v>1</v>
      </c>
      <c r="Y2316" s="336"/>
      <c r="Z2316" s="336"/>
    </row>
    <row r="2317" spans="1:29" s="111" customFormat="1" ht="15.75" x14ac:dyDescent="0.2">
      <c r="A2317" s="288"/>
      <c r="B2317" s="311"/>
      <c r="C2317" s="312" t="s">
        <v>924</v>
      </c>
      <c r="D2317" s="313"/>
      <c r="E2317" s="314"/>
      <c r="F2317" s="315"/>
      <c r="G2317" s="380"/>
      <c r="H2317" s="316"/>
      <c r="I2317" s="381"/>
      <c r="J2317" s="317"/>
      <c r="K2317" s="317">
        <v>1</v>
      </c>
      <c r="L2317" s="317"/>
      <c r="M2317" s="317">
        <v>0.7</v>
      </c>
      <c r="N2317" s="314"/>
      <c r="O2317" s="313"/>
      <c r="P2317" s="318"/>
      <c r="Q2317" s="315">
        <f>28*0.7</f>
        <v>19.599999999999998</v>
      </c>
      <c r="R2317" s="319">
        <v>20</v>
      </c>
      <c r="S2317" s="317"/>
      <c r="T2317" s="320">
        <v>20</v>
      </c>
      <c r="U2317" s="321"/>
      <c r="V2317" s="817">
        <f t="shared" ca="1" si="744"/>
        <v>33.599999999999994</v>
      </c>
      <c r="W2317" s="250">
        <f t="shared" ca="1" si="707"/>
        <v>2</v>
      </c>
      <c r="X2317" s="250">
        <f t="shared" ca="1" si="740"/>
        <v>1</v>
      </c>
      <c r="Y2317" s="250"/>
      <c r="Z2317" s="250"/>
    </row>
    <row r="2318" spans="1:29" s="111" customFormat="1" ht="15" x14ac:dyDescent="0.2">
      <c r="A2318" s="288"/>
      <c r="B2318" s="322"/>
      <c r="C2318" s="312" t="s">
        <v>1159</v>
      </c>
      <c r="D2318" s="313">
        <v>34</v>
      </c>
      <c r="E2318" s="314" t="s">
        <v>518</v>
      </c>
      <c r="F2318" s="315">
        <v>10</v>
      </c>
      <c r="G2318" s="380">
        <v>80</v>
      </c>
      <c r="H2318" s="316" t="s">
        <v>518</v>
      </c>
      <c r="I2318" s="381">
        <v>8</v>
      </c>
      <c r="J2318" s="317"/>
      <c r="K2318" s="317">
        <f>ABS((G2318*20+I2318)-(D2318*20+F2318))</f>
        <v>918</v>
      </c>
      <c r="L2318" s="317"/>
      <c r="M2318" s="317"/>
      <c r="N2318" s="314">
        <f>1*0.8</f>
        <v>0.8</v>
      </c>
      <c r="O2318" s="313"/>
      <c r="P2318" s="318"/>
      <c r="Q2318" s="315">
        <v>40</v>
      </c>
      <c r="R2318" s="319">
        <f>N2318*Q2318</f>
        <v>32</v>
      </c>
      <c r="S2318" s="331" t="s">
        <v>308</v>
      </c>
      <c r="T2318" s="320">
        <v>35</v>
      </c>
      <c r="U2318" s="335"/>
      <c r="V2318" s="291">
        <f t="shared" ca="1" si="744"/>
        <v>33.599999999999994</v>
      </c>
      <c r="W2318" s="256">
        <f t="shared" ref="W2318:W2323" ca="1" si="745">IF(LEFT(_xlfn.FORMULATEXT(V2318),3)="=SO",1,IF(COUNTA(A2318:U2318)=0,0,2))</f>
        <v>2</v>
      </c>
      <c r="X2318" s="256">
        <f t="shared" ref="X2318:X2323" ca="1" si="746">IF(COUNTA(OFFSET(A2317,1,0))-COUNTA(A2317)=-1,0,1)</f>
        <v>1</v>
      </c>
      <c r="Y2318" s="250"/>
      <c r="Z2318" s="250"/>
    </row>
    <row r="2319" spans="1:29" s="111" customFormat="1" ht="15" x14ac:dyDescent="0.2">
      <c r="A2319" s="288"/>
      <c r="B2319" s="494"/>
      <c r="C2319" s="312" t="s">
        <v>1361</v>
      </c>
      <c r="D2319" s="313">
        <v>0</v>
      </c>
      <c r="E2319" s="314" t="s">
        <v>518</v>
      </c>
      <c r="F2319" s="315">
        <v>0</v>
      </c>
      <c r="G2319" s="380">
        <v>6</v>
      </c>
      <c r="H2319" s="316" t="s">
        <v>518</v>
      </c>
      <c r="I2319" s="381">
        <v>10</v>
      </c>
      <c r="J2319" s="317"/>
      <c r="K2319" s="317">
        <f>ABS((G2319*20+I2319)-(D2319*20+F2319))</f>
        <v>130</v>
      </c>
      <c r="L2319" s="317"/>
      <c r="M2319" s="317"/>
      <c r="N2319" s="314">
        <f>1*0.8</f>
        <v>0.8</v>
      </c>
      <c r="O2319" s="313"/>
      <c r="P2319" s="318"/>
      <c r="Q2319" s="315">
        <v>42</v>
      </c>
      <c r="R2319" s="319">
        <f>N2319*Q2319</f>
        <v>33.6</v>
      </c>
      <c r="S2319" s="331" t="s">
        <v>308</v>
      </c>
      <c r="T2319" s="320">
        <v>44</v>
      </c>
      <c r="U2319" s="574"/>
      <c r="V2319" s="817">
        <f t="shared" ca="1" si="744"/>
        <v>33.599999999999994</v>
      </c>
      <c r="W2319" s="250">
        <f t="shared" ca="1" si="745"/>
        <v>2</v>
      </c>
      <c r="X2319" s="250">
        <f t="shared" ca="1" si="746"/>
        <v>1</v>
      </c>
      <c r="Y2319" s="250"/>
      <c r="Z2319" s="250"/>
    </row>
    <row r="2320" spans="1:29" s="111" customFormat="1" ht="15" x14ac:dyDescent="0.2">
      <c r="A2320" s="288"/>
      <c r="B2320" s="494"/>
      <c r="C2320" s="495"/>
      <c r="D2320" s="738"/>
      <c r="E2320" s="552"/>
      <c r="F2320" s="752"/>
      <c r="G2320" s="751"/>
      <c r="H2320" s="497"/>
      <c r="I2320" s="823"/>
      <c r="J2320" s="1109"/>
      <c r="K2320" s="738"/>
      <c r="L2320" s="1109"/>
      <c r="M2320" s="752"/>
      <c r="N2320" s="552"/>
      <c r="O2320" s="738"/>
      <c r="P2320" s="565"/>
      <c r="Q2320" s="752"/>
      <c r="R2320" s="558"/>
      <c r="S2320" s="505"/>
      <c r="T2320" s="506"/>
      <c r="U2320" s="574"/>
      <c r="V2320" s="291">
        <f t="shared" ca="1" si="744"/>
        <v>33.599999999999994</v>
      </c>
      <c r="W2320" s="256">
        <f t="shared" ca="1" si="745"/>
        <v>0</v>
      </c>
      <c r="X2320" s="256">
        <f t="shared" ca="1" si="746"/>
        <v>1</v>
      </c>
      <c r="Y2320" s="250"/>
      <c r="Z2320" s="250"/>
    </row>
    <row r="2321" spans="1:29" s="111" customFormat="1" ht="15" x14ac:dyDescent="0.2">
      <c r="A2321" s="288"/>
      <c r="B2321" s="338"/>
      <c r="C2321" s="339"/>
      <c r="D2321" s="340"/>
      <c r="E2321" s="341"/>
      <c r="F2321" s="342"/>
      <c r="G2321" s="340"/>
      <c r="H2321" s="341"/>
      <c r="I2321" s="342"/>
      <c r="J2321" s="343"/>
      <c r="K2321" s="344"/>
      <c r="L2321" s="345"/>
      <c r="M2321" s="346"/>
      <c r="N2321" s="347"/>
      <c r="O2321" s="348"/>
      <c r="P2321" s="345"/>
      <c r="Q2321" s="349"/>
      <c r="R2321" s="350"/>
      <c r="S2321" s="351"/>
      <c r="T2321" s="352"/>
      <c r="U2321" s="353"/>
      <c r="V2321" s="817">
        <f t="shared" ca="1" si="744"/>
        <v>33.599999999999994</v>
      </c>
      <c r="W2321" s="250">
        <f t="shared" ca="1" si="745"/>
        <v>0</v>
      </c>
      <c r="X2321" s="250">
        <f t="shared" ca="1" si="746"/>
        <v>1</v>
      </c>
      <c r="Y2321" s="250"/>
      <c r="Z2321" s="250"/>
    </row>
    <row r="2322" spans="1:29" s="111" customFormat="1" ht="15.75" customHeight="1" x14ac:dyDescent="0.2">
      <c r="A2322" s="288"/>
      <c r="B2322" s="354"/>
      <c r="C2322" s="355"/>
      <c r="D2322" s="1354" t="s">
        <v>492</v>
      </c>
      <c r="E2322" s="1355"/>
      <c r="F2322" s="1355"/>
      <c r="G2322" s="1355"/>
      <c r="H2322" s="1355"/>
      <c r="I2322" s="1356"/>
      <c r="J2322" s="1357">
        <f>VLOOKUP(A2324,'11 - FINANCEIRO'!_xlnm.Print_Area,6,FALSE)</f>
        <v>95.6</v>
      </c>
      <c r="K2322" s="1358"/>
      <c r="L2322" s="356" t="str">
        <f>VLOOKUP(A2324,'11 - FINANCEIRO'!_xlnm.Print_Area,4,FALSE)</f>
        <v>m²</v>
      </c>
      <c r="M2322" s="1359" t="s">
        <v>493</v>
      </c>
      <c r="N2322" s="1360"/>
      <c r="O2322" s="1360"/>
      <c r="P2322" s="1360"/>
      <c r="Q2322" s="1361"/>
      <c r="R2322" s="357">
        <f>TRUNC(SUM(R2316:R2321),3)</f>
        <v>95.6</v>
      </c>
      <c r="S2322" s="358" t="str">
        <f>L2322</f>
        <v>m²</v>
      </c>
      <c r="T2322" s="359"/>
      <c r="U2322" s="360"/>
      <c r="V2322" s="291">
        <f t="shared" ca="1" si="744"/>
        <v>33.599999999999994</v>
      </c>
      <c r="W2322" s="256">
        <f t="shared" ca="1" si="745"/>
        <v>2</v>
      </c>
      <c r="X2322" s="256">
        <f t="shared" ca="1" si="746"/>
        <v>1</v>
      </c>
      <c r="Y2322" s="250"/>
      <c r="Z2322" s="250"/>
    </row>
    <row r="2323" spans="1:29" s="293" customFormat="1" ht="15.75" customHeight="1" x14ac:dyDescent="0.2">
      <c r="A2323" s="288"/>
      <c r="B2323" s="354"/>
      <c r="C2323" s="361"/>
      <c r="D2323" s="1362" t="s">
        <v>494</v>
      </c>
      <c r="E2323" s="1363"/>
      <c r="F2323" s="1363"/>
      <c r="G2323" s="1363"/>
      <c r="H2323" s="1363"/>
      <c r="I2323" s="1364"/>
      <c r="J2323" s="1365">
        <f>R2322/J2322</f>
        <v>1</v>
      </c>
      <c r="K2323" s="1366"/>
      <c r="L2323" s="1369"/>
      <c r="M2323" s="1371" t="s">
        <v>495</v>
      </c>
      <c r="N2323" s="1372"/>
      <c r="O2323" s="1372"/>
      <c r="P2323" s="1372"/>
      <c r="Q2323" s="1373"/>
      <c r="R2323" s="362">
        <f>VLOOKUP(A2324,'11 - FINANCEIRO'!_xlnm.Print_Area,8,FALSE)</f>
        <v>62</v>
      </c>
      <c r="S2323" s="363" t="str">
        <f>L2322</f>
        <v>m²</v>
      </c>
      <c r="T2323" s="359"/>
      <c r="U2323" s="360"/>
      <c r="V2323" s="817">
        <f t="shared" ca="1" si="744"/>
        <v>33.599999999999994</v>
      </c>
      <c r="W2323" s="250">
        <f t="shared" ca="1" si="745"/>
        <v>2</v>
      </c>
      <c r="X2323" s="250">
        <f t="shared" ca="1" si="746"/>
        <v>1</v>
      </c>
      <c r="Y2323" s="256"/>
      <c r="Z2323" s="256"/>
      <c r="AA2323" s="292"/>
      <c r="AB2323" s="292"/>
      <c r="AC2323" s="292"/>
    </row>
    <row r="2324" spans="1:29" s="293" customFormat="1" ht="15.75" customHeight="1" x14ac:dyDescent="0.2">
      <c r="A2324" s="288" t="s">
        <v>99</v>
      </c>
      <c r="B2324" s="364"/>
      <c r="C2324" s="365"/>
      <c r="D2324" s="1354"/>
      <c r="E2324" s="1355"/>
      <c r="F2324" s="1355"/>
      <c r="G2324" s="1355"/>
      <c r="H2324" s="1355"/>
      <c r="I2324" s="1356"/>
      <c r="J2324" s="1367"/>
      <c r="K2324" s="1368"/>
      <c r="L2324" s="1370"/>
      <c r="M2324" s="1371" t="s">
        <v>496</v>
      </c>
      <c r="N2324" s="1372"/>
      <c r="O2324" s="1372"/>
      <c r="P2324" s="1372"/>
      <c r="Q2324" s="1373"/>
      <c r="R2324" s="362">
        <f>R2322-R2323</f>
        <v>33.599999999999994</v>
      </c>
      <c r="S2324" s="363" t="str">
        <f>L2322</f>
        <v>m²</v>
      </c>
      <c r="T2324" s="366"/>
      <c r="U2324" s="367"/>
      <c r="V2324" s="291">
        <f t="shared" ca="1" si="744"/>
        <v>33.599999999999994</v>
      </c>
      <c r="W2324" s="256">
        <f t="shared" ca="1" si="707"/>
        <v>2</v>
      </c>
      <c r="X2324" s="256">
        <f t="shared" ca="1" si="740"/>
        <v>1</v>
      </c>
      <c r="Y2324" s="256"/>
      <c r="Z2324" s="256"/>
      <c r="AA2324" s="292"/>
      <c r="AB2324" s="292"/>
      <c r="AC2324" s="292"/>
    </row>
    <row r="2325" spans="1:29" s="111" customFormat="1" ht="15.75" x14ac:dyDescent="0.2">
      <c r="A2325" s="288"/>
      <c r="B2325" s="368"/>
      <c r="C2325" s="365"/>
      <c r="D2325" s="369"/>
      <c r="E2325" s="370"/>
      <c r="F2325" s="369"/>
      <c r="G2325" s="369"/>
      <c r="H2325" s="369"/>
      <c r="I2325" s="369"/>
      <c r="J2325" s="371"/>
      <c r="K2325" s="372"/>
      <c r="L2325" s="373"/>
      <c r="M2325" s="374"/>
      <c r="N2325" s="374"/>
      <c r="O2325" s="374"/>
      <c r="P2325" s="374"/>
      <c r="Q2325" s="374"/>
      <c r="R2325" s="375"/>
      <c r="S2325" s="376"/>
      <c r="T2325" s="377"/>
      <c r="U2325" s="378"/>
      <c r="V2325" s="379">
        <f ca="1">SUM(V2314:V2324)</f>
        <v>369.6</v>
      </c>
      <c r="W2325" s="256">
        <f t="shared" ca="1" si="707"/>
        <v>1</v>
      </c>
      <c r="X2325" s="256">
        <f t="shared" ca="1" si="740"/>
        <v>0</v>
      </c>
      <c r="Y2325" s="250"/>
      <c r="Z2325" s="250"/>
    </row>
    <row r="2326" spans="1:29" s="293" customFormat="1" ht="15.75" customHeight="1" x14ac:dyDescent="0.25">
      <c r="A2326" s="288"/>
      <c r="B2326" s="1374" t="str">
        <f>VLOOKUP(A2350,'11 - FINANCEIRO'!_xlnm.Print_Area,1,FALSE)</f>
        <v>2.6.3</v>
      </c>
      <c r="C2326" s="1376" t="str">
        <f>VLOOKUP(A2350,'11 - FINANCEIRO'!_xlnm.Print_Area,3,FALSE)</f>
        <v>Tela De Proteção De Segurança De PVC Cor Laranja Com Suporte  Para Sinalização De Obras</v>
      </c>
      <c r="D2326" s="1378" t="s">
        <v>477</v>
      </c>
      <c r="E2326" s="1379"/>
      <c r="F2326" s="1379"/>
      <c r="G2326" s="1379"/>
      <c r="H2326" s="1379"/>
      <c r="I2326" s="1380"/>
      <c r="J2326" s="1338" t="s">
        <v>478</v>
      </c>
      <c r="K2326" s="1338" t="s">
        <v>479</v>
      </c>
      <c r="L2326" s="1338" t="s">
        <v>582</v>
      </c>
      <c r="M2326" s="1338"/>
      <c r="N2326" s="1338"/>
      <c r="O2326" s="1338"/>
      <c r="P2326" s="290"/>
      <c r="Q2326" s="1338"/>
      <c r="R2326" s="1336" t="s">
        <v>296</v>
      </c>
      <c r="S2326" s="1338" t="s">
        <v>486</v>
      </c>
      <c r="T2326" s="1338" t="s">
        <v>487</v>
      </c>
      <c r="U2326" s="1340" t="s">
        <v>488</v>
      </c>
      <c r="V2326" s="291">
        <f t="shared" ref="V2326:V2350" ca="1" si="747">IF(OFFSET(V2326,1,1)=1,OFFSET(V2326,0,-4),OFFSET(V2326,1,0))</f>
        <v>61</v>
      </c>
      <c r="W2326" s="256">
        <f t="shared" ca="1" si="707"/>
        <v>2</v>
      </c>
      <c r="X2326" s="256">
        <f t="shared" ca="1" si="740"/>
        <v>1</v>
      </c>
      <c r="Y2326" s="256"/>
      <c r="Z2326" s="256"/>
      <c r="AA2326" s="292"/>
      <c r="AB2326" s="292"/>
      <c r="AC2326" s="292"/>
    </row>
    <row r="2327" spans="1:29" s="337" customFormat="1" ht="15.75" x14ac:dyDescent="0.2">
      <c r="A2327" s="288"/>
      <c r="B2327" s="1375"/>
      <c r="C2327" s="1377"/>
      <c r="D2327" s="1342" t="s">
        <v>489</v>
      </c>
      <c r="E2327" s="1343"/>
      <c r="F2327" s="1344"/>
      <c r="G2327" s="1345" t="s">
        <v>490</v>
      </c>
      <c r="H2327" s="1346"/>
      <c r="I2327" s="1347"/>
      <c r="J2327" s="1339"/>
      <c r="K2327" s="1339"/>
      <c r="L2327" s="1339"/>
      <c r="M2327" s="1339"/>
      <c r="N2327" s="1339"/>
      <c r="O2327" s="1339"/>
      <c r="P2327" s="295"/>
      <c r="Q2327" s="1339"/>
      <c r="R2327" s="1337"/>
      <c r="S2327" s="1339"/>
      <c r="T2327" s="1339"/>
      <c r="U2327" s="1341"/>
      <c r="V2327" s="291">
        <f t="shared" ca="1" si="747"/>
        <v>61</v>
      </c>
      <c r="W2327" s="256">
        <f t="shared" ref="W2327:W2350" ca="1" si="748">IF(LEFT(_xlfn.FORMULATEXT(V2327),3)="=SO",1,IF(COUNTA(A2327:U2327)=0,0,2))</f>
        <v>2</v>
      </c>
      <c r="X2327" s="256">
        <f t="shared" ref="X2327:X2350" ca="1" si="749">IF(COUNTA(OFFSET(A2326,1,0))-COUNTA(A2326)=-1,0,1)</f>
        <v>1</v>
      </c>
      <c r="Y2327" s="336"/>
      <c r="Z2327" s="336"/>
    </row>
    <row r="2328" spans="1:29" s="110" customFormat="1" ht="15" x14ac:dyDescent="0.2">
      <c r="A2328" s="403"/>
      <c r="B2328" s="479"/>
      <c r="C2328" s="539" t="s">
        <v>627</v>
      </c>
      <c r="D2328" s="412">
        <v>5</v>
      </c>
      <c r="E2328" s="299" t="s">
        <v>518</v>
      </c>
      <c r="F2328" s="413">
        <v>0</v>
      </c>
      <c r="G2328" s="414">
        <v>30</v>
      </c>
      <c r="H2328" s="302" t="s">
        <v>518</v>
      </c>
      <c r="I2328" s="415">
        <v>0</v>
      </c>
      <c r="J2328" s="416"/>
      <c r="K2328" s="590">
        <f t="shared" ref="K2328:K2344" si="750">ABS((G2328*20+I2328)-(D2328*20+F2328))</f>
        <v>500</v>
      </c>
      <c r="L2328" s="482">
        <v>2</v>
      </c>
      <c r="M2328" s="482"/>
      <c r="N2328" s="482"/>
      <c r="O2328" s="483"/>
      <c r="P2328" s="482"/>
      <c r="Q2328" s="483"/>
      <c r="R2328" s="546">
        <f>K2328*L2328</f>
        <v>1000</v>
      </c>
      <c r="S2328" s="483" t="str">
        <f>$L$2348</f>
        <v>m</v>
      </c>
      <c r="T2328" s="309">
        <v>12</v>
      </c>
      <c r="U2328" s="534"/>
      <c r="V2328" s="291">
        <f t="shared" ca="1" si="747"/>
        <v>61</v>
      </c>
      <c r="W2328" s="256">
        <f t="shared" ca="1" si="748"/>
        <v>2</v>
      </c>
      <c r="X2328" s="256">
        <f t="shared" ca="1" si="749"/>
        <v>1</v>
      </c>
      <c r="Y2328" s="492"/>
      <c r="Z2328" s="492"/>
    </row>
    <row r="2329" spans="1:29" s="111" customFormat="1" ht="15" x14ac:dyDescent="0.2">
      <c r="A2329" s="288"/>
      <c r="B2329" s="322"/>
      <c r="C2329" s="382" t="s">
        <v>932</v>
      </c>
      <c r="D2329" s="417">
        <v>80</v>
      </c>
      <c r="E2329" s="314" t="s">
        <v>518</v>
      </c>
      <c r="F2329" s="418">
        <v>0</v>
      </c>
      <c r="G2329" s="417">
        <v>100</v>
      </c>
      <c r="H2329" s="314" t="s">
        <v>518</v>
      </c>
      <c r="I2329" s="418">
        <v>10</v>
      </c>
      <c r="J2329" s="317"/>
      <c r="K2329" s="433">
        <f t="shared" si="750"/>
        <v>410</v>
      </c>
      <c r="L2329" s="328">
        <v>2</v>
      </c>
      <c r="M2329" s="328"/>
      <c r="N2329" s="328"/>
      <c r="O2329" s="334"/>
      <c r="P2329" s="328"/>
      <c r="Q2329" s="334"/>
      <c r="R2329" s="333">
        <f>K2329*L2329</f>
        <v>820</v>
      </c>
      <c r="S2329" s="334" t="str">
        <f t="shared" ref="S2329:S2336" si="751">$L$2348</f>
        <v>m</v>
      </c>
      <c r="T2329" s="320">
        <v>27</v>
      </c>
      <c r="U2329" s="335"/>
      <c r="V2329" s="291">
        <f t="shared" ca="1" si="747"/>
        <v>61</v>
      </c>
      <c r="W2329" s="256">
        <f t="shared" ca="1" si="748"/>
        <v>2</v>
      </c>
      <c r="X2329" s="256">
        <f t="shared" ca="1" si="749"/>
        <v>1</v>
      </c>
      <c r="Y2329" s="250"/>
      <c r="Z2329" s="250"/>
    </row>
    <row r="2330" spans="1:29" s="111" customFormat="1" ht="15" x14ac:dyDescent="0.2">
      <c r="A2330" s="288"/>
      <c r="B2330" s="322"/>
      <c r="C2330" s="382" t="s">
        <v>931</v>
      </c>
      <c r="D2330" s="417">
        <v>86</v>
      </c>
      <c r="E2330" s="314" t="s">
        <v>518</v>
      </c>
      <c r="F2330" s="418">
        <v>10</v>
      </c>
      <c r="G2330" s="417">
        <v>100</v>
      </c>
      <c r="H2330" s="314" t="s">
        <v>518</v>
      </c>
      <c r="I2330" s="418">
        <v>10</v>
      </c>
      <c r="J2330" s="317"/>
      <c r="K2330" s="433">
        <f t="shared" si="750"/>
        <v>280</v>
      </c>
      <c r="L2330" s="328">
        <v>1</v>
      </c>
      <c r="M2330" s="328"/>
      <c r="N2330" s="328"/>
      <c r="O2330" s="334"/>
      <c r="P2330" s="328"/>
      <c r="Q2330" s="334"/>
      <c r="R2330" s="333">
        <f>K2330*L2330</f>
        <v>280</v>
      </c>
      <c r="S2330" s="334" t="str">
        <f t="shared" si="751"/>
        <v>m</v>
      </c>
      <c r="T2330" s="320">
        <v>24</v>
      </c>
      <c r="U2330" s="335"/>
      <c r="V2330" s="291">
        <f t="shared" ca="1" si="747"/>
        <v>61</v>
      </c>
      <c r="W2330" s="256">
        <f t="shared" ca="1" si="748"/>
        <v>2</v>
      </c>
      <c r="X2330" s="256">
        <f t="shared" ca="1" si="749"/>
        <v>1</v>
      </c>
      <c r="Y2330" s="250"/>
      <c r="Z2330" s="250"/>
    </row>
    <row r="2331" spans="1:29" s="111" customFormat="1" ht="15" x14ac:dyDescent="0.2">
      <c r="A2331" s="288"/>
      <c r="B2331" s="494"/>
      <c r="C2331" s="550" t="s">
        <v>1051</v>
      </c>
      <c r="D2331" s="417">
        <v>70</v>
      </c>
      <c r="E2331" s="314" t="s">
        <v>518</v>
      </c>
      <c r="F2331" s="418">
        <v>0</v>
      </c>
      <c r="G2331" s="417">
        <v>79</v>
      </c>
      <c r="H2331" s="314" t="s">
        <v>518</v>
      </c>
      <c r="I2331" s="418">
        <v>16</v>
      </c>
      <c r="J2331" s="317"/>
      <c r="K2331" s="433">
        <f t="shared" si="750"/>
        <v>196</v>
      </c>
      <c r="L2331" s="328">
        <v>1</v>
      </c>
      <c r="M2331" s="760"/>
      <c r="N2331" s="761"/>
      <c r="O2331" s="505"/>
      <c r="P2331" s="501"/>
      <c r="Q2331" s="739"/>
      <c r="R2331" s="504">
        <f t="shared" ref="R2331:R2332" si="752">K2331*L2331</f>
        <v>196</v>
      </c>
      <c r="S2331" s="334" t="str">
        <f t="shared" si="751"/>
        <v>m</v>
      </c>
      <c r="T2331" s="506">
        <v>32</v>
      </c>
      <c r="U2331" s="574"/>
      <c r="V2331" s="291">
        <f t="shared" ca="1" si="747"/>
        <v>61</v>
      </c>
      <c r="W2331" s="256">
        <f t="shared" ca="1" si="748"/>
        <v>2</v>
      </c>
      <c r="X2331" s="256">
        <f t="shared" ca="1" si="749"/>
        <v>1</v>
      </c>
      <c r="Y2331" s="250"/>
      <c r="Z2331" s="250"/>
    </row>
    <row r="2332" spans="1:29" s="111" customFormat="1" ht="15" x14ac:dyDescent="0.2">
      <c r="A2332" s="288"/>
      <c r="B2332" s="494"/>
      <c r="C2332" s="550" t="s">
        <v>1052</v>
      </c>
      <c r="D2332" s="417">
        <v>69</v>
      </c>
      <c r="E2332" s="314" t="s">
        <v>518</v>
      </c>
      <c r="F2332" s="418">
        <v>0</v>
      </c>
      <c r="G2332" s="417">
        <v>79</v>
      </c>
      <c r="H2332" s="314" t="s">
        <v>518</v>
      </c>
      <c r="I2332" s="418">
        <v>16</v>
      </c>
      <c r="J2332" s="317"/>
      <c r="K2332" s="433">
        <f>ABS((G2332*20+I2332)-(D2332*20+F2332))</f>
        <v>216</v>
      </c>
      <c r="L2332" s="328">
        <v>1</v>
      </c>
      <c r="M2332" s="760"/>
      <c r="N2332" s="761"/>
      <c r="O2332" s="505"/>
      <c r="P2332" s="501"/>
      <c r="Q2332" s="739"/>
      <c r="R2332" s="504">
        <f t="shared" si="752"/>
        <v>216</v>
      </c>
      <c r="S2332" s="334" t="str">
        <f t="shared" si="751"/>
        <v>m</v>
      </c>
      <c r="T2332" s="506">
        <v>32</v>
      </c>
      <c r="U2332" s="574"/>
      <c r="V2332" s="291">
        <f t="shared" ca="1" si="747"/>
        <v>61</v>
      </c>
      <c r="W2332" s="256">
        <f t="shared" ca="1" si="748"/>
        <v>2</v>
      </c>
      <c r="X2332" s="256">
        <f t="shared" ca="1" si="749"/>
        <v>1</v>
      </c>
      <c r="Y2332" s="250"/>
      <c r="Z2332" s="250"/>
    </row>
    <row r="2333" spans="1:29" s="111" customFormat="1" ht="15" x14ac:dyDescent="0.2">
      <c r="A2333" s="288"/>
      <c r="B2333" s="494"/>
      <c r="C2333" s="550" t="s">
        <v>1089</v>
      </c>
      <c r="D2333" s="417">
        <v>67</v>
      </c>
      <c r="E2333" s="314" t="s">
        <v>518</v>
      </c>
      <c r="F2333" s="418">
        <v>0</v>
      </c>
      <c r="G2333" s="417">
        <f>D2332</f>
        <v>69</v>
      </c>
      <c r="H2333" s="314" t="s">
        <v>518</v>
      </c>
      <c r="I2333" s="418">
        <f>F2332</f>
        <v>0</v>
      </c>
      <c r="J2333" s="317"/>
      <c r="K2333" s="433">
        <f t="shared" si="750"/>
        <v>40</v>
      </c>
      <c r="L2333" s="328">
        <v>1</v>
      </c>
      <c r="M2333" s="760"/>
      <c r="N2333" s="761"/>
      <c r="O2333" s="505"/>
      <c r="P2333" s="501"/>
      <c r="Q2333" s="739"/>
      <c r="R2333" s="504">
        <f t="shared" ref="R2333:R2344" si="753">K2333*L2333</f>
        <v>40</v>
      </c>
      <c r="S2333" s="334" t="str">
        <f t="shared" si="751"/>
        <v>m</v>
      </c>
      <c r="T2333" s="506">
        <v>33</v>
      </c>
      <c r="U2333" s="574"/>
      <c r="V2333" s="291">
        <f t="shared" ca="1" si="747"/>
        <v>61</v>
      </c>
      <c r="W2333" s="256">
        <f t="shared" ca="1" si="748"/>
        <v>2</v>
      </c>
      <c r="X2333" s="256">
        <f t="shared" ca="1" si="749"/>
        <v>1</v>
      </c>
      <c r="Y2333" s="250"/>
      <c r="Z2333" s="250"/>
    </row>
    <row r="2334" spans="1:29" s="111" customFormat="1" ht="15" x14ac:dyDescent="0.2">
      <c r="A2334" s="288"/>
      <c r="B2334" s="494"/>
      <c r="C2334" s="550" t="s">
        <v>1139</v>
      </c>
      <c r="D2334" s="417">
        <v>57</v>
      </c>
      <c r="E2334" s="314" t="s">
        <v>518</v>
      </c>
      <c r="F2334" s="418">
        <v>0</v>
      </c>
      <c r="G2334" s="417">
        <v>67</v>
      </c>
      <c r="H2334" s="314" t="s">
        <v>518</v>
      </c>
      <c r="I2334" s="418">
        <v>0</v>
      </c>
      <c r="J2334" s="317"/>
      <c r="K2334" s="433">
        <f t="shared" si="750"/>
        <v>200</v>
      </c>
      <c r="L2334" s="328">
        <v>1</v>
      </c>
      <c r="M2334" s="760"/>
      <c r="N2334" s="761"/>
      <c r="O2334" s="505"/>
      <c r="P2334" s="501"/>
      <c r="Q2334" s="739"/>
      <c r="R2334" s="504">
        <f t="shared" si="753"/>
        <v>200</v>
      </c>
      <c r="S2334" s="334" t="str">
        <f t="shared" si="751"/>
        <v>m</v>
      </c>
      <c r="T2334" s="506">
        <v>34</v>
      </c>
      <c r="U2334" s="574"/>
      <c r="V2334" s="291">
        <f t="shared" ca="1" si="747"/>
        <v>61</v>
      </c>
      <c r="W2334" s="256">
        <f t="shared" ca="1" si="748"/>
        <v>2</v>
      </c>
      <c r="X2334" s="256">
        <f t="shared" ca="1" si="749"/>
        <v>1</v>
      </c>
      <c r="Y2334" s="250"/>
      <c r="Z2334" s="250"/>
    </row>
    <row r="2335" spans="1:29" s="111" customFormat="1" ht="15" x14ac:dyDescent="0.2">
      <c r="A2335" s="288"/>
      <c r="B2335" s="494"/>
      <c r="C2335" s="550" t="s">
        <v>1160</v>
      </c>
      <c r="D2335" s="417">
        <v>62</v>
      </c>
      <c r="E2335" s="314" t="s">
        <v>518</v>
      </c>
      <c r="F2335" s="418">
        <v>5</v>
      </c>
      <c r="G2335" s="417">
        <v>65</v>
      </c>
      <c r="H2335" s="314" t="s">
        <v>518</v>
      </c>
      <c r="I2335" s="418">
        <v>5</v>
      </c>
      <c r="J2335" s="317"/>
      <c r="K2335" s="433">
        <f t="shared" si="750"/>
        <v>60</v>
      </c>
      <c r="L2335" s="328">
        <v>1</v>
      </c>
      <c r="M2335" s="760"/>
      <c r="N2335" s="761"/>
      <c r="O2335" s="505"/>
      <c r="P2335" s="501"/>
      <c r="Q2335" s="739"/>
      <c r="R2335" s="504">
        <f t="shared" si="753"/>
        <v>60</v>
      </c>
      <c r="S2335" s="334" t="str">
        <f t="shared" si="751"/>
        <v>m</v>
      </c>
      <c r="T2335" s="506">
        <v>35</v>
      </c>
      <c r="U2335" s="574"/>
      <c r="V2335" s="291">
        <f t="shared" ca="1" si="747"/>
        <v>61</v>
      </c>
      <c r="W2335" s="256">
        <f t="shared" ca="1" si="748"/>
        <v>2</v>
      </c>
      <c r="X2335" s="256">
        <f t="shared" ca="1" si="749"/>
        <v>1</v>
      </c>
      <c r="Y2335" s="250"/>
      <c r="Z2335" s="250"/>
    </row>
    <row r="2336" spans="1:29" s="111" customFormat="1" ht="15" x14ac:dyDescent="0.2">
      <c r="A2336" s="288"/>
      <c r="B2336" s="494"/>
      <c r="C2336" s="550" t="s">
        <v>1160</v>
      </c>
      <c r="D2336" s="551">
        <v>69</v>
      </c>
      <c r="E2336" s="552" t="s">
        <v>518</v>
      </c>
      <c r="F2336" s="553">
        <v>10</v>
      </c>
      <c r="G2336" s="551">
        <v>62</v>
      </c>
      <c r="H2336" s="552" t="s">
        <v>518</v>
      </c>
      <c r="I2336" s="553">
        <v>5</v>
      </c>
      <c r="J2336" s="560"/>
      <c r="K2336" s="433">
        <f t="shared" si="750"/>
        <v>145</v>
      </c>
      <c r="L2336" s="501">
        <v>1</v>
      </c>
      <c r="M2336" s="760"/>
      <c r="N2336" s="761"/>
      <c r="O2336" s="505"/>
      <c r="P2336" s="501"/>
      <c r="Q2336" s="739"/>
      <c r="R2336" s="504">
        <f t="shared" si="753"/>
        <v>145</v>
      </c>
      <c r="S2336" s="334" t="str">
        <f t="shared" si="751"/>
        <v>m</v>
      </c>
      <c r="T2336" s="506">
        <v>36</v>
      </c>
      <c r="U2336" s="574"/>
      <c r="V2336" s="291">
        <f t="shared" ca="1" si="747"/>
        <v>61</v>
      </c>
      <c r="W2336" s="256">
        <f t="shared" ca="1" si="748"/>
        <v>2</v>
      </c>
      <c r="X2336" s="256">
        <f t="shared" ca="1" si="749"/>
        <v>1</v>
      </c>
      <c r="Y2336" s="250"/>
      <c r="Z2336" s="250"/>
    </row>
    <row r="2337" spans="1:29" s="111" customFormat="1" ht="15" x14ac:dyDescent="0.2">
      <c r="A2337" s="288"/>
      <c r="B2337" s="494"/>
      <c r="C2337" s="550" t="s">
        <v>667</v>
      </c>
      <c r="D2337" s="551">
        <v>0</v>
      </c>
      <c r="E2337" s="552" t="s">
        <v>518</v>
      </c>
      <c r="F2337" s="553">
        <v>0</v>
      </c>
      <c r="G2337" s="551">
        <v>6</v>
      </c>
      <c r="H2337" s="552" t="s">
        <v>518</v>
      </c>
      <c r="I2337" s="553">
        <v>0</v>
      </c>
      <c r="J2337" s="560"/>
      <c r="K2337" s="433">
        <f t="shared" si="750"/>
        <v>120</v>
      </c>
      <c r="L2337" s="501">
        <v>2</v>
      </c>
      <c r="M2337" s="760"/>
      <c r="N2337" s="761"/>
      <c r="O2337" s="505"/>
      <c r="P2337" s="501"/>
      <c r="Q2337" s="739"/>
      <c r="R2337" s="504">
        <f t="shared" si="753"/>
        <v>240</v>
      </c>
      <c r="S2337" s="505" t="s">
        <v>301</v>
      </c>
      <c r="T2337" s="506">
        <v>37</v>
      </c>
      <c r="U2337" s="574"/>
      <c r="V2337" s="291">
        <f t="shared" ca="1" si="747"/>
        <v>61</v>
      </c>
      <c r="W2337" s="256">
        <f t="shared" ca="1" si="748"/>
        <v>2</v>
      </c>
      <c r="X2337" s="256">
        <f t="shared" ca="1" si="749"/>
        <v>1</v>
      </c>
      <c r="Y2337" s="250"/>
      <c r="Z2337" s="250"/>
    </row>
    <row r="2338" spans="1:29" s="111" customFormat="1" ht="15" x14ac:dyDescent="0.2">
      <c r="A2338" s="288"/>
      <c r="B2338" s="494"/>
      <c r="C2338" s="550" t="s">
        <v>1160</v>
      </c>
      <c r="D2338" s="551">
        <v>55</v>
      </c>
      <c r="E2338" s="552" t="s">
        <v>518</v>
      </c>
      <c r="F2338" s="553">
        <v>10</v>
      </c>
      <c r="G2338" s="551">
        <v>69</v>
      </c>
      <c r="H2338" s="552" t="s">
        <v>518</v>
      </c>
      <c r="I2338" s="553">
        <v>10</v>
      </c>
      <c r="J2338" s="560"/>
      <c r="K2338" s="433">
        <f t="shared" si="750"/>
        <v>280</v>
      </c>
      <c r="L2338" s="501">
        <v>1</v>
      </c>
      <c r="M2338" s="760"/>
      <c r="N2338" s="761"/>
      <c r="O2338" s="505"/>
      <c r="P2338" s="501"/>
      <c r="Q2338" s="739"/>
      <c r="R2338" s="504">
        <f t="shared" si="753"/>
        <v>280</v>
      </c>
      <c r="S2338" s="505" t="s">
        <v>301</v>
      </c>
      <c r="T2338" s="506">
        <v>38</v>
      </c>
      <c r="U2338" s="574"/>
      <c r="V2338" s="291">
        <f t="shared" ca="1" si="747"/>
        <v>61</v>
      </c>
      <c r="W2338" s="256">
        <f t="shared" ca="1" si="748"/>
        <v>2</v>
      </c>
      <c r="X2338" s="256">
        <f t="shared" ca="1" si="749"/>
        <v>1</v>
      </c>
      <c r="Y2338" s="250"/>
      <c r="Z2338" s="250"/>
    </row>
    <row r="2339" spans="1:29" s="111" customFormat="1" ht="15" x14ac:dyDescent="0.2">
      <c r="A2339" s="288"/>
      <c r="B2339" s="494"/>
      <c r="C2339" s="1101" t="s">
        <v>1160</v>
      </c>
      <c r="D2339" s="551">
        <v>51</v>
      </c>
      <c r="E2339" s="552" t="s">
        <v>518</v>
      </c>
      <c r="F2339" s="553">
        <v>8</v>
      </c>
      <c r="G2339" s="551">
        <v>55</v>
      </c>
      <c r="H2339" s="552" t="s">
        <v>518</v>
      </c>
      <c r="I2339" s="553">
        <v>10</v>
      </c>
      <c r="J2339" s="1102"/>
      <c r="K2339" s="433">
        <f t="shared" si="750"/>
        <v>82</v>
      </c>
      <c r="L2339" s="501">
        <v>1</v>
      </c>
      <c r="M2339" s="760"/>
      <c r="N2339" s="761"/>
      <c r="O2339" s="505"/>
      <c r="P2339" s="501"/>
      <c r="Q2339" s="739"/>
      <c r="R2339" s="1104">
        <f t="shared" si="753"/>
        <v>82</v>
      </c>
      <c r="S2339" s="505" t="s">
        <v>301</v>
      </c>
      <c r="T2339" s="506">
        <v>39</v>
      </c>
      <c r="U2339" s="574"/>
      <c r="V2339" s="291">
        <f t="shared" ca="1" si="747"/>
        <v>61</v>
      </c>
      <c r="W2339" s="256">
        <f t="shared" ca="1" si="748"/>
        <v>2</v>
      </c>
      <c r="X2339" s="256">
        <f t="shared" ca="1" si="749"/>
        <v>1</v>
      </c>
      <c r="Y2339" s="250"/>
      <c r="Z2339" s="250"/>
    </row>
    <row r="2340" spans="1:29" s="111" customFormat="1" ht="15" x14ac:dyDescent="0.2">
      <c r="A2340" s="288"/>
      <c r="B2340" s="494"/>
      <c r="C2340" s="1108" t="s">
        <v>1160</v>
      </c>
      <c r="D2340" s="551">
        <v>49</v>
      </c>
      <c r="E2340" s="552" t="s">
        <v>518</v>
      </c>
      <c r="F2340" s="553">
        <v>13</v>
      </c>
      <c r="G2340" s="551">
        <v>51</v>
      </c>
      <c r="H2340" s="552" t="s">
        <v>518</v>
      </c>
      <c r="I2340" s="553">
        <v>8</v>
      </c>
      <c r="J2340" s="1109"/>
      <c r="K2340" s="433">
        <f t="shared" si="750"/>
        <v>35</v>
      </c>
      <c r="L2340" s="501">
        <v>1</v>
      </c>
      <c r="M2340" s="760"/>
      <c r="N2340" s="761"/>
      <c r="O2340" s="505"/>
      <c r="P2340" s="501"/>
      <c r="Q2340" s="739"/>
      <c r="R2340" s="1111">
        <f t="shared" si="753"/>
        <v>35</v>
      </c>
      <c r="S2340" s="505" t="s">
        <v>301</v>
      </c>
      <c r="T2340" s="506">
        <v>40</v>
      </c>
      <c r="U2340" s="574"/>
      <c r="V2340" s="291">
        <f t="shared" ca="1" si="747"/>
        <v>61</v>
      </c>
      <c r="W2340" s="256">
        <f t="shared" ref="W2340:W2347" ca="1" si="754">IF(LEFT(_xlfn.FORMULATEXT(V2340),3)="=SO",1,IF(COUNTA(A2340:U2340)=0,0,2))</f>
        <v>2</v>
      </c>
      <c r="X2340" s="256">
        <f t="shared" ref="X2340:X2347" ca="1" si="755">IF(COUNTA(OFFSET(A2339,1,0))-COUNTA(A2339)=-1,0,1)</f>
        <v>1</v>
      </c>
      <c r="Y2340" s="250"/>
      <c r="Z2340" s="250"/>
    </row>
    <row r="2341" spans="1:29" s="111" customFormat="1" ht="15" x14ac:dyDescent="0.2">
      <c r="A2341" s="288"/>
      <c r="B2341" s="494"/>
      <c r="C2341" s="1108" t="s">
        <v>1160</v>
      </c>
      <c r="D2341" s="496">
        <v>48</v>
      </c>
      <c r="E2341" s="316" t="s">
        <v>518</v>
      </c>
      <c r="F2341" s="498">
        <v>8</v>
      </c>
      <c r="G2341" s="551">
        <v>49</v>
      </c>
      <c r="H2341" s="552" t="s">
        <v>518</v>
      </c>
      <c r="I2341" s="553">
        <v>13</v>
      </c>
      <c r="J2341" s="1109"/>
      <c r="K2341" s="433">
        <f t="shared" si="750"/>
        <v>25</v>
      </c>
      <c r="L2341" s="501">
        <v>1</v>
      </c>
      <c r="M2341" s="760"/>
      <c r="N2341" s="761"/>
      <c r="O2341" s="505"/>
      <c r="P2341" s="501"/>
      <c r="Q2341" s="739"/>
      <c r="R2341" s="1111">
        <f t="shared" si="753"/>
        <v>25</v>
      </c>
      <c r="S2341" s="505" t="s">
        <v>301</v>
      </c>
      <c r="T2341" s="506">
        <v>41</v>
      </c>
      <c r="U2341" s="574"/>
      <c r="V2341" s="291">
        <f t="shared" ca="1" si="747"/>
        <v>61</v>
      </c>
      <c r="W2341" s="256">
        <f t="shared" ca="1" si="754"/>
        <v>2</v>
      </c>
      <c r="X2341" s="256">
        <f t="shared" ca="1" si="755"/>
        <v>1</v>
      </c>
      <c r="Y2341" s="250"/>
      <c r="Z2341" s="250"/>
    </row>
    <row r="2342" spans="1:29" s="111" customFormat="1" ht="15" x14ac:dyDescent="0.2">
      <c r="A2342" s="288"/>
      <c r="B2342" s="494"/>
      <c r="C2342" s="1108" t="s">
        <v>1160</v>
      </c>
      <c r="D2342" s="496">
        <v>45</v>
      </c>
      <c r="E2342" s="316" t="s">
        <v>518</v>
      </c>
      <c r="F2342" s="498">
        <v>6</v>
      </c>
      <c r="G2342" s="496">
        <v>48</v>
      </c>
      <c r="H2342" s="316" t="s">
        <v>518</v>
      </c>
      <c r="I2342" s="498">
        <v>8</v>
      </c>
      <c r="J2342" s="1109"/>
      <c r="K2342" s="433">
        <f t="shared" si="750"/>
        <v>62</v>
      </c>
      <c r="L2342" s="501">
        <v>1</v>
      </c>
      <c r="M2342" s="760"/>
      <c r="N2342" s="761"/>
      <c r="O2342" s="505"/>
      <c r="P2342" s="501"/>
      <c r="Q2342" s="739"/>
      <c r="R2342" s="1111">
        <f t="shared" si="753"/>
        <v>62</v>
      </c>
      <c r="S2342" s="505" t="s">
        <v>301</v>
      </c>
      <c r="T2342" s="506">
        <v>43</v>
      </c>
      <c r="U2342" s="574"/>
      <c r="V2342" s="291">
        <f t="shared" ca="1" si="747"/>
        <v>61</v>
      </c>
      <c r="W2342" s="256">
        <f t="shared" ca="1" si="754"/>
        <v>2</v>
      </c>
      <c r="X2342" s="256">
        <f t="shared" ca="1" si="755"/>
        <v>1</v>
      </c>
      <c r="Y2342" s="250"/>
      <c r="Z2342" s="250"/>
    </row>
    <row r="2343" spans="1:29" s="111" customFormat="1" ht="15" x14ac:dyDescent="0.2">
      <c r="A2343" s="288"/>
      <c r="B2343" s="494"/>
      <c r="C2343" s="1108" t="s">
        <v>1160</v>
      </c>
      <c r="D2343" s="496">
        <v>42</v>
      </c>
      <c r="E2343" s="316" t="s">
        <v>518</v>
      </c>
      <c r="F2343" s="498">
        <v>3</v>
      </c>
      <c r="G2343" s="496">
        <v>45</v>
      </c>
      <c r="H2343" s="316" t="s">
        <v>518</v>
      </c>
      <c r="I2343" s="498">
        <v>6</v>
      </c>
      <c r="J2343" s="1109"/>
      <c r="K2343" s="433">
        <f t="shared" si="750"/>
        <v>63</v>
      </c>
      <c r="L2343" s="501">
        <v>1</v>
      </c>
      <c r="M2343" s="760"/>
      <c r="N2343" s="761"/>
      <c r="O2343" s="505"/>
      <c r="P2343" s="501"/>
      <c r="Q2343" s="739"/>
      <c r="R2343" s="1111">
        <f t="shared" si="753"/>
        <v>63</v>
      </c>
      <c r="S2343" s="505" t="s">
        <v>301</v>
      </c>
      <c r="T2343" s="506">
        <v>43</v>
      </c>
      <c r="U2343" s="574"/>
      <c r="V2343" s="291">
        <f t="shared" ca="1" si="747"/>
        <v>61</v>
      </c>
      <c r="W2343" s="256">
        <f t="shared" ca="1" si="754"/>
        <v>2</v>
      </c>
      <c r="X2343" s="256">
        <f t="shared" ca="1" si="755"/>
        <v>1</v>
      </c>
      <c r="Y2343" s="250"/>
      <c r="Z2343" s="250"/>
    </row>
    <row r="2344" spans="1:29" s="111" customFormat="1" ht="15" x14ac:dyDescent="0.2">
      <c r="A2344" s="288"/>
      <c r="B2344" s="494"/>
      <c r="C2344" s="1108" t="s">
        <v>1160</v>
      </c>
      <c r="D2344" s="496">
        <v>39</v>
      </c>
      <c r="E2344" s="316" t="s">
        <v>518</v>
      </c>
      <c r="F2344" s="498">
        <v>2</v>
      </c>
      <c r="G2344" s="496">
        <v>42</v>
      </c>
      <c r="H2344" s="316" t="s">
        <v>518</v>
      </c>
      <c r="I2344" s="498">
        <v>3</v>
      </c>
      <c r="J2344" s="1109"/>
      <c r="K2344" s="433">
        <f t="shared" si="750"/>
        <v>61</v>
      </c>
      <c r="L2344" s="501">
        <v>1</v>
      </c>
      <c r="M2344" s="760"/>
      <c r="N2344" s="761"/>
      <c r="O2344" s="505"/>
      <c r="P2344" s="501"/>
      <c r="Q2344" s="739"/>
      <c r="R2344" s="1111">
        <f t="shared" si="753"/>
        <v>61</v>
      </c>
      <c r="S2344" s="505" t="s">
        <v>301</v>
      </c>
      <c r="T2344" s="506">
        <v>44</v>
      </c>
      <c r="U2344" s="574"/>
      <c r="V2344" s="291">
        <f t="shared" ca="1" si="747"/>
        <v>61</v>
      </c>
      <c r="W2344" s="256">
        <f t="shared" ca="1" si="754"/>
        <v>2</v>
      </c>
      <c r="X2344" s="256">
        <f t="shared" ca="1" si="755"/>
        <v>1</v>
      </c>
      <c r="Y2344" s="250"/>
      <c r="Z2344" s="250"/>
    </row>
    <row r="2345" spans="1:29" s="111" customFormat="1" ht="15" x14ac:dyDescent="0.2">
      <c r="A2345" s="288"/>
      <c r="B2345" s="494"/>
      <c r="C2345" s="1108"/>
      <c r="D2345" s="496"/>
      <c r="E2345" s="497"/>
      <c r="F2345" s="498"/>
      <c r="G2345" s="496"/>
      <c r="H2345" s="497"/>
      <c r="I2345" s="498"/>
      <c r="J2345" s="1109"/>
      <c r="K2345" s="500"/>
      <c r="L2345" s="501"/>
      <c r="M2345" s="760"/>
      <c r="N2345" s="761"/>
      <c r="O2345" s="505"/>
      <c r="P2345" s="501"/>
      <c r="Q2345" s="739"/>
      <c r="R2345" s="1111"/>
      <c r="S2345" s="505"/>
      <c r="T2345" s="506"/>
      <c r="U2345" s="574"/>
      <c r="V2345" s="291">
        <f t="shared" ca="1" si="747"/>
        <v>61</v>
      </c>
      <c r="W2345" s="256">
        <f t="shared" ca="1" si="754"/>
        <v>0</v>
      </c>
      <c r="X2345" s="256">
        <f t="shared" ca="1" si="755"/>
        <v>1</v>
      </c>
      <c r="Y2345" s="250"/>
      <c r="Z2345" s="250"/>
    </row>
    <row r="2346" spans="1:29" s="111" customFormat="1" ht="15" x14ac:dyDescent="0.2">
      <c r="A2346" s="288"/>
      <c r="B2346" s="494"/>
      <c r="C2346" s="550"/>
      <c r="D2346" s="551"/>
      <c r="E2346" s="552"/>
      <c r="F2346" s="553"/>
      <c r="G2346" s="551"/>
      <c r="H2346" s="552"/>
      <c r="I2346" s="553"/>
      <c r="J2346" s="560"/>
      <c r="K2346" s="500"/>
      <c r="L2346" s="501"/>
      <c r="M2346" s="760"/>
      <c r="N2346" s="761"/>
      <c r="O2346" s="505"/>
      <c r="P2346" s="501"/>
      <c r="Q2346" s="739"/>
      <c r="R2346" s="504"/>
      <c r="S2346" s="505"/>
      <c r="T2346" s="506"/>
      <c r="U2346" s="574"/>
      <c r="V2346" s="291">
        <f t="shared" ca="1" si="747"/>
        <v>61</v>
      </c>
      <c r="W2346" s="256">
        <f t="shared" ca="1" si="754"/>
        <v>0</v>
      </c>
      <c r="X2346" s="256">
        <f t="shared" ca="1" si="755"/>
        <v>1</v>
      </c>
      <c r="Y2346" s="250"/>
      <c r="Z2346" s="250"/>
    </row>
    <row r="2347" spans="1:29" s="111" customFormat="1" ht="15" x14ac:dyDescent="0.2">
      <c r="A2347" s="288"/>
      <c r="B2347" s="338"/>
      <c r="C2347" s="339"/>
      <c r="D2347" s="340"/>
      <c r="E2347" s="341"/>
      <c r="F2347" s="342"/>
      <c r="G2347" s="340"/>
      <c r="H2347" s="341"/>
      <c r="I2347" s="342"/>
      <c r="J2347" s="343"/>
      <c r="K2347" s="344"/>
      <c r="L2347" s="345"/>
      <c r="M2347" s="346"/>
      <c r="N2347" s="347"/>
      <c r="O2347" s="348"/>
      <c r="P2347" s="345"/>
      <c r="Q2347" s="349"/>
      <c r="R2347" s="350"/>
      <c r="S2347" s="351"/>
      <c r="T2347" s="352"/>
      <c r="U2347" s="353"/>
      <c r="V2347" s="291">
        <f t="shared" ca="1" si="747"/>
        <v>61</v>
      </c>
      <c r="W2347" s="256">
        <f t="shared" ca="1" si="754"/>
        <v>0</v>
      </c>
      <c r="X2347" s="256">
        <f t="shared" ca="1" si="755"/>
        <v>1</v>
      </c>
      <c r="Y2347" s="250"/>
      <c r="Z2347" s="250"/>
    </row>
    <row r="2348" spans="1:29" s="111" customFormat="1" ht="15.75" customHeight="1" x14ac:dyDescent="0.2">
      <c r="A2348" s="288"/>
      <c r="B2348" s="354"/>
      <c r="C2348" s="355"/>
      <c r="D2348" s="1354" t="s">
        <v>492</v>
      </c>
      <c r="E2348" s="1355"/>
      <c r="F2348" s="1355"/>
      <c r="G2348" s="1355"/>
      <c r="H2348" s="1355"/>
      <c r="I2348" s="1356"/>
      <c r="J2348" s="1357">
        <f>VLOOKUP(A2350,'11 - FINANCEIRO'!_xlnm.Print_Area,6,FALSE)</f>
        <v>3972.8</v>
      </c>
      <c r="K2348" s="1358"/>
      <c r="L2348" s="356" t="str">
        <f>VLOOKUP(A2350,'11 - FINANCEIRO'!_xlnm.Print_Area,4,FALSE)</f>
        <v>m</v>
      </c>
      <c r="M2348" s="1359" t="s">
        <v>493</v>
      </c>
      <c r="N2348" s="1360"/>
      <c r="O2348" s="1360"/>
      <c r="P2348" s="1360"/>
      <c r="Q2348" s="1361"/>
      <c r="R2348" s="357">
        <f>TRUNC(SUM(R2328:R2347),3)</f>
        <v>3805</v>
      </c>
      <c r="S2348" s="358" t="str">
        <f>L2348</f>
        <v>m</v>
      </c>
      <c r="T2348" s="359"/>
      <c r="U2348" s="360"/>
      <c r="V2348" s="291">
        <f t="shared" ca="1" si="747"/>
        <v>61</v>
      </c>
      <c r="W2348" s="256">
        <f t="shared" ca="1" si="748"/>
        <v>2</v>
      </c>
      <c r="X2348" s="256">
        <f t="shared" ca="1" si="749"/>
        <v>1</v>
      </c>
      <c r="Y2348" s="250"/>
      <c r="Z2348" s="250"/>
    </row>
    <row r="2349" spans="1:29" s="395" customFormat="1" ht="15.75" customHeight="1" x14ac:dyDescent="0.2">
      <c r="A2349" s="276"/>
      <c r="B2349" s="354"/>
      <c r="C2349" s="361"/>
      <c r="D2349" s="1362" t="s">
        <v>494</v>
      </c>
      <c r="E2349" s="1363"/>
      <c r="F2349" s="1363"/>
      <c r="G2349" s="1363"/>
      <c r="H2349" s="1363"/>
      <c r="I2349" s="1364"/>
      <c r="J2349" s="1365">
        <f>R2348/J2348</f>
        <v>0.9577627869512686</v>
      </c>
      <c r="K2349" s="1366"/>
      <c r="L2349" s="1369"/>
      <c r="M2349" s="1371" t="s">
        <v>495</v>
      </c>
      <c r="N2349" s="1372"/>
      <c r="O2349" s="1372"/>
      <c r="P2349" s="1372"/>
      <c r="Q2349" s="1373"/>
      <c r="R2349" s="362">
        <f>VLOOKUP(A2350,'11 - FINANCEIRO'!_xlnm.Print_Area,8,FALSE)</f>
        <v>3744</v>
      </c>
      <c r="S2349" s="363" t="str">
        <f>L2348</f>
        <v>m</v>
      </c>
      <c r="T2349" s="359"/>
      <c r="U2349" s="360"/>
      <c r="V2349" s="291">
        <f t="shared" ca="1" si="747"/>
        <v>61</v>
      </c>
      <c r="W2349" s="256">
        <f t="shared" ca="1" si="748"/>
        <v>2</v>
      </c>
      <c r="X2349" s="256">
        <f t="shared" ca="1" si="749"/>
        <v>1</v>
      </c>
    </row>
    <row r="2350" spans="1:29" s="395" customFormat="1" ht="15.75" customHeight="1" x14ac:dyDescent="0.2">
      <c r="A2350" s="288" t="s">
        <v>100</v>
      </c>
      <c r="B2350" s="364"/>
      <c r="C2350" s="365"/>
      <c r="D2350" s="1354"/>
      <c r="E2350" s="1355"/>
      <c r="F2350" s="1355"/>
      <c r="G2350" s="1355"/>
      <c r="H2350" s="1355"/>
      <c r="I2350" s="1356"/>
      <c r="J2350" s="1367"/>
      <c r="K2350" s="1368"/>
      <c r="L2350" s="1370"/>
      <c r="M2350" s="1371" t="s">
        <v>496</v>
      </c>
      <c r="N2350" s="1372"/>
      <c r="O2350" s="1372"/>
      <c r="P2350" s="1372"/>
      <c r="Q2350" s="1373"/>
      <c r="R2350" s="362">
        <f>R2348-R2349</f>
        <v>61</v>
      </c>
      <c r="S2350" s="363" t="str">
        <f>L2348</f>
        <v>m</v>
      </c>
      <c r="T2350" s="366"/>
      <c r="U2350" s="367"/>
      <c r="V2350" s="291">
        <f t="shared" ca="1" si="747"/>
        <v>61</v>
      </c>
      <c r="W2350" s="256">
        <f t="shared" ca="1" si="748"/>
        <v>2</v>
      </c>
      <c r="X2350" s="256">
        <f t="shared" ca="1" si="749"/>
        <v>1</v>
      </c>
    </row>
    <row r="2351" spans="1:29" s="111" customFormat="1" ht="15.75" x14ac:dyDescent="0.2">
      <c r="A2351" s="288"/>
      <c r="B2351" s="368"/>
      <c r="C2351" s="365"/>
      <c r="D2351" s="369"/>
      <c r="E2351" s="370"/>
      <c r="F2351" s="369"/>
      <c r="G2351" s="369"/>
      <c r="H2351" s="369"/>
      <c r="I2351" s="369"/>
      <c r="J2351" s="371"/>
      <c r="K2351" s="372"/>
      <c r="L2351" s="373"/>
      <c r="M2351" s="374"/>
      <c r="N2351" s="374"/>
      <c r="O2351" s="374"/>
      <c r="P2351" s="374"/>
      <c r="Q2351" s="374"/>
      <c r="R2351" s="375"/>
      <c r="S2351" s="376"/>
      <c r="T2351" s="377"/>
      <c r="U2351" s="378"/>
      <c r="V2351" s="379">
        <f ca="1">SUM(V2326:V2350)</f>
        <v>1525</v>
      </c>
      <c r="W2351" s="256">
        <f t="shared" ca="1" si="707"/>
        <v>1</v>
      </c>
      <c r="X2351" s="256">
        <f t="shared" ca="1" si="740"/>
        <v>0</v>
      </c>
      <c r="Y2351" s="250"/>
      <c r="Z2351" s="250"/>
    </row>
    <row r="2352" spans="1:29" s="293" customFormat="1" ht="15.75" x14ac:dyDescent="0.2">
      <c r="A2352" s="288"/>
      <c r="B2352" s="385" t="str">
        <f>LEFT(A2360,11)</f>
        <v>3.0</v>
      </c>
      <c r="C2352" s="386" t="str">
        <f>VLOOKUP(LEFT(A2360,11),'11 - FINANCEIRO'!_xlnm.Print_Area,2,FALSE)</f>
        <v>Canal Guaranhuns 02 - Revestimento em Terra</v>
      </c>
      <c r="D2352" s="386"/>
      <c r="E2352" s="387"/>
      <c r="F2352" s="386"/>
      <c r="G2352" s="1395"/>
      <c r="H2352" s="1395"/>
      <c r="I2352" s="1395"/>
      <c r="J2352" s="1395"/>
      <c r="K2352" s="1395"/>
      <c r="L2352" s="1395"/>
      <c r="M2352" s="389"/>
      <c r="N2352" s="390"/>
      <c r="O2352" s="389"/>
      <c r="P2352" s="389"/>
      <c r="Q2352" s="389"/>
      <c r="R2352" s="390"/>
      <c r="S2352" s="389"/>
      <c r="T2352" s="389"/>
      <c r="U2352" s="601"/>
      <c r="V2352" s="549">
        <f ca="1">SUM(V2353:V2773)</f>
        <v>-16535591.328000009</v>
      </c>
      <c r="W2352" s="256">
        <f t="shared" ca="1" si="707"/>
        <v>1</v>
      </c>
      <c r="X2352" s="256">
        <f t="shared" ca="1" si="740"/>
        <v>1</v>
      </c>
      <c r="Y2352" s="256"/>
      <c r="Z2352" s="256"/>
      <c r="AA2352" s="292"/>
      <c r="AB2352" s="292"/>
      <c r="AC2352" s="292"/>
    </row>
    <row r="2353" spans="1:29" s="293" customFormat="1" ht="15.75" x14ac:dyDescent="0.2">
      <c r="A2353" s="288"/>
      <c r="B2353" s="385" t="str">
        <f>LEFT(A2361,11)</f>
        <v>3.1</v>
      </c>
      <c r="C2353" s="386" t="str">
        <f>VLOOKUP(LEFT(A2361,11),'11 - FINANCEIRO'!_xlnm.Print_Area,2,FALSE)</f>
        <v>Terraplanagem e Pavimentação</v>
      </c>
      <c r="D2353" s="386"/>
      <c r="E2353" s="387"/>
      <c r="F2353" s="386"/>
      <c r="G2353" s="1395"/>
      <c r="H2353" s="1395"/>
      <c r="I2353" s="1395"/>
      <c r="J2353" s="1395"/>
      <c r="K2353" s="1395"/>
      <c r="L2353" s="1395"/>
      <c r="M2353" s="389"/>
      <c r="N2353" s="390"/>
      <c r="O2353" s="389"/>
      <c r="P2353" s="389"/>
      <c r="Q2353" s="389"/>
      <c r="R2353" s="390"/>
      <c r="S2353" s="389"/>
      <c r="T2353" s="389"/>
      <c r="U2353" s="601"/>
      <c r="V2353" s="549">
        <f ca="1">SUM(V2354:V2425)</f>
        <v>-8273555.663999998</v>
      </c>
      <c r="W2353" s="256">
        <f t="shared" ca="1" si="707"/>
        <v>1</v>
      </c>
      <c r="X2353" s="256">
        <f t="shared" ca="1" si="740"/>
        <v>1</v>
      </c>
      <c r="Y2353" s="256"/>
      <c r="Z2353" s="256"/>
      <c r="AA2353" s="292"/>
      <c r="AB2353" s="292"/>
      <c r="AC2353" s="292"/>
    </row>
    <row r="2354" spans="1:29" s="293" customFormat="1" ht="15.75" hidden="1" x14ac:dyDescent="0.25">
      <c r="A2354" s="288"/>
      <c r="B2354" s="1374" t="str">
        <f>VLOOKUP(A2362,'11 - FINANCEIRO'!_xlnm.Print_Area,1,FALSE)</f>
        <v>3.1.1</v>
      </c>
      <c r="C2354" s="1376" t="str">
        <f>VLOOKUP(A2362,'11 - FINANCEIRO'!_xlnm.Print_Area,3,FALSE)</f>
        <v>Escavação, Carga E Transporte De Material De 1º Categoria</v>
      </c>
      <c r="D2354" s="1378" t="s">
        <v>477</v>
      </c>
      <c r="E2354" s="1379"/>
      <c r="F2354" s="1379"/>
      <c r="G2354" s="1379"/>
      <c r="H2354" s="1379"/>
      <c r="I2354" s="1380"/>
      <c r="J2354" s="1338" t="s">
        <v>478</v>
      </c>
      <c r="K2354" s="1338" t="s">
        <v>479</v>
      </c>
      <c r="L2354" s="1338" t="s">
        <v>480</v>
      </c>
      <c r="M2354" s="1338" t="s">
        <v>481</v>
      </c>
      <c r="N2354" s="1338" t="s">
        <v>482</v>
      </c>
      <c r="O2354" s="1338" t="s">
        <v>483</v>
      </c>
      <c r="P2354" s="290" t="s">
        <v>484</v>
      </c>
      <c r="Q2354" s="1338" t="s">
        <v>485</v>
      </c>
      <c r="R2354" s="1336" t="s">
        <v>296</v>
      </c>
      <c r="S2354" s="1338" t="s">
        <v>486</v>
      </c>
      <c r="T2354" s="1338" t="s">
        <v>487</v>
      </c>
      <c r="U2354" s="1340" t="s">
        <v>488</v>
      </c>
      <c r="V2354" s="291">
        <f t="shared" ref="V2354:V2362" ca="1" si="756">IF(OFFSET(V2354,1,1)=1,OFFSET(V2354,0,-4),OFFSET(V2354,1,0))</f>
        <v>0</v>
      </c>
      <c r="W2354" s="256">
        <f t="shared" ca="1" si="707"/>
        <v>2</v>
      </c>
      <c r="X2354" s="256">
        <f t="shared" ca="1" si="740"/>
        <v>1</v>
      </c>
      <c r="Y2354" s="256"/>
      <c r="Z2354" s="256"/>
      <c r="AA2354" s="292"/>
      <c r="AB2354" s="292"/>
      <c r="AC2354" s="292"/>
    </row>
    <row r="2355" spans="1:29" s="337" customFormat="1" ht="15.75" hidden="1" x14ac:dyDescent="0.2">
      <c r="A2355" s="288"/>
      <c r="B2355" s="1375"/>
      <c r="C2355" s="1377" t="e">
        <f>VLOOKUP(LEFT(#REF!,5),'11 - FINANCEIRO'!_xlnm.Print_Area,2,FALSE)</f>
        <v>#REF!</v>
      </c>
      <c r="D2355" s="1342" t="s">
        <v>489</v>
      </c>
      <c r="E2355" s="1343"/>
      <c r="F2355" s="1344"/>
      <c r="G2355" s="1345" t="s">
        <v>490</v>
      </c>
      <c r="H2355" s="1346"/>
      <c r="I2355" s="1347"/>
      <c r="J2355" s="1339"/>
      <c r="K2355" s="1339"/>
      <c r="L2355" s="1339"/>
      <c r="M2355" s="1339"/>
      <c r="N2355" s="1339"/>
      <c r="O2355" s="1339"/>
      <c r="P2355" s="295" t="s">
        <v>491</v>
      </c>
      <c r="Q2355" s="1339"/>
      <c r="R2355" s="1337"/>
      <c r="S2355" s="1339"/>
      <c r="T2355" s="1339"/>
      <c r="U2355" s="1341"/>
      <c r="V2355" s="291">
        <f t="shared" ca="1" si="756"/>
        <v>0</v>
      </c>
      <c r="W2355" s="256">
        <f t="shared" ca="1" si="707"/>
        <v>2</v>
      </c>
      <c r="X2355" s="256">
        <f t="shared" ca="1" si="740"/>
        <v>1</v>
      </c>
      <c r="Y2355" s="336"/>
      <c r="Z2355" s="336"/>
    </row>
    <row r="2356" spans="1:29" s="337" customFormat="1" ht="15.75" hidden="1" x14ac:dyDescent="0.2">
      <c r="A2356" s="288"/>
      <c r="B2356" s="296"/>
      <c r="C2356" s="297" t="s">
        <v>1136</v>
      </c>
      <c r="D2356" s="298"/>
      <c r="E2356" s="299"/>
      <c r="F2356" s="300"/>
      <c r="G2356" s="301"/>
      <c r="H2356" s="302"/>
      <c r="I2356" s="303"/>
      <c r="J2356" s="304"/>
      <c r="K2356" s="304"/>
      <c r="L2356" s="304"/>
      <c r="M2356" s="304"/>
      <c r="N2356" s="304"/>
      <c r="O2356" s="304"/>
      <c r="P2356" s="306"/>
      <c r="Q2356" s="304"/>
      <c r="R2356" s="307">
        <v>3715.3130000000001</v>
      </c>
      <c r="S2356" s="304"/>
      <c r="T2356" s="309">
        <v>34</v>
      </c>
      <c r="U2356" s="310" t="s">
        <v>1140</v>
      </c>
      <c r="V2356" s="291">
        <f t="shared" ca="1" si="756"/>
        <v>0</v>
      </c>
      <c r="W2356" s="256">
        <f t="shared" ca="1" si="707"/>
        <v>2</v>
      </c>
      <c r="X2356" s="256">
        <f t="shared" ca="1" si="740"/>
        <v>1</v>
      </c>
      <c r="Y2356" s="336"/>
      <c r="Z2356" s="336"/>
    </row>
    <row r="2357" spans="1:29" s="111" customFormat="1" ht="15.75" hidden="1" x14ac:dyDescent="0.2">
      <c r="A2357" s="288"/>
      <c r="B2357" s="311"/>
      <c r="C2357" s="312" t="s">
        <v>1174</v>
      </c>
      <c r="D2357" s="313"/>
      <c r="E2357" s="314"/>
      <c r="F2357" s="315"/>
      <c r="G2357" s="380"/>
      <c r="H2357" s="316"/>
      <c r="I2357" s="381"/>
      <c r="J2357" s="317"/>
      <c r="K2357" s="313"/>
      <c r="L2357" s="317"/>
      <c r="M2357" s="315"/>
      <c r="N2357" s="314"/>
      <c r="O2357" s="313"/>
      <c r="P2357" s="318"/>
      <c r="Q2357" s="315"/>
      <c r="R2357" s="319">
        <v>-3715.3130000000001</v>
      </c>
      <c r="S2357" s="317"/>
      <c r="T2357" s="320">
        <v>35</v>
      </c>
      <c r="U2357" s="321"/>
      <c r="V2357" s="291">
        <f t="shared" ca="1" si="756"/>
        <v>0</v>
      </c>
      <c r="W2357" s="256">
        <f t="shared" ca="1" si="707"/>
        <v>2</v>
      </c>
      <c r="X2357" s="256">
        <f t="shared" ca="1" si="740"/>
        <v>1</v>
      </c>
      <c r="Y2357" s="250"/>
      <c r="Z2357" s="250"/>
    </row>
    <row r="2358" spans="1:29" s="111" customFormat="1" ht="15" hidden="1" x14ac:dyDescent="0.2">
      <c r="A2358" s="288"/>
      <c r="B2358" s="322"/>
      <c r="C2358" s="382"/>
      <c r="D2358" s="324"/>
      <c r="E2358" s="325"/>
      <c r="F2358" s="326"/>
      <c r="G2358" s="324"/>
      <c r="H2358" s="325"/>
      <c r="I2358" s="326"/>
      <c r="J2358" s="317"/>
      <c r="K2358" s="328"/>
      <c r="L2358" s="328"/>
      <c r="M2358" s="328"/>
      <c r="N2358" s="328"/>
      <c r="O2358" s="334"/>
      <c r="P2358" s="328"/>
      <c r="Q2358" s="334"/>
      <c r="R2358" s="333"/>
      <c r="S2358" s="331"/>
      <c r="T2358" s="320"/>
      <c r="U2358" s="335"/>
      <c r="V2358" s="291">
        <f t="shared" ca="1" si="756"/>
        <v>0</v>
      </c>
      <c r="W2358" s="256">
        <f t="shared" ca="1" si="707"/>
        <v>0</v>
      </c>
      <c r="X2358" s="256">
        <f t="shared" ca="1" si="740"/>
        <v>1</v>
      </c>
      <c r="Y2358" s="250"/>
      <c r="Z2358" s="250"/>
    </row>
    <row r="2359" spans="1:29" s="111" customFormat="1" ht="15" hidden="1" x14ac:dyDescent="0.2">
      <c r="A2359" s="288"/>
      <c r="B2359" s="338"/>
      <c r="C2359" s="339"/>
      <c r="D2359" s="340"/>
      <c r="E2359" s="341"/>
      <c r="F2359" s="342"/>
      <c r="G2359" s="340"/>
      <c r="H2359" s="341"/>
      <c r="I2359" s="342"/>
      <c r="J2359" s="343"/>
      <c r="K2359" s="344"/>
      <c r="L2359" s="345"/>
      <c r="M2359" s="346"/>
      <c r="N2359" s="347"/>
      <c r="O2359" s="348"/>
      <c r="P2359" s="345"/>
      <c r="Q2359" s="349"/>
      <c r="R2359" s="350"/>
      <c r="S2359" s="351"/>
      <c r="T2359" s="352"/>
      <c r="U2359" s="353"/>
      <c r="V2359" s="291">
        <f t="shared" ca="1" si="756"/>
        <v>0</v>
      </c>
      <c r="W2359" s="256">
        <f t="shared" ca="1" si="707"/>
        <v>0</v>
      </c>
      <c r="X2359" s="256">
        <f t="shared" ca="1" si="740"/>
        <v>1</v>
      </c>
      <c r="Y2359" s="250"/>
      <c r="Z2359" s="250"/>
    </row>
    <row r="2360" spans="1:29" s="111" customFormat="1" ht="15.75" hidden="1" customHeight="1" x14ac:dyDescent="0.2">
      <c r="A2360" s="288" t="s">
        <v>101</v>
      </c>
      <c r="B2360" s="354"/>
      <c r="C2360" s="355"/>
      <c r="D2360" s="1354" t="s">
        <v>492</v>
      </c>
      <c r="E2360" s="1355"/>
      <c r="F2360" s="1355"/>
      <c r="G2360" s="1355"/>
      <c r="H2360" s="1355"/>
      <c r="I2360" s="1356"/>
      <c r="J2360" s="1357">
        <f>VLOOKUP(A2362,'11 - FINANCEIRO'!_xlnm.Print_Area,6,FALSE)</f>
        <v>16199.32</v>
      </c>
      <c r="K2360" s="1358"/>
      <c r="L2360" s="356" t="str">
        <f>VLOOKUP(A2362,'11 - FINANCEIRO'!_xlnm.Print_Area,4,FALSE)</f>
        <v>m³</v>
      </c>
      <c r="M2360" s="1359" t="s">
        <v>493</v>
      </c>
      <c r="N2360" s="1360"/>
      <c r="O2360" s="1360"/>
      <c r="P2360" s="1360"/>
      <c r="Q2360" s="1361"/>
      <c r="R2360" s="357">
        <f>TRUNC(SUM(R2356:R2359),3)</f>
        <v>0</v>
      </c>
      <c r="S2360" s="358" t="str">
        <f>L2360</f>
        <v>m³</v>
      </c>
      <c r="T2360" s="359"/>
      <c r="U2360" s="360"/>
      <c r="V2360" s="291">
        <f t="shared" ca="1" si="756"/>
        <v>0</v>
      </c>
      <c r="W2360" s="256">
        <f t="shared" ref="W2360:W2435" ca="1" si="757">IF(LEFT(_xlfn.FORMULATEXT(V2360),3)="=SO",1,IF(COUNTA(A2360:U2360)=0,0,2))</f>
        <v>2</v>
      </c>
      <c r="X2360" s="256">
        <f t="shared" ca="1" si="740"/>
        <v>1</v>
      </c>
      <c r="Y2360" s="250"/>
      <c r="Z2360" s="250"/>
    </row>
    <row r="2361" spans="1:29" s="293" customFormat="1" ht="15.75" hidden="1" customHeight="1" x14ac:dyDescent="0.2">
      <c r="A2361" s="288" t="s">
        <v>102</v>
      </c>
      <c r="B2361" s="354"/>
      <c r="C2361" s="361"/>
      <c r="D2361" s="1362" t="s">
        <v>494</v>
      </c>
      <c r="E2361" s="1363"/>
      <c r="F2361" s="1363"/>
      <c r="G2361" s="1363"/>
      <c r="H2361" s="1363"/>
      <c r="I2361" s="1364"/>
      <c r="J2361" s="1365">
        <f>R2360/J2360</f>
        <v>0</v>
      </c>
      <c r="K2361" s="1366"/>
      <c r="L2361" s="1369"/>
      <c r="M2361" s="1371" t="s">
        <v>495</v>
      </c>
      <c r="N2361" s="1372"/>
      <c r="O2361" s="1372"/>
      <c r="P2361" s="1372"/>
      <c r="Q2361" s="1373"/>
      <c r="R2361" s="362">
        <f>VLOOKUP(A2362,'11 - FINANCEIRO'!_xlnm.Print_Area,8,FALSE)</f>
        <v>0</v>
      </c>
      <c r="S2361" s="363" t="str">
        <f>L2360</f>
        <v>m³</v>
      </c>
      <c r="T2361" s="359"/>
      <c r="U2361" s="360"/>
      <c r="V2361" s="291">
        <f t="shared" ca="1" si="756"/>
        <v>0</v>
      </c>
      <c r="W2361" s="256">
        <f t="shared" ca="1" si="757"/>
        <v>2</v>
      </c>
      <c r="X2361" s="256">
        <f t="shared" ca="1" si="740"/>
        <v>1</v>
      </c>
      <c r="Y2361" s="256"/>
      <c r="Z2361" s="256"/>
      <c r="AA2361" s="292"/>
      <c r="AB2361" s="292"/>
      <c r="AC2361" s="292"/>
    </row>
    <row r="2362" spans="1:29" s="293" customFormat="1" ht="15.75" hidden="1" customHeight="1" x14ac:dyDescent="0.2">
      <c r="A2362" s="288" t="s">
        <v>103</v>
      </c>
      <c r="B2362" s="364"/>
      <c r="C2362" s="365"/>
      <c r="D2362" s="1354"/>
      <c r="E2362" s="1355"/>
      <c r="F2362" s="1355"/>
      <c r="G2362" s="1355"/>
      <c r="H2362" s="1355"/>
      <c r="I2362" s="1356"/>
      <c r="J2362" s="1367"/>
      <c r="K2362" s="1368"/>
      <c r="L2362" s="1370"/>
      <c r="M2362" s="1371" t="s">
        <v>496</v>
      </c>
      <c r="N2362" s="1372"/>
      <c r="O2362" s="1372"/>
      <c r="P2362" s="1372"/>
      <c r="Q2362" s="1373"/>
      <c r="R2362" s="362">
        <f>R2360-R2361</f>
        <v>0</v>
      </c>
      <c r="S2362" s="363" t="str">
        <f>L2360</f>
        <v>m³</v>
      </c>
      <c r="T2362" s="366"/>
      <c r="U2362" s="367"/>
      <c r="V2362" s="291">
        <f t="shared" ca="1" si="756"/>
        <v>0</v>
      </c>
      <c r="W2362" s="256">
        <f t="shared" ca="1" si="757"/>
        <v>2</v>
      </c>
      <c r="X2362" s="256">
        <f t="shared" ca="1" si="740"/>
        <v>1</v>
      </c>
      <c r="Y2362" s="256"/>
      <c r="Z2362" s="256"/>
      <c r="AA2362" s="292"/>
      <c r="AB2362" s="292"/>
      <c r="AC2362" s="292"/>
    </row>
    <row r="2363" spans="1:29" s="111" customFormat="1" ht="15.75" hidden="1" x14ac:dyDescent="0.2">
      <c r="A2363" s="288"/>
      <c r="B2363" s="368"/>
      <c r="C2363" s="365"/>
      <c r="D2363" s="369"/>
      <c r="E2363" s="370"/>
      <c r="F2363" s="369"/>
      <c r="G2363" s="369"/>
      <c r="H2363" s="369"/>
      <c r="I2363" s="369"/>
      <c r="J2363" s="371"/>
      <c r="K2363" s="372"/>
      <c r="L2363" s="373"/>
      <c r="M2363" s="374"/>
      <c r="N2363" s="374"/>
      <c r="O2363" s="374"/>
      <c r="P2363" s="374"/>
      <c r="Q2363" s="374"/>
      <c r="R2363" s="375"/>
      <c r="S2363" s="376"/>
      <c r="T2363" s="377"/>
      <c r="U2363" s="378"/>
      <c r="V2363" s="379">
        <f ca="1">SUM(V2354:V2362)</f>
        <v>0</v>
      </c>
      <c r="W2363" s="256">
        <f t="shared" ca="1" si="757"/>
        <v>1</v>
      </c>
      <c r="X2363" s="256">
        <f t="shared" ca="1" si="740"/>
        <v>0</v>
      </c>
      <c r="Y2363" s="250"/>
      <c r="Z2363" s="250"/>
    </row>
    <row r="2364" spans="1:29" s="293" customFormat="1" ht="15.75" hidden="1" customHeight="1" x14ac:dyDescent="0.25">
      <c r="A2364" s="288"/>
      <c r="B2364" s="1374" t="str">
        <f>VLOOKUP(A2372,'11 - FINANCEIRO'!_xlnm.Print_Area,1,FALSE)</f>
        <v>3.1.2</v>
      </c>
      <c r="C2364" s="1376" t="str">
        <f>VLOOKUP(A2372,'11 - FINANCEIRO'!_xlnm.Print_Area,3,FALSE)</f>
        <v>Remocao Residuos Classe A Conama (Cacamba) Classe Ii B (Nbr10004) Inclusive Destinacao Final</v>
      </c>
      <c r="D2364" s="1378" t="s">
        <v>477</v>
      </c>
      <c r="E2364" s="1379"/>
      <c r="F2364" s="1379"/>
      <c r="G2364" s="1379"/>
      <c r="H2364" s="1379"/>
      <c r="I2364" s="1380"/>
      <c r="J2364" s="1338" t="s">
        <v>478</v>
      </c>
      <c r="K2364" s="1338" t="s">
        <v>479</v>
      </c>
      <c r="L2364" s="1338" t="s">
        <v>480</v>
      </c>
      <c r="M2364" s="1338" t="s">
        <v>481</v>
      </c>
      <c r="N2364" s="1338" t="s">
        <v>482</v>
      </c>
      <c r="O2364" s="1338" t="s">
        <v>483</v>
      </c>
      <c r="P2364" s="290" t="s">
        <v>484</v>
      </c>
      <c r="Q2364" s="1338" t="s">
        <v>485</v>
      </c>
      <c r="R2364" s="1336" t="s">
        <v>296</v>
      </c>
      <c r="S2364" s="1338" t="s">
        <v>486</v>
      </c>
      <c r="T2364" s="1338" t="s">
        <v>487</v>
      </c>
      <c r="U2364" s="1340" t="s">
        <v>488</v>
      </c>
      <c r="V2364" s="291">
        <f t="shared" ref="V2364:V2372" ca="1" si="758">IF(OFFSET(V2364,1,1)=1,OFFSET(V2364,0,-4),OFFSET(V2364,1,0))</f>
        <v>0</v>
      </c>
      <c r="W2364" s="256">
        <f t="shared" ca="1" si="757"/>
        <v>2</v>
      </c>
      <c r="X2364" s="256">
        <f t="shared" ca="1" si="740"/>
        <v>1</v>
      </c>
      <c r="Y2364" s="256"/>
      <c r="Z2364" s="256"/>
      <c r="AA2364" s="292"/>
      <c r="AB2364" s="292"/>
      <c r="AC2364" s="292"/>
    </row>
    <row r="2365" spans="1:29" s="337" customFormat="1" ht="15.75" hidden="1" x14ac:dyDescent="0.2">
      <c r="A2365" s="288"/>
      <c r="B2365" s="1375"/>
      <c r="C2365" s="1377" t="e">
        <f>VLOOKUP(LEFT(#REF!,5),'11 - FINANCEIRO'!_xlnm.Print_Area,2,FALSE)</f>
        <v>#REF!</v>
      </c>
      <c r="D2365" s="1342" t="s">
        <v>489</v>
      </c>
      <c r="E2365" s="1343"/>
      <c r="F2365" s="1344"/>
      <c r="G2365" s="1345" t="s">
        <v>490</v>
      </c>
      <c r="H2365" s="1346"/>
      <c r="I2365" s="1347"/>
      <c r="J2365" s="1339"/>
      <c r="K2365" s="1339"/>
      <c r="L2365" s="1339"/>
      <c r="M2365" s="1339"/>
      <c r="N2365" s="1339"/>
      <c r="O2365" s="1339"/>
      <c r="P2365" s="295" t="s">
        <v>491</v>
      </c>
      <c r="Q2365" s="1339"/>
      <c r="R2365" s="1337"/>
      <c r="S2365" s="1339"/>
      <c r="T2365" s="1339"/>
      <c r="U2365" s="1341"/>
      <c r="V2365" s="291">
        <f t="shared" ca="1" si="758"/>
        <v>0</v>
      </c>
      <c r="W2365" s="256">
        <f t="shared" ca="1" si="757"/>
        <v>2</v>
      </c>
      <c r="X2365" s="256">
        <f t="shared" ca="1" si="740"/>
        <v>1</v>
      </c>
      <c r="Y2365" s="336"/>
      <c r="Z2365" s="336"/>
    </row>
    <row r="2366" spans="1:29" s="337" customFormat="1" ht="15.75" hidden="1" x14ac:dyDescent="0.2">
      <c r="A2366" s="288"/>
      <c r="B2366" s="296"/>
      <c r="C2366" s="297"/>
      <c r="D2366" s="298"/>
      <c r="E2366" s="299"/>
      <c r="F2366" s="300"/>
      <c r="G2366" s="301"/>
      <c r="H2366" s="302"/>
      <c r="I2366" s="303"/>
      <c r="J2366" s="304"/>
      <c r="K2366" s="304"/>
      <c r="L2366" s="304"/>
      <c r="M2366" s="304"/>
      <c r="N2366" s="304"/>
      <c r="O2366" s="304"/>
      <c r="P2366" s="306"/>
      <c r="Q2366" s="304"/>
      <c r="R2366" s="307"/>
      <c r="S2366" s="304"/>
      <c r="T2366" s="309"/>
      <c r="U2366" s="310"/>
      <c r="V2366" s="291">
        <f t="shared" ca="1" si="758"/>
        <v>0</v>
      </c>
      <c r="W2366" s="256">
        <f t="shared" ca="1" si="757"/>
        <v>0</v>
      </c>
      <c r="X2366" s="256">
        <f t="shared" ca="1" si="740"/>
        <v>1</v>
      </c>
      <c r="Y2366" s="336"/>
      <c r="Z2366" s="336"/>
    </row>
    <row r="2367" spans="1:29" s="111" customFormat="1" ht="15.75" hidden="1" x14ac:dyDescent="0.2">
      <c r="A2367" s="288"/>
      <c r="B2367" s="311"/>
      <c r="C2367" s="312"/>
      <c r="D2367" s="313"/>
      <c r="E2367" s="314"/>
      <c r="F2367" s="315"/>
      <c r="G2367" s="380"/>
      <c r="H2367" s="316"/>
      <c r="I2367" s="381"/>
      <c r="J2367" s="317"/>
      <c r="K2367" s="313"/>
      <c r="L2367" s="317"/>
      <c r="M2367" s="315"/>
      <c r="N2367" s="314"/>
      <c r="O2367" s="313"/>
      <c r="P2367" s="318"/>
      <c r="Q2367" s="315"/>
      <c r="R2367" s="319"/>
      <c r="S2367" s="317"/>
      <c r="T2367" s="320"/>
      <c r="U2367" s="321"/>
      <c r="V2367" s="291">
        <f t="shared" ca="1" si="758"/>
        <v>0</v>
      </c>
      <c r="W2367" s="256">
        <f t="shared" ca="1" si="757"/>
        <v>0</v>
      </c>
      <c r="X2367" s="256">
        <f t="shared" ca="1" si="740"/>
        <v>1</v>
      </c>
      <c r="Y2367" s="250"/>
      <c r="Z2367" s="250"/>
    </row>
    <row r="2368" spans="1:29" s="111" customFormat="1" ht="15" hidden="1" x14ac:dyDescent="0.2">
      <c r="A2368" s="288"/>
      <c r="B2368" s="322"/>
      <c r="C2368" s="382"/>
      <c r="D2368" s="324"/>
      <c r="E2368" s="325"/>
      <c r="F2368" s="326"/>
      <c r="G2368" s="324"/>
      <c r="H2368" s="325"/>
      <c r="I2368" s="326"/>
      <c r="J2368" s="317"/>
      <c r="K2368" s="328"/>
      <c r="L2368" s="328"/>
      <c r="M2368" s="328"/>
      <c r="N2368" s="328"/>
      <c r="O2368" s="334"/>
      <c r="P2368" s="328"/>
      <c r="Q2368" s="334"/>
      <c r="R2368" s="333"/>
      <c r="S2368" s="331"/>
      <c r="T2368" s="320"/>
      <c r="U2368" s="335"/>
      <c r="V2368" s="291">
        <f t="shared" ca="1" si="758"/>
        <v>0</v>
      </c>
      <c r="W2368" s="256">
        <f t="shared" ca="1" si="757"/>
        <v>0</v>
      </c>
      <c r="X2368" s="256">
        <f t="shared" ca="1" si="740"/>
        <v>1</v>
      </c>
      <c r="Y2368" s="250"/>
      <c r="Z2368" s="250"/>
    </row>
    <row r="2369" spans="1:29" s="111" customFormat="1" ht="15" hidden="1" x14ac:dyDescent="0.2">
      <c r="A2369" s="288"/>
      <c r="B2369" s="338"/>
      <c r="C2369" s="339"/>
      <c r="D2369" s="340"/>
      <c r="E2369" s="341"/>
      <c r="F2369" s="342"/>
      <c r="G2369" s="340"/>
      <c r="H2369" s="341"/>
      <c r="I2369" s="342"/>
      <c r="J2369" s="343"/>
      <c r="K2369" s="344"/>
      <c r="L2369" s="345"/>
      <c r="M2369" s="346"/>
      <c r="N2369" s="347"/>
      <c r="O2369" s="348"/>
      <c r="P2369" s="345"/>
      <c r="Q2369" s="349"/>
      <c r="R2369" s="350"/>
      <c r="S2369" s="351"/>
      <c r="T2369" s="352"/>
      <c r="U2369" s="353"/>
      <c r="V2369" s="291">
        <f t="shared" ca="1" si="758"/>
        <v>0</v>
      </c>
      <c r="W2369" s="256">
        <f t="shared" ca="1" si="757"/>
        <v>0</v>
      </c>
      <c r="X2369" s="256">
        <f t="shared" ca="1" si="740"/>
        <v>1</v>
      </c>
      <c r="Y2369" s="250"/>
      <c r="Z2369" s="250"/>
    </row>
    <row r="2370" spans="1:29" s="111" customFormat="1" ht="15.75" hidden="1" customHeight="1" x14ac:dyDescent="0.2">
      <c r="A2370" s="288"/>
      <c r="B2370" s="354"/>
      <c r="C2370" s="355"/>
      <c r="D2370" s="1354" t="s">
        <v>492</v>
      </c>
      <c r="E2370" s="1355"/>
      <c r="F2370" s="1355"/>
      <c r="G2370" s="1355"/>
      <c r="H2370" s="1355"/>
      <c r="I2370" s="1356"/>
      <c r="J2370" s="1357">
        <f>VLOOKUP(A2372,'11 - FINANCEIRO'!_xlnm.Print_Area,6,FALSE)</f>
        <v>17900.25</v>
      </c>
      <c r="K2370" s="1358"/>
      <c r="L2370" s="356" t="str">
        <f>VLOOKUP(A2372,'11 - FINANCEIRO'!_xlnm.Print_Area,4,FALSE)</f>
        <v>m³</v>
      </c>
      <c r="M2370" s="1359" t="s">
        <v>493</v>
      </c>
      <c r="N2370" s="1360"/>
      <c r="O2370" s="1360"/>
      <c r="P2370" s="1360"/>
      <c r="Q2370" s="1361"/>
      <c r="R2370" s="357">
        <f>TRUNC(SUM(R2366:R2369),3)</f>
        <v>0</v>
      </c>
      <c r="S2370" s="358" t="str">
        <f>L2370</f>
        <v>m³</v>
      </c>
      <c r="T2370" s="359"/>
      <c r="U2370" s="360"/>
      <c r="V2370" s="291">
        <f t="shared" ca="1" si="758"/>
        <v>0</v>
      </c>
      <c r="W2370" s="256">
        <f t="shared" ca="1" si="757"/>
        <v>2</v>
      </c>
      <c r="X2370" s="256">
        <f t="shared" ca="1" si="740"/>
        <v>1</v>
      </c>
      <c r="Y2370" s="250"/>
      <c r="Z2370" s="250"/>
    </row>
    <row r="2371" spans="1:29" s="293" customFormat="1" ht="15.75" hidden="1" customHeight="1" x14ac:dyDescent="0.2">
      <c r="A2371" s="288"/>
      <c r="B2371" s="354"/>
      <c r="C2371" s="361"/>
      <c r="D2371" s="1362" t="s">
        <v>494</v>
      </c>
      <c r="E2371" s="1363"/>
      <c r="F2371" s="1363"/>
      <c r="G2371" s="1363"/>
      <c r="H2371" s="1363"/>
      <c r="I2371" s="1364"/>
      <c r="J2371" s="1365">
        <f>R2370/J2370</f>
        <v>0</v>
      </c>
      <c r="K2371" s="1366"/>
      <c r="L2371" s="1369"/>
      <c r="M2371" s="1371" t="s">
        <v>495</v>
      </c>
      <c r="N2371" s="1372"/>
      <c r="O2371" s="1372"/>
      <c r="P2371" s="1372"/>
      <c r="Q2371" s="1373"/>
      <c r="R2371" s="362">
        <f>VLOOKUP(A2372,'11 - FINANCEIRO'!_xlnm.Print_Area,8,FALSE)</f>
        <v>0</v>
      </c>
      <c r="S2371" s="363" t="str">
        <f>L2370</f>
        <v>m³</v>
      </c>
      <c r="T2371" s="359"/>
      <c r="U2371" s="360"/>
      <c r="V2371" s="291">
        <f t="shared" ca="1" si="758"/>
        <v>0</v>
      </c>
      <c r="W2371" s="256">
        <f t="shared" ca="1" si="757"/>
        <v>2</v>
      </c>
      <c r="X2371" s="256">
        <f t="shared" ca="1" si="740"/>
        <v>1</v>
      </c>
      <c r="Y2371" s="256"/>
      <c r="Z2371" s="256"/>
      <c r="AA2371" s="292"/>
      <c r="AB2371" s="292"/>
      <c r="AC2371" s="292"/>
    </row>
    <row r="2372" spans="1:29" s="293" customFormat="1" ht="15.75" hidden="1" customHeight="1" x14ac:dyDescent="0.2">
      <c r="A2372" s="288" t="s">
        <v>104</v>
      </c>
      <c r="B2372" s="364"/>
      <c r="C2372" s="365"/>
      <c r="D2372" s="1354"/>
      <c r="E2372" s="1355"/>
      <c r="F2372" s="1355"/>
      <c r="G2372" s="1355"/>
      <c r="H2372" s="1355"/>
      <c r="I2372" s="1356"/>
      <c r="J2372" s="1367"/>
      <c r="K2372" s="1368"/>
      <c r="L2372" s="1370"/>
      <c r="M2372" s="1371" t="s">
        <v>496</v>
      </c>
      <c r="N2372" s="1372"/>
      <c r="O2372" s="1372"/>
      <c r="P2372" s="1372"/>
      <c r="Q2372" s="1373"/>
      <c r="R2372" s="362">
        <f>R2370-R2371</f>
        <v>0</v>
      </c>
      <c r="S2372" s="363" t="str">
        <f>L2370</f>
        <v>m³</v>
      </c>
      <c r="T2372" s="366"/>
      <c r="U2372" s="367"/>
      <c r="V2372" s="291">
        <f t="shared" ca="1" si="758"/>
        <v>0</v>
      </c>
      <c r="W2372" s="256">
        <f t="shared" ca="1" si="757"/>
        <v>2</v>
      </c>
      <c r="X2372" s="256">
        <f t="shared" ca="1" si="740"/>
        <v>1</v>
      </c>
      <c r="Y2372" s="256"/>
      <c r="Z2372" s="256"/>
      <c r="AA2372" s="292"/>
      <c r="AB2372" s="292"/>
      <c r="AC2372" s="292"/>
    </row>
    <row r="2373" spans="1:29" s="111" customFormat="1" ht="15.75" hidden="1" x14ac:dyDescent="0.2">
      <c r="A2373" s="288"/>
      <c r="B2373" s="368"/>
      <c r="C2373" s="365"/>
      <c r="D2373" s="369"/>
      <c r="E2373" s="370"/>
      <c r="F2373" s="369"/>
      <c r="G2373" s="369"/>
      <c r="H2373" s="369"/>
      <c r="I2373" s="369"/>
      <c r="J2373" s="371"/>
      <c r="K2373" s="372"/>
      <c r="L2373" s="373"/>
      <c r="M2373" s="374"/>
      <c r="N2373" s="374"/>
      <c r="O2373" s="374"/>
      <c r="P2373" s="374"/>
      <c r="Q2373" s="374"/>
      <c r="R2373" s="375"/>
      <c r="S2373" s="376"/>
      <c r="T2373" s="377"/>
      <c r="U2373" s="378"/>
      <c r="V2373" s="379">
        <f ca="1">SUM(V2364:V2372)</f>
        <v>0</v>
      </c>
      <c r="W2373" s="256">
        <f t="shared" ca="1" si="757"/>
        <v>1</v>
      </c>
      <c r="X2373" s="256">
        <f t="shared" ca="1" si="740"/>
        <v>0</v>
      </c>
      <c r="Y2373" s="250"/>
      <c r="Z2373" s="250"/>
    </row>
    <row r="2374" spans="1:29" s="293" customFormat="1" ht="15.75" customHeight="1" x14ac:dyDescent="0.25">
      <c r="A2374" s="288"/>
      <c r="B2374" s="1374" t="str">
        <f>VLOOKUP(A2386,'11 - FINANCEIRO'!_xlnm.Print_Area,1,FALSE)</f>
        <v>3.1.3</v>
      </c>
      <c r="C2374" s="1376" t="str">
        <f>VLOOKUP(A2386,'11 - FINANCEIRO'!_xlnm.Print_Area,3,FALSE)</f>
        <v>Destinação Final De Resíduos Classe Ii A Em Aterro Sanitário Controlado</v>
      </c>
      <c r="D2374" s="1378" t="s">
        <v>477</v>
      </c>
      <c r="E2374" s="1379"/>
      <c r="F2374" s="1379"/>
      <c r="G2374" s="1379"/>
      <c r="H2374" s="1379"/>
      <c r="I2374" s="1380"/>
      <c r="J2374" s="1338" t="s">
        <v>478</v>
      </c>
      <c r="K2374" s="1338" t="s">
        <v>479</v>
      </c>
      <c r="L2374" s="1338" t="s">
        <v>480</v>
      </c>
      <c r="M2374" s="1338" t="s">
        <v>481</v>
      </c>
      <c r="N2374" s="1338" t="s">
        <v>482</v>
      </c>
      <c r="O2374" s="1338" t="s">
        <v>483</v>
      </c>
      <c r="P2374" s="290" t="s">
        <v>484</v>
      </c>
      <c r="Q2374" s="1338" t="s">
        <v>485</v>
      </c>
      <c r="R2374" s="1336" t="s">
        <v>296</v>
      </c>
      <c r="S2374" s="1338" t="s">
        <v>486</v>
      </c>
      <c r="T2374" s="1338" t="s">
        <v>487</v>
      </c>
      <c r="U2374" s="1340" t="s">
        <v>488</v>
      </c>
      <c r="V2374" s="291">
        <f t="shared" ref="V2374:V2386" ca="1" si="759">IF(OFFSET(V2374,1,1)=1,OFFSET(V2374,0,-4),OFFSET(V2374,1,0))</f>
        <v>-3158.87</v>
      </c>
      <c r="W2374" s="256">
        <f t="shared" ca="1" si="757"/>
        <v>2</v>
      </c>
      <c r="X2374" s="256">
        <f t="shared" ca="1" si="740"/>
        <v>1</v>
      </c>
      <c r="Y2374" s="256"/>
      <c r="Z2374" s="256"/>
      <c r="AA2374" s="292"/>
      <c r="AB2374" s="292"/>
      <c r="AC2374" s="292"/>
    </row>
    <row r="2375" spans="1:29" s="337" customFormat="1" ht="15.75" x14ac:dyDescent="0.2">
      <c r="A2375" s="288"/>
      <c r="B2375" s="1375"/>
      <c r="C2375" s="1377" t="e">
        <f>VLOOKUP(LEFT(#REF!,5),'11 - FINANCEIRO'!_xlnm.Print_Area,2,FALSE)</f>
        <v>#REF!</v>
      </c>
      <c r="D2375" s="1342" t="s">
        <v>489</v>
      </c>
      <c r="E2375" s="1343"/>
      <c r="F2375" s="1344"/>
      <c r="G2375" s="1345" t="s">
        <v>490</v>
      </c>
      <c r="H2375" s="1346"/>
      <c r="I2375" s="1347"/>
      <c r="J2375" s="1339"/>
      <c r="K2375" s="1339"/>
      <c r="L2375" s="1339"/>
      <c r="M2375" s="1339"/>
      <c r="N2375" s="1339"/>
      <c r="O2375" s="1339"/>
      <c r="P2375" s="295" t="s">
        <v>491</v>
      </c>
      <c r="Q2375" s="1339"/>
      <c r="R2375" s="1337"/>
      <c r="S2375" s="1339"/>
      <c r="T2375" s="1339"/>
      <c r="U2375" s="1341"/>
      <c r="V2375" s="291">
        <f t="shared" ca="1" si="759"/>
        <v>-3158.87</v>
      </c>
      <c r="W2375" s="256">
        <f t="shared" ca="1" si="757"/>
        <v>2</v>
      </c>
      <c r="X2375" s="256">
        <f t="shared" ca="1" si="740"/>
        <v>1</v>
      </c>
      <c r="Y2375" s="336"/>
      <c r="Z2375" s="336"/>
    </row>
    <row r="2376" spans="1:29" s="337" customFormat="1" ht="15.75" x14ac:dyDescent="0.2">
      <c r="A2376" s="288"/>
      <c r="B2376" s="296"/>
      <c r="C2376" s="297" t="s">
        <v>1136</v>
      </c>
      <c r="D2376" s="298"/>
      <c r="E2376" s="299"/>
      <c r="F2376" s="300"/>
      <c r="G2376" s="301"/>
      <c r="H2376" s="302"/>
      <c r="I2376" s="303"/>
      <c r="J2376" s="304"/>
      <c r="K2376" s="304"/>
      <c r="L2376" s="304"/>
      <c r="M2376" s="304"/>
      <c r="N2376" s="304"/>
      <c r="O2376" s="304"/>
      <c r="P2376" s="306"/>
      <c r="Q2376" s="304"/>
      <c r="R2376" s="307">
        <v>2137.4499999999998</v>
      </c>
      <c r="S2376" s="304"/>
      <c r="T2376" s="309">
        <v>32</v>
      </c>
      <c r="U2376" s="310"/>
      <c r="V2376" s="291">
        <f t="shared" ca="1" si="759"/>
        <v>-3158.87</v>
      </c>
      <c r="W2376" s="256">
        <f t="shared" ca="1" si="757"/>
        <v>2</v>
      </c>
      <c r="X2376" s="256">
        <f t="shared" ca="1" si="740"/>
        <v>1</v>
      </c>
      <c r="Y2376" s="336"/>
      <c r="Z2376" s="336"/>
    </row>
    <row r="2377" spans="1:29" s="111" customFormat="1" ht="15.75" x14ac:dyDescent="0.2">
      <c r="A2377" s="288"/>
      <c r="B2377" s="311"/>
      <c r="C2377" s="312" t="s">
        <v>1136</v>
      </c>
      <c r="D2377" s="313"/>
      <c r="E2377" s="314"/>
      <c r="F2377" s="315"/>
      <c r="G2377" s="380"/>
      <c r="H2377" s="316"/>
      <c r="I2377" s="381"/>
      <c r="J2377" s="317"/>
      <c r="K2377" s="313"/>
      <c r="L2377" s="317"/>
      <c r="M2377" s="315"/>
      <c r="N2377" s="314"/>
      <c r="O2377" s="313"/>
      <c r="P2377" s="318"/>
      <c r="Q2377" s="315"/>
      <c r="R2377" s="319">
        <v>408.93</v>
      </c>
      <c r="S2377" s="317"/>
      <c r="T2377" s="320">
        <v>33</v>
      </c>
      <c r="U2377" s="321"/>
      <c r="V2377" s="291">
        <f t="shared" ca="1" si="759"/>
        <v>-3158.87</v>
      </c>
      <c r="W2377" s="256">
        <f t="shared" ca="1" si="757"/>
        <v>2</v>
      </c>
      <c r="X2377" s="256">
        <f t="shared" ca="1" si="740"/>
        <v>1</v>
      </c>
      <c r="Y2377" s="250"/>
      <c r="Z2377" s="250"/>
    </row>
    <row r="2378" spans="1:29" s="111" customFormat="1" ht="15.75" x14ac:dyDescent="0.2">
      <c r="A2378" s="288"/>
      <c r="B2378" s="322"/>
      <c r="C2378" s="312" t="s">
        <v>1136</v>
      </c>
      <c r="D2378" s="313"/>
      <c r="E2378" s="314"/>
      <c r="F2378" s="315"/>
      <c r="G2378" s="380"/>
      <c r="H2378" s="316"/>
      <c r="I2378" s="381"/>
      <c r="J2378" s="317"/>
      <c r="K2378" s="313"/>
      <c r="L2378" s="317"/>
      <c r="M2378" s="315"/>
      <c r="N2378" s="314"/>
      <c r="O2378" s="945"/>
      <c r="P2378" s="946"/>
      <c r="Q2378" s="947"/>
      <c r="R2378" s="948">
        <v>462.71</v>
      </c>
      <c r="S2378" s="949"/>
      <c r="T2378" s="950">
        <v>33</v>
      </c>
      <c r="U2378" s="951"/>
      <c r="V2378" s="291">
        <f ca="1">IF(OFFSET(V2378,1,1)=1,OFFSET(V2378,0,-4),OFFSET(V2378,1,0))</f>
        <v>-3158.87</v>
      </c>
      <c r="W2378" s="256">
        <f t="shared" ca="1" si="757"/>
        <v>2</v>
      </c>
      <c r="X2378" s="256">
        <f t="shared" ca="1" si="740"/>
        <v>1</v>
      </c>
      <c r="Y2378" s="250"/>
      <c r="Z2378" s="250"/>
    </row>
    <row r="2379" spans="1:29" s="111" customFormat="1" ht="15" x14ac:dyDescent="0.2">
      <c r="A2379" s="288"/>
      <c r="B2379" s="494"/>
      <c r="C2379" s="382" t="s">
        <v>1136</v>
      </c>
      <c r="D2379" s="324"/>
      <c r="E2379" s="325"/>
      <c r="F2379" s="326"/>
      <c r="G2379" s="324"/>
      <c r="H2379" s="325"/>
      <c r="I2379" s="326"/>
      <c r="J2379" s="317"/>
      <c r="K2379" s="328"/>
      <c r="L2379" s="328"/>
      <c r="M2379" s="328"/>
      <c r="N2379" s="328"/>
      <c r="O2379" s="334"/>
      <c r="P2379" s="328"/>
      <c r="Q2379" s="334"/>
      <c r="R2379" s="333">
        <v>149.77999999999975</v>
      </c>
      <c r="S2379" s="331"/>
      <c r="T2379" s="320">
        <v>34</v>
      </c>
      <c r="U2379" s="335"/>
      <c r="V2379" s="291">
        <f t="shared" ca="1" si="759"/>
        <v>-3158.87</v>
      </c>
      <c r="W2379" s="256">
        <f t="shared" ref="W2379" ca="1" si="760">IF(LEFT(_xlfn.FORMULATEXT(V2379),3)="=SO",1,IF(COUNTA(A2379:U2379)=0,0,2))</f>
        <v>2</v>
      </c>
      <c r="X2379" s="256">
        <f t="shared" ref="X2379" ca="1" si="761">IF(COUNTA(OFFSET(A2378,1,0))-COUNTA(A2378)=-1,0,1)</f>
        <v>1</v>
      </c>
      <c r="Y2379" s="250"/>
      <c r="Z2379" s="250"/>
    </row>
    <row r="2380" spans="1:29" s="111" customFormat="1" ht="15" x14ac:dyDescent="0.2">
      <c r="A2380" s="288"/>
      <c r="B2380" s="494"/>
      <c r="C2380" s="550" t="s">
        <v>1175</v>
      </c>
      <c r="D2380" s="819"/>
      <c r="E2380" s="820"/>
      <c r="F2380" s="822"/>
      <c r="G2380" s="819"/>
      <c r="H2380" s="820"/>
      <c r="I2380" s="822"/>
      <c r="J2380" s="560"/>
      <c r="K2380" s="759"/>
      <c r="L2380" s="501"/>
      <c r="M2380" s="760"/>
      <c r="N2380" s="761"/>
      <c r="O2380" s="505"/>
      <c r="P2380" s="501"/>
      <c r="Q2380" s="739"/>
      <c r="R2380" s="504">
        <v>-3158.87</v>
      </c>
      <c r="S2380" s="505"/>
      <c r="T2380" s="506">
        <v>35</v>
      </c>
      <c r="U2380" s="574"/>
      <c r="V2380" s="291">
        <f t="shared" ca="1" si="759"/>
        <v>-3158.87</v>
      </c>
      <c r="W2380" s="256">
        <f t="shared" ref="W2380:W2383" ca="1" si="762">IF(LEFT(_xlfn.FORMULATEXT(V2380),3)="=SO",1,IF(COUNTA(A2380:U2380)=0,0,2))</f>
        <v>2</v>
      </c>
      <c r="X2380" s="256">
        <f t="shared" ref="X2380:X2383" ca="1" si="763">IF(COUNTA(OFFSET(A2379,1,0))-COUNTA(A2379)=-1,0,1)</f>
        <v>1</v>
      </c>
      <c r="Y2380" s="250"/>
      <c r="Z2380" s="250"/>
    </row>
    <row r="2381" spans="1:29" s="111" customFormat="1" ht="30" x14ac:dyDescent="0.2">
      <c r="A2381" s="288"/>
      <c r="B2381" s="494"/>
      <c r="C2381" s="312" t="s">
        <v>1318</v>
      </c>
      <c r="D2381" s="819"/>
      <c r="E2381" s="820"/>
      <c r="F2381" s="822"/>
      <c r="G2381" s="819"/>
      <c r="H2381" s="820"/>
      <c r="I2381" s="822"/>
      <c r="J2381" s="560"/>
      <c r="K2381" s="759"/>
      <c r="L2381" s="501"/>
      <c r="M2381" s="760"/>
      <c r="N2381" s="761"/>
      <c r="O2381" s="505"/>
      <c r="P2381" s="501"/>
      <c r="Q2381" s="739"/>
      <c r="R2381" s="504">
        <v>3158.87</v>
      </c>
      <c r="S2381" s="505"/>
      <c r="T2381" s="506">
        <v>42</v>
      </c>
      <c r="U2381" s="574"/>
      <c r="V2381" s="291">
        <f t="shared" ca="1" si="759"/>
        <v>-3158.87</v>
      </c>
      <c r="W2381" s="256">
        <f t="shared" ca="1" si="762"/>
        <v>2</v>
      </c>
      <c r="X2381" s="256">
        <f t="shared" ca="1" si="763"/>
        <v>1</v>
      </c>
      <c r="Y2381" s="250"/>
      <c r="Z2381" s="250"/>
    </row>
    <row r="2382" spans="1:29" s="111" customFormat="1" ht="15" x14ac:dyDescent="0.2">
      <c r="A2382" s="288"/>
      <c r="B2382" s="494"/>
      <c r="C2382" s="1108" t="s">
        <v>1175</v>
      </c>
      <c r="D2382" s="819"/>
      <c r="E2382" s="820"/>
      <c r="F2382" s="822"/>
      <c r="G2382" s="819"/>
      <c r="H2382" s="820"/>
      <c r="I2382" s="822"/>
      <c r="J2382" s="560"/>
      <c r="K2382" s="759"/>
      <c r="L2382" s="501"/>
      <c r="M2382" s="760"/>
      <c r="N2382" s="761"/>
      <c r="O2382" s="505"/>
      <c r="P2382" s="501"/>
      <c r="Q2382" s="739"/>
      <c r="R2382" s="504">
        <v>-3158.87</v>
      </c>
      <c r="S2382" s="505"/>
      <c r="T2382" s="506">
        <v>44</v>
      </c>
      <c r="U2382" s="574"/>
      <c r="V2382" s="291">
        <f t="shared" ca="1" si="759"/>
        <v>-3158.87</v>
      </c>
      <c r="W2382" s="256">
        <f t="shared" ca="1" si="762"/>
        <v>2</v>
      </c>
      <c r="X2382" s="256">
        <f t="shared" ca="1" si="763"/>
        <v>1</v>
      </c>
      <c r="Y2382" s="250"/>
      <c r="Z2382" s="250"/>
    </row>
    <row r="2383" spans="1:29" s="111" customFormat="1" ht="15" x14ac:dyDescent="0.2">
      <c r="A2383" s="288"/>
      <c r="B2383" s="338"/>
      <c r="C2383" s="339"/>
      <c r="D2383" s="340"/>
      <c r="E2383" s="341"/>
      <c r="F2383" s="342"/>
      <c r="G2383" s="340"/>
      <c r="H2383" s="341"/>
      <c r="I2383" s="342"/>
      <c r="J2383" s="343"/>
      <c r="K2383" s="344"/>
      <c r="L2383" s="345"/>
      <c r="M2383" s="346"/>
      <c r="N2383" s="347"/>
      <c r="O2383" s="348"/>
      <c r="P2383" s="345"/>
      <c r="Q2383" s="349"/>
      <c r="R2383" s="350"/>
      <c r="S2383" s="351"/>
      <c r="T2383" s="352"/>
      <c r="U2383" s="353"/>
      <c r="V2383" s="291">
        <f t="shared" ca="1" si="759"/>
        <v>-3158.87</v>
      </c>
      <c r="W2383" s="256">
        <f t="shared" ca="1" si="762"/>
        <v>0</v>
      </c>
      <c r="X2383" s="256">
        <f t="shared" ca="1" si="763"/>
        <v>1</v>
      </c>
      <c r="Y2383" s="250"/>
      <c r="Z2383" s="250"/>
    </row>
    <row r="2384" spans="1:29" s="111" customFormat="1" ht="15.75" customHeight="1" x14ac:dyDescent="0.2">
      <c r="A2384" s="288"/>
      <c r="B2384" s="354"/>
      <c r="C2384" s="355"/>
      <c r="D2384" s="1354" t="s">
        <v>492</v>
      </c>
      <c r="E2384" s="1355"/>
      <c r="F2384" s="1355"/>
      <c r="G2384" s="1355"/>
      <c r="H2384" s="1355"/>
      <c r="I2384" s="1356"/>
      <c r="J2384" s="1357">
        <f>VLOOKUP(A2386,'11 - FINANCEIRO'!_xlnm.Print_Area,6,FALSE)</f>
        <v>23047.48</v>
      </c>
      <c r="K2384" s="1358"/>
      <c r="L2384" s="356" t="str">
        <f>VLOOKUP(A2386,'11 - FINANCEIRO'!_xlnm.Print_Area,4,FALSE)</f>
        <v>t</v>
      </c>
      <c r="M2384" s="1359" t="s">
        <v>493</v>
      </c>
      <c r="N2384" s="1360"/>
      <c r="O2384" s="1360"/>
      <c r="P2384" s="1360"/>
      <c r="Q2384" s="1361"/>
      <c r="R2384" s="357">
        <f>TRUNC(SUM(R2376:R2383),3)</f>
        <v>0</v>
      </c>
      <c r="S2384" s="358" t="str">
        <f>L2384</f>
        <v>t</v>
      </c>
      <c r="T2384" s="1384"/>
      <c r="U2384" s="1385"/>
      <c r="V2384" s="291">
        <f t="shared" ca="1" si="759"/>
        <v>-3158.87</v>
      </c>
      <c r="W2384" s="256">
        <f t="shared" ca="1" si="757"/>
        <v>2</v>
      </c>
      <c r="X2384" s="256">
        <f t="shared" ca="1" si="740"/>
        <v>1</v>
      </c>
      <c r="Y2384" s="250"/>
      <c r="Z2384" s="250"/>
    </row>
    <row r="2385" spans="1:29" s="293" customFormat="1" ht="15.75" customHeight="1" x14ac:dyDescent="0.2">
      <c r="A2385" s="288"/>
      <c r="B2385" s="354"/>
      <c r="C2385" s="361"/>
      <c r="D2385" s="1362" t="s">
        <v>494</v>
      </c>
      <c r="E2385" s="1363"/>
      <c r="F2385" s="1363"/>
      <c r="G2385" s="1363"/>
      <c r="H2385" s="1363"/>
      <c r="I2385" s="1364"/>
      <c r="J2385" s="1365">
        <f>R2384/J2384</f>
        <v>0</v>
      </c>
      <c r="K2385" s="1366"/>
      <c r="L2385" s="1369"/>
      <c r="M2385" s="1371" t="s">
        <v>495</v>
      </c>
      <c r="N2385" s="1372"/>
      <c r="O2385" s="1372"/>
      <c r="P2385" s="1372"/>
      <c r="Q2385" s="1373"/>
      <c r="R2385" s="362">
        <f>VLOOKUP(A2386,'11 - FINANCEIRO'!_xlnm.Print_Area,8,FALSE)</f>
        <v>3158.87</v>
      </c>
      <c r="S2385" s="363" t="str">
        <f>L2384</f>
        <v>t</v>
      </c>
      <c r="T2385" s="1386"/>
      <c r="U2385" s="1387"/>
      <c r="V2385" s="291">
        <f t="shared" ca="1" si="759"/>
        <v>-3158.87</v>
      </c>
      <c r="W2385" s="256">
        <f t="shared" ca="1" si="757"/>
        <v>2</v>
      </c>
      <c r="X2385" s="256">
        <f t="shared" ca="1" si="740"/>
        <v>1</v>
      </c>
      <c r="Y2385" s="256"/>
      <c r="Z2385" s="256"/>
      <c r="AA2385" s="292"/>
      <c r="AB2385" s="292"/>
      <c r="AC2385" s="292"/>
    </row>
    <row r="2386" spans="1:29" s="293" customFormat="1" ht="15.75" customHeight="1" x14ac:dyDescent="0.2">
      <c r="A2386" s="288" t="s">
        <v>105</v>
      </c>
      <c r="B2386" s="364"/>
      <c r="C2386" s="365"/>
      <c r="D2386" s="1354"/>
      <c r="E2386" s="1355"/>
      <c r="F2386" s="1355"/>
      <c r="G2386" s="1355"/>
      <c r="H2386" s="1355"/>
      <c r="I2386" s="1356"/>
      <c r="J2386" s="1367"/>
      <c r="K2386" s="1368"/>
      <c r="L2386" s="1370"/>
      <c r="M2386" s="1371" t="s">
        <v>496</v>
      </c>
      <c r="N2386" s="1372"/>
      <c r="O2386" s="1372"/>
      <c r="P2386" s="1372"/>
      <c r="Q2386" s="1373"/>
      <c r="R2386" s="362">
        <f>R2384-R2385</f>
        <v>-3158.87</v>
      </c>
      <c r="S2386" s="363" t="str">
        <f>L2384</f>
        <v>t</v>
      </c>
      <c r="T2386" s="1388"/>
      <c r="U2386" s="1389"/>
      <c r="V2386" s="291">
        <f t="shared" ca="1" si="759"/>
        <v>-3158.87</v>
      </c>
      <c r="W2386" s="256">
        <f t="shared" ca="1" si="757"/>
        <v>2</v>
      </c>
      <c r="X2386" s="256">
        <f t="shared" ca="1" si="740"/>
        <v>1</v>
      </c>
      <c r="Y2386" s="256"/>
      <c r="Z2386" s="256"/>
      <c r="AA2386" s="292"/>
      <c r="AB2386" s="292"/>
      <c r="AC2386" s="292"/>
    </row>
    <row r="2387" spans="1:29" s="111" customFormat="1" ht="15.75" x14ac:dyDescent="0.2">
      <c r="A2387" s="288"/>
      <c r="B2387" s="368"/>
      <c r="C2387" s="365"/>
      <c r="D2387" s="369"/>
      <c r="E2387" s="370"/>
      <c r="F2387" s="369"/>
      <c r="G2387" s="369"/>
      <c r="H2387" s="369"/>
      <c r="I2387" s="369"/>
      <c r="J2387" s="371"/>
      <c r="K2387" s="372"/>
      <c r="L2387" s="373"/>
      <c r="M2387" s="374"/>
      <c r="N2387" s="374"/>
      <c r="O2387" s="374"/>
      <c r="P2387" s="374"/>
      <c r="Q2387" s="374"/>
      <c r="R2387" s="375"/>
      <c r="S2387" s="376"/>
      <c r="T2387" s="377"/>
      <c r="U2387" s="378"/>
      <c r="V2387" s="379">
        <f ca="1">SUM(V2374:V2386)</f>
        <v>-41065.31</v>
      </c>
      <c r="W2387" s="256">
        <f t="shared" ca="1" si="757"/>
        <v>1</v>
      </c>
      <c r="X2387" s="256">
        <f t="shared" ca="1" si="740"/>
        <v>0</v>
      </c>
      <c r="Y2387" s="250"/>
      <c r="Z2387" s="250"/>
    </row>
    <row r="2388" spans="1:29" s="293" customFormat="1" ht="15.75" hidden="1" customHeight="1" x14ac:dyDescent="0.25">
      <c r="A2388" s="288"/>
      <c r="B2388" s="1414" t="str">
        <f>VLOOKUP(A2396,'11 - FINANCEIRO'!_xlnm.Print_Area,1,FALSE)</f>
        <v>3.1.4</v>
      </c>
      <c r="C2388" s="1376" t="str">
        <f>VLOOKUP(A2396,'11 - FINANCEIRO'!_xlnm.Print_Area,3,FALSE)</f>
        <v>Compactação De Aterros A 100% Do Proctor Intermediário</v>
      </c>
      <c r="D2388" s="1378" t="s">
        <v>477</v>
      </c>
      <c r="E2388" s="1379"/>
      <c r="F2388" s="1379"/>
      <c r="G2388" s="1379"/>
      <c r="H2388" s="1379"/>
      <c r="I2388" s="1380"/>
      <c r="J2388" s="1338" t="s">
        <v>478</v>
      </c>
      <c r="K2388" s="1338"/>
      <c r="L2388" s="1338"/>
      <c r="M2388" s="1338" t="s">
        <v>496</v>
      </c>
      <c r="N2388" s="1338" t="s">
        <v>1028</v>
      </c>
      <c r="O2388" s="1338" t="s">
        <v>1029</v>
      </c>
      <c r="P2388" s="290"/>
      <c r="Q2388" s="1338"/>
      <c r="R2388" s="1336" t="s">
        <v>296</v>
      </c>
      <c r="S2388" s="1338" t="s">
        <v>486</v>
      </c>
      <c r="T2388" s="1338" t="s">
        <v>487</v>
      </c>
      <c r="U2388" s="1340" t="s">
        <v>488</v>
      </c>
      <c r="V2388" s="291">
        <f t="shared" ref="V2388:V2396" ca="1" si="764">IF(OFFSET(V2388,1,1)=1,OFFSET(V2388,0,-4),OFFSET(V2388,1,0))</f>
        <v>0</v>
      </c>
      <c r="W2388" s="256">
        <f t="shared" ca="1" si="757"/>
        <v>2</v>
      </c>
      <c r="X2388" s="256">
        <f t="shared" ref="X2388:X2459" ca="1" si="765">IF(COUNTA(OFFSET(A2387,1,0))-COUNTA(A2387)=-1,0,1)</f>
        <v>1</v>
      </c>
      <c r="Y2388" s="256"/>
      <c r="Z2388" s="256"/>
      <c r="AA2388" s="292"/>
      <c r="AB2388" s="292"/>
      <c r="AC2388" s="292"/>
    </row>
    <row r="2389" spans="1:29" s="337" customFormat="1" ht="15.75" hidden="1" x14ac:dyDescent="0.2">
      <c r="A2389" s="288"/>
      <c r="B2389" s="1415"/>
      <c r="C2389" s="1377" t="e">
        <f>VLOOKUP(LEFT(#REF!,5),'11 - FINANCEIRO'!_xlnm.Print_Area,2,FALSE)</f>
        <v>#REF!</v>
      </c>
      <c r="D2389" s="1342" t="s">
        <v>489</v>
      </c>
      <c r="E2389" s="1343"/>
      <c r="F2389" s="1344"/>
      <c r="G2389" s="1345" t="s">
        <v>490</v>
      </c>
      <c r="H2389" s="1346"/>
      <c r="I2389" s="1347"/>
      <c r="J2389" s="1339"/>
      <c r="K2389" s="1339"/>
      <c r="L2389" s="1339"/>
      <c r="M2389" s="1339"/>
      <c r="N2389" s="1339"/>
      <c r="O2389" s="1339"/>
      <c r="P2389" s="295"/>
      <c r="Q2389" s="1339"/>
      <c r="R2389" s="1337"/>
      <c r="S2389" s="1339"/>
      <c r="T2389" s="1339"/>
      <c r="U2389" s="1341"/>
      <c r="V2389" s="291">
        <f t="shared" ca="1" si="764"/>
        <v>0</v>
      </c>
      <c r="W2389" s="256">
        <f t="shared" ca="1" si="757"/>
        <v>2</v>
      </c>
      <c r="X2389" s="256">
        <f t="shared" ca="1" si="765"/>
        <v>1</v>
      </c>
      <c r="Y2389" s="336"/>
      <c r="Z2389" s="336"/>
    </row>
    <row r="2390" spans="1:29" s="337" customFormat="1" ht="15.75" hidden="1" x14ac:dyDescent="0.2">
      <c r="A2390" s="288"/>
      <c r="B2390" s="296"/>
      <c r="C2390" s="297" t="s">
        <v>956</v>
      </c>
      <c r="D2390" s="298"/>
      <c r="E2390" s="299"/>
      <c r="F2390" s="300"/>
      <c r="G2390" s="301"/>
      <c r="H2390" s="302"/>
      <c r="I2390" s="303"/>
      <c r="J2390" s="304"/>
      <c r="K2390" s="304"/>
      <c r="L2390" s="304"/>
      <c r="M2390" s="304">
        <v>4250.7150000000001</v>
      </c>
      <c r="N2390" s="304">
        <v>3447.73</v>
      </c>
      <c r="O2390" s="416">
        <v>0</v>
      </c>
      <c r="P2390" s="306"/>
      <c r="Q2390" s="304"/>
      <c r="R2390" s="307">
        <v>802.98500000000013</v>
      </c>
      <c r="S2390" s="304"/>
      <c r="T2390" s="309">
        <v>24</v>
      </c>
      <c r="U2390" s="310"/>
      <c r="V2390" s="291">
        <f t="shared" ca="1" si="764"/>
        <v>0</v>
      </c>
      <c r="W2390" s="256">
        <f t="shared" ca="1" si="757"/>
        <v>2</v>
      </c>
      <c r="X2390" s="256">
        <f t="shared" ca="1" si="765"/>
        <v>1</v>
      </c>
      <c r="Y2390" s="336"/>
      <c r="Z2390" s="336"/>
    </row>
    <row r="2391" spans="1:29" s="111" customFormat="1" ht="15.75" hidden="1" x14ac:dyDescent="0.2">
      <c r="A2391" s="288"/>
      <c r="B2391" s="311"/>
      <c r="C2391" s="312" t="s">
        <v>956</v>
      </c>
      <c r="D2391" s="313"/>
      <c r="E2391" s="314"/>
      <c r="F2391" s="315"/>
      <c r="G2391" s="380"/>
      <c r="H2391" s="316"/>
      <c r="I2391" s="381"/>
      <c r="J2391" s="317"/>
      <c r="K2391" s="313"/>
      <c r="L2391" s="317"/>
      <c r="M2391" s="851">
        <v>4446.4350000000004</v>
      </c>
      <c r="N2391" s="852">
        <v>3447.73</v>
      </c>
      <c r="O2391" s="853">
        <v>802.98500000000013</v>
      </c>
      <c r="P2391" s="318"/>
      <c r="Q2391" s="315"/>
      <c r="R2391" s="319">
        <v>195.72000000000025</v>
      </c>
      <c r="S2391" s="317"/>
      <c r="T2391" s="320">
        <v>27</v>
      </c>
      <c r="U2391" s="321"/>
      <c r="V2391" s="291">
        <f t="shared" ca="1" si="764"/>
        <v>0</v>
      </c>
      <c r="W2391" s="256">
        <f t="shared" ca="1" si="757"/>
        <v>2</v>
      </c>
      <c r="X2391" s="256">
        <f t="shared" ca="1" si="765"/>
        <v>1</v>
      </c>
      <c r="Y2391" s="250"/>
      <c r="Z2391" s="250"/>
    </row>
    <row r="2392" spans="1:29" s="111" customFormat="1" ht="15" hidden="1" x14ac:dyDescent="0.2">
      <c r="A2392" s="288"/>
      <c r="B2392" s="322"/>
      <c r="C2392" s="382" t="s">
        <v>1176</v>
      </c>
      <c r="D2392" s="324"/>
      <c r="E2392" s="325"/>
      <c r="F2392" s="326"/>
      <c r="G2392" s="324"/>
      <c r="H2392" s="325"/>
      <c r="I2392" s="326"/>
      <c r="J2392" s="317"/>
      <c r="K2392" s="328"/>
      <c r="L2392" s="328"/>
      <c r="M2392" s="328"/>
      <c r="N2392" s="328"/>
      <c r="O2392" s="334"/>
      <c r="P2392" s="328"/>
      <c r="Q2392" s="334"/>
      <c r="R2392" s="333">
        <v>-998.70500000000004</v>
      </c>
      <c r="S2392" s="331"/>
      <c r="T2392" s="320">
        <v>35</v>
      </c>
      <c r="U2392" s="335"/>
      <c r="V2392" s="291">
        <f t="shared" ca="1" si="764"/>
        <v>0</v>
      </c>
      <c r="W2392" s="256">
        <f t="shared" ca="1" si="757"/>
        <v>2</v>
      </c>
      <c r="X2392" s="256">
        <f t="shared" ca="1" si="765"/>
        <v>1</v>
      </c>
      <c r="Y2392" s="250"/>
      <c r="Z2392" s="250"/>
    </row>
    <row r="2393" spans="1:29" s="111" customFormat="1" ht="15" hidden="1" x14ac:dyDescent="0.2">
      <c r="A2393" s="288"/>
      <c r="B2393" s="338"/>
      <c r="C2393" s="339"/>
      <c r="D2393" s="340"/>
      <c r="E2393" s="341"/>
      <c r="F2393" s="342"/>
      <c r="G2393" s="340"/>
      <c r="H2393" s="341"/>
      <c r="I2393" s="342"/>
      <c r="J2393" s="343"/>
      <c r="K2393" s="344"/>
      <c r="L2393" s="345"/>
      <c r="M2393" s="346"/>
      <c r="N2393" s="347"/>
      <c r="O2393" s="348"/>
      <c r="P2393" s="345"/>
      <c r="Q2393" s="349"/>
      <c r="R2393" s="350"/>
      <c r="S2393" s="351"/>
      <c r="T2393" s="352"/>
      <c r="U2393" s="353"/>
      <c r="V2393" s="291">
        <f t="shared" ca="1" si="764"/>
        <v>0</v>
      </c>
      <c r="W2393" s="256">
        <f t="shared" ca="1" si="757"/>
        <v>0</v>
      </c>
      <c r="X2393" s="256">
        <f t="shared" ca="1" si="765"/>
        <v>1</v>
      </c>
      <c r="Y2393" s="250"/>
      <c r="Z2393" s="250"/>
    </row>
    <row r="2394" spans="1:29" s="111" customFormat="1" ht="15.75" hidden="1" customHeight="1" x14ac:dyDescent="0.2">
      <c r="A2394" s="288"/>
      <c r="B2394" s="354"/>
      <c r="C2394" s="355"/>
      <c r="D2394" s="1354" t="s">
        <v>492</v>
      </c>
      <c r="E2394" s="1355"/>
      <c r="F2394" s="1355"/>
      <c r="G2394" s="1355"/>
      <c r="H2394" s="1355"/>
      <c r="I2394" s="1356"/>
      <c r="J2394" s="1357">
        <f>VLOOKUP(A2396,'11 - FINANCEIRO'!_xlnm.Print_Area,6,FALSE)</f>
        <v>5471.06</v>
      </c>
      <c r="K2394" s="1358"/>
      <c r="L2394" s="356" t="str">
        <f>VLOOKUP(A2396,'11 - FINANCEIRO'!_xlnm.Print_Area,4,FALSE)</f>
        <v>m³</v>
      </c>
      <c r="M2394" s="1359" t="s">
        <v>493</v>
      </c>
      <c r="N2394" s="1360"/>
      <c r="O2394" s="1360"/>
      <c r="P2394" s="1360"/>
      <c r="Q2394" s="1361"/>
      <c r="R2394" s="357">
        <f>TRUNC(SUM(R2390:R2393),3)</f>
        <v>0</v>
      </c>
      <c r="S2394" s="358" t="str">
        <f>L2394</f>
        <v>m³</v>
      </c>
      <c r="T2394" s="1384"/>
      <c r="U2394" s="1385"/>
      <c r="V2394" s="291">
        <f t="shared" ca="1" si="764"/>
        <v>0</v>
      </c>
      <c r="W2394" s="256">
        <f t="shared" ca="1" si="757"/>
        <v>2</v>
      </c>
      <c r="X2394" s="256">
        <f t="shared" ca="1" si="765"/>
        <v>1</v>
      </c>
      <c r="Y2394" s="250"/>
      <c r="Z2394" s="250"/>
    </row>
    <row r="2395" spans="1:29" s="293" customFormat="1" ht="15.75" hidden="1" customHeight="1" x14ac:dyDescent="0.2">
      <c r="A2395" s="288"/>
      <c r="B2395" s="354"/>
      <c r="C2395" s="361"/>
      <c r="D2395" s="1362" t="s">
        <v>494</v>
      </c>
      <c r="E2395" s="1363"/>
      <c r="F2395" s="1363"/>
      <c r="G2395" s="1363"/>
      <c r="H2395" s="1363"/>
      <c r="I2395" s="1364"/>
      <c r="J2395" s="1365">
        <f>R2394/J2394</f>
        <v>0</v>
      </c>
      <c r="K2395" s="1366"/>
      <c r="L2395" s="1369"/>
      <c r="M2395" s="1371" t="s">
        <v>495</v>
      </c>
      <c r="N2395" s="1372"/>
      <c r="O2395" s="1372"/>
      <c r="P2395" s="1372"/>
      <c r="Q2395" s="1373"/>
      <c r="R2395" s="362">
        <f>VLOOKUP(A2396,'11 - FINANCEIRO'!_xlnm.Print_Area,8,FALSE)</f>
        <v>0</v>
      </c>
      <c r="S2395" s="363" t="str">
        <f>L2394</f>
        <v>m³</v>
      </c>
      <c r="T2395" s="1396"/>
      <c r="U2395" s="1387"/>
      <c r="V2395" s="291">
        <f t="shared" ca="1" si="764"/>
        <v>0</v>
      </c>
      <c r="W2395" s="256">
        <f t="shared" ca="1" si="757"/>
        <v>2</v>
      </c>
      <c r="X2395" s="256">
        <f t="shared" ca="1" si="765"/>
        <v>1</v>
      </c>
      <c r="Y2395" s="256"/>
      <c r="Z2395" s="256"/>
      <c r="AA2395" s="292"/>
      <c r="AB2395" s="292"/>
      <c r="AC2395" s="292"/>
    </row>
    <row r="2396" spans="1:29" s="293" customFormat="1" ht="15.75" hidden="1" customHeight="1" x14ac:dyDescent="0.2">
      <c r="A2396" s="288" t="s">
        <v>106</v>
      </c>
      <c r="B2396" s="364"/>
      <c r="C2396" s="365"/>
      <c r="D2396" s="1354"/>
      <c r="E2396" s="1355"/>
      <c r="F2396" s="1355"/>
      <c r="G2396" s="1355"/>
      <c r="H2396" s="1355"/>
      <c r="I2396" s="1356"/>
      <c r="J2396" s="1367"/>
      <c r="K2396" s="1368"/>
      <c r="L2396" s="1370"/>
      <c r="M2396" s="1371" t="s">
        <v>496</v>
      </c>
      <c r="N2396" s="1372"/>
      <c r="O2396" s="1372"/>
      <c r="P2396" s="1372"/>
      <c r="Q2396" s="1373"/>
      <c r="R2396" s="362">
        <f>R2394-R2395</f>
        <v>0</v>
      </c>
      <c r="S2396" s="363" t="str">
        <f>L2394</f>
        <v>m³</v>
      </c>
      <c r="T2396" s="1388"/>
      <c r="U2396" s="1389"/>
      <c r="V2396" s="291">
        <f t="shared" ca="1" si="764"/>
        <v>0</v>
      </c>
      <c r="W2396" s="256">
        <f t="shared" ca="1" si="757"/>
        <v>2</v>
      </c>
      <c r="X2396" s="256">
        <f t="shared" ca="1" si="765"/>
        <v>1</v>
      </c>
      <c r="Y2396" s="256"/>
      <c r="Z2396" s="256"/>
      <c r="AA2396" s="292"/>
      <c r="AB2396" s="292"/>
      <c r="AC2396" s="292"/>
    </row>
    <row r="2397" spans="1:29" s="111" customFormat="1" ht="15.75" hidden="1" x14ac:dyDescent="0.2">
      <c r="A2397" s="288"/>
      <c r="B2397" s="368"/>
      <c r="C2397" s="365"/>
      <c r="D2397" s="369"/>
      <c r="E2397" s="370"/>
      <c r="F2397" s="369"/>
      <c r="G2397" s="369"/>
      <c r="H2397" s="369"/>
      <c r="I2397" s="369"/>
      <c r="J2397" s="371"/>
      <c r="K2397" s="372"/>
      <c r="L2397" s="373"/>
      <c r="M2397" s="374"/>
      <c r="N2397" s="374"/>
      <c r="O2397" s="374"/>
      <c r="P2397" s="374"/>
      <c r="Q2397" s="374"/>
      <c r="R2397" s="375"/>
      <c r="S2397" s="376"/>
      <c r="T2397" s="377"/>
      <c r="U2397" s="378"/>
      <c r="V2397" s="379">
        <f ca="1">SUM(V2388:V2396)</f>
        <v>0</v>
      </c>
      <c r="W2397" s="256">
        <f t="shared" ca="1" si="757"/>
        <v>1</v>
      </c>
      <c r="X2397" s="256">
        <f t="shared" ca="1" si="765"/>
        <v>0</v>
      </c>
      <c r="Y2397" s="250"/>
      <c r="Z2397" s="250"/>
    </row>
    <row r="2398" spans="1:29" s="293" customFormat="1" ht="15.75" hidden="1" customHeight="1" x14ac:dyDescent="0.25">
      <c r="A2398" s="288"/>
      <c r="B2398" s="1374" t="str">
        <f>VLOOKUP(A2406,'11 - FINANCEIRO'!_xlnm.Print_Area,1,FALSE)</f>
        <v>3.1.5</v>
      </c>
      <c r="C2398" s="1376" t="str">
        <f>VLOOKUP(A2406,'11 - FINANCEIRO'!_xlnm.Print_Area,3,FALSE)</f>
        <v>Aquisição De Solo De Jazida Comercial (Saibreira)</v>
      </c>
      <c r="D2398" s="1378" t="s">
        <v>477</v>
      </c>
      <c r="E2398" s="1379"/>
      <c r="F2398" s="1379"/>
      <c r="G2398" s="1379"/>
      <c r="H2398" s="1379"/>
      <c r="I2398" s="1380"/>
      <c r="J2398" s="1338" t="s">
        <v>478</v>
      </c>
      <c r="K2398" s="1338"/>
      <c r="L2398" s="1338"/>
      <c r="M2398" s="1338" t="s">
        <v>496</v>
      </c>
      <c r="N2398" s="1338" t="s">
        <v>1028</v>
      </c>
      <c r="O2398" s="1338" t="s">
        <v>1029</v>
      </c>
      <c r="P2398" s="290"/>
      <c r="Q2398" s="1338"/>
      <c r="R2398" s="1336" t="s">
        <v>296</v>
      </c>
      <c r="S2398" s="1338" t="s">
        <v>486</v>
      </c>
      <c r="T2398" s="1338" t="s">
        <v>487</v>
      </c>
      <c r="U2398" s="1340" t="s">
        <v>488</v>
      </c>
      <c r="V2398" s="291">
        <f t="shared" ref="V2398:V2406" ca="1" si="766">IF(OFFSET(V2398,1,1)=1,OFFSET(V2398,0,-4),OFFSET(V2398,1,0))</f>
        <v>0</v>
      </c>
      <c r="W2398" s="256">
        <f t="shared" ca="1" si="757"/>
        <v>2</v>
      </c>
      <c r="X2398" s="256">
        <f t="shared" ca="1" si="765"/>
        <v>1</v>
      </c>
      <c r="Y2398" s="256"/>
      <c r="Z2398" s="256"/>
      <c r="AA2398" s="292"/>
      <c r="AB2398" s="292"/>
      <c r="AC2398" s="292"/>
    </row>
    <row r="2399" spans="1:29" s="337" customFormat="1" ht="15.75" hidden="1" x14ac:dyDescent="0.2">
      <c r="A2399" s="288"/>
      <c r="B2399" s="1375"/>
      <c r="C2399" s="1377" t="e">
        <f>VLOOKUP(LEFT(#REF!,5),'11 - FINANCEIRO'!_xlnm.Print_Area,2,FALSE)</f>
        <v>#REF!</v>
      </c>
      <c r="D2399" s="1342" t="s">
        <v>489</v>
      </c>
      <c r="E2399" s="1343"/>
      <c r="F2399" s="1344"/>
      <c r="G2399" s="1345" t="s">
        <v>490</v>
      </c>
      <c r="H2399" s="1346"/>
      <c r="I2399" s="1347"/>
      <c r="J2399" s="1339"/>
      <c r="K2399" s="1339"/>
      <c r="L2399" s="1339"/>
      <c r="M2399" s="1339"/>
      <c r="N2399" s="1339"/>
      <c r="O2399" s="1339"/>
      <c r="P2399" s="295"/>
      <c r="Q2399" s="1339"/>
      <c r="R2399" s="1337"/>
      <c r="S2399" s="1339"/>
      <c r="T2399" s="1339"/>
      <c r="U2399" s="1341"/>
      <c r="V2399" s="291">
        <f t="shared" ca="1" si="766"/>
        <v>0</v>
      </c>
      <c r="W2399" s="256">
        <f t="shared" ca="1" si="757"/>
        <v>2</v>
      </c>
      <c r="X2399" s="256">
        <f t="shared" ca="1" si="765"/>
        <v>1</v>
      </c>
      <c r="Y2399" s="336"/>
      <c r="Z2399" s="336"/>
    </row>
    <row r="2400" spans="1:29" s="337" customFormat="1" ht="15.75" hidden="1" x14ac:dyDescent="0.2">
      <c r="A2400" s="288"/>
      <c r="B2400" s="296"/>
      <c r="C2400" s="297" t="s">
        <v>1030</v>
      </c>
      <c r="D2400" s="298"/>
      <c r="E2400" s="299"/>
      <c r="F2400" s="300"/>
      <c r="G2400" s="301"/>
      <c r="H2400" s="302"/>
      <c r="I2400" s="303"/>
      <c r="J2400" s="304"/>
      <c r="K2400" s="304"/>
      <c r="L2400" s="304"/>
      <c r="M2400" s="308">
        <v>7412.2250000000004</v>
      </c>
      <c r="N2400" s="384">
        <v>6389.6550000000007</v>
      </c>
      <c r="O2400" s="416">
        <v>0</v>
      </c>
      <c r="P2400" s="306"/>
      <c r="Q2400" s="304"/>
      <c r="R2400" s="307">
        <v>1022.5699999999997</v>
      </c>
      <c r="S2400" s="304"/>
      <c r="T2400" s="309">
        <v>27</v>
      </c>
      <c r="U2400" s="310"/>
      <c r="V2400" s="291">
        <f t="shared" ca="1" si="766"/>
        <v>0</v>
      </c>
      <c r="W2400" s="256">
        <f t="shared" ca="1" si="757"/>
        <v>2</v>
      </c>
      <c r="X2400" s="256">
        <f t="shared" ca="1" si="765"/>
        <v>1</v>
      </c>
      <c r="Y2400" s="336"/>
      <c r="Z2400" s="336"/>
    </row>
    <row r="2401" spans="1:29" s="111" customFormat="1" ht="15.75" hidden="1" x14ac:dyDescent="0.2">
      <c r="A2401" s="288"/>
      <c r="B2401" s="311"/>
      <c r="C2401" s="312" t="s">
        <v>1177</v>
      </c>
      <c r="D2401" s="313"/>
      <c r="E2401" s="314"/>
      <c r="F2401" s="315"/>
      <c r="G2401" s="380"/>
      <c r="H2401" s="316"/>
      <c r="I2401" s="381"/>
      <c r="J2401" s="317"/>
      <c r="K2401" s="313"/>
      <c r="L2401" s="317"/>
      <c r="M2401" s="315"/>
      <c r="N2401" s="314"/>
      <c r="O2401" s="313"/>
      <c r="P2401" s="318"/>
      <c r="Q2401" s="315"/>
      <c r="R2401" s="319">
        <v>-1022.57</v>
      </c>
      <c r="S2401" s="317"/>
      <c r="T2401" s="320">
        <v>35</v>
      </c>
      <c r="U2401" s="321"/>
      <c r="V2401" s="291">
        <f t="shared" ca="1" si="766"/>
        <v>0</v>
      </c>
      <c r="W2401" s="256">
        <f t="shared" ca="1" si="757"/>
        <v>2</v>
      </c>
      <c r="X2401" s="256">
        <f t="shared" ca="1" si="765"/>
        <v>1</v>
      </c>
      <c r="Y2401" s="250"/>
      <c r="Z2401" s="250"/>
    </row>
    <row r="2402" spans="1:29" s="111" customFormat="1" ht="15" hidden="1" x14ac:dyDescent="0.2">
      <c r="A2402" s="288"/>
      <c r="B2402" s="322"/>
      <c r="C2402" s="382"/>
      <c r="D2402" s="324"/>
      <c r="E2402" s="325"/>
      <c r="F2402" s="326"/>
      <c r="G2402" s="324"/>
      <c r="H2402" s="325"/>
      <c r="I2402" s="326"/>
      <c r="J2402" s="317"/>
      <c r="K2402" s="328"/>
      <c r="L2402" s="328"/>
      <c r="M2402" s="328"/>
      <c r="N2402" s="328"/>
      <c r="O2402" s="334"/>
      <c r="P2402" s="328"/>
      <c r="Q2402" s="334"/>
      <c r="R2402" s="333"/>
      <c r="S2402" s="331"/>
      <c r="T2402" s="320"/>
      <c r="U2402" s="335"/>
      <c r="V2402" s="291">
        <f t="shared" ca="1" si="766"/>
        <v>0</v>
      </c>
      <c r="W2402" s="256">
        <f t="shared" ca="1" si="757"/>
        <v>0</v>
      </c>
      <c r="X2402" s="256">
        <f t="shared" ca="1" si="765"/>
        <v>1</v>
      </c>
      <c r="Y2402" s="250"/>
      <c r="Z2402" s="250"/>
    </row>
    <row r="2403" spans="1:29" s="111" customFormat="1" ht="15" hidden="1" x14ac:dyDescent="0.2">
      <c r="A2403" s="288"/>
      <c r="B2403" s="338"/>
      <c r="C2403" s="339"/>
      <c r="D2403" s="340"/>
      <c r="E2403" s="341"/>
      <c r="F2403" s="342"/>
      <c r="G2403" s="340"/>
      <c r="H2403" s="341"/>
      <c r="I2403" s="342"/>
      <c r="J2403" s="343"/>
      <c r="K2403" s="344"/>
      <c r="L2403" s="345"/>
      <c r="M2403" s="346"/>
      <c r="N2403" s="347"/>
      <c r="O2403" s="348"/>
      <c r="P2403" s="345"/>
      <c r="Q2403" s="349"/>
      <c r="R2403" s="350"/>
      <c r="S2403" s="351"/>
      <c r="T2403" s="352"/>
      <c r="U2403" s="353"/>
      <c r="V2403" s="291">
        <f t="shared" ca="1" si="766"/>
        <v>0</v>
      </c>
      <c r="W2403" s="256">
        <f t="shared" ca="1" si="757"/>
        <v>0</v>
      </c>
      <c r="X2403" s="256">
        <f t="shared" ca="1" si="765"/>
        <v>1</v>
      </c>
      <c r="Y2403" s="250"/>
      <c r="Z2403" s="250"/>
    </row>
    <row r="2404" spans="1:29" s="111" customFormat="1" ht="15.75" hidden="1" customHeight="1" x14ac:dyDescent="0.2">
      <c r="A2404" s="288"/>
      <c r="B2404" s="354"/>
      <c r="C2404" s="355"/>
      <c r="D2404" s="1354" t="s">
        <v>492</v>
      </c>
      <c r="E2404" s="1355"/>
      <c r="F2404" s="1355"/>
      <c r="G2404" s="1355"/>
      <c r="H2404" s="1355"/>
      <c r="I2404" s="1356"/>
      <c r="J2404" s="1357">
        <f>VLOOKUP(A2406,'11 - FINANCEIRO'!_xlnm.Print_Area,6,FALSE)</f>
        <v>5471.06</v>
      </c>
      <c r="K2404" s="1358"/>
      <c r="L2404" s="356" t="str">
        <f>VLOOKUP(A2406,'11 - FINANCEIRO'!_xlnm.Print_Area,4,FALSE)</f>
        <v>m³</v>
      </c>
      <c r="M2404" s="1359" t="s">
        <v>493</v>
      </c>
      <c r="N2404" s="1360"/>
      <c r="O2404" s="1360"/>
      <c r="P2404" s="1360"/>
      <c r="Q2404" s="1361"/>
      <c r="R2404" s="357">
        <f>TRUNC(SUM(R2400:R2403),3)</f>
        <v>0</v>
      </c>
      <c r="S2404" s="358" t="str">
        <f>L2404</f>
        <v>m³</v>
      </c>
      <c r="T2404" s="1384"/>
      <c r="U2404" s="1385"/>
      <c r="V2404" s="291">
        <f t="shared" ca="1" si="766"/>
        <v>0</v>
      </c>
      <c r="W2404" s="256">
        <f t="shared" ca="1" si="757"/>
        <v>2</v>
      </c>
      <c r="X2404" s="256">
        <f t="shared" ca="1" si="765"/>
        <v>1</v>
      </c>
      <c r="Y2404" s="250"/>
      <c r="Z2404" s="250"/>
    </row>
    <row r="2405" spans="1:29" s="293" customFormat="1" ht="15.75" hidden="1" customHeight="1" x14ac:dyDescent="0.2">
      <c r="A2405" s="288"/>
      <c r="B2405" s="354"/>
      <c r="C2405" s="361"/>
      <c r="D2405" s="1362" t="s">
        <v>494</v>
      </c>
      <c r="E2405" s="1363"/>
      <c r="F2405" s="1363"/>
      <c r="G2405" s="1363"/>
      <c r="H2405" s="1363"/>
      <c r="I2405" s="1364"/>
      <c r="J2405" s="1365">
        <f>R2404/J2404</f>
        <v>0</v>
      </c>
      <c r="K2405" s="1366"/>
      <c r="L2405" s="1369"/>
      <c r="M2405" s="1371" t="s">
        <v>495</v>
      </c>
      <c r="N2405" s="1372"/>
      <c r="O2405" s="1372"/>
      <c r="P2405" s="1372"/>
      <c r="Q2405" s="1373"/>
      <c r="R2405" s="362">
        <f>VLOOKUP(A2406,'11 - FINANCEIRO'!_xlnm.Print_Area,8,FALSE)</f>
        <v>0</v>
      </c>
      <c r="S2405" s="363" t="str">
        <f>L2404</f>
        <v>m³</v>
      </c>
      <c r="T2405" s="1396"/>
      <c r="U2405" s="1387"/>
      <c r="V2405" s="291">
        <f t="shared" ca="1" si="766"/>
        <v>0</v>
      </c>
      <c r="W2405" s="256">
        <f t="shared" ca="1" si="757"/>
        <v>2</v>
      </c>
      <c r="X2405" s="256">
        <f t="shared" ca="1" si="765"/>
        <v>1</v>
      </c>
      <c r="Y2405" s="256"/>
      <c r="Z2405" s="256"/>
      <c r="AA2405" s="292"/>
      <c r="AB2405" s="292"/>
      <c r="AC2405" s="292"/>
    </row>
    <row r="2406" spans="1:29" s="293" customFormat="1" ht="15.75" hidden="1" customHeight="1" x14ac:dyDescent="0.2">
      <c r="A2406" s="288" t="s">
        <v>107</v>
      </c>
      <c r="B2406" s="364"/>
      <c r="C2406" s="365"/>
      <c r="D2406" s="1354"/>
      <c r="E2406" s="1355"/>
      <c r="F2406" s="1355"/>
      <c r="G2406" s="1355"/>
      <c r="H2406" s="1355"/>
      <c r="I2406" s="1356"/>
      <c r="J2406" s="1367"/>
      <c r="K2406" s="1368"/>
      <c r="L2406" s="1370"/>
      <c r="M2406" s="1371" t="s">
        <v>496</v>
      </c>
      <c r="N2406" s="1372"/>
      <c r="O2406" s="1372"/>
      <c r="P2406" s="1372"/>
      <c r="Q2406" s="1373"/>
      <c r="R2406" s="362">
        <f>R2404-R2405</f>
        <v>0</v>
      </c>
      <c r="S2406" s="363" t="str">
        <f>L2404</f>
        <v>m³</v>
      </c>
      <c r="T2406" s="1388"/>
      <c r="U2406" s="1389"/>
      <c r="V2406" s="291">
        <f t="shared" ca="1" si="766"/>
        <v>0</v>
      </c>
      <c r="W2406" s="256">
        <f t="shared" ca="1" si="757"/>
        <v>2</v>
      </c>
      <c r="X2406" s="256">
        <f t="shared" ca="1" si="765"/>
        <v>1</v>
      </c>
      <c r="Y2406" s="256"/>
      <c r="Z2406" s="256"/>
      <c r="AA2406" s="292"/>
      <c r="AB2406" s="292"/>
      <c r="AC2406" s="292"/>
    </row>
    <row r="2407" spans="1:29" s="111" customFormat="1" ht="12.75" hidden="1" customHeight="1" x14ac:dyDescent="0.2">
      <c r="A2407" s="288"/>
      <c r="B2407" s="368"/>
      <c r="C2407" s="365"/>
      <c r="D2407" s="369"/>
      <c r="E2407" s="370"/>
      <c r="F2407" s="369"/>
      <c r="G2407" s="369"/>
      <c r="H2407" s="369"/>
      <c r="I2407" s="369"/>
      <c r="J2407" s="371"/>
      <c r="K2407" s="372"/>
      <c r="L2407" s="373"/>
      <c r="M2407" s="374"/>
      <c r="N2407" s="374"/>
      <c r="O2407" s="374"/>
      <c r="P2407" s="374"/>
      <c r="Q2407" s="374"/>
      <c r="R2407" s="375"/>
      <c r="S2407" s="376"/>
      <c r="T2407" s="377"/>
      <c r="U2407" s="378"/>
      <c r="V2407" s="379">
        <f ca="1">SUM(V2398:V2406)</f>
        <v>0</v>
      </c>
      <c r="W2407" s="256">
        <f t="shared" ca="1" si="757"/>
        <v>1</v>
      </c>
      <c r="X2407" s="256">
        <f t="shared" ca="1" si="765"/>
        <v>0</v>
      </c>
      <c r="Y2407" s="250"/>
      <c r="Z2407" s="250"/>
    </row>
    <row r="2408" spans="1:29" s="293" customFormat="1" ht="15.75" customHeight="1" x14ac:dyDescent="0.25">
      <c r="A2408" s="288"/>
      <c r="B2408" s="1374" t="str">
        <f>VLOOKUP(A2424,'11 - FINANCEIRO'!_xlnm.Print_Area,1,FALSE)</f>
        <v>3.1.6</v>
      </c>
      <c r="C2408" s="1376" t="str">
        <f>VLOOKUP(A2424,'11 - FINANCEIRO'!_xlnm.Print_Area,3,FALSE)</f>
        <v>Transporte De Material De 3ª Categoria Com Caminhão Basculante De 12 M³ Para Rocha - Rodovia Pavimentada</v>
      </c>
      <c r="D2408" s="1378" t="s">
        <v>477</v>
      </c>
      <c r="E2408" s="1379"/>
      <c r="F2408" s="1379"/>
      <c r="G2408" s="1379"/>
      <c r="H2408" s="1379"/>
      <c r="I2408" s="1380"/>
      <c r="J2408" s="1338" t="s">
        <v>478</v>
      </c>
      <c r="K2408" s="1338"/>
      <c r="L2408" s="1338"/>
      <c r="M2408" s="1338" t="s">
        <v>496</v>
      </c>
      <c r="N2408" s="1338" t="s">
        <v>1028</v>
      </c>
      <c r="O2408" s="1338" t="s">
        <v>1029</v>
      </c>
      <c r="P2408" s="290"/>
      <c r="Q2408" s="1338"/>
      <c r="R2408" s="1336" t="s">
        <v>296</v>
      </c>
      <c r="S2408" s="1338" t="s">
        <v>486</v>
      </c>
      <c r="T2408" s="1338" t="s">
        <v>487</v>
      </c>
      <c r="U2408" s="1340" t="s">
        <v>488</v>
      </c>
      <c r="V2408" s="291">
        <f t="shared" ref="V2408:V2424" ca="1" si="767">IF(OFFSET(V2408,1,1)=1,OFFSET(V2408,0,-4),OFFSET(V2408,1,0))</f>
        <v>-240924.266</v>
      </c>
      <c r="W2408" s="256">
        <f t="shared" ca="1" si="757"/>
        <v>2</v>
      </c>
      <c r="X2408" s="256">
        <f t="shared" ca="1" si="765"/>
        <v>1</v>
      </c>
      <c r="Y2408" s="256"/>
      <c r="Z2408" s="256"/>
      <c r="AA2408" s="292"/>
      <c r="AB2408" s="292"/>
      <c r="AC2408" s="292"/>
    </row>
    <row r="2409" spans="1:29" s="337" customFormat="1" ht="15.75" x14ac:dyDescent="0.2">
      <c r="A2409" s="288"/>
      <c r="B2409" s="1375"/>
      <c r="C2409" s="1377" t="e">
        <f>VLOOKUP(LEFT(#REF!,5),'11 - FINANCEIRO'!_xlnm.Print_Area,2,FALSE)</f>
        <v>#REF!</v>
      </c>
      <c r="D2409" s="1342" t="s">
        <v>489</v>
      </c>
      <c r="E2409" s="1343"/>
      <c r="F2409" s="1344"/>
      <c r="G2409" s="1345" t="s">
        <v>490</v>
      </c>
      <c r="H2409" s="1346"/>
      <c r="I2409" s="1347"/>
      <c r="J2409" s="1339"/>
      <c r="K2409" s="1339"/>
      <c r="L2409" s="1339"/>
      <c r="M2409" s="1339"/>
      <c r="N2409" s="1339"/>
      <c r="O2409" s="1339"/>
      <c r="P2409" s="295"/>
      <c r="Q2409" s="1339"/>
      <c r="R2409" s="1337"/>
      <c r="S2409" s="1339"/>
      <c r="T2409" s="1339"/>
      <c r="U2409" s="1341"/>
      <c r="V2409" s="291">
        <f t="shared" ca="1" si="767"/>
        <v>-240924.266</v>
      </c>
      <c r="W2409" s="256">
        <f t="shared" ca="1" si="757"/>
        <v>2</v>
      </c>
      <c r="X2409" s="256">
        <f t="shared" ca="1" si="765"/>
        <v>1</v>
      </c>
      <c r="Y2409" s="336"/>
      <c r="Z2409" s="336"/>
    </row>
    <row r="2410" spans="1:29" s="337" customFormat="1" ht="15.75" x14ac:dyDescent="0.2">
      <c r="A2410" s="288"/>
      <c r="B2410" s="913"/>
      <c r="C2410" s="582" t="s">
        <v>1137</v>
      </c>
      <c r="D2410" s="298"/>
      <c r="E2410" s="299"/>
      <c r="F2410" s="300"/>
      <c r="G2410" s="301"/>
      <c r="H2410" s="302"/>
      <c r="I2410" s="303"/>
      <c r="J2410" s="304"/>
      <c r="K2410" s="304"/>
      <c r="L2410" s="304"/>
      <c r="M2410" s="308"/>
      <c r="N2410" s="384"/>
      <c r="O2410" s="416"/>
      <c r="P2410" s="306"/>
      <c r="Q2410" s="304"/>
      <c r="R2410" s="307">
        <v>157536.18100000001</v>
      </c>
      <c r="S2410" s="416" t="str">
        <f>$L$2422</f>
        <v>tkm</v>
      </c>
      <c r="T2410" s="309">
        <v>32</v>
      </c>
      <c r="U2410" s="310"/>
      <c r="V2410" s="291">
        <f t="shared" ca="1" si="767"/>
        <v>-240924.266</v>
      </c>
      <c r="W2410" s="256">
        <f t="shared" ca="1" si="757"/>
        <v>2</v>
      </c>
      <c r="X2410" s="256">
        <f t="shared" ca="1" si="765"/>
        <v>1</v>
      </c>
      <c r="Y2410" s="336">
        <v>196710.37600000005</v>
      </c>
      <c r="Z2410" s="336"/>
    </row>
    <row r="2411" spans="1:29" s="111" customFormat="1" ht="15.75" x14ac:dyDescent="0.2">
      <c r="A2411" s="288"/>
      <c r="B2411" s="311"/>
      <c r="C2411" s="312" t="s">
        <v>1137</v>
      </c>
      <c r="D2411" s="313"/>
      <c r="E2411" s="314"/>
      <c r="F2411" s="315"/>
      <c r="G2411" s="380"/>
      <c r="H2411" s="316"/>
      <c r="I2411" s="381"/>
      <c r="J2411" s="317"/>
      <c r="K2411" s="313"/>
      <c r="L2411" s="317"/>
      <c r="M2411" s="315"/>
      <c r="N2411" s="314"/>
      <c r="O2411" s="313"/>
      <c r="P2411" s="318"/>
      <c r="Q2411" s="315"/>
      <c r="R2411" s="319">
        <v>57716.434999999998</v>
      </c>
      <c r="S2411" s="416" t="str">
        <f t="shared" ref="S2411:S2413" si="768">$L$2422</f>
        <v>tkm</v>
      </c>
      <c r="T2411" s="320">
        <v>33</v>
      </c>
      <c r="U2411" s="321"/>
      <c r="V2411" s="291">
        <f t="shared" ca="1" si="767"/>
        <v>-240924.266</v>
      </c>
      <c r="W2411" s="256">
        <f t="shared" ca="1" si="757"/>
        <v>2</v>
      </c>
      <c r="X2411" s="256">
        <f t="shared" ca="1" si="765"/>
        <v>1</v>
      </c>
      <c r="Y2411" s="250"/>
      <c r="Z2411" s="250"/>
    </row>
    <row r="2412" spans="1:29" s="111" customFormat="1" ht="15" x14ac:dyDescent="0.2">
      <c r="A2412" s="288"/>
      <c r="B2412" s="322"/>
      <c r="C2412" s="312" t="s">
        <v>1137</v>
      </c>
      <c r="D2412" s="324"/>
      <c r="E2412" s="325"/>
      <c r="F2412" s="326"/>
      <c r="G2412" s="324"/>
      <c r="H2412" s="325"/>
      <c r="I2412" s="326"/>
      <c r="J2412" s="317"/>
      <c r="K2412" s="328"/>
      <c r="L2412" s="328"/>
      <c r="M2412" s="328"/>
      <c r="N2412" s="328"/>
      <c r="O2412" s="334"/>
      <c r="P2412" s="328"/>
      <c r="Q2412" s="334"/>
      <c r="R2412" s="333">
        <v>26707.725999999999</v>
      </c>
      <c r="S2412" s="416" t="str">
        <f t="shared" si="768"/>
        <v>tkm</v>
      </c>
      <c r="T2412" s="320">
        <v>33</v>
      </c>
      <c r="U2412" s="335"/>
      <c r="V2412" s="291">
        <f t="shared" ca="1" si="767"/>
        <v>-240924.266</v>
      </c>
      <c r="W2412" s="256">
        <f t="shared" ca="1" si="757"/>
        <v>2</v>
      </c>
      <c r="X2412" s="256">
        <f t="shared" ca="1" si="765"/>
        <v>1</v>
      </c>
      <c r="Y2412" s="250"/>
      <c r="Z2412" s="250"/>
    </row>
    <row r="2413" spans="1:29" s="111" customFormat="1" ht="15" x14ac:dyDescent="0.2">
      <c r="A2413" s="288"/>
      <c r="B2413" s="494"/>
      <c r="C2413" s="312" t="s">
        <v>1137</v>
      </c>
      <c r="D2413" s="324"/>
      <c r="E2413" s="325"/>
      <c r="F2413" s="326"/>
      <c r="G2413" s="324"/>
      <c r="H2413" s="325"/>
      <c r="I2413" s="326"/>
      <c r="J2413" s="317"/>
      <c r="K2413" s="328"/>
      <c r="L2413" s="328"/>
      <c r="M2413" s="328"/>
      <c r="N2413" s="328"/>
      <c r="O2413" s="334"/>
      <c r="P2413" s="328"/>
      <c r="Q2413" s="334"/>
      <c r="R2413" s="333">
        <f>SUM((296986.511)-(R2410+R2411+R2412))</f>
        <v>55026.168999999994</v>
      </c>
      <c r="S2413" s="416" t="str">
        <f t="shared" si="768"/>
        <v>tkm</v>
      </c>
      <c r="T2413" s="320">
        <v>34</v>
      </c>
      <c r="U2413" s="335"/>
      <c r="V2413" s="291">
        <f t="shared" ca="1" si="767"/>
        <v>-240924.266</v>
      </c>
      <c r="W2413" s="256">
        <f t="shared" ref="W2413" ca="1" si="769">IF(LEFT(_xlfn.FORMULATEXT(V2413),3)="=SO",1,IF(COUNTA(A2413:U2413)=0,0,2))</f>
        <v>2</v>
      </c>
      <c r="X2413" s="256">
        <f t="shared" ref="X2413" ca="1" si="770">IF(COUNTA(OFFSET(A2412,1,0))-COUNTA(A2412)=-1,0,1)</f>
        <v>1</v>
      </c>
      <c r="Y2413" s="250"/>
      <c r="Z2413" s="250"/>
    </row>
    <row r="2414" spans="1:29" s="111" customFormat="1" ht="15" x14ac:dyDescent="0.2">
      <c r="A2414" s="288"/>
      <c r="B2414" s="494"/>
      <c r="C2414" s="495" t="s">
        <v>1178</v>
      </c>
      <c r="D2414" s="819"/>
      <c r="E2414" s="820"/>
      <c r="F2414" s="822"/>
      <c r="G2414" s="819"/>
      <c r="H2414" s="820"/>
      <c r="I2414" s="822"/>
      <c r="J2414" s="560"/>
      <c r="K2414" s="759"/>
      <c r="L2414" s="501"/>
      <c r="M2414" s="760"/>
      <c r="N2414" s="761"/>
      <c r="O2414" s="505"/>
      <c r="P2414" s="501"/>
      <c r="Q2414" s="739"/>
      <c r="R2414" s="504">
        <v>-296986.511</v>
      </c>
      <c r="S2414" s="1041" t="s">
        <v>351</v>
      </c>
      <c r="T2414" s="506">
        <v>35</v>
      </c>
      <c r="U2414" s="574"/>
      <c r="V2414" s="291">
        <f t="shared" ca="1" si="767"/>
        <v>-240924.266</v>
      </c>
      <c r="W2414" s="256">
        <f t="shared" ref="W2414" ca="1" si="771">IF(LEFT(_xlfn.FORMULATEXT(V2414),3)="=SO",1,IF(COUNTA(A2414:U2414)=0,0,2))</f>
        <v>2</v>
      </c>
      <c r="X2414" s="256">
        <f t="shared" ref="X2414" ca="1" si="772">IF(COUNTA(OFFSET(A2413,1,0))-COUNTA(A2413)=-1,0,1)</f>
        <v>1</v>
      </c>
      <c r="Y2414" s="250"/>
      <c r="Z2414" s="250"/>
    </row>
    <row r="2415" spans="1:29" s="111" customFormat="1" ht="15" x14ac:dyDescent="0.2">
      <c r="A2415" s="288"/>
      <c r="B2415" s="494"/>
      <c r="C2415" s="495"/>
      <c r="D2415" s="819"/>
      <c r="E2415" s="820"/>
      <c r="F2415" s="822"/>
      <c r="G2415" s="819"/>
      <c r="H2415" s="820"/>
      <c r="I2415" s="822"/>
      <c r="J2415" s="1109"/>
      <c r="K2415" s="759"/>
      <c r="L2415" s="501"/>
      <c r="M2415" s="760"/>
      <c r="N2415" s="761"/>
      <c r="O2415" s="505"/>
      <c r="P2415" s="501"/>
      <c r="Q2415" s="739"/>
      <c r="R2415" s="1111"/>
      <c r="S2415" s="1041"/>
      <c r="T2415" s="506"/>
      <c r="U2415" s="574"/>
      <c r="V2415" s="291">
        <f t="shared" ca="1" si="767"/>
        <v>-240924.266</v>
      </c>
      <c r="W2415" s="256">
        <f t="shared" ref="W2415:W2416" ca="1" si="773">IF(LEFT(_xlfn.FORMULATEXT(V2415),3)="=SO",1,IF(COUNTA(A2415:U2415)=0,0,2))</f>
        <v>0</v>
      </c>
      <c r="X2415" s="256">
        <f t="shared" ref="X2415:X2416" ca="1" si="774">IF(COUNTA(OFFSET(A2414,1,0))-COUNTA(A2414)=-1,0,1)</f>
        <v>1</v>
      </c>
      <c r="Y2415" s="250"/>
      <c r="Z2415" s="250"/>
    </row>
    <row r="2416" spans="1:29" s="111" customFormat="1" ht="30" x14ac:dyDescent="0.2">
      <c r="A2416" s="288"/>
      <c r="B2416" s="494"/>
      <c r="C2416" s="312" t="s">
        <v>1310</v>
      </c>
      <c r="D2416" s="819"/>
      <c r="E2416" s="820"/>
      <c r="F2416" s="822"/>
      <c r="G2416" s="819"/>
      <c r="H2416" s="820"/>
      <c r="I2416" s="822"/>
      <c r="J2416" s="1109"/>
      <c r="K2416" s="759"/>
      <c r="L2416" s="501"/>
      <c r="M2416" s="760"/>
      <c r="N2416" s="761"/>
      <c r="O2416" s="505"/>
      <c r="P2416" s="501"/>
      <c r="Q2416" s="739"/>
      <c r="R2416" s="1111">
        <v>23167.931</v>
      </c>
      <c r="S2416" s="433" t="s">
        <v>351</v>
      </c>
      <c r="T2416" s="506">
        <v>41</v>
      </c>
      <c r="U2416" s="574"/>
      <c r="V2416" s="291">
        <f t="shared" ca="1" si="767"/>
        <v>-240924.266</v>
      </c>
      <c r="W2416" s="256">
        <f t="shared" ca="1" si="773"/>
        <v>2</v>
      </c>
      <c r="X2416" s="256">
        <f t="shared" ca="1" si="774"/>
        <v>1</v>
      </c>
      <c r="Y2416" s="250"/>
      <c r="Z2416" s="250"/>
    </row>
    <row r="2417" spans="1:29" s="111" customFormat="1" ht="30" x14ac:dyDescent="0.2">
      <c r="A2417" s="288"/>
      <c r="B2417" s="494"/>
      <c r="C2417" s="312" t="s">
        <v>1318</v>
      </c>
      <c r="D2417" s="819"/>
      <c r="E2417" s="820"/>
      <c r="F2417" s="822"/>
      <c r="G2417" s="819"/>
      <c r="H2417" s="820"/>
      <c r="I2417" s="822"/>
      <c r="J2417" s="560"/>
      <c r="K2417" s="759"/>
      <c r="L2417" s="501"/>
      <c r="M2417" s="760"/>
      <c r="N2417" s="761"/>
      <c r="O2417" s="505"/>
      <c r="P2417" s="501"/>
      <c r="Q2417" s="739"/>
      <c r="R2417" s="1111">
        <v>128153.96799999999</v>
      </c>
      <c r="S2417" s="433" t="s">
        <v>351</v>
      </c>
      <c r="T2417" s="506">
        <v>42</v>
      </c>
      <c r="U2417" s="574"/>
      <c r="V2417" s="291">
        <f t="shared" ca="1" si="767"/>
        <v>-240924.266</v>
      </c>
      <c r="W2417" s="256">
        <f t="shared" ref="W2417:W2423" ca="1" si="775">IF(LEFT(_xlfn.FORMULATEXT(V2417),3)="=SO",1,IF(COUNTA(A2417:U2417)=0,0,2))</f>
        <v>2</v>
      </c>
      <c r="X2417" s="256">
        <f t="shared" ref="X2417:X2423" ca="1" si="776">IF(COUNTA(OFFSET(A2416,1,0))-COUNTA(A2416)=-1,0,1)</f>
        <v>1</v>
      </c>
      <c r="Y2417" s="250"/>
      <c r="Z2417" s="250"/>
    </row>
    <row r="2418" spans="1:29" s="111" customFormat="1" ht="30" x14ac:dyDescent="0.2">
      <c r="A2418" s="288"/>
      <c r="B2418" s="494"/>
      <c r="C2418" s="312" t="s">
        <v>1334</v>
      </c>
      <c r="D2418" s="819"/>
      <c r="E2418" s="820"/>
      <c r="F2418" s="822"/>
      <c r="G2418" s="819"/>
      <c r="H2418" s="820"/>
      <c r="I2418" s="822"/>
      <c r="J2418" s="1109"/>
      <c r="K2418" s="759"/>
      <c r="L2418" s="501"/>
      <c r="M2418" s="760"/>
      <c r="N2418" s="761"/>
      <c r="O2418" s="505"/>
      <c r="P2418" s="501"/>
      <c r="Q2418" s="739"/>
      <c r="R2418" s="1111">
        <v>89602.366999999998</v>
      </c>
      <c r="S2418" s="433" t="s">
        <v>351</v>
      </c>
      <c r="T2418" s="506">
        <v>43</v>
      </c>
      <c r="U2418" s="1107"/>
      <c r="V2418" s="291">
        <f t="shared" ca="1" si="767"/>
        <v>-240924.266</v>
      </c>
      <c r="W2418" s="256">
        <f t="shared" ca="1" si="775"/>
        <v>2</v>
      </c>
      <c r="X2418" s="256">
        <f t="shared" ca="1" si="776"/>
        <v>1</v>
      </c>
      <c r="Y2418" s="250"/>
      <c r="Z2418" s="250"/>
    </row>
    <row r="2419" spans="1:29" s="111" customFormat="1" ht="15" x14ac:dyDescent="0.2">
      <c r="A2419" s="288"/>
      <c r="B2419" s="494"/>
      <c r="C2419" s="495"/>
      <c r="D2419" s="819"/>
      <c r="E2419" s="820"/>
      <c r="F2419" s="822"/>
      <c r="G2419" s="819"/>
      <c r="H2419" s="820"/>
      <c r="I2419" s="822"/>
      <c r="J2419" s="1109"/>
      <c r="K2419" s="759"/>
      <c r="L2419" s="501"/>
      <c r="M2419" s="760"/>
      <c r="N2419" s="761"/>
      <c r="O2419" s="505"/>
      <c r="P2419" s="501"/>
      <c r="Q2419" s="739"/>
      <c r="R2419" s="1111"/>
      <c r="S2419" s="1041"/>
      <c r="T2419" s="506"/>
      <c r="U2419" s="574"/>
      <c r="V2419" s="291">
        <f t="shared" ca="1" si="767"/>
        <v>-240924.266</v>
      </c>
      <c r="W2419" s="256">
        <f t="shared" ca="1" si="775"/>
        <v>0</v>
      </c>
      <c r="X2419" s="256">
        <f t="shared" ca="1" si="776"/>
        <v>1</v>
      </c>
      <c r="Y2419" s="250"/>
      <c r="Z2419" s="250"/>
    </row>
    <row r="2420" spans="1:29" s="111" customFormat="1" ht="15" x14ac:dyDescent="0.2">
      <c r="A2420" s="288"/>
      <c r="B2420" s="494"/>
      <c r="C2420" s="495" t="s">
        <v>1380</v>
      </c>
      <c r="D2420" s="819"/>
      <c r="E2420" s="820"/>
      <c r="F2420" s="822"/>
      <c r="G2420" s="819"/>
      <c r="H2420" s="820"/>
      <c r="I2420" s="822"/>
      <c r="J2420" s="1109"/>
      <c r="K2420" s="759"/>
      <c r="L2420" s="501"/>
      <c r="M2420" s="760"/>
      <c r="N2420" s="761"/>
      <c r="O2420" s="505"/>
      <c r="P2420" s="501"/>
      <c r="Q2420" s="739"/>
      <c r="R2420" s="1111">
        <f>-SUM(R2416:R2418)</f>
        <v>-240924.266</v>
      </c>
      <c r="S2420" s="1041" t="str">
        <f>$L$2422</f>
        <v>tkm</v>
      </c>
      <c r="T2420" s="506">
        <v>44</v>
      </c>
      <c r="U2420" s="574"/>
      <c r="V2420" s="291">
        <f t="shared" ca="1" si="767"/>
        <v>-240924.266</v>
      </c>
      <c r="W2420" s="256">
        <f t="shared" ca="1" si="775"/>
        <v>2</v>
      </c>
      <c r="X2420" s="256">
        <f t="shared" ca="1" si="776"/>
        <v>1</v>
      </c>
      <c r="Y2420" s="250"/>
      <c r="Z2420" s="250"/>
    </row>
    <row r="2421" spans="1:29" s="111" customFormat="1" ht="15" x14ac:dyDescent="0.2">
      <c r="A2421" s="288"/>
      <c r="B2421" s="338"/>
      <c r="C2421" s="339"/>
      <c r="D2421" s="340"/>
      <c r="E2421" s="341"/>
      <c r="F2421" s="342"/>
      <c r="G2421" s="340"/>
      <c r="H2421" s="341"/>
      <c r="I2421" s="342"/>
      <c r="J2421" s="343"/>
      <c r="K2421" s="344"/>
      <c r="L2421" s="345"/>
      <c r="M2421" s="346"/>
      <c r="N2421" s="347"/>
      <c r="O2421" s="348"/>
      <c r="P2421" s="345"/>
      <c r="Q2421" s="349"/>
      <c r="R2421" s="350"/>
      <c r="S2421" s="351"/>
      <c r="T2421" s="352"/>
      <c r="U2421" s="353"/>
      <c r="V2421" s="291">
        <f t="shared" ca="1" si="767"/>
        <v>-240924.266</v>
      </c>
      <c r="W2421" s="256">
        <f t="shared" ca="1" si="775"/>
        <v>0</v>
      </c>
      <c r="X2421" s="256">
        <f t="shared" ca="1" si="776"/>
        <v>1</v>
      </c>
      <c r="Y2421" s="250"/>
      <c r="Z2421" s="250"/>
    </row>
    <row r="2422" spans="1:29" s="111" customFormat="1" ht="15.75" customHeight="1" x14ac:dyDescent="0.2">
      <c r="A2422" s="288"/>
      <c r="B2422" s="354"/>
      <c r="C2422" s="355"/>
      <c r="D2422" s="1354" t="s">
        <v>492</v>
      </c>
      <c r="E2422" s="1355"/>
      <c r="F2422" s="1355"/>
      <c r="G2422" s="1355"/>
      <c r="H2422" s="1355"/>
      <c r="I2422" s="1356"/>
      <c r="J2422" s="1357">
        <f>VLOOKUP(A2424,'11 - FINANCEIRO'!_xlnm.Print_Area,6,FALSE)</f>
        <v>321798.8</v>
      </c>
      <c r="K2422" s="1358"/>
      <c r="L2422" s="356" t="str">
        <f>VLOOKUP(A2424,'11 - FINANCEIRO'!_xlnm.Print_Area,4,FALSE)</f>
        <v>tkm</v>
      </c>
      <c r="M2422" s="1359" t="s">
        <v>493</v>
      </c>
      <c r="N2422" s="1360"/>
      <c r="O2422" s="1360"/>
      <c r="P2422" s="1360"/>
      <c r="Q2422" s="1361"/>
      <c r="R2422" s="357">
        <f>TRUNC(SUM(R2410:R2421),3)</f>
        <v>0</v>
      </c>
      <c r="S2422" s="358" t="str">
        <f>L2422</f>
        <v>tkm</v>
      </c>
      <c r="T2422" s="1384"/>
      <c r="U2422" s="1385"/>
      <c r="V2422" s="291">
        <f t="shared" ca="1" si="767"/>
        <v>-240924.266</v>
      </c>
      <c r="W2422" s="256">
        <f t="shared" ca="1" si="775"/>
        <v>2</v>
      </c>
      <c r="X2422" s="256">
        <f t="shared" ca="1" si="776"/>
        <v>1</v>
      </c>
      <c r="Y2422" s="250"/>
      <c r="Z2422" s="250"/>
    </row>
    <row r="2423" spans="1:29" s="395" customFormat="1" ht="15.75" customHeight="1" x14ac:dyDescent="0.25">
      <c r="A2423" s="276"/>
      <c r="B2423" s="354"/>
      <c r="C2423" s="361"/>
      <c r="D2423" s="1362" t="s">
        <v>494</v>
      </c>
      <c r="E2423" s="1363"/>
      <c r="F2423" s="1363"/>
      <c r="G2423" s="1363"/>
      <c r="H2423" s="1363"/>
      <c r="I2423" s="1364"/>
      <c r="J2423" s="1365">
        <f>R2422/J2422</f>
        <v>0</v>
      </c>
      <c r="K2423" s="1366"/>
      <c r="L2423" s="1369"/>
      <c r="M2423" s="1371" t="s">
        <v>495</v>
      </c>
      <c r="N2423" s="1372"/>
      <c r="O2423" s="1372"/>
      <c r="P2423" s="1372"/>
      <c r="Q2423" s="1373"/>
      <c r="R2423" s="362">
        <f>VLOOKUP(A2424,'11 - FINANCEIRO'!_xlnm.Print_Area,8,FALSE)</f>
        <v>240924.266</v>
      </c>
      <c r="S2423" s="363" t="str">
        <f>L2422</f>
        <v>tkm</v>
      </c>
      <c r="T2423" s="1386"/>
      <c r="U2423" s="1387"/>
      <c r="V2423" s="291">
        <f t="shared" ca="1" si="767"/>
        <v>-240924.266</v>
      </c>
      <c r="W2423" s="256">
        <f t="shared" ca="1" si="775"/>
        <v>2</v>
      </c>
      <c r="X2423" s="256">
        <f t="shared" ca="1" si="776"/>
        <v>1</v>
      </c>
    </row>
    <row r="2424" spans="1:29" s="293" customFormat="1" ht="15.75" customHeight="1" x14ac:dyDescent="0.2">
      <c r="A2424" s="288" t="s">
        <v>108</v>
      </c>
      <c r="B2424" s="364"/>
      <c r="C2424" s="365"/>
      <c r="D2424" s="1354"/>
      <c r="E2424" s="1355"/>
      <c r="F2424" s="1355"/>
      <c r="G2424" s="1355"/>
      <c r="H2424" s="1355"/>
      <c r="I2424" s="1356"/>
      <c r="J2424" s="1367"/>
      <c r="K2424" s="1368"/>
      <c r="L2424" s="1370"/>
      <c r="M2424" s="1371" t="s">
        <v>496</v>
      </c>
      <c r="N2424" s="1372"/>
      <c r="O2424" s="1372"/>
      <c r="P2424" s="1372"/>
      <c r="Q2424" s="1373"/>
      <c r="R2424" s="362">
        <f>R2422-R2423</f>
        <v>-240924.266</v>
      </c>
      <c r="S2424" s="363" t="str">
        <f>L2422</f>
        <v>tkm</v>
      </c>
      <c r="T2424" s="1388"/>
      <c r="U2424" s="1389"/>
      <c r="V2424" s="291">
        <f t="shared" ca="1" si="767"/>
        <v>-240924.266</v>
      </c>
      <c r="W2424" s="256">
        <f t="shared" ca="1" si="757"/>
        <v>2</v>
      </c>
      <c r="X2424" s="256">
        <f t="shared" ca="1" si="765"/>
        <v>1</v>
      </c>
      <c r="Y2424" s="256"/>
      <c r="Z2424" s="256"/>
      <c r="AA2424" s="292"/>
      <c r="AB2424" s="292"/>
      <c r="AC2424" s="292"/>
    </row>
    <row r="2425" spans="1:29" s="111" customFormat="1" ht="15.75" x14ac:dyDescent="0.2">
      <c r="A2425" s="288"/>
      <c r="B2425" s="368"/>
      <c r="C2425" s="365"/>
      <c r="D2425" s="369"/>
      <c r="E2425" s="370"/>
      <c r="F2425" s="369"/>
      <c r="G2425" s="369"/>
      <c r="H2425" s="369"/>
      <c r="I2425" s="369"/>
      <c r="J2425" s="371"/>
      <c r="K2425" s="372"/>
      <c r="L2425" s="373"/>
      <c r="M2425" s="374"/>
      <c r="N2425" s="374"/>
      <c r="O2425" s="374"/>
      <c r="P2425" s="374"/>
      <c r="Q2425" s="374"/>
      <c r="R2425" s="375"/>
      <c r="S2425" s="376"/>
      <c r="T2425" s="377"/>
      <c r="U2425" s="378"/>
      <c r="V2425" s="379">
        <f ca="1">SUM(V2408:V2424)</f>
        <v>-4095712.5219999989</v>
      </c>
      <c r="W2425" s="256">
        <f t="shared" ca="1" si="757"/>
        <v>1</v>
      </c>
      <c r="X2425" s="256">
        <f t="shared" ca="1" si="765"/>
        <v>0</v>
      </c>
      <c r="Y2425" s="250"/>
      <c r="Z2425" s="250"/>
    </row>
    <row r="2426" spans="1:29" s="293" customFormat="1" ht="15.75" hidden="1" x14ac:dyDescent="0.2">
      <c r="A2426" s="288"/>
      <c r="B2426" s="385" t="str">
        <f>LEFT(A2434,11)</f>
        <v>3.2</v>
      </c>
      <c r="C2426" s="386" t="str">
        <f>VLOOKUP(LEFT(A2434,11),'11 - FINANCEIRO'!_xlnm.Print_Area,2,FALSE)</f>
        <v>Obras Complementares</v>
      </c>
      <c r="D2426" s="386"/>
      <c r="E2426" s="387"/>
      <c r="F2426" s="386"/>
      <c r="G2426" s="1395"/>
      <c r="H2426" s="1395"/>
      <c r="I2426" s="1395"/>
      <c r="J2426" s="1395"/>
      <c r="K2426" s="1395"/>
      <c r="L2426" s="1395"/>
      <c r="M2426" s="389"/>
      <c r="N2426" s="390"/>
      <c r="O2426" s="389"/>
      <c r="P2426" s="389"/>
      <c r="Q2426" s="389"/>
      <c r="R2426" s="390"/>
      <c r="S2426" s="389"/>
      <c r="T2426" s="389"/>
      <c r="U2426" s="601"/>
      <c r="V2426" s="549">
        <f ca="1">SUM(V2427:V2536)</f>
        <v>0</v>
      </c>
      <c r="W2426" s="256">
        <f t="shared" ca="1" si="757"/>
        <v>1</v>
      </c>
      <c r="X2426" s="256">
        <f t="shared" ca="1" si="765"/>
        <v>1</v>
      </c>
      <c r="Y2426" s="256"/>
      <c r="Z2426" s="256"/>
      <c r="AA2426" s="292"/>
      <c r="AB2426" s="292"/>
      <c r="AC2426" s="292"/>
    </row>
    <row r="2427" spans="1:29" s="293" customFormat="1" ht="15.75" hidden="1" customHeight="1" x14ac:dyDescent="0.25">
      <c r="A2427" s="288"/>
      <c r="B2427" s="1374" t="str">
        <f>VLOOKUP(A2435,'11 - FINANCEIRO'!_xlnm.Print_Area,1,FALSE)</f>
        <v>3.2.1</v>
      </c>
      <c r="C2427" s="1376" t="str">
        <f>VLOOKUP(A2435,'11 - FINANCEIRO'!_xlnm.Print_Area,3,FALSE)</f>
        <v>Demolição Manual De Construções Provisórias De Madeira - Sem Reaproveitamento</v>
      </c>
      <c r="D2427" s="1378" t="s">
        <v>477</v>
      </c>
      <c r="E2427" s="1379"/>
      <c r="F2427" s="1379"/>
      <c r="G2427" s="1379"/>
      <c r="H2427" s="1379"/>
      <c r="I2427" s="1380"/>
      <c r="J2427" s="1338" t="s">
        <v>478</v>
      </c>
      <c r="K2427" s="1338" t="s">
        <v>479</v>
      </c>
      <c r="L2427" s="1338" t="s">
        <v>480</v>
      </c>
      <c r="M2427" s="1338" t="s">
        <v>481</v>
      </c>
      <c r="N2427" s="1338" t="s">
        <v>482</v>
      </c>
      <c r="O2427" s="1338" t="s">
        <v>483</v>
      </c>
      <c r="P2427" s="290" t="s">
        <v>484</v>
      </c>
      <c r="Q2427" s="1338" t="s">
        <v>485</v>
      </c>
      <c r="R2427" s="1336" t="s">
        <v>296</v>
      </c>
      <c r="S2427" s="1338" t="s">
        <v>486</v>
      </c>
      <c r="T2427" s="1338" t="s">
        <v>487</v>
      </c>
      <c r="U2427" s="1340" t="s">
        <v>488</v>
      </c>
      <c r="V2427" s="291">
        <f t="shared" ref="V2427:V2435" ca="1" si="777">IF(OFFSET(V2427,1,1)=1,OFFSET(V2427,0,-4),OFFSET(V2427,1,0))</f>
        <v>0</v>
      </c>
      <c r="W2427" s="256">
        <f t="shared" ca="1" si="757"/>
        <v>2</v>
      </c>
      <c r="X2427" s="256">
        <f t="shared" ca="1" si="765"/>
        <v>1</v>
      </c>
      <c r="Y2427" s="256"/>
      <c r="Z2427" s="256"/>
      <c r="AA2427" s="292"/>
      <c r="AB2427" s="292"/>
      <c r="AC2427" s="292"/>
    </row>
    <row r="2428" spans="1:29" s="337" customFormat="1" ht="15.75" hidden="1" x14ac:dyDescent="0.2">
      <c r="A2428" s="288"/>
      <c r="B2428" s="1375"/>
      <c r="C2428" s="1377" t="e">
        <f>VLOOKUP(LEFT(#REF!,5),'11 - FINANCEIRO'!_xlnm.Print_Area,2,FALSE)</f>
        <v>#REF!</v>
      </c>
      <c r="D2428" s="1342" t="s">
        <v>489</v>
      </c>
      <c r="E2428" s="1343"/>
      <c r="F2428" s="1344"/>
      <c r="G2428" s="1345" t="s">
        <v>490</v>
      </c>
      <c r="H2428" s="1346"/>
      <c r="I2428" s="1347"/>
      <c r="J2428" s="1339"/>
      <c r="K2428" s="1339"/>
      <c r="L2428" s="1339"/>
      <c r="M2428" s="1339"/>
      <c r="N2428" s="1339"/>
      <c r="O2428" s="1339"/>
      <c r="P2428" s="295" t="s">
        <v>491</v>
      </c>
      <c r="Q2428" s="1339"/>
      <c r="R2428" s="1337"/>
      <c r="S2428" s="1339"/>
      <c r="T2428" s="1339"/>
      <c r="U2428" s="1341"/>
      <c r="V2428" s="291">
        <f t="shared" ca="1" si="777"/>
        <v>0</v>
      </c>
      <c r="W2428" s="256">
        <f t="shared" ca="1" si="757"/>
        <v>2</v>
      </c>
      <c r="X2428" s="256">
        <f t="shared" ca="1" si="765"/>
        <v>1</v>
      </c>
      <c r="Y2428" s="336"/>
      <c r="Z2428" s="336"/>
    </row>
    <row r="2429" spans="1:29" s="337" customFormat="1" ht="15.75" hidden="1" x14ac:dyDescent="0.2">
      <c r="A2429" s="288"/>
      <c r="B2429" s="296"/>
      <c r="C2429" s="297"/>
      <c r="D2429" s="298"/>
      <c r="E2429" s="299"/>
      <c r="F2429" s="300"/>
      <c r="G2429" s="301"/>
      <c r="H2429" s="302"/>
      <c r="I2429" s="303"/>
      <c r="J2429" s="304"/>
      <c r="K2429" s="304"/>
      <c r="L2429" s="304"/>
      <c r="M2429" s="304"/>
      <c r="N2429" s="304"/>
      <c r="O2429" s="304"/>
      <c r="P2429" s="306"/>
      <c r="Q2429" s="304"/>
      <c r="R2429" s="307"/>
      <c r="S2429" s="304"/>
      <c r="T2429" s="309"/>
      <c r="U2429" s="310"/>
      <c r="V2429" s="291">
        <f t="shared" ca="1" si="777"/>
        <v>0</v>
      </c>
      <c r="W2429" s="256">
        <f t="shared" ca="1" si="757"/>
        <v>0</v>
      </c>
      <c r="X2429" s="256">
        <f t="shared" ca="1" si="765"/>
        <v>1</v>
      </c>
      <c r="Y2429" s="336"/>
      <c r="Z2429" s="336"/>
    </row>
    <row r="2430" spans="1:29" s="111" customFormat="1" ht="15.75" hidden="1" x14ac:dyDescent="0.2">
      <c r="A2430" s="288"/>
      <c r="B2430" s="311"/>
      <c r="C2430" s="312"/>
      <c r="D2430" s="313"/>
      <c r="E2430" s="314"/>
      <c r="F2430" s="315"/>
      <c r="G2430" s="380"/>
      <c r="H2430" s="316"/>
      <c r="I2430" s="381"/>
      <c r="J2430" s="317"/>
      <c r="K2430" s="313"/>
      <c r="L2430" s="317"/>
      <c r="M2430" s="315"/>
      <c r="N2430" s="314"/>
      <c r="O2430" s="313"/>
      <c r="P2430" s="318"/>
      <c r="Q2430" s="315"/>
      <c r="R2430" s="319"/>
      <c r="S2430" s="317"/>
      <c r="T2430" s="320"/>
      <c r="U2430" s="321"/>
      <c r="V2430" s="291">
        <f t="shared" ca="1" si="777"/>
        <v>0</v>
      </c>
      <c r="W2430" s="256">
        <f t="shared" ca="1" si="757"/>
        <v>0</v>
      </c>
      <c r="X2430" s="256">
        <f t="shared" ca="1" si="765"/>
        <v>1</v>
      </c>
      <c r="Y2430" s="250"/>
      <c r="Z2430" s="250"/>
    </row>
    <row r="2431" spans="1:29" s="111" customFormat="1" ht="15" hidden="1" x14ac:dyDescent="0.2">
      <c r="A2431" s="288"/>
      <c r="B2431" s="322"/>
      <c r="C2431" s="382"/>
      <c r="D2431" s="324"/>
      <c r="E2431" s="325"/>
      <c r="F2431" s="326"/>
      <c r="G2431" s="324"/>
      <c r="H2431" s="325"/>
      <c r="I2431" s="326"/>
      <c r="J2431" s="317"/>
      <c r="K2431" s="328"/>
      <c r="L2431" s="328"/>
      <c r="M2431" s="328"/>
      <c r="N2431" s="328"/>
      <c r="O2431" s="334"/>
      <c r="P2431" s="328"/>
      <c r="Q2431" s="334"/>
      <c r="R2431" s="333"/>
      <c r="S2431" s="331"/>
      <c r="T2431" s="320"/>
      <c r="U2431" s="335"/>
      <c r="V2431" s="291">
        <f t="shared" ca="1" si="777"/>
        <v>0</v>
      </c>
      <c r="W2431" s="256">
        <f t="shared" ca="1" si="757"/>
        <v>0</v>
      </c>
      <c r="X2431" s="256">
        <f t="shared" ca="1" si="765"/>
        <v>1</v>
      </c>
      <c r="Y2431" s="250"/>
      <c r="Z2431" s="250"/>
    </row>
    <row r="2432" spans="1:29" s="111" customFormat="1" ht="15" hidden="1" x14ac:dyDescent="0.2">
      <c r="A2432" s="288"/>
      <c r="B2432" s="338"/>
      <c r="C2432" s="339"/>
      <c r="D2432" s="340"/>
      <c r="E2432" s="341"/>
      <c r="F2432" s="342"/>
      <c r="G2432" s="340"/>
      <c r="H2432" s="341"/>
      <c r="I2432" s="342"/>
      <c r="J2432" s="343"/>
      <c r="K2432" s="344"/>
      <c r="L2432" s="345"/>
      <c r="M2432" s="346"/>
      <c r="N2432" s="347"/>
      <c r="O2432" s="348"/>
      <c r="P2432" s="345"/>
      <c r="Q2432" s="349"/>
      <c r="R2432" s="350"/>
      <c r="S2432" s="351"/>
      <c r="T2432" s="352"/>
      <c r="U2432" s="353"/>
      <c r="V2432" s="291">
        <f t="shared" ca="1" si="777"/>
        <v>0</v>
      </c>
      <c r="W2432" s="256">
        <f t="shared" ca="1" si="757"/>
        <v>0</v>
      </c>
      <c r="X2432" s="256">
        <f t="shared" ca="1" si="765"/>
        <v>1</v>
      </c>
      <c r="Y2432" s="250"/>
      <c r="Z2432" s="250"/>
    </row>
    <row r="2433" spans="1:29" s="111" customFormat="1" ht="15.75" hidden="1" customHeight="1" x14ac:dyDescent="0.2">
      <c r="A2433" s="288"/>
      <c r="B2433" s="354"/>
      <c r="C2433" s="355"/>
      <c r="D2433" s="1354" t="s">
        <v>492</v>
      </c>
      <c r="E2433" s="1355"/>
      <c r="F2433" s="1355"/>
      <c r="G2433" s="1355"/>
      <c r="H2433" s="1355"/>
      <c r="I2433" s="1356"/>
      <c r="J2433" s="1357">
        <f>VLOOKUP(A2435,'11 - FINANCEIRO'!_xlnm.Print_Area,6,FALSE)</f>
        <v>97</v>
      </c>
      <c r="K2433" s="1358"/>
      <c r="L2433" s="356" t="str">
        <f>VLOOKUP(A2435,'11 - FINANCEIRO'!_xlnm.Print_Area,4,FALSE)</f>
        <v>m²</v>
      </c>
      <c r="M2433" s="1359" t="s">
        <v>493</v>
      </c>
      <c r="N2433" s="1360"/>
      <c r="O2433" s="1360"/>
      <c r="P2433" s="1360"/>
      <c r="Q2433" s="1361"/>
      <c r="R2433" s="357">
        <f>TRUNC(SUM(R2429:R2432),3)</f>
        <v>0</v>
      </c>
      <c r="S2433" s="358" t="str">
        <f>L2433</f>
        <v>m²</v>
      </c>
      <c r="T2433" s="359"/>
      <c r="U2433" s="360"/>
      <c r="V2433" s="291">
        <f t="shared" ca="1" si="777"/>
        <v>0</v>
      </c>
      <c r="W2433" s="256">
        <f t="shared" ca="1" si="757"/>
        <v>2</v>
      </c>
      <c r="X2433" s="256">
        <f t="shared" ca="1" si="765"/>
        <v>1</v>
      </c>
      <c r="Y2433" s="250"/>
      <c r="Z2433" s="250"/>
    </row>
    <row r="2434" spans="1:29" s="293" customFormat="1" ht="15.75" hidden="1" customHeight="1" x14ac:dyDescent="0.2">
      <c r="A2434" s="288" t="s">
        <v>109</v>
      </c>
      <c r="B2434" s="354"/>
      <c r="C2434" s="361"/>
      <c r="D2434" s="1362" t="s">
        <v>494</v>
      </c>
      <c r="E2434" s="1363"/>
      <c r="F2434" s="1363"/>
      <c r="G2434" s="1363"/>
      <c r="H2434" s="1363"/>
      <c r="I2434" s="1364"/>
      <c r="J2434" s="1365">
        <f>R2433/J2433</f>
        <v>0</v>
      </c>
      <c r="K2434" s="1366"/>
      <c r="L2434" s="1369"/>
      <c r="M2434" s="1371" t="s">
        <v>495</v>
      </c>
      <c r="N2434" s="1372"/>
      <c r="O2434" s="1372"/>
      <c r="P2434" s="1372"/>
      <c r="Q2434" s="1373"/>
      <c r="R2434" s="362">
        <f>VLOOKUP(A2435,'11 - FINANCEIRO'!_xlnm.Print_Area,8,FALSE)</f>
        <v>0</v>
      </c>
      <c r="S2434" s="363" t="str">
        <f>L2433</f>
        <v>m²</v>
      </c>
      <c r="T2434" s="359"/>
      <c r="U2434" s="360"/>
      <c r="V2434" s="291">
        <f t="shared" ca="1" si="777"/>
        <v>0</v>
      </c>
      <c r="W2434" s="256">
        <f t="shared" ca="1" si="757"/>
        <v>2</v>
      </c>
      <c r="X2434" s="256">
        <f t="shared" ca="1" si="765"/>
        <v>1</v>
      </c>
      <c r="Y2434" s="256"/>
      <c r="Z2434" s="256"/>
      <c r="AA2434" s="292"/>
      <c r="AB2434" s="292"/>
      <c r="AC2434" s="292"/>
    </row>
    <row r="2435" spans="1:29" s="293" customFormat="1" ht="15.75" hidden="1" customHeight="1" x14ac:dyDescent="0.2">
      <c r="A2435" s="288" t="s">
        <v>110</v>
      </c>
      <c r="B2435" s="364"/>
      <c r="C2435" s="365"/>
      <c r="D2435" s="1354"/>
      <c r="E2435" s="1355"/>
      <c r="F2435" s="1355"/>
      <c r="G2435" s="1355"/>
      <c r="H2435" s="1355"/>
      <c r="I2435" s="1356"/>
      <c r="J2435" s="1367"/>
      <c r="K2435" s="1368"/>
      <c r="L2435" s="1370"/>
      <c r="M2435" s="1371" t="s">
        <v>496</v>
      </c>
      <c r="N2435" s="1372"/>
      <c r="O2435" s="1372"/>
      <c r="P2435" s="1372"/>
      <c r="Q2435" s="1373"/>
      <c r="R2435" s="362">
        <f>R2433-R2434</f>
        <v>0</v>
      </c>
      <c r="S2435" s="363" t="str">
        <f>L2433</f>
        <v>m²</v>
      </c>
      <c r="T2435" s="366"/>
      <c r="U2435" s="367"/>
      <c r="V2435" s="291">
        <f t="shared" ca="1" si="777"/>
        <v>0</v>
      </c>
      <c r="W2435" s="256">
        <f t="shared" ca="1" si="757"/>
        <v>2</v>
      </c>
      <c r="X2435" s="256">
        <f t="shared" ca="1" si="765"/>
        <v>1</v>
      </c>
      <c r="Y2435" s="256"/>
      <c r="Z2435" s="256"/>
      <c r="AA2435" s="292"/>
      <c r="AB2435" s="292"/>
      <c r="AC2435" s="292"/>
    </row>
    <row r="2436" spans="1:29" s="111" customFormat="1" ht="15.75" hidden="1" x14ac:dyDescent="0.2">
      <c r="A2436" s="288"/>
      <c r="B2436" s="368"/>
      <c r="C2436" s="365"/>
      <c r="D2436" s="369"/>
      <c r="E2436" s="370"/>
      <c r="F2436" s="369"/>
      <c r="G2436" s="369"/>
      <c r="H2436" s="369"/>
      <c r="I2436" s="369"/>
      <c r="J2436" s="371"/>
      <c r="K2436" s="372"/>
      <c r="L2436" s="373"/>
      <c r="M2436" s="374"/>
      <c r="N2436" s="374"/>
      <c r="O2436" s="374"/>
      <c r="P2436" s="374"/>
      <c r="Q2436" s="374"/>
      <c r="R2436" s="375"/>
      <c r="S2436" s="376"/>
      <c r="T2436" s="377"/>
      <c r="U2436" s="378"/>
      <c r="V2436" s="379">
        <f ca="1">SUM(V2427:V2435)</f>
        <v>0</v>
      </c>
      <c r="W2436" s="256">
        <f t="shared" ref="W2436:W2499" ca="1" si="778">IF(LEFT(_xlfn.FORMULATEXT(V2436),3)="=SO",1,IF(COUNTA(A2436:U2436)=0,0,2))</f>
        <v>1</v>
      </c>
      <c r="X2436" s="256">
        <f t="shared" ca="1" si="765"/>
        <v>0</v>
      </c>
      <c r="Y2436" s="250"/>
      <c r="Z2436" s="250"/>
    </row>
    <row r="2437" spans="1:29" s="293" customFormat="1" ht="15.75" hidden="1" customHeight="1" x14ac:dyDescent="0.25">
      <c r="A2437" s="288"/>
      <c r="B2437" s="1374" t="str">
        <f>VLOOKUP(A2445,'11 - FINANCEIRO'!_xlnm.Print_Area,1,FALSE)</f>
        <v>3.2.2</v>
      </c>
      <c r="C2437" s="1376" t="str">
        <f>VLOOKUP(A2445,'11 - FINANCEIRO'!_xlnm.Print_Area,3,FALSE)</f>
        <v>Índice De Preço Para Remoção De Entulho Decorrente Da Execução De Obras (Classe A Conama - Nbr 10.004 - Classe Ii-B), Incluindo Aluguel Da Caçamba, Carga, Transporte E Descarga Em Área Licenciada</v>
      </c>
      <c r="D2437" s="1378" t="s">
        <v>477</v>
      </c>
      <c r="E2437" s="1379"/>
      <c r="F2437" s="1379"/>
      <c r="G2437" s="1379"/>
      <c r="H2437" s="1379"/>
      <c r="I2437" s="1380"/>
      <c r="J2437" s="1338" t="s">
        <v>478</v>
      </c>
      <c r="K2437" s="1338" t="s">
        <v>479</v>
      </c>
      <c r="L2437" s="1338" t="s">
        <v>480</v>
      </c>
      <c r="M2437" s="1338" t="s">
        <v>481</v>
      </c>
      <c r="N2437" s="1338" t="s">
        <v>482</v>
      </c>
      <c r="O2437" s="1338" t="s">
        <v>483</v>
      </c>
      <c r="P2437" s="290" t="s">
        <v>484</v>
      </c>
      <c r="Q2437" s="1338" t="s">
        <v>485</v>
      </c>
      <c r="R2437" s="1336" t="s">
        <v>296</v>
      </c>
      <c r="S2437" s="1338" t="s">
        <v>486</v>
      </c>
      <c r="T2437" s="1338" t="s">
        <v>487</v>
      </c>
      <c r="U2437" s="1340" t="s">
        <v>488</v>
      </c>
      <c r="V2437" s="291">
        <f t="shared" ref="V2437:V2445" ca="1" si="779">IF(OFFSET(V2437,1,1)=1,OFFSET(V2437,0,-4),OFFSET(V2437,1,0))</f>
        <v>0</v>
      </c>
      <c r="W2437" s="256">
        <f t="shared" ca="1" si="778"/>
        <v>2</v>
      </c>
      <c r="X2437" s="256">
        <f t="shared" ca="1" si="765"/>
        <v>1</v>
      </c>
      <c r="Y2437" s="256"/>
      <c r="Z2437" s="256"/>
      <c r="AA2437" s="292"/>
      <c r="AB2437" s="292"/>
      <c r="AC2437" s="292"/>
    </row>
    <row r="2438" spans="1:29" s="337" customFormat="1" ht="15.75" hidden="1" x14ac:dyDescent="0.2">
      <c r="A2438" s="288"/>
      <c r="B2438" s="1375"/>
      <c r="C2438" s="1377" t="e">
        <f>VLOOKUP(LEFT(#REF!,5),'11 - FINANCEIRO'!_xlnm.Print_Area,2,FALSE)</f>
        <v>#REF!</v>
      </c>
      <c r="D2438" s="1342" t="s">
        <v>489</v>
      </c>
      <c r="E2438" s="1343"/>
      <c r="F2438" s="1344"/>
      <c r="G2438" s="1345" t="s">
        <v>490</v>
      </c>
      <c r="H2438" s="1346"/>
      <c r="I2438" s="1347"/>
      <c r="J2438" s="1339"/>
      <c r="K2438" s="1339"/>
      <c r="L2438" s="1339"/>
      <c r="M2438" s="1339"/>
      <c r="N2438" s="1339"/>
      <c r="O2438" s="1339"/>
      <c r="P2438" s="295" t="s">
        <v>491</v>
      </c>
      <c r="Q2438" s="1339"/>
      <c r="R2438" s="1337"/>
      <c r="S2438" s="1339"/>
      <c r="T2438" s="1339"/>
      <c r="U2438" s="1341"/>
      <c r="V2438" s="291">
        <f t="shared" ca="1" si="779"/>
        <v>0</v>
      </c>
      <c r="W2438" s="256">
        <f t="shared" ca="1" si="778"/>
        <v>2</v>
      </c>
      <c r="X2438" s="256">
        <f t="shared" ca="1" si="765"/>
        <v>1</v>
      </c>
      <c r="Y2438" s="336"/>
      <c r="Z2438" s="336"/>
    </row>
    <row r="2439" spans="1:29" s="337" customFormat="1" ht="15.75" hidden="1" x14ac:dyDescent="0.2">
      <c r="A2439" s="288"/>
      <c r="B2439" s="296"/>
      <c r="C2439" s="297"/>
      <c r="D2439" s="298"/>
      <c r="E2439" s="299"/>
      <c r="F2439" s="300"/>
      <c r="G2439" s="301"/>
      <c r="H2439" s="302"/>
      <c r="I2439" s="303"/>
      <c r="J2439" s="304"/>
      <c r="K2439" s="304"/>
      <c r="L2439" s="304"/>
      <c r="M2439" s="304"/>
      <c r="N2439" s="304"/>
      <c r="O2439" s="304"/>
      <c r="P2439" s="306"/>
      <c r="Q2439" s="304"/>
      <c r="R2439" s="307"/>
      <c r="S2439" s="304"/>
      <c r="T2439" s="309"/>
      <c r="U2439" s="310"/>
      <c r="V2439" s="291">
        <f t="shared" ca="1" si="779"/>
        <v>0</v>
      </c>
      <c r="W2439" s="256">
        <f t="shared" ca="1" si="778"/>
        <v>0</v>
      </c>
      <c r="X2439" s="256">
        <f t="shared" ca="1" si="765"/>
        <v>1</v>
      </c>
      <c r="Y2439" s="336"/>
      <c r="Z2439" s="336"/>
    </row>
    <row r="2440" spans="1:29" s="111" customFormat="1" ht="15.75" hidden="1" x14ac:dyDescent="0.2">
      <c r="A2440" s="288"/>
      <c r="B2440" s="311"/>
      <c r="C2440" s="312"/>
      <c r="D2440" s="313"/>
      <c r="E2440" s="314"/>
      <c r="F2440" s="315"/>
      <c r="G2440" s="380"/>
      <c r="H2440" s="316"/>
      <c r="I2440" s="381"/>
      <c r="J2440" s="317"/>
      <c r="K2440" s="313"/>
      <c r="L2440" s="317"/>
      <c r="M2440" s="315"/>
      <c r="N2440" s="314"/>
      <c r="O2440" s="313"/>
      <c r="P2440" s="318"/>
      <c r="Q2440" s="315"/>
      <c r="R2440" s="319"/>
      <c r="S2440" s="317"/>
      <c r="T2440" s="320"/>
      <c r="U2440" s="321"/>
      <c r="V2440" s="291">
        <f t="shared" ca="1" si="779"/>
        <v>0</v>
      </c>
      <c r="W2440" s="256">
        <f t="shared" ca="1" si="778"/>
        <v>0</v>
      </c>
      <c r="X2440" s="256">
        <f t="shared" ca="1" si="765"/>
        <v>1</v>
      </c>
      <c r="Y2440" s="250"/>
      <c r="Z2440" s="250"/>
    </row>
    <row r="2441" spans="1:29" s="111" customFormat="1" ht="15" hidden="1" x14ac:dyDescent="0.2">
      <c r="A2441" s="288"/>
      <c r="B2441" s="322"/>
      <c r="C2441" s="382"/>
      <c r="D2441" s="324"/>
      <c r="E2441" s="325"/>
      <c r="F2441" s="326"/>
      <c r="G2441" s="324"/>
      <c r="H2441" s="325"/>
      <c r="I2441" s="326"/>
      <c r="J2441" s="317"/>
      <c r="K2441" s="328"/>
      <c r="L2441" s="328"/>
      <c r="M2441" s="328"/>
      <c r="N2441" s="328"/>
      <c r="O2441" s="334"/>
      <c r="P2441" s="328"/>
      <c r="Q2441" s="334"/>
      <c r="R2441" s="333"/>
      <c r="S2441" s="331"/>
      <c r="T2441" s="320"/>
      <c r="U2441" s="335"/>
      <c r="V2441" s="291">
        <f t="shared" ca="1" si="779"/>
        <v>0</v>
      </c>
      <c r="W2441" s="256">
        <f t="shared" ca="1" si="778"/>
        <v>0</v>
      </c>
      <c r="X2441" s="256">
        <f t="shared" ca="1" si="765"/>
        <v>1</v>
      </c>
      <c r="Y2441" s="250"/>
      <c r="Z2441" s="250"/>
    </row>
    <row r="2442" spans="1:29" s="111" customFormat="1" ht="15" hidden="1" x14ac:dyDescent="0.2">
      <c r="A2442" s="288"/>
      <c r="B2442" s="338"/>
      <c r="C2442" s="339"/>
      <c r="D2442" s="340"/>
      <c r="E2442" s="341"/>
      <c r="F2442" s="342"/>
      <c r="G2442" s="340"/>
      <c r="H2442" s="341"/>
      <c r="I2442" s="342"/>
      <c r="J2442" s="343"/>
      <c r="K2442" s="344"/>
      <c r="L2442" s="345"/>
      <c r="M2442" s="346"/>
      <c r="N2442" s="347"/>
      <c r="O2442" s="348"/>
      <c r="P2442" s="345"/>
      <c r="Q2442" s="349"/>
      <c r="R2442" s="350"/>
      <c r="S2442" s="351"/>
      <c r="T2442" s="352"/>
      <c r="U2442" s="353"/>
      <c r="V2442" s="291">
        <f t="shared" ca="1" si="779"/>
        <v>0</v>
      </c>
      <c r="W2442" s="256">
        <f t="shared" ca="1" si="778"/>
        <v>0</v>
      </c>
      <c r="X2442" s="256">
        <f t="shared" ca="1" si="765"/>
        <v>1</v>
      </c>
      <c r="Y2442" s="250"/>
      <c r="Z2442" s="250"/>
    </row>
    <row r="2443" spans="1:29" s="111" customFormat="1" ht="15.75" hidden="1" customHeight="1" x14ac:dyDescent="0.2">
      <c r="A2443" s="288"/>
      <c r="B2443" s="354"/>
      <c r="C2443" s="355"/>
      <c r="D2443" s="1354" t="s">
        <v>492</v>
      </c>
      <c r="E2443" s="1355"/>
      <c r="F2443" s="1355"/>
      <c r="G2443" s="1355"/>
      <c r="H2443" s="1355"/>
      <c r="I2443" s="1356"/>
      <c r="J2443" s="1357">
        <f>VLOOKUP(A2445,'11 - FINANCEIRO'!_xlnm.Print_Area,6,FALSE)</f>
        <v>72.75</v>
      </c>
      <c r="K2443" s="1358"/>
      <c r="L2443" s="356" t="str">
        <f>VLOOKUP(A2445,'11 - FINANCEIRO'!_xlnm.Print_Area,4,FALSE)</f>
        <v>m³</v>
      </c>
      <c r="M2443" s="1359" t="s">
        <v>493</v>
      </c>
      <c r="N2443" s="1360"/>
      <c r="O2443" s="1360"/>
      <c r="P2443" s="1360"/>
      <c r="Q2443" s="1361"/>
      <c r="R2443" s="357">
        <f>TRUNC(SUM(R2439:R2442),3)</f>
        <v>0</v>
      </c>
      <c r="S2443" s="358" t="str">
        <f>L2443</f>
        <v>m³</v>
      </c>
      <c r="T2443" s="359"/>
      <c r="U2443" s="360"/>
      <c r="V2443" s="291">
        <f t="shared" ca="1" si="779"/>
        <v>0</v>
      </c>
      <c r="W2443" s="256">
        <f t="shared" ca="1" si="778"/>
        <v>2</v>
      </c>
      <c r="X2443" s="256">
        <f t="shared" ca="1" si="765"/>
        <v>1</v>
      </c>
      <c r="Y2443" s="250"/>
      <c r="Z2443" s="250"/>
    </row>
    <row r="2444" spans="1:29" s="293" customFormat="1" ht="15.75" hidden="1" customHeight="1" x14ac:dyDescent="0.2">
      <c r="A2444" s="288"/>
      <c r="B2444" s="354"/>
      <c r="C2444" s="361"/>
      <c r="D2444" s="1362" t="s">
        <v>494</v>
      </c>
      <c r="E2444" s="1363"/>
      <c r="F2444" s="1363"/>
      <c r="G2444" s="1363"/>
      <c r="H2444" s="1363"/>
      <c r="I2444" s="1364"/>
      <c r="J2444" s="1365">
        <f>R2443/J2443</f>
        <v>0</v>
      </c>
      <c r="K2444" s="1366"/>
      <c r="L2444" s="1369"/>
      <c r="M2444" s="1371" t="s">
        <v>495</v>
      </c>
      <c r="N2444" s="1372"/>
      <c r="O2444" s="1372"/>
      <c r="P2444" s="1372"/>
      <c r="Q2444" s="1373"/>
      <c r="R2444" s="362">
        <f>VLOOKUP(A2445,'11 - FINANCEIRO'!_xlnm.Print_Area,8,FALSE)</f>
        <v>0</v>
      </c>
      <c r="S2444" s="363" t="str">
        <f>L2443</f>
        <v>m³</v>
      </c>
      <c r="T2444" s="359"/>
      <c r="U2444" s="360"/>
      <c r="V2444" s="291">
        <f t="shared" ca="1" si="779"/>
        <v>0</v>
      </c>
      <c r="W2444" s="256">
        <f t="shared" ca="1" si="778"/>
        <v>2</v>
      </c>
      <c r="X2444" s="256">
        <f t="shared" ca="1" si="765"/>
        <v>1</v>
      </c>
      <c r="Y2444" s="256"/>
      <c r="Z2444" s="256"/>
      <c r="AA2444" s="292"/>
      <c r="AB2444" s="292"/>
      <c r="AC2444" s="292"/>
    </row>
    <row r="2445" spans="1:29" s="293" customFormat="1" ht="15.75" hidden="1" customHeight="1" x14ac:dyDescent="0.2">
      <c r="A2445" s="288" t="s">
        <v>111</v>
      </c>
      <c r="B2445" s="364"/>
      <c r="C2445" s="365"/>
      <c r="D2445" s="1354"/>
      <c r="E2445" s="1355"/>
      <c r="F2445" s="1355"/>
      <c r="G2445" s="1355"/>
      <c r="H2445" s="1355"/>
      <c r="I2445" s="1356"/>
      <c r="J2445" s="1367"/>
      <c r="K2445" s="1368"/>
      <c r="L2445" s="1370"/>
      <c r="M2445" s="1371" t="s">
        <v>496</v>
      </c>
      <c r="N2445" s="1372"/>
      <c r="O2445" s="1372"/>
      <c r="P2445" s="1372"/>
      <c r="Q2445" s="1373"/>
      <c r="R2445" s="362">
        <f>R2443-R2444</f>
        <v>0</v>
      </c>
      <c r="S2445" s="363" t="str">
        <f>L2443</f>
        <v>m³</v>
      </c>
      <c r="T2445" s="366"/>
      <c r="U2445" s="367"/>
      <c r="V2445" s="291">
        <f t="shared" ca="1" si="779"/>
        <v>0</v>
      </c>
      <c r="W2445" s="256">
        <f t="shared" ca="1" si="778"/>
        <v>2</v>
      </c>
      <c r="X2445" s="256">
        <f t="shared" ca="1" si="765"/>
        <v>1</v>
      </c>
      <c r="Y2445" s="256"/>
      <c r="Z2445" s="256"/>
      <c r="AA2445" s="292"/>
      <c r="AB2445" s="292"/>
      <c r="AC2445" s="292"/>
    </row>
    <row r="2446" spans="1:29" s="111" customFormat="1" ht="15.75" hidden="1" x14ac:dyDescent="0.2">
      <c r="A2446" s="288"/>
      <c r="B2446" s="368"/>
      <c r="C2446" s="365"/>
      <c r="D2446" s="369"/>
      <c r="E2446" s="370"/>
      <c r="F2446" s="369"/>
      <c r="G2446" s="369"/>
      <c r="H2446" s="369"/>
      <c r="I2446" s="369"/>
      <c r="J2446" s="371"/>
      <c r="K2446" s="372"/>
      <c r="L2446" s="373"/>
      <c r="M2446" s="374"/>
      <c r="N2446" s="374"/>
      <c r="O2446" s="374"/>
      <c r="P2446" s="374"/>
      <c r="Q2446" s="374"/>
      <c r="R2446" s="375"/>
      <c r="S2446" s="376"/>
      <c r="T2446" s="377"/>
      <c r="U2446" s="378"/>
      <c r="V2446" s="379">
        <f ca="1">SUM(V2437:V2445)</f>
        <v>0</v>
      </c>
      <c r="W2446" s="256">
        <f t="shared" ca="1" si="778"/>
        <v>1</v>
      </c>
      <c r="X2446" s="256">
        <f t="shared" ca="1" si="765"/>
        <v>0</v>
      </c>
      <c r="Y2446" s="250"/>
      <c r="Z2446" s="250"/>
    </row>
    <row r="2447" spans="1:29" s="293" customFormat="1" ht="15.75" hidden="1" customHeight="1" x14ac:dyDescent="0.25">
      <c r="A2447" s="288"/>
      <c r="B2447" s="1374" t="str">
        <f>VLOOKUP(A2455,'11 - FINANCEIRO'!_xlnm.Print_Area,1,FALSE)</f>
        <v>3.2.3</v>
      </c>
      <c r="C2447" s="1376" t="str">
        <f>VLOOKUP(A2455,'11 - FINANCEIRO'!_xlnm.Print_Area,3,FALSE)</f>
        <v>Assentamento De Tubo De Pvc Para Rede Coletora De Esgoto De Parede Maciça, Dn 150 Mm, Junta Elástica, Instalado Em Local Com Nível Alto De Interferências (Não Inclui Fornecimento).</v>
      </c>
      <c r="D2447" s="1378" t="s">
        <v>477</v>
      </c>
      <c r="E2447" s="1379"/>
      <c r="F2447" s="1379"/>
      <c r="G2447" s="1379"/>
      <c r="H2447" s="1379"/>
      <c r="I2447" s="1380"/>
      <c r="J2447" s="1338" t="s">
        <v>478</v>
      </c>
      <c r="K2447" s="1338" t="s">
        <v>479</v>
      </c>
      <c r="L2447" s="1338" t="s">
        <v>480</v>
      </c>
      <c r="M2447" s="1338" t="s">
        <v>481</v>
      </c>
      <c r="N2447" s="1338" t="s">
        <v>482</v>
      </c>
      <c r="O2447" s="1338" t="s">
        <v>483</v>
      </c>
      <c r="P2447" s="290" t="s">
        <v>484</v>
      </c>
      <c r="Q2447" s="1338" t="s">
        <v>485</v>
      </c>
      <c r="R2447" s="1336" t="s">
        <v>296</v>
      </c>
      <c r="S2447" s="1338" t="s">
        <v>486</v>
      </c>
      <c r="T2447" s="1338" t="s">
        <v>487</v>
      </c>
      <c r="U2447" s="1340" t="s">
        <v>488</v>
      </c>
      <c r="V2447" s="291">
        <f t="shared" ref="V2447:V2455" ca="1" si="780">IF(OFFSET(V2447,1,1)=1,OFFSET(V2447,0,-4),OFFSET(V2447,1,0))</f>
        <v>0</v>
      </c>
      <c r="W2447" s="256">
        <f t="shared" ca="1" si="778"/>
        <v>2</v>
      </c>
      <c r="X2447" s="256">
        <f t="shared" ca="1" si="765"/>
        <v>1</v>
      </c>
      <c r="Y2447" s="256"/>
      <c r="Z2447" s="256"/>
      <c r="AA2447" s="292"/>
      <c r="AB2447" s="292"/>
      <c r="AC2447" s="292"/>
    </row>
    <row r="2448" spans="1:29" s="337" customFormat="1" ht="15.75" hidden="1" x14ac:dyDescent="0.2">
      <c r="A2448" s="288"/>
      <c r="B2448" s="1375"/>
      <c r="C2448" s="1377" t="e">
        <f>VLOOKUP(LEFT(#REF!,5),'11 - FINANCEIRO'!_xlnm.Print_Area,2,FALSE)</f>
        <v>#REF!</v>
      </c>
      <c r="D2448" s="1342" t="s">
        <v>489</v>
      </c>
      <c r="E2448" s="1343"/>
      <c r="F2448" s="1344"/>
      <c r="G2448" s="1345" t="s">
        <v>490</v>
      </c>
      <c r="H2448" s="1346"/>
      <c r="I2448" s="1347"/>
      <c r="J2448" s="1339"/>
      <c r="K2448" s="1339"/>
      <c r="L2448" s="1339"/>
      <c r="M2448" s="1339"/>
      <c r="N2448" s="1339"/>
      <c r="O2448" s="1339"/>
      <c r="P2448" s="295" t="s">
        <v>491</v>
      </c>
      <c r="Q2448" s="1339"/>
      <c r="R2448" s="1337"/>
      <c r="S2448" s="1339"/>
      <c r="T2448" s="1339"/>
      <c r="U2448" s="1341"/>
      <c r="V2448" s="291">
        <f t="shared" ca="1" si="780"/>
        <v>0</v>
      </c>
      <c r="W2448" s="256">
        <f t="shared" ca="1" si="778"/>
        <v>2</v>
      </c>
      <c r="X2448" s="256">
        <f t="shared" ca="1" si="765"/>
        <v>1</v>
      </c>
      <c r="Y2448" s="336"/>
      <c r="Z2448" s="336"/>
    </row>
    <row r="2449" spans="1:29" s="337" customFormat="1" ht="15.75" hidden="1" x14ac:dyDescent="0.2">
      <c r="A2449" s="288"/>
      <c r="B2449" s="296"/>
      <c r="C2449" s="297"/>
      <c r="D2449" s="298"/>
      <c r="E2449" s="299"/>
      <c r="F2449" s="300"/>
      <c r="G2449" s="301"/>
      <c r="H2449" s="302"/>
      <c r="I2449" s="303"/>
      <c r="J2449" s="304"/>
      <c r="K2449" s="304"/>
      <c r="L2449" s="304"/>
      <c r="M2449" s="304"/>
      <c r="N2449" s="304"/>
      <c r="O2449" s="304"/>
      <c r="P2449" s="306"/>
      <c r="Q2449" s="304"/>
      <c r="R2449" s="307"/>
      <c r="S2449" s="304"/>
      <c r="T2449" s="309"/>
      <c r="U2449" s="310"/>
      <c r="V2449" s="291">
        <f t="shared" ca="1" si="780"/>
        <v>0</v>
      </c>
      <c r="W2449" s="256">
        <f t="shared" ca="1" si="778"/>
        <v>0</v>
      </c>
      <c r="X2449" s="256">
        <f t="shared" ca="1" si="765"/>
        <v>1</v>
      </c>
      <c r="Y2449" s="336"/>
      <c r="Z2449" s="336"/>
    </row>
    <row r="2450" spans="1:29" s="111" customFormat="1" ht="15.75" hidden="1" x14ac:dyDescent="0.2">
      <c r="A2450" s="288"/>
      <c r="B2450" s="311"/>
      <c r="C2450" s="312"/>
      <c r="D2450" s="313"/>
      <c r="E2450" s="314"/>
      <c r="F2450" s="315"/>
      <c r="G2450" s="380"/>
      <c r="H2450" s="316"/>
      <c r="I2450" s="381"/>
      <c r="J2450" s="317"/>
      <c r="K2450" s="313"/>
      <c r="L2450" s="317"/>
      <c r="M2450" s="315"/>
      <c r="N2450" s="314"/>
      <c r="O2450" s="313"/>
      <c r="P2450" s="318"/>
      <c r="Q2450" s="315"/>
      <c r="R2450" s="319"/>
      <c r="S2450" s="317"/>
      <c r="T2450" s="320"/>
      <c r="U2450" s="321"/>
      <c r="V2450" s="291">
        <f t="shared" ca="1" si="780"/>
        <v>0</v>
      </c>
      <c r="W2450" s="256">
        <f t="shared" ca="1" si="778"/>
        <v>0</v>
      </c>
      <c r="X2450" s="256">
        <f t="shared" ca="1" si="765"/>
        <v>1</v>
      </c>
      <c r="Y2450" s="250"/>
      <c r="Z2450" s="250"/>
    </row>
    <row r="2451" spans="1:29" s="111" customFormat="1" ht="15" hidden="1" x14ac:dyDescent="0.2">
      <c r="A2451" s="288"/>
      <c r="B2451" s="322"/>
      <c r="C2451" s="382"/>
      <c r="D2451" s="324"/>
      <c r="E2451" s="325"/>
      <c r="F2451" s="326"/>
      <c r="G2451" s="324"/>
      <c r="H2451" s="325"/>
      <c r="I2451" s="326"/>
      <c r="J2451" s="317"/>
      <c r="K2451" s="328"/>
      <c r="L2451" s="328"/>
      <c r="M2451" s="328"/>
      <c r="N2451" s="328"/>
      <c r="O2451" s="334"/>
      <c r="P2451" s="328"/>
      <c r="Q2451" s="334"/>
      <c r="R2451" s="333"/>
      <c r="S2451" s="331"/>
      <c r="T2451" s="320"/>
      <c r="U2451" s="335"/>
      <c r="V2451" s="291">
        <f t="shared" ca="1" si="780"/>
        <v>0</v>
      </c>
      <c r="W2451" s="256">
        <f t="shared" ca="1" si="778"/>
        <v>0</v>
      </c>
      <c r="X2451" s="256">
        <f t="shared" ca="1" si="765"/>
        <v>1</v>
      </c>
      <c r="Y2451" s="250"/>
      <c r="Z2451" s="250"/>
    </row>
    <row r="2452" spans="1:29" s="111" customFormat="1" ht="15" hidden="1" x14ac:dyDescent="0.2">
      <c r="A2452" s="288"/>
      <c r="B2452" s="338"/>
      <c r="C2452" s="339"/>
      <c r="D2452" s="340"/>
      <c r="E2452" s="341"/>
      <c r="F2452" s="342"/>
      <c r="G2452" s="340"/>
      <c r="H2452" s="341"/>
      <c r="I2452" s="342"/>
      <c r="J2452" s="343"/>
      <c r="K2452" s="344"/>
      <c r="L2452" s="345"/>
      <c r="M2452" s="346"/>
      <c r="N2452" s="347"/>
      <c r="O2452" s="348"/>
      <c r="P2452" s="345"/>
      <c r="Q2452" s="349"/>
      <c r="R2452" s="350"/>
      <c r="S2452" s="351"/>
      <c r="T2452" s="352"/>
      <c r="U2452" s="353"/>
      <c r="V2452" s="291">
        <f t="shared" ca="1" si="780"/>
        <v>0</v>
      </c>
      <c r="W2452" s="256">
        <f t="shared" ca="1" si="778"/>
        <v>0</v>
      </c>
      <c r="X2452" s="256">
        <f t="shared" ca="1" si="765"/>
        <v>1</v>
      </c>
      <c r="Y2452" s="250"/>
      <c r="Z2452" s="250"/>
    </row>
    <row r="2453" spans="1:29" s="111" customFormat="1" ht="15.75" hidden="1" customHeight="1" x14ac:dyDescent="0.2">
      <c r="A2453" s="288"/>
      <c r="B2453" s="354"/>
      <c r="C2453" s="355"/>
      <c r="D2453" s="1354" t="s">
        <v>492</v>
      </c>
      <c r="E2453" s="1355"/>
      <c r="F2453" s="1355"/>
      <c r="G2453" s="1355"/>
      <c r="H2453" s="1355"/>
      <c r="I2453" s="1356"/>
      <c r="J2453" s="1357">
        <f>VLOOKUP(A2455,'11 - FINANCEIRO'!_xlnm.Print_Area,6,FALSE)</f>
        <v>23</v>
      </c>
      <c r="K2453" s="1358"/>
      <c r="L2453" s="356" t="str">
        <f>VLOOKUP(A2455,'11 - FINANCEIRO'!_xlnm.Print_Area,4,FALSE)</f>
        <v>m</v>
      </c>
      <c r="M2453" s="1359" t="s">
        <v>493</v>
      </c>
      <c r="N2453" s="1360"/>
      <c r="O2453" s="1360"/>
      <c r="P2453" s="1360"/>
      <c r="Q2453" s="1361"/>
      <c r="R2453" s="357">
        <f>TRUNC(SUM(R2449:R2452),3)</f>
        <v>0</v>
      </c>
      <c r="S2453" s="358" t="str">
        <f>L2453</f>
        <v>m</v>
      </c>
      <c r="T2453" s="359"/>
      <c r="U2453" s="360"/>
      <c r="V2453" s="291">
        <f t="shared" ca="1" si="780"/>
        <v>0</v>
      </c>
      <c r="W2453" s="256">
        <f t="shared" ca="1" si="778"/>
        <v>2</v>
      </c>
      <c r="X2453" s="256">
        <f t="shared" ca="1" si="765"/>
        <v>1</v>
      </c>
      <c r="Y2453" s="250"/>
      <c r="Z2453" s="250"/>
    </row>
    <row r="2454" spans="1:29" s="293" customFormat="1" ht="15.75" hidden="1" customHeight="1" x14ac:dyDescent="0.2">
      <c r="A2454" s="288"/>
      <c r="B2454" s="354"/>
      <c r="C2454" s="361"/>
      <c r="D2454" s="1362" t="s">
        <v>494</v>
      </c>
      <c r="E2454" s="1363"/>
      <c r="F2454" s="1363"/>
      <c r="G2454" s="1363"/>
      <c r="H2454" s="1363"/>
      <c r="I2454" s="1364"/>
      <c r="J2454" s="1365">
        <f>R2453/J2453</f>
        <v>0</v>
      </c>
      <c r="K2454" s="1366"/>
      <c r="L2454" s="1369"/>
      <c r="M2454" s="1371" t="s">
        <v>495</v>
      </c>
      <c r="N2454" s="1372"/>
      <c r="O2454" s="1372"/>
      <c r="P2454" s="1372"/>
      <c r="Q2454" s="1373"/>
      <c r="R2454" s="362">
        <f>VLOOKUP(A2455,'11 - FINANCEIRO'!_xlnm.Print_Area,8,FALSE)</f>
        <v>0</v>
      </c>
      <c r="S2454" s="363" t="str">
        <f>L2453</f>
        <v>m</v>
      </c>
      <c r="T2454" s="359"/>
      <c r="U2454" s="360"/>
      <c r="V2454" s="291">
        <f t="shared" ca="1" si="780"/>
        <v>0</v>
      </c>
      <c r="W2454" s="256">
        <f t="shared" ca="1" si="778"/>
        <v>2</v>
      </c>
      <c r="X2454" s="256">
        <f t="shared" ca="1" si="765"/>
        <v>1</v>
      </c>
      <c r="Y2454" s="256"/>
      <c r="Z2454" s="256"/>
      <c r="AA2454" s="292"/>
      <c r="AB2454" s="292"/>
      <c r="AC2454" s="292"/>
    </row>
    <row r="2455" spans="1:29" s="293" customFormat="1" ht="15.75" hidden="1" customHeight="1" x14ac:dyDescent="0.2">
      <c r="A2455" s="288" t="s">
        <v>112</v>
      </c>
      <c r="B2455" s="364"/>
      <c r="C2455" s="365"/>
      <c r="D2455" s="1354"/>
      <c r="E2455" s="1355"/>
      <c r="F2455" s="1355"/>
      <c r="G2455" s="1355"/>
      <c r="H2455" s="1355"/>
      <c r="I2455" s="1356"/>
      <c r="J2455" s="1367"/>
      <c r="K2455" s="1368"/>
      <c r="L2455" s="1370"/>
      <c r="M2455" s="1371" t="s">
        <v>496</v>
      </c>
      <c r="N2455" s="1372"/>
      <c r="O2455" s="1372"/>
      <c r="P2455" s="1372"/>
      <c r="Q2455" s="1373"/>
      <c r="R2455" s="362">
        <f>R2453-R2454</f>
        <v>0</v>
      </c>
      <c r="S2455" s="363" t="str">
        <f>L2453</f>
        <v>m</v>
      </c>
      <c r="T2455" s="366"/>
      <c r="U2455" s="367"/>
      <c r="V2455" s="291">
        <f t="shared" ca="1" si="780"/>
        <v>0</v>
      </c>
      <c r="W2455" s="256">
        <f t="shared" ca="1" si="778"/>
        <v>2</v>
      </c>
      <c r="X2455" s="256">
        <f t="shared" ca="1" si="765"/>
        <v>1</v>
      </c>
      <c r="Y2455" s="256"/>
      <c r="Z2455" s="256"/>
      <c r="AA2455" s="292"/>
      <c r="AB2455" s="292"/>
      <c r="AC2455" s="292"/>
    </row>
    <row r="2456" spans="1:29" s="111" customFormat="1" ht="15.75" hidden="1" x14ac:dyDescent="0.2">
      <c r="A2456" s="288"/>
      <c r="B2456" s="368"/>
      <c r="C2456" s="365"/>
      <c r="D2456" s="369"/>
      <c r="E2456" s="370"/>
      <c r="F2456" s="369"/>
      <c r="G2456" s="369"/>
      <c r="H2456" s="369"/>
      <c r="I2456" s="369"/>
      <c r="J2456" s="371"/>
      <c r="K2456" s="372"/>
      <c r="L2456" s="373"/>
      <c r="M2456" s="374"/>
      <c r="N2456" s="374"/>
      <c r="O2456" s="374"/>
      <c r="P2456" s="374"/>
      <c r="Q2456" s="374"/>
      <c r="R2456" s="375"/>
      <c r="S2456" s="376"/>
      <c r="T2456" s="377"/>
      <c r="U2456" s="378"/>
      <c r="V2456" s="379">
        <f ca="1">SUM(V2447:V2455)</f>
        <v>0</v>
      </c>
      <c r="W2456" s="256">
        <f t="shared" ca="1" si="778"/>
        <v>1</v>
      </c>
      <c r="X2456" s="256">
        <f t="shared" ca="1" si="765"/>
        <v>0</v>
      </c>
      <c r="Y2456" s="250"/>
      <c r="Z2456" s="250"/>
    </row>
    <row r="2457" spans="1:29" s="293" customFormat="1" ht="15.75" hidden="1" customHeight="1" x14ac:dyDescent="0.25">
      <c r="A2457" s="288"/>
      <c r="B2457" s="1374" t="str">
        <f>VLOOKUP(A2465,'11 - FINANCEIRO'!_xlnm.Print_Area,1,FALSE)</f>
        <v>3.2.4</v>
      </c>
      <c r="C2457" s="1376" t="str">
        <f>VLOOKUP(A2465,'11 - FINANCEIRO'!_xlnm.Print_Area,3,FALSE)</f>
        <v>Tubo Coletor De Esgoto, Pvc, Jei, Dn 150 Mm  (Nbr 7362)</v>
      </c>
      <c r="D2457" s="1378" t="s">
        <v>477</v>
      </c>
      <c r="E2457" s="1379"/>
      <c r="F2457" s="1379"/>
      <c r="G2457" s="1379"/>
      <c r="H2457" s="1379"/>
      <c r="I2457" s="1380"/>
      <c r="J2457" s="1338" t="s">
        <v>478</v>
      </c>
      <c r="K2457" s="1338" t="s">
        <v>479</v>
      </c>
      <c r="L2457" s="1338" t="s">
        <v>480</v>
      </c>
      <c r="M2457" s="1338" t="s">
        <v>481</v>
      </c>
      <c r="N2457" s="1338" t="s">
        <v>482</v>
      </c>
      <c r="O2457" s="1338" t="s">
        <v>483</v>
      </c>
      <c r="P2457" s="290" t="s">
        <v>484</v>
      </c>
      <c r="Q2457" s="1338" t="s">
        <v>485</v>
      </c>
      <c r="R2457" s="1336" t="s">
        <v>296</v>
      </c>
      <c r="S2457" s="1338" t="s">
        <v>486</v>
      </c>
      <c r="T2457" s="1338" t="s">
        <v>487</v>
      </c>
      <c r="U2457" s="1340" t="s">
        <v>488</v>
      </c>
      <c r="V2457" s="291">
        <f t="shared" ref="V2457:V2465" ca="1" si="781">IF(OFFSET(V2457,1,1)=1,OFFSET(V2457,0,-4),OFFSET(V2457,1,0))</f>
        <v>0</v>
      </c>
      <c r="W2457" s="256">
        <f t="shared" ca="1" si="778"/>
        <v>2</v>
      </c>
      <c r="X2457" s="256">
        <f t="shared" ca="1" si="765"/>
        <v>1</v>
      </c>
      <c r="Y2457" s="256"/>
      <c r="Z2457" s="256"/>
      <c r="AA2457" s="292"/>
      <c r="AB2457" s="292"/>
      <c r="AC2457" s="292"/>
    </row>
    <row r="2458" spans="1:29" s="337" customFormat="1" ht="15.75" hidden="1" x14ac:dyDescent="0.2">
      <c r="A2458" s="288"/>
      <c r="B2458" s="1375"/>
      <c r="C2458" s="1377" t="e">
        <f>VLOOKUP(LEFT(#REF!,5),'11 - FINANCEIRO'!_xlnm.Print_Area,2,FALSE)</f>
        <v>#REF!</v>
      </c>
      <c r="D2458" s="1342" t="s">
        <v>489</v>
      </c>
      <c r="E2458" s="1343"/>
      <c r="F2458" s="1344"/>
      <c r="G2458" s="1345" t="s">
        <v>490</v>
      </c>
      <c r="H2458" s="1346"/>
      <c r="I2458" s="1347"/>
      <c r="J2458" s="1339"/>
      <c r="K2458" s="1339"/>
      <c r="L2458" s="1339"/>
      <c r="M2458" s="1339"/>
      <c r="N2458" s="1339"/>
      <c r="O2458" s="1339"/>
      <c r="P2458" s="295" t="s">
        <v>491</v>
      </c>
      <c r="Q2458" s="1339"/>
      <c r="R2458" s="1337"/>
      <c r="S2458" s="1339"/>
      <c r="T2458" s="1339"/>
      <c r="U2458" s="1341"/>
      <c r="V2458" s="291">
        <f t="shared" ca="1" si="781"/>
        <v>0</v>
      </c>
      <c r="W2458" s="256">
        <f t="shared" ca="1" si="778"/>
        <v>2</v>
      </c>
      <c r="X2458" s="256">
        <f t="shared" ca="1" si="765"/>
        <v>1</v>
      </c>
      <c r="Y2458" s="336"/>
      <c r="Z2458" s="336"/>
    </row>
    <row r="2459" spans="1:29" s="337" customFormat="1" ht="15.75" hidden="1" x14ac:dyDescent="0.2">
      <c r="A2459" s="288"/>
      <c r="B2459" s="296"/>
      <c r="C2459" s="297"/>
      <c r="D2459" s="298"/>
      <c r="E2459" s="299"/>
      <c r="F2459" s="300"/>
      <c r="G2459" s="301"/>
      <c r="H2459" s="302"/>
      <c r="I2459" s="303"/>
      <c r="J2459" s="304"/>
      <c r="K2459" s="304"/>
      <c r="L2459" s="304"/>
      <c r="M2459" s="304"/>
      <c r="N2459" s="304"/>
      <c r="O2459" s="304"/>
      <c r="P2459" s="306"/>
      <c r="Q2459" s="304"/>
      <c r="R2459" s="307"/>
      <c r="S2459" s="304"/>
      <c r="T2459" s="309"/>
      <c r="U2459" s="310"/>
      <c r="V2459" s="291">
        <f t="shared" ca="1" si="781"/>
        <v>0</v>
      </c>
      <c r="W2459" s="256">
        <f t="shared" ca="1" si="778"/>
        <v>0</v>
      </c>
      <c r="X2459" s="256">
        <f t="shared" ca="1" si="765"/>
        <v>1</v>
      </c>
      <c r="Y2459" s="336"/>
      <c r="Z2459" s="336"/>
    </row>
    <row r="2460" spans="1:29" s="111" customFormat="1" ht="15.75" hidden="1" x14ac:dyDescent="0.2">
      <c r="A2460" s="288"/>
      <c r="B2460" s="311"/>
      <c r="C2460" s="312"/>
      <c r="D2460" s="313"/>
      <c r="E2460" s="314"/>
      <c r="F2460" s="315"/>
      <c r="G2460" s="380"/>
      <c r="H2460" s="316"/>
      <c r="I2460" s="381"/>
      <c r="J2460" s="317"/>
      <c r="K2460" s="313"/>
      <c r="L2460" s="317"/>
      <c r="M2460" s="315"/>
      <c r="N2460" s="314"/>
      <c r="O2460" s="313"/>
      <c r="P2460" s="318"/>
      <c r="Q2460" s="315"/>
      <c r="R2460" s="319"/>
      <c r="S2460" s="317"/>
      <c r="T2460" s="320"/>
      <c r="U2460" s="321"/>
      <c r="V2460" s="291">
        <f t="shared" ca="1" si="781"/>
        <v>0</v>
      </c>
      <c r="W2460" s="256">
        <f t="shared" ca="1" si="778"/>
        <v>0</v>
      </c>
      <c r="X2460" s="256">
        <f t="shared" ref="X2460:X2523" ca="1" si="782">IF(COUNTA(OFFSET(A2459,1,0))-COUNTA(A2459)=-1,0,1)</f>
        <v>1</v>
      </c>
      <c r="Y2460" s="250"/>
      <c r="Z2460" s="250"/>
    </row>
    <row r="2461" spans="1:29" s="111" customFormat="1" ht="15" hidden="1" x14ac:dyDescent="0.2">
      <c r="A2461" s="288"/>
      <c r="B2461" s="322"/>
      <c r="C2461" s="382"/>
      <c r="D2461" s="324"/>
      <c r="E2461" s="325"/>
      <c r="F2461" s="326"/>
      <c r="G2461" s="324"/>
      <c r="H2461" s="325"/>
      <c r="I2461" s="326"/>
      <c r="J2461" s="317"/>
      <c r="K2461" s="328"/>
      <c r="L2461" s="328"/>
      <c r="M2461" s="328"/>
      <c r="N2461" s="328"/>
      <c r="O2461" s="334"/>
      <c r="P2461" s="328"/>
      <c r="Q2461" s="334"/>
      <c r="R2461" s="333"/>
      <c r="S2461" s="331"/>
      <c r="T2461" s="320"/>
      <c r="U2461" s="335"/>
      <c r="V2461" s="291">
        <f t="shared" ca="1" si="781"/>
        <v>0</v>
      </c>
      <c r="W2461" s="256">
        <f t="shared" ca="1" si="778"/>
        <v>0</v>
      </c>
      <c r="X2461" s="256">
        <f t="shared" ca="1" si="782"/>
        <v>1</v>
      </c>
      <c r="Y2461" s="250"/>
      <c r="Z2461" s="250"/>
    </row>
    <row r="2462" spans="1:29" s="111" customFormat="1" ht="15" hidden="1" x14ac:dyDescent="0.2">
      <c r="A2462" s="288"/>
      <c r="B2462" s="338"/>
      <c r="C2462" s="339"/>
      <c r="D2462" s="340"/>
      <c r="E2462" s="341"/>
      <c r="F2462" s="342"/>
      <c r="G2462" s="340"/>
      <c r="H2462" s="341"/>
      <c r="I2462" s="342"/>
      <c r="J2462" s="343"/>
      <c r="K2462" s="344"/>
      <c r="L2462" s="345"/>
      <c r="M2462" s="346"/>
      <c r="N2462" s="347"/>
      <c r="O2462" s="348"/>
      <c r="P2462" s="345"/>
      <c r="Q2462" s="349"/>
      <c r="R2462" s="350"/>
      <c r="S2462" s="351"/>
      <c r="T2462" s="352"/>
      <c r="U2462" s="353"/>
      <c r="V2462" s="291">
        <f t="shared" ca="1" si="781"/>
        <v>0</v>
      </c>
      <c r="W2462" s="256">
        <f t="shared" ca="1" si="778"/>
        <v>0</v>
      </c>
      <c r="X2462" s="256">
        <f t="shared" ca="1" si="782"/>
        <v>1</v>
      </c>
      <c r="Y2462" s="250"/>
      <c r="Z2462" s="250"/>
    </row>
    <row r="2463" spans="1:29" s="111" customFormat="1" ht="15.75" hidden="1" customHeight="1" x14ac:dyDescent="0.2">
      <c r="A2463" s="288"/>
      <c r="B2463" s="354"/>
      <c r="C2463" s="355"/>
      <c r="D2463" s="1354" t="s">
        <v>492</v>
      </c>
      <c r="E2463" s="1355"/>
      <c r="F2463" s="1355"/>
      <c r="G2463" s="1355"/>
      <c r="H2463" s="1355"/>
      <c r="I2463" s="1356"/>
      <c r="J2463" s="1357">
        <f>VLOOKUP(A2465,'11 - FINANCEIRO'!_xlnm.Print_Area,6,FALSE)</f>
        <v>23</v>
      </c>
      <c r="K2463" s="1358"/>
      <c r="L2463" s="356" t="str">
        <f>VLOOKUP(A2465,'11 - FINANCEIRO'!_xlnm.Print_Area,4,FALSE)</f>
        <v>m</v>
      </c>
      <c r="M2463" s="1359" t="s">
        <v>493</v>
      </c>
      <c r="N2463" s="1360"/>
      <c r="O2463" s="1360"/>
      <c r="P2463" s="1360"/>
      <c r="Q2463" s="1361"/>
      <c r="R2463" s="357">
        <f>TRUNC(SUM(R2459:R2462),3)</f>
        <v>0</v>
      </c>
      <c r="S2463" s="358" t="str">
        <f>L2463</f>
        <v>m</v>
      </c>
      <c r="T2463" s="359"/>
      <c r="U2463" s="360"/>
      <c r="V2463" s="291">
        <f t="shared" ca="1" si="781"/>
        <v>0</v>
      </c>
      <c r="W2463" s="256">
        <f t="shared" ca="1" si="778"/>
        <v>2</v>
      </c>
      <c r="X2463" s="256">
        <f t="shared" ca="1" si="782"/>
        <v>1</v>
      </c>
      <c r="Y2463" s="250"/>
      <c r="Z2463" s="250"/>
    </row>
    <row r="2464" spans="1:29" s="293" customFormat="1" ht="15.75" hidden="1" customHeight="1" x14ac:dyDescent="0.2">
      <c r="A2464" s="288"/>
      <c r="B2464" s="354"/>
      <c r="C2464" s="361"/>
      <c r="D2464" s="1362" t="s">
        <v>494</v>
      </c>
      <c r="E2464" s="1363"/>
      <c r="F2464" s="1363"/>
      <c r="G2464" s="1363"/>
      <c r="H2464" s="1363"/>
      <c r="I2464" s="1364"/>
      <c r="J2464" s="1365">
        <f>R2463/J2463</f>
        <v>0</v>
      </c>
      <c r="K2464" s="1366"/>
      <c r="L2464" s="1369"/>
      <c r="M2464" s="1371" t="s">
        <v>495</v>
      </c>
      <c r="N2464" s="1372"/>
      <c r="O2464" s="1372"/>
      <c r="P2464" s="1372"/>
      <c r="Q2464" s="1373"/>
      <c r="R2464" s="362">
        <f>VLOOKUP(A2465,'11 - FINANCEIRO'!_xlnm.Print_Area,8,FALSE)</f>
        <v>0</v>
      </c>
      <c r="S2464" s="363" t="str">
        <f>L2463</f>
        <v>m</v>
      </c>
      <c r="T2464" s="359"/>
      <c r="U2464" s="360"/>
      <c r="V2464" s="291">
        <f t="shared" ca="1" si="781"/>
        <v>0</v>
      </c>
      <c r="W2464" s="256">
        <f t="shared" ca="1" si="778"/>
        <v>2</v>
      </c>
      <c r="X2464" s="256">
        <f t="shared" ca="1" si="782"/>
        <v>1</v>
      </c>
      <c r="Y2464" s="256"/>
      <c r="Z2464" s="256"/>
      <c r="AA2464" s="292"/>
      <c r="AB2464" s="292"/>
      <c r="AC2464" s="292"/>
    </row>
    <row r="2465" spans="1:29" s="293" customFormat="1" ht="15.75" hidden="1" customHeight="1" x14ac:dyDescent="0.2">
      <c r="A2465" s="288" t="s">
        <v>113</v>
      </c>
      <c r="B2465" s="364"/>
      <c r="C2465" s="365"/>
      <c r="D2465" s="1354"/>
      <c r="E2465" s="1355"/>
      <c r="F2465" s="1355"/>
      <c r="G2465" s="1355"/>
      <c r="H2465" s="1355"/>
      <c r="I2465" s="1356"/>
      <c r="J2465" s="1367"/>
      <c r="K2465" s="1368"/>
      <c r="L2465" s="1370"/>
      <c r="M2465" s="1371" t="s">
        <v>496</v>
      </c>
      <c r="N2465" s="1372"/>
      <c r="O2465" s="1372"/>
      <c r="P2465" s="1372"/>
      <c r="Q2465" s="1373"/>
      <c r="R2465" s="362">
        <f>R2463-R2464</f>
        <v>0</v>
      </c>
      <c r="S2465" s="363" t="str">
        <f>L2463</f>
        <v>m</v>
      </c>
      <c r="T2465" s="366"/>
      <c r="U2465" s="367"/>
      <c r="V2465" s="291">
        <f t="shared" ca="1" si="781"/>
        <v>0</v>
      </c>
      <c r="W2465" s="256">
        <f t="shared" ca="1" si="778"/>
        <v>2</v>
      </c>
      <c r="X2465" s="256">
        <f t="shared" ca="1" si="782"/>
        <v>1</v>
      </c>
      <c r="Y2465" s="256"/>
      <c r="Z2465" s="256"/>
      <c r="AA2465" s="292"/>
      <c r="AB2465" s="292"/>
      <c r="AC2465" s="292"/>
    </row>
    <row r="2466" spans="1:29" s="111" customFormat="1" ht="15.75" hidden="1" x14ac:dyDescent="0.2">
      <c r="A2466" s="288"/>
      <c r="B2466" s="368"/>
      <c r="C2466" s="365"/>
      <c r="D2466" s="369"/>
      <c r="E2466" s="370"/>
      <c r="F2466" s="369"/>
      <c r="G2466" s="369"/>
      <c r="H2466" s="369"/>
      <c r="I2466" s="369"/>
      <c r="J2466" s="371"/>
      <c r="K2466" s="372"/>
      <c r="L2466" s="373"/>
      <c r="M2466" s="374"/>
      <c r="N2466" s="374"/>
      <c r="O2466" s="374"/>
      <c r="P2466" s="374"/>
      <c r="Q2466" s="374"/>
      <c r="R2466" s="375"/>
      <c r="S2466" s="376"/>
      <c r="T2466" s="377"/>
      <c r="U2466" s="378"/>
      <c r="V2466" s="379">
        <f ca="1">SUM(V2457:V2465)</f>
        <v>0</v>
      </c>
      <c r="W2466" s="256">
        <f t="shared" ca="1" si="778"/>
        <v>1</v>
      </c>
      <c r="X2466" s="256">
        <f t="shared" ca="1" si="782"/>
        <v>0</v>
      </c>
      <c r="Y2466" s="250"/>
      <c r="Z2466" s="250"/>
    </row>
    <row r="2467" spans="1:29" s="293" customFormat="1" ht="15.75" hidden="1" customHeight="1" x14ac:dyDescent="0.25">
      <c r="A2467" s="288"/>
      <c r="B2467" s="1374" t="str">
        <f>VLOOKUP(A2475,'11 - FINANCEIRO'!_xlnm.Print_Area,1,FALSE)</f>
        <v>3.2.5</v>
      </c>
      <c r="C2467" s="1376" t="str">
        <f>VLOOKUP(A2475,'11 - FINANCEIRO'!_xlnm.Print_Area,3,FALSE)</f>
        <v>Plantio De Grama Em Placas. Af_05/2018</v>
      </c>
      <c r="D2467" s="1378" t="s">
        <v>477</v>
      </c>
      <c r="E2467" s="1379"/>
      <c r="F2467" s="1379"/>
      <c r="G2467" s="1379"/>
      <c r="H2467" s="1379"/>
      <c r="I2467" s="1380"/>
      <c r="J2467" s="1338" t="s">
        <v>478</v>
      </c>
      <c r="K2467" s="1338" t="s">
        <v>479</v>
      </c>
      <c r="L2467" s="1338" t="s">
        <v>480</v>
      </c>
      <c r="M2467" s="1338" t="s">
        <v>481</v>
      </c>
      <c r="N2467" s="1338" t="s">
        <v>482</v>
      </c>
      <c r="O2467" s="1338" t="s">
        <v>483</v>
      </c>
      <c r="P2467" s="290" t="s">
        <v>484</v>
      </c>
      <c r="Q2467" s="1338" t="s">
        <v>485</v>
      </c>
      <c r="R2467" s="1336" t="s">
        <v>296</v>
      </c>
      <c r="S2467" s="1338" t="s">
        <v>486</v>
      </c>
      <c r="T2467" s="1338" t="s">
        <v>487</v>
      </c>
      <c r="U2467" s="1340" t="s">
        <v>488</v>
      </c>
      <c r="V2467" s="291">
        <f t="shared" ref="V2467:V2475" ca="1" si="783">IF(OFFSET(V2467,1,1)=1,OFFSET(V2467,0,-4),OFFSET(V2467,1,0))</f>
        <v>0</v>
      </c>
      <c r="W2467" s="256">
        <f t="shared" ca="1" si="778"/>
        <v>2</v>
      </c>
      <c r="X2467" s="256">
        <f t="shared" ca="1" si="782"/>
        <v>1</v>
      </c>
      <c r="Y2467" s="256"/>
      <c r="Z2467" s="256"/>
      <c r="AA2467" s="292"/>
      <c r="AB2467" s="292"/>
      <c r="AC2467" s="292"/>
    </row>
    <row r="2468" spans="1:29" s="337" customFormat="1" ht="15.75" hidden="1" x14ac:dyDescent="0.2">
      <c r="A2468" s="288"/>
      <c r="B2468" s="1375"/>
      <c r="C2468" s="1377" t="e">
        <f>VLOOKUP(LEFT(#REF!,5),'11 - FINANCEIRO'!_xlnm.Print_Area,2,FALSE)</f>
        <v>#REF!</v>
      </c>
      <c r="D2468" s="1342" t="s">
        <v>489</v>
      </c>
      <c r="E2468" s="1343"/>
      <c r="F2468" s="1344"/>
      <c r="G2468" s="1345" t="s">
        <v>490</v>
      </c>
      <c r="H2468" s="1346"/>
      <c r="I2468" s="1347"/>
      <c r="J2468" s="1339"/>
      <c r="K2468" s="1339"/>
      <c r="L2468" s="1339"/>
      <c r="M2468" s="1339"/>
      <c r="N2468" s="1339"/>
      <c r="O2468" s="1339"/>
      <c r="P2468" s="295" t="s">
        <v>491</v>
      </c>
      <c r="Q2468" s="1339"/>
      <c r="R2468" s="1337"/>
      <c r="S2468" s="1339"/>
      <c r="T2468" s="1339"/>
      <c r="U2468" s="1341"/>
      <c r="V2468" s="291">
        <f t="shared" ca="1" si="783"/>
        <v>0</v>
      </c>
      <c r="W2468" s="256">
        <f t="shared" ca="1" si="778"/>
        <v>2</v>
      </c>
      <c r="X2468" s="256">
        <f t="shared" ca="1" si="782"/>
        <v>1</v>
      </c>
      <c r="Y2468" s="336"/>
      <c r="Z2468" s="336"/>
    </row>
    <row r="2469" spans="1:29" s="337" customFormat="1" ht="15.75" hidden="1" x14ac:dyDescent="0.2">
      <c r="A2469" s="288"/>
      <c r="B2469" s="296"/>
      <c r="C2469" s="297"/>
      <c r="D2469" s="298"/>
      <c r="E2469" s="299"/>
      <c r="F2469" s="300"/>
      <c r="G2469" s="301"/>
      <c r="H2469" s="302"/>
      <c r="I2469" s="303"/>
      <c r="J2469" s="304"/>
      <c r="K2469" s="304"/>
      <c r="L2469" s="304"/>
      <c r="M2469" s="304"/>
      <c r="N2469" s="304"/>
      <c r="O2469" s="304"/>
      <c r="P2469" s="306"/>
      <c r="Q2469" s="304"/>
      <c r="R2469" s="307"/>
      <c r="S2469" s="304"/>
      <c r="T2469" s="309"/>
      <c r="U2469" s="310"/>
      <c r="V2469" s="291">
        <f t="shared" ca="1" si="783"/>
        <v>0</v>
      </c>
      <c r="W2469" s="256">
        <f t="shared" ca="1" si="778"/>
        <v>0</v>
      </c>
      <c r="X2469" s="256">
        <f t="shared" ca="1" si="782"/>
        <v>1</v>
      </c>
      <c r="Y2469" s="336"/>
      <c r="Z2469" s="336"/>
    </row>
    <row r="2470" spans="1:29" s="111" customFormat="1" ht="15.75" hidden="1" x14ac:dyDescent="0.2">
      <c r="A2470" s="288"/>
      <c r="B2470" s="311"/>
      <c r="C2470" s="312"/>
      <c r="D2470" s="313"/>
      <c r="E2470" s="314"/>
      <c r="F2470" s="315"/>
      <c r="G2470" s="380"/>
      <c r="H2470" s="316"/>
      <c r="I2470" s="381"/>
      <c r="J2470" s="317"/>
      <c r="K2470" s="313"/>
      <c r="L2470" s="317"/>
      <c r="M2470" s="315"/>
      <c r="N2470" s="314"/>
      <c r="O2470" s="313"/>
      <c r="P2470" s="318"/>
      <c r="Q2470" s="315"/>
      <c r="R2470" s="319"/>
      <c r="S2470" s="317"/>
      <c r="T2470" s="320"/>
      <c r="U2470" s="321"/>
      <c r="V2470" s="291">
        <f t="shared" ca="1" si="783"/>
        <v>0</v>
      </c>
      <c r="W2470" s="256">
        <f t="shared" ca="1" si="778"/>
        <v>0</v>
      </c>
      <c r="X2470" s="256">
        <f t="shared" ca="1" si="782"/>
        <v>1</v>
      </c>
      <c r="Y2470" s="250"/>
      <c r="Z2470" s="250"/>
    </row>
    <row r="2471" spans="1:29" s="111" customFormat="1" ht="15" hidden="1" x14ac:dyDescent="0.2">
      <c r="A2471" s="288"/>
      <c r="B2471" s="322"/>
      <c r="C2471" s="382"/>
      <c r="D2471" s="324"/>
      <c r="E2471" s="325"/>
      <c r="F2471" s="326"/>
      <c r="G2471" s="324"/>
      <c r="H2471" s="325"/>
      <c r="I2471" s="326"/>
      <c r="J2471" s="317"/>
      <c r="K2471" s="328"/>
      <c r="L2471" s="328"/>
      <c r="M2471" s="328"/>
      <c r="N2471" s="328"/>
      <c r="O2471" s="334"/>
      <c r="P2471" s="328"/>
      <c r="Q2471" s="334"/>
      <c r="R2471" s="333"/>
      <c r="S2471" s="331"/>
      <c r="T2471" s="320"/>
      <c r="U2471" s="335"/>
      <c r="V2471" s="291">
        <f t="shared" ca="1" si="783"/>
        <v>0</v>
      </c>
      <c r="W2471" s="256">
        <f t="shared" ca="1" si="778"/>
        <v>0</v>
      </c>
      <c r="X2471" s="256">
        <f t="shared" ca="1" si="782"/>
        <v>1</v>
      </c>
      <c r="Y2471" s="250"/>
      <c r="Z2471" s="250"/>
    </row>
    <row r="2472" spans="1:29" s="111" customFormat="1" ht="15" hidden="1" x14ac:dyDescent="0.2">
      <c r="A2472" s="288"/>
      <c r="B2472" s="338"/>
      <c r="C2472" s="339"/>
      <c r="D2472" s="340"/>
      <c r="E2472" s="341"/>
      <c r="F2472" s="342"/>
      <c r="G2472" s="340"/>
      <c r="H2472" s="341"/>
      <c r="I2472" s="342"/>
      <c r="J2472" s="343"/>
      <c r="K2472" s="344"/>
      <c r="L2472" s="345"/>
      <c r="M2472" s="346"/>
      <c r="N2472" s="347"/>
      <c r="O2472" s="348"/>
      <c r="P2472" s="345"/>
      <c r="Q2472" s="349"/>
      <c r="R2472" s="350"/>
      <c r="S2472" s="351"/>
      <c r="T2472" s="352"/>
      <c r="U2472" s="353"/>
      <c r="V2472" s="291">
        <f t="shared" ca="1" si="783"/>
        <v>0</v>
      </c>
      <c r="W2472" s="256">
        <f t="shared" ca="1" si="778"/>
        <v>0</v>
      </c>
      <c r="X2472" s="256">
        <f t="shared" ca="1" si="782"/>
        <v>1</v>
      </c>
      <c r="Y2472" s="250"/>
      <c r="Z2472" s="250"/>
    </row>
    <row r="2473" spans="1:29" s="111" customFormat="1" ht="15.75" hidden="1" customHeight="1" x14ac:dyDescent="0.2">
      <c r="A2473" s="288"/>
      <c r="B2473" s="354"/>
      <c r="C2473" s="355"/>
      <c r="D2473" s="1354" t="s">
        <v>492</v>
      </c>
      <c r="E2473" s="1355"/>
      <c r="F2473" s="1355"/>
      <c r="G2473" s="1355"/>
      <c r="H2473" s="1355"/>
      <c r="I2473" s="1356"/>
      <c r="J2473" s="1357">
        <f>VLOOKUP(A2475,'11 - FINANCEIRO'!_xlnm.Print_Area,6,FALSE)</f>
        <v>2098.04</v>
      </c>
      <c r="K2473" s="1358"/>
      <c r="L2473" s="356" t="str">
        <f>VLOOKUP(A2475,'11 - FINANCEIRO'!_xlnm.Print_Area,4,FALSE)</f>
        <v>m²</v>
      </c>
      <c r="M2473" s="1359" t="s">
        <v>493</v>
      </c>
      <c r="N2473" s="1360"/>
      <c r="O2473" s="1360"/>
      <c r="P2473" s="1360"/>
      <c r="Q2473" s="1361"/>
      <c r="R2473" s="357">
        <f>TRUNC(SUM(R2469:R2472),3)</f>
        <v>0</v>
      </c>
      <c r="S2473" s="358" t="str">
        <f>L2473</f>
        <v>m²</v>
      </c>
      <c r="T2473" s="359"/>
      <c r="U2473" s="360"/>
      <c r="V2473" s="291">
        <f t="shared" ca="1" si="783"/>
        <v>0</v>
      </c>
      <c r="W2473" s="256">
        <f t="shared" ca="1" si="778"/>
        <v>2</v>
      </c>
      <c r="X2473" s="256">
        <f t="shared" ca="1" si="782"/>
        <v>1</v>
      </c>
      <c r="Y2473" s="250"/>
      <c r="Z2473" s="250"/>
    </row>
    <row r="2474" spans="1:29" s="293" customFormat="1" ht="15.75" hidden="1" customHeight="1" x14ac:dyDescent="0.2">
      <c r="A2474" s="288"/>
      <c r="B2474" s="354"/>
      <c r="C2474" s="361"/>
      <c r="D2474" s="1362" t="s">
        <v>494</v>
      </c>
      <c r="E2474" s="1363"/>
      <c r="F2474" s="1363"/>
      <c r="G2474" s="1363"/>
      <c r="H2474" s="1363"/>
      <c r="I2474" s="1364"/>
      <c r="J2474" s="1365">
        <f>R2473/J2473</f>
        <v>0</v>
      </c>
      <c r="K2474" s="1366"/>
      <c r="L2474" s="1369"/>
      <c r="M2474" s="1371" t="s">
        <v>495</v>
      </c>
      <c r="N2474" s="1372"/>
      <c r="O2474" s="1372"/>
      <c r="P2474" s="1372"/>
      <c r="Q2474" s="1373"/>
      <c r="R2474" s="362">
        <f>VLOOKUP(A2475,'11 - FINANCEIRO'!_xlnm.Print_Area,8,FALSE)</f>
        <v>0</v>
      </c>
      <c r="S2474" s="363" t="str">
        <f>L2473</f>
        <v>m²</v>
      </c>
      <c r="T2474" s="359"/>
      <c r="U2474" s="360"/>
      <c r="V2474" s="291">
        <f t="shared" ca="1" si="783"/>
        <v>0</v>
      </c>
      <c r="W2474" s="256">
        <f t="shared" ca="1" si="778"/>
        <v>2</v>
      </c>
      <c r="X2474" s="256">
        <f t="shared" ca="1" si="782"/>
        <v>1</v>
      </c>
      <c r="Y2474" s="256"/>
      <c r="Z2474" s="256"/>
      <c r="AA2474" s="292"/>
      <c r="AB2474" s="292"/>
      <c r="AC2474" s="292"/>
    </row>
    <row r="2475" spans="1:29" s="293" customFormat="1" ht="15.75" hidden="1" customHeight="1" x14ac:dyDescent="0.2">
      <c r="A2475" s="288" t="s">
        <v>114</v>
      </c>
      <c r="B2475" s="364"/>
      <c r="C2475" s="365"/>
      <c r="D2475" s="1354"/>
      <c r="E2475" s="1355"/>
      <c r="F2475" s="1355"/>
      <c r="G2475" s="1355"/>
      <c r="H2475" s="1355"/>
      <c r="I2475" s="1356"/>
      <c r="J2475" s="1367"/>
      <c r="K2475" s="1368"/>
      <c r="L2475" s="1370"/>
      <c r="M2475" s="1371" t="s">
        <v>496</v>
      </c>
      <c r="N2475" s="1372"/>
      <c r="O2475" s="1372"/>
      <c r="P2475" s="1372"/>
      <c r="Q2475" s="1373"/>
      <c r="R2475" s="362">
        <f>R2473-R2474</f>
        <v>0</v>
      </c>
      <c r="S2475" s="363" t="str">
        <f>L2473</f>
        <v>m²</v>
      </c>
      <c r="T2475" s="366"/>
      <c r="U2475" s="367"/>
      <c r="V2475" s="291">
        <f t="shared" ca="1" si="783"/>
        <v>0</v>
      </c>
      <c r="W2475" s="256">
        <f t="shared" ca="1" si="778"/>
        <v>2</v>
      </c>
      <c r="X2475" s="256">
        <f t="shared" ca="1" si="782"/>
        <v>1</v>
      </c>
      <c r="Y2475" s="256"/>
      <c r="Z2475" s="256"/>
      <c r="AA2475" s="292"/>
      <c r="AB2475" s="292"/>
      <c r="AC2475" s="292"/>
    </row>
    <row r="2476" spans="1:29" s="111" customFormat="1" ht="15.75" hidden="1" x14ac:dyDescent="0.2">
      <c r="A2476" s="288"/>
      <c r="B2476" s="368"/>
      <c r="C2476" s="365"/>
      <c r="D2476" s="369"/>
      <c r="E2476" s="370"/>
      <c r="F2476" s="369"/>
      <c r="G2476" s="369"/>
      <c r="H2476" s="369"/>
      <c r="I2476" s="369"/>
      <c r="J2476" s="371"/>
      <c r="K2476" s="372"/>
      <c r="L2476" s="373"/>
      <c r="M2476" s="374"/>
      <c r="N2476" s="374"/>
      <c r="O2476" s="374"/>
      <c r="P2476" s="374"/>
      <c r="Q2476" s="374"/>
      <c r="R2476" s="375"/>
      <c r="S2476" s="376"/>
      <c r="T2476" s="377"/>
      <c r="U2476" s="378"/>
      <c r="V2476" s="379">
        <f ca="1">SUM(V2467:V2475)</f>
        <v>0</v>
      </c>
      <c r="W2476" s="256">
        <f t="shared" ca="1" si="778"/>
        <v>1</v>
      </c>
      <c r="X2476" s="256">
        <f t="shared" ca="1" si="782"/>
        <v>0</v>
      </c>
      <c r="Y2476" s="250"/>
      <c r="Z2476" s="250"/>
    </row>
    <row r="2477" spans="1:29" s="293" customFormat="1" ht="15.75" hidden="1" customHeight="1" x14ac:dyDescent="0.25">
      <c r="A2477" s="288"/>
      <c r="B2477" s="1374" t="str">
        <f>VLOOKUP(A2485,'11 - FINANCEIRO'!_xlnm.Print_Area,1,FALSE)</f>
        <v>3.2.6</v>
      </c>
      <c r="C2477" s="1376" t="str">
        <f>VLOOKUP(A2485,'11 - FINANCEIRO'!_xlnm.Print_Area,3,FALSE)</f>
        <v>Destocamento De Árvores Com Diâmetro  &gt; 30 Cm, Com Trator De Esteira</v>
      </c>
      <c r="D2477" s="1378" t="s">
        <v>477</v>
      </c>
      <c r="E2477" s="1379"/>
      <c r="F2477" s="1379"/>
      <c r="G2477" s="1379"/>
      <c r="H2477" s="1379"/>
      <c r="I2477" s="1380"/>
      <c r="J2477" s="1338" t="s">
        <v>478</v>
      </c>
      <c r="K2477" s="1338" t="s">
        <v>479</v>
      </c>
      <c r="L2477" s="1338" t="s">
        <v>480</v>
      </c>
      <c r="M2477" s="1338" t="s">
        <v>481</v>
      </c>
      <c r="N2477" s="1338" t="s">
        <v>482</v>
      </c>
      <c r="O2477" s="1338" t="s">
        <v>483</v>
      </c>
      <c r="P2477" s="290" t="s">
        <v>484</v>
      </c>
      <c r="Q2477" s="1338" t="s">
        <v>485</v>
      </c>
      <c r="R2477" s="1336" t="s">
        <v>296</v>
      </c>
      <c r="S2477" s="1338" t="s">
        <v>486</v>
      </c>
      <c r="T2477" s="1338" t="s">
        <v>487</v>
      </c>
      <c r="U2477" s="1340" t="s">
        <v>488</v>
      </c>
      <c r="V2477" s="291">
        <f t="shared" ref="V2477:V2485" ca="1" si="784">IF(OFFSET(V2477,1,1)=1,OFFSET(V2477,0,-4),OFFSET(V2477,1,0))</f>
        <v>0</v>
      </c>
      <c r="W2477" s="256">
        <f t="shared" ca="1" si="778"/>
        <v>2</v>
      </c>
      <c r="X2477" s="256">
        <f t="shared" ca="1" si="782"/>
        <v>1</v>
      </c>
      <c r="Y2477" s="256"/>
      <c r="Z2477" s="256"/>
      <c r="AA2477" s="292"/>
      <c r="AB2477" s="292"/>
      <c r="AC2477" s="292"/>
    </row>
    <row r="2478" spans="1:29" s="337" customFormat="1" ht="15.75" hidden="1" x14ac:dyDescent="0.2">
      <c r="A2478" s="288"/>
      <c r="B2478" s="1375"/>
      <c r="C2478" s="1377" t="e">
        <f>VLOOKUP(LEFT(#REF!,5),'11 - FINANCEIRO'!_xlnm.Print_Area,2,FALSE)</f>
        <v>#REF!</v>
      </c>
      <c r="D2478" s="1342" t="s">
        <v>489</v>
      </c>
      <c r="E2478" s="1343"/>
      <c r="F2478" s="1344"/>
      <c r="G2478" s="1345" t="s">
        <v>490</v>
      </c>
      <c r="H2478" s="1346"/>
      <c r="I2478" s="1347"/>
      <c r="J2478" s="1339"/>
      <c r="K2478" s="1339"/>
      <c r="L2478" s="1339"/>
      <c r="M2478" s="1339"/>
      <c r="N2478" s="1339"/>
      <c r="O2478" s="1339"/>
      <c r="P2478" s="295" t="s">
        <v>491</v>
      </c>
      <c r="Q2478" s="1339"/>
      <c r="R2478" s="1337"/>
      <c r="S2478" s="1339"/>
      <c r="T2478" s="1339"/>
      <c r="U2478" s="1341"/>
      <c r="V2478" s="291">
        <f t="shared" ca="1" si="784"/>
        <v>0</v>
      </c>
      <c r="W2478" s="256">
        <f t="shared" ca="1" si="778"/>
        <v>2</v>
      </c>
      <c r="X2478" s="256">
        <f t="shared" ca="1" si="782"/>
        <v>1</v>
      </c>
      <c r="Y2478" s="336"/>
      <c r="Z2478" s="336"/>
    </row>
    <row r="2479" spans="1:29" s="337" customFormat="1" ht="15.75" hidden="1" x14ac:dyDescent="0.2">
      <c r="A2479" s="288"/>
      <c r="B2479" s="296"/>
      <c r="C2479" s="297"/>
      <c r="D2479" s="298"/>
      <c r="E2479" s="299"/>
      <c r="F2479" s="300"/>
      <c r="G2479" s="301"/>
      <c r="H2479" s="302"/>
      <c r="I2479" s="303"/>
      <c r="J2479" s="304"/>
      <c r="K2479" s="304"/>
      <c r="L2479" s="304"/>
      <c r="M2479" s="304"/>
      <c r="N2479" s="304"/>
      <c r="O2479" s="304"/>
      <c r="P2479" s="306"/>
      <c r="Q2479" s="304"/>
      <c r="R2479" s="307"/>
      <c r="S2479" s="304"/>
      <c r="T2479" s="309"/>
      <c r="U2479" s="310"/>
      <c r="V2479" s="291">
        <f t="shared" ca="1" si="784"/>
        <v>0</v>
      </c>
      <c r="W2479" s="256">
        <f t="shared" ca="1" si="778"/>
        <v>0</v>
      </c>
      <c r="X2479" s="256">
        <f t="shared" ca="1" si="782"/>
        <v>1</v>
      </c>
      <c r="Y2479" s="336"/>
      <c r="Z2479" s="336"/>
    </row>
    <row r="2480" spans="1:29" s="111" customFormat="1" ht="15.75" hidden="1" x14ac:dyDescent="0.2">
      <c r="A2480" s="288"/>
      <c r="B2480" s="311"/>
      <c r="C2480" s="312"/>
      <c r="D2480" s="313"/>
      <c r="E2480" s="314"/>
      <c r="F2480" s="315"/>
      <c r="G2480" s="380"/>
      <c r="H2480" s="316"/>
      <c r="I2480" s="381"/>
      <c r="J2480" s="317"/>
      <c r="K2480" s="313"/>
      <c r="L2480" s="317"/>
      <c r="M2480" s="315"/>
      <c r="N2480" s="314"/>
      <c r="O2480" s="313"/>
      <c r="P2480" s="318"/>
      <c r="Q2480" s="315"/>
      <c r="R2480" s="319"/>
      <c r="S2480" s="317"/>
      <c r="T2480" s="320"/>
      <c r="U2480" s="321"/>
      <c r="V2480" s="291">
        <f t="shared" ca="1" si="784"/>
        <v>0</v>
      </c>
      <c r="W2480" s="256">
        <f t="shared" ca="1" si="778"/>
        <v>0</v>
      </c>
      <c r="X2480" s="256">
        <f t="shared" ca="1" si="782"/>
        <v>1</v>
      </c>
      <c r="Y2480" s="250"/>
      <c r="Z2480" s="250"/>
    </row>
    <row r="2481" spans="1:29" s="111" customFormat="1" ht="15" hidden="1" x14ac:dyDescent="0.2">
      <c r="A2481" s="288"/>
      <c r="B2481" s="322"/>
      <c r="C2481" s="382"/>
      <c r="D2481" s="324"/>
      <c r="E2481" s="325"/>
      <c r="F2481" s="326"/>
      <c r="G2481" s="324"/>
      <c r="H2481" s="325"/>
      <c r="I2481" s="326"/>
      <c r="J2481" s="317"/>
      <c r="K2481" s="328"/>
      <c r="L2481" s="328"/>
      <c r="M2481" s="328"/>
      <c r="N2481" s="328"/>
      <c r="O2481" s="334"/>
      <c r="P2481" s="328"/>
      <c r="Q2481" s="334"/>
      <c r="R2481" s="333"/>
      <c r="S2481" s="331"/>
      <c r="T2481" s="320"/>
      <c r="U2481" s="335"/>
      <c r="V2481" s="291">
        <f t="shared" ca="1" si="784"/>
        <v>0</v>
      </c>
      <c r="W2481" s="256">
        <f t="shared" ca="1" si="778"/>
        <v>0</v>
      </c>
      <c r="X2481" s="256">
        <f t="shared" ca="1" si="782"/>
        <v>1</v>
      </c>
      <c r="Y2481" s="250"/>
      <c r="Z2481" s="250"/>
    </row>
    <row r="2482" spans="1:29" s="111" customFormat="1" ht="15" hidden="1" x14ac:dyDescent="0.2">
      <c r="A2482" s="288"/>
      <c r="B2482" s="338"/>
      <c r="C2482" s="339"/>
      <c r="D2482" s="340"/>
      <c r="E2482" s="341"/>
      <c r="F2482" s="342"/>
      <c r="G2482" s="340"/>
      <c r="H2482" s="341"/>
      <c r="I2482" s="342"/>
      <c r="J2482" s="343"/>
      <c r="K2482" s="344"/>
      <c r="L2482" s="345"/>
      <c r="M2482" s="346"/>
      <c r="N2482" s="347"/>
      <c r="O2482" s="348"/>
      <c r="P2482" s="345"/>
      <c r="Q2482" s="349"/>
      <c r="R2482" s="350"/>
      <c r="S2482" s="351"/>
      <c r="T2482" s="352"/>
      <c r="U2482" s="353"/>
      <c r="V2482" s="291">
        <f t="shared" ca="1" si="784"/>
        <v>0</v>
      </c>
      <c r="W2482" s="256">
        <f t="shared" ca="1" si="778"/>
        <v>0</v>
      </c>
      <c r="X2482" s="256">
        <f t="shared" ca="1" si="782"/>
        <v>1</v>
      </c>
      <c r="Y2482" s="250"/>
      <c r="Z2482" s="250"/>
    </row>
    <row r="2483" spans="1:29" s="111" customFormat="1" ht="15.75" hidden="1" customHeight="1" x14ac:dyDescent="0.2">
      <c r="A2483" s="288"/>
      <c r="B2483" s="354"/>
      <c r="C2483" s="355"/>
      <c r="D2483" s="1354" t="s">
        <v>492</v>
      </c>
      <c r="E2483" s="1355"/>
      <c r="F2483" s="1355"/>
      <c r="G2483" s="1355"/>
      <c r="H2483" s="1355"/>
      <c r="I2483" s="1356"/>
      <c r="J2483" s="1357">
        <f>VLOOKUP(A2485,'11 - FINANCEIRO'!_xlnm.Print_Area,6,FALSE)</f>
        <v>16</v>
      </c>
      <c r="K2483" s="1358"/>
      <c r="L2483" s="356" t="str">
        <f>VLOOKUP(A2485,'11 - FINANCEIRO'!_xlnm.Print_Area,4,FALSE)</f>
        <v>ud</v>
      </c>
      <c r="M2483" s="1359" t="s">
        <v>493</v>
      </c>
      <c r="N2483" s="1360"/>
      <c r="O2483" s="1360"/>
      <c r="P2483" s="1360"/>
      <c r="Q2483" s="1361"/>
      <c r="R2483" s="357">
        <f>TRUNC(SUM(R2479:R2482),3)</f>
        <v>0</v>
      </c>
      <c r="S2483" s="358" t="str">
        <f>L2483</f>
        <v>ud</v>
      </c>
      <c r="T2483" s="359"/>
      <c r="U2483" s="360"/>
      <c r="V2483" s="291">
        <f t="shared" ca="1" si="784"/>
        <v>0</v>
      </c>
      <c r="W2483" s="256">
        <f t="shared" ca="1" si="778"/>
        <v>2</v>
      </c>
      <c r="X2483" s="256">
        <f t="shared" ca="1" si="782"/>
        <v>1</v>
      </c>
      <c r="Y2483" s="250"/>
      <c r="Z2483" s="250"/>
    </row>
    <row r="2484" spans="1:29" s="293" customFormat="1" ht="15.75" hidden="1" customHeight="1" x14ac:dyDescent="0.2">
      <c r="A2484" s="288"/>
      <c r="B2484" s="354"/>
      <c r="C2484" s="361"/>
      <c r="D2484" s="1362" t="s">
        <v>494</v>
      </c>
      <c r="E2484" s="1363"/>
      <c r="F2484" s="1363"/>
      <c r="G2484" s="1363"/>
      <c r="H2484" s="1363"/>
      <c r="I2484" s="1364"/>
      <c r="J2484" s="1365">
        <f>R2483/J2483</f>
        <v>0</v>
      </c>
      <c r="K2484" s="1366"/>
      <c r="L2484" s="1369"/>
      <c r="M2484" s="1371" t="s">
        <v>495</v>
      </c>
      <c r="N2484" s="1372"/>
      <c r="O2484" s="1372"/>
      <c r="P2484" s="1372"/>
      <c r="Q2484" s="1373"/>
      <c r="R2484" s="362">
        <f>VLOOKUP(A2485,'11 - FINANCEIRO'!_xlnm.Print_Area,8,FALSE)</f>
        <v>0</v>
      </c>
      <c r="S2484" s="363" t="str">
        <f>L2483</f>
        <v>ud</v>
      </c>
      <c r="T2484" s="359"/>
      <c r="U2484" s="360"/>
      <c r="V2484" s="291">
        <f t="shared" ca="1" si="784"/>
        <v>0</v>
      </c>
      <c r="W2484" s="256">
        <f t="shared" ca="1" si="778"/>
        <v>2</v>
      </c>
      <c r="X2484" s="256">
        <f t="shared" ca="1" si="782"/>
        <v>1</v>
      </c>
      <c r="Y2484" s="256"/>
      <c r="Z2484" s="256"/>
      <c r="AA2484" s="292"/>
      <c r="AB2484" s="292"/>
      <c r="AC2484" s="292"/>
    </row>
    <row r="2485" spans="1:29" s="293" customFormat="1" ht="15.75" hidden="1" customHeight="1" x14ac:dyDescent="0.2">
      <c r="A2485" s="288" t="s">
        <v>115</v>
      </c>
      <c r="B2485" s="364"/>
      <c r="C2485" s="365"/>
      <c r="D2485" s="1354"/>
      <c r="E2485" s="1355"/>
      <c r="F2485" s="1355"/>
      <c r="G2485" s="1355"/>
      <c r="H2485" s="1355"/>
      <c r="I2485" s="1356"/>
      <c r="J2485" s="1367"/>
      <c r="K2485" s="1368"/>
      <c r="L2485" s="1370"/>
      <c r="M2485" s="1371" t="s">
        <v>496</v>
      </c>
      <c r="N2485" s="1372"/>
      <c r="O2485" s="1372"/>
      <c r="P2485" s="1372"/>
      <c r="Q2485" s="1373"/>
      <c r="R2485" s="362">
        <f>R2483-R2484</f>
        <v>0</v>
      </c>
      <c r="S2485" s="363" t="str">
        <f>L2483</f>
        <v>ud</v>
      </c>
      <c r="T2485" s="366"/>
      <c r="U2485" s="367"/>
      <c r="V2485" s="291">
        <f t="shared" ca="1" si="784"/>
        <v>0</v>
      </c>
      <c r="W2485" s="256">
        <f t="shared" ca="1" si="778"/>
        <v>2</v>
      </c>
      <c r="X2485" s="256">
        <f t="shared" ca="1" si="782"/>
        <v>1</v>
      </c>
      <c r="Y2485" s="256"/>
      <c r="Z2485" s="256"/>
      <c r="AA2485" s="292"/>
      <c r="AB2485" s="292"/>
      <c r="AC2485" s="292"/>
    </row>
    <row r="2486" spans="1:29" s="111" customFormat="1" ht="15.75" hidden="1" x14ac:dyDescent="0.2">
      <c r="A2486" s="288"/>
      <c r="B2486" s="368"/>
      <c r="C2486" s="365"/>
      <c r="D2486" s="369"/>
      <c r="E2486" s="370"/>
      <c r="F2486" s="369"/>
      <c r="G2486" s="369"/>
      <c r="H2486" s="369"/>
      <c r="I2486" s="369"/>
      <c r="J2486" s="371"/>
      <c r="K2486" s="372"/>
      <c r="L2486" s="373"/>
      <c r="M2486" s="374"/>
      <c r="N2486" s="374"/>
      <c r="O2486" s="374"/>
      <c r="P2486" s="374"/>
      <c r="Q2486" s="374"/>
      <c r="R2486" s="375"/>
      <c r="S2486" s="376"/>
      <c r="T2486" s="377"/>
      <c r="U2486" s="378"/>
      <c r="V2486" s="379">
        <f ca="1">SUM(V2477:V2485)</f>
        <v>0</v>
      </c>
      <c r="W2486" s="256">
        <f t="shared" ca="1" si="778"/>
        <v>1</v>
      </c>
      <c r="X2486" s="256">
        <f t="shared" ca="1" si="782"/>
        <v>0</v>
      </c>
      <c r="Y2486" s="250"/>
      <c r="Z2486" s="250"/>
    </row>
    <row r="2487" spans="1:29" s="293" customFormat="1" ht="15.75" hidden="1" customHeight="1" x14ac:dyDescent="0.25">
      <c r="A2487" s="288"/>
      <c r="B2487" s="1374" t="str">
        <f>VLOOKUP(A2495,'11 - FINANCEIRO'!_xlnm.Print_Area,1,FALSE)</f>
        <v>3.2.7</v>
      </c>
      <c r="C2487" s="1376" t="str">
        <f>VLOOKUP(A2495,'11 - FINANCEIRO'!_xlnm.Print_Area,3,FALSE)</f>
        <v>Demolição De Concreto Armado</v>
      </c>
      <c r="D2487" s="1378" t="s">
        <v>477</v>
      </c>
      <c r="E2487" s="1379"/>
      <c r="F2487" s="1379"/>
      <c r="G2487" s="1379"/>
      <c r="H2487" s="1379"/>
      <c r="I2487" s="1380"/>
      <c r="J2487" s="1338" t="s">
        <v>478</v>
      </c>
      <c r="K2487" s="1338" t="s">
        <v>479</v>
      </c>
      <c r="L2487" s="1338" t="s">
        <v>480</v>
      </c>
      <c r="M2487" s="1338" t="s">
        <v>481</v>
      </c>
      <c r="N2487" s="1338" t="s">
        <v>482</v>
      </c>
      <c r="O2487" s="1338" t="s">
        <v>483</v>
      </c>
      <c r="P2487" s="290" t="s">
        <v>484</v>
      </c>
      <c r="Q2487" s="1338" t="s">
        <v>485</v>
      </c>
      <c r="R2487" s="1336" t="s">
        <v>296</v>
      </c>
      <c r="S2487" s="1338" t="s">
        <v>486</v>
      </c>
      <c r="T2487" s="1338" t="s">
        <v>487</v>
      </c>
      <c r="U2487" s="1340" t="s">
        <v>488</v>
      </c>
      <c r="V2487" s="291">
        <f t="shared" ref="V2487:V2495" ca="1" si="785">IF(OFFSET(V2487,1,1)=1,OFFSET(V2487,0,-4),OFFSET(V2487,1,0))</f>
        <v>0</v>
      </c>
      <c r="W2487" s="256">
        <f t="shared" ca="1" si="778"/>
        <v>2</v>
      </c>
      <c r="X2487" s="256">
        <f t="shared" ca="1" si="782"/>
        <v>1</v>
      </c>
      <c r="Y2487" s="256"/>
      <c r="Z2487" s="256"/>
      <c r="AA2487" s="292"/>
      <c r="AB2487" s="292"/>
      <c r="AC2487" s="292"/>
    </row>
    <row r="2488" spans="1:29" s="337" customFormat="1" ht="15.75" hidden="1" x14ac:dyDescent="0.2">
      <c r="A2488" s="288"/>
      <c r="B2488" s="1375"/>
      <c r="C2488" s="1377" t="e">
        <f>VLOOKUP(LEFT(#REF!,5),'11 - FINANCEIRO'!_xlnm.Print_Area,2,FALSE)</f>
        <v>#REF!</v>
      </c>
      <c r="D2488" s="1342" t="s">
        <v>489</v>
      </c>
      <c r="E2488" s="1343"/>
      <c r="F2488" s="1344"/>
      <c r="G2488" s="1345" t="s">
        <v>490</v>
      </c>
      <c r="H2488" s="1346"/>
      <c r="I2488" s="1347"/>
      <c r="J2488" s="1339"/>
      <c r="K2488" s="1339"/>
      <c r="L2488" s="1339"/>
      <c r="M2488" s="1339"/>
      <c r="N2488" s="1339"/>
      <c r="O2488" s="1339"/>
      <c r="P2488" s="295" t="s">
        <v>491</v>
      </c>
      <c r="Q2488" s="1339"/>
      <c r="R2488" s="1337"/>
      <c r="S2488" s="1339"/>
      <c r="T2488" s="1339"/>
      <c r="U2488" s="1341"/>
      <c r="V2488" s="291">
        <f t="shared" ca="1" si="785"/>
        <v>0</v>
      </c>
      <c r="W2488" s="256">
        <f t="shared" ca="1" si="778"/>
        <v>2</v>
      </c>
      <c r="X2488" s="256">
        <f t="shared" ca="1" si="782"/>
        <v>1</v>
      </c>
      <c r="Y2488" s="336"/>
      <c r="Z2488" s="336"/>
    </row>
    <row r="2489" spans="1:29" s="337" customFormat="1" ht="15.75" hidden="1" x14ac:dyDescent="0.2">
      <c r="A2489" s="288"/>
      <c r="B2489" s="296"/>
      <c r="C2489" s="297"/>
      <c r="D2489" s="298"/>
      <c r="E2489" s="299"/>
      <c r="F2489" s="300"/>
      <c r="G2489" s="301"/>
      <c r="H2489" s="302"/>
      <c r="I2489" s="303"/>
      <c r="J2489" s="304"/>
      <c r="K2489" s="304"/>
      <c r="L2489" s="304"/>
      <c r="M2489" s="304"/>
      <c r="N2489" s="304"/>
      <c r="O2489" s="304"/>
      <c r="P2489" s="306"/>
      <c r="Q2489" s="304"/>
      <c r="R2489" s="307"/>
      <c r="S2489" s="304"/>
      <c r="T2489" s="309"/>
      <c r="U2489" s="310"/>
      <c r="V2489" s="291">
        <f t="shared" ca="1" si="785"/>
        <v>0</v>
      </c>
      <c r="W2489" s="256">
        <f t="shared" ca="1" si="778"/>
        <v>0</v>
      </c>
      <c r="X2489" s="256">
        <f t="shared" ca="1" si="782"/>
        <v>1</v>
      </c>
      <c r="Y2489" s="336"/>
      <c r="Z2489" s="336"/>
    </row>
    <row r="2490" spans="1:29" s="111" customFormat="1" ht="15.75" hidden="1" x14ac:dyDescent="0.2">
      <c r="A2490" s="288"/>
      <c r="B2490" s="311"/>
      <c r="C2490" s="312"/>
      <c r="D2490" s="313"/>
      <c r="E2490" s="314"/>
      <c r="F2490" s="315"/>
      <c r="G2490" s="380"/>
      <c r="H2490" s="316"/>
      <c r="I2490" s="381"/>
      <c r="J2490" s="317"/>
      <c r="K2490" s="313"/>
      <c r="L2490" s="317"/>
      <c r="M2490" s="315"/>
      <c r="N2490" s="314"/>
      <c r="O2490" s="313"/>
      <c r="P2490" s="318"/>
      <c r="Q2490" s="315"/>
      <c r="R2490" s="319"/>
      <c r="S2490" s="317"/>
      <c r="T2490" s="320"/>
      <c r="U2490" s="321"/>
      <c r="V2490" s="291">
        <f t="shared" ca="1" si="785"/>
        <v>0</v>
      </c>
      <c r="W2490" s="256">
        <f t="shared" ca="1" si="778"/>
        <v>0</v>
      </c>
      <c r="X2490" s="256">
        <f t="shared" ca="1" si="782"/>
        <v>1</v>
      </c>
      <c r="Y2490" s="250"/>
      <c r="Z2490" s="250"/>
    </row>
    <row r="2491" spans="1:29" s="111" customFormat="1" ht="15" hidden="1" x14ac:dyDescent="0.2">
      <c r="A2491" s="288"/>
      <c r="B2491" s="322"/>
      <c r="C2491" s="382"/>
      <c r="D2491" s="324"/>
      <c r="E2491" s="325"/>
      <c r="F2491" s="326"/>
      <c r="G2491" s="324"/>
      <c r="H2491" s="325"/>
      <c r="I2491" s="326"/>
      <c r="J2491" s="317"/>
      <c r="K2491" s="328"/>
      <c r="L2491" s="328"/>
      <c r="M2491" s="328"/>
      <c r="N2491" s="328"/>
      <c r="O2491" s="334"/>
      <c r="P2491" s="328"/>
      <c r="Q2491" s="334"/>
      <c r="R2491" s="333"/>
      <c r="S2491" s="331"/>
      <c r="T2491" s="320"/>
      <c r="U2491" s="335"/>
      <c r="V2491" s="291">
        <f t="shared" ca="1" si="785"/>
        <v>0</v>
      </c>
      <c r="W2491" s="256">
        <f t="shared" ca="1" si="778"/>
        <v>0</v>
      </c>
      <c r="X2491" s="256">
        <f t="shared" ca="1" si="782"/>
        <v>1</v>
      </c>
      <c r="Y2491" s="250"/>
      <c r="Z2491" s="250"/>
    </row>
    <row r="2492" spans="1:29" s="111" customFormat="1" ht="15" hidden="1" x14ac:dyDescent="0.2">
      <c r="A2492" s="288"/>
      <c r="B2492" s="338"/>
      <c r="C2492" s="339"/>
      <c r="D2492" s="340"/>
      <c r="E2492" s="341"/>
      <c r="F2492" s="342"/>
      <c r="G2492" s="340"/>
      <c r="H2492" s="341"/>
      <c r="I2492" s="342"/>
      <c r="J2492" s="343"/>
      <c r="K2492" s="344"/>
      <c r="L2492" s="345"/>
      <c r="M2492" s="346"/>
      <c r="N2492" s="347"/>
      <c r="O2492" s="348"/>
      <c r="P2492" s="345"/>
      <c r="Q2492" s="349"/>
      <c r="R2492" s="350"/>
      <c r="S2492" s="351"/>
      <c r="T2492" s="352"/>
      <c r="U2492" s="353"/>
      <c r="V2492" s="291">
        <f t="shared" ca="1" si="785"/>
        <v>0</v>
      </c>
      <c r="W2492" s="256">
        <f t="shared" ca="1" si="778"/>
        <v>0</v>
      </c>
      <c r="X2492" s="256">
        <f t="shared" ca="1" si="782"/>
        <v>1</v>
      </c>
      <c r="Y2492" s="250"/>
      <c r="Z2492" s="250"/>
    </row>
    <row r="2493" spans="1:29" s="111" customFormat="1" ht="15.75" hidden="1" customHeight="1" x14ac:dyDescent="0.2">
      <c r="A2493" s="288"/>
      <c r="B2493" s="354"/>
      <c r="C2493" s="355"/>
      <c r="D2493" s="1354" t="s">
        <v>492</v>
      </c>
      <c r="E2493" s="1355"/>
      <c r="F2493" s="1355"/>
      <c r="G2493" s="1355"/>
      <c r="H2493" s="1355"/>
      <c r="I2493" s="1356"/>
      <c r="J2493" s="1357">
        <f>VLOOKUP(A2495,'11 - FINANCEIRO'!_xlnm.Print_Area,6,FALSE)</f>
        <v>1.59</v>
      </c>
      <c r="K2493" s="1358"/>
      <c r="L2493" s="356" t="str">
        <f>VLOOKUP(A2495,'11 - FINANCEIRO'!_xlnm.Print_Area,4,FALSE)</f>
        <v>m³</v>
      </c>
      <c r="M2493" s="1359" t="s">
        <v>493</v>
      </c>
      <c r="N2493" s="1360"/>
      <c r="O2493" s="1360"/>
      <c r="P2493" s="1360"/>
      <c r="Q2493" s="1361"/>
      <c r="R2493" s="357">
        <f>TRUNC(SUM(R2489:R2492),3)</f>
        <v>0</v>
      </c>
      <c r="S2493" s="358" t="str">
        <f>L2493</f>
        <v>m³</v>
      </c>
      <c r="T2493" s="359"/>
      <c r="U2493" s="360"/>
      <c r="V2493" s="291">
        <f t="shared" ca="1" si="785"/>
        <v>0</v>
      </c>
      <c r="W2493" s="256">
        <f t="shared" ca="1" si="778"/>
        <v>2</v>
      </c>
      <c r="X2493" s="256">
        <f t="shared" ca="1" si="782"/>
        <v>1</v>
      </c>
      <c r="Y2493" s="250"/>
      <c r="Z2493" s="250"/>
    </row>
    <row r="2494" spans="1:29" s="293" customFormat="1" ht="15.75" hidden="1" customHeight="1" x14ac:dyDescent="0.2">
      <c r="A2494" s="288"/>
      <c r="B2494" s="354"/>
      <c r="C2494" s="361"/>
      <c r="D2494" s="1362" t="s">
        <v>494</v>
      </c>
      <c r="E2494" s="1363"/>
      <c r="F2494" s="1363"/>
      <c r="G2494" s="1363"/>
      <c r="H2494" s="1363"/>
      <c r="I2494" s="1364"/>
      <c r="J2494" s="1365">
        <f>R2493/J2493</f>
        <v>0</v>
      </c>
      <c r="K2494" s="1366"/>
      <c r="L2494" s="1369"/>
      <c r="M2494" s="1371" t="s">
        <v>495</v>
      </c>
      <c r="N2494" s="1372"/>
      <c r="O2494" s="1372"/>
      <c r="P2494" s="1372"/>
      <c r="Q2494" s="1373"/>
      <c r="R2494" s="362">
        <f>VLOOKUP(A2495,'11 - FINANCEIRO'!_xlnm.Print_Area,8,FALSE)</f>
        <v>0</v>
      </c>
      <c r="S2494" s="363" t="str">
        <f>L2493</f>
        <v>m³</v>
      </c>
      <c r="T2494" s="359"/>
      <c r="U2494" s="360"/>
      <c r="V2494" s="291">
        <f t="shared" ca="1" si="785"/>
        <v>0</v>
      </c>
      <c r="W2494" s="256">
        <f t="shared" ca="1" si="778"/>
        <v>2</v>
      </c>
      <c r="X2494" s="256">
        <f t="shared" ca="1" si="782"/>
        <v>1</v>
      </c>
      <c r="Y2494" s="256"/>
      <c r="Z2494" s="256"/>
      <c r="AA2494" s="292"/>
      <c r="AB2494" s="292"/>
      <c r="AC2494" s="292"/>
    </row>
    <row r="2495" spans="1:29" s="293" customFormat="1" ht="15.75" hidden="1" customHeight="1" x14ac:dyDescent="0.2">
      <c r="A2495" s="288" t="s">
        <v>116</v>
      </c>
      <c r="B2495" s="364"/>
      <c r="C2495" s="365"/>
      <c r="D2495" s="1354"/>
      <c r="E2495" s="1355"/>
      <c r="F2495" s="1355"/>
      <c r="G2495" s="1355"/>
      <c r="H2495" s="1355"/>
      <c r="I2495" s="1356"/>
      <c r="J2495" s="1367"/>
      <c r="K2495" s="1368"/>
      <c r="L2495" s="1370"/>
      <c r="M2495" s="1371" t="s">
        <v>496</v>
      </c>
      <c r="N2495" s="1372"/>
      <c r="O2495" s="1372"/>
      <c r="P2495" s="1372"/>
      <c r="Q2495" s="1373"/>
      <c r="R2495" s="362">
        <f>R2493-R2494</f>
        <v>0</v>
      </c>
      <c r="S2495" s="363" t="str">
        <f>L2493</f>
        <v>m³</v>
      </c>
      <c r="T2495" s="366"/>
      <c r="U2495" s="367"/>
      <c r="V2495" s="291">
        <f t="shared" ca="1" si="785"/>
        <v>0</v>
      </c>
      <c r="W2495" s="256">
        <f t="shared" ca="1" si="778"/>
        <v>2</v>
      </c>
      <c r="X2495" s="256">
        <f t="shared" ca="1" si="782"/>
        <v>1</v>
      </c>
      <c r="Y2495" s="256"/>
      <c r="Z2495" s="256"/>
      <c r="AA2495" s="292"/>
      <c r="AB2495" s="292"/>
      <c r="AC2495" s="292"/>
    </row>
    <row r="2496" spans="1:29" s="111" customFormat="1" ht="15.75" hidden="1" x14ac:dyDescent="0.2">
      <c r="A2496" s="288"/>
      <c r="B2496" s="368"/>
      <c r="C2496" s="365"/>
      <c r="D2496" s="369"/>
      <c r="E2496" s="370"/>
      <c r="F2496" s="369"/>
      <c r="G2496" s="369"/>
      <c r="H2496" s="369"/>
      <c r="I2496" s="369"/>
      <c r="J2496" s="371"/>
      <c r="K2496" s="372"/>
      <c r="L2496" s="373"/>
      <c r="M2496" s="374"/>
      <c r="N2496" s="374"/>
      <c r="O2496" s="374"/>
      <c r="P2496" s="374"/>
      <c r="Q2496" s="374"/>
      <c r="R2496" s="375"/>
      <c r="S2496" s="376"/>
      <c r="T2496" s="377"/>
      <c r="U2496" s="378"/>
      <c r="V2496" s="379">
        <f ca="1">SUM(V2487:V2495)</f>
        <v>0</v>
      </c>
      <c r="W2496" s="256">
        <f t="shared" ca="1" si="778"/>
        <v>1</v>
      </c>
      <c r="X2496" s="256">
        <f t="shared" ca="1" si="782"/>
        <v>0</v>
      </c>
      <c r="Y2496" s="250"/>
      <c r="Z2496" s="250"/>
    </row>
    <row r="2497" spans="1:29" s="293" customFormat="1" ht="15.75" hidden="1" customHeight="1" x14ac:dyDescent="0.25">
      <c r="A2497" s="288"/>
      <c r="B2497" s="1374" t="str">
        <f>VLOOKUP(A2505,'11 - FINANCEIRO'!_xlnm.Print_Area,1,FALSE)</f>
        <v>3.2.8</v>
      </c>
      <c r="C2497" s="1376" t="str">
        <f>VLOOKUP(A2505,'11 - FINANCEIRO'!_xlnm.Print_Area,3,FALSE)</f>
        <v>Corpo BSTC Diâmetro 0,30 M C.S. Pb Inclusive Escavação, Reaterro E Transporte Do Tubo</v>
      </c>
      <c r="D2497" s="1378" t="s">
        <v>477</v>
      </c>
      <c r="E2497" s="1379"/>
      <c r="F2497" s="1379"/>
      <c r="G2497" s="1379"/>
      <c r="H2497" s="1379"/>
      <c r="I2497" s="1380"/>
      <c r="J2497" s="1338" t="s">
        <v>478</v>
      </c>
      <c r="K2497" s="1338" t="s">
        <v>479</v>
      </c>
      <c r="L2497" s="1338" t="s">
        <v>480</v>
      </c>
      <c r="M2497" s="1338" t="s">
        <v>481</v>
      </c>
      <c r="N2497" s="1338" t="s">
        <v>482</v>
      </c>
      <c r="O2497" s="1338" t="s">
        <v>483</v>
      </c>
      <c r="P2497" s="290" t="s">
        <v>484</v>
      </c>
      <c r="Q2497" s="1338" t="s">
        <v>485</v>
      </c>
      <c r="R2497" s="1336" t="s">
        <v>296</v>
      </c>
      <c r="S2497" s="1338" t="s">
        <v>486</v>
      </c>
      <c r="T2497" s="1338" t="s">
        <v>487</v>
      </c>
      <c r="U2497" s="1340" t="s">
        <v>488</v>
      </c>
      <c r="V2497" s="291">
        <f t="shared" ref="V2497:V2505" ca="1" si="786">IF(OFFSET(V2497,1,1)=1,OFFSET(V2497,0,-4),OFFSET(V2497,1,0))</f>
        <v>0</v>
      </c>
      <c r="W2497" s="256">
        <f t="shared" ca="1" si="778"/>
        <v>2</v>
      </c>
      <c r="X2497" s="256">
        <f t="shared" ca="1" si="782"/>
        <v>1</v>
      </c>
      <c r="Y2497" s="256"/>
      <c r="Z2497" s="256"/>
      <c r="AA2497" s="292"/>
      <c r="AB2497" s="292"/>
      <c r="AC2497" s="292"/>
    </row>
    <row r="2498" spans="1:29" s="337" customFormat="1" ht="15.75" hidden="1" x14ac:dyDescent="0.2">
      <c r="A2498" s="288"/>
      <c r="B2498" s="1375"/>
      <c r="C2498" s="1377" t="e">
        <f>VLOOKUP(LEFT(#REF!,5),'11 - FINANCEIRO'!_xlnm.Print_Area,2,FALSE)</f>
        <v>#REF!</v>
      </c>
      <c r="D2498" s="1342" t="s">
        <v>489</v>
      </c>
      <c r="E2498" s="1343"/>
      <c r="F2498" s="1344"/>
      <c r="G2498" s="1345" t="s">
        <v>490</v>
      </c>
      <c r="H2498" s="1346"/>
      <c r="I2498" s="1347"/>
      <c r="J2498" s="1339"/>
      <c r="K2498" s="1339"/>
      <c r="L2498" s="1339"/>
      <c r="M2498" s="1339"/>
      <c r="N2498" s="1339"/>
      <c r="O2498" s="1339"/>
      <c r="P2498" s="295" t="s">
        <v>491</v>
      </c>
      <c r="Q2498" s="1339"/>
      <c r="R2498" s="1337"/>
      <c r="S2498" s="1339"/>
      <c r="T2498" s="1339"/>
      <c r="U2498" s="1341"/>
      <c r="V2498" s="291">
        <f t="shared" ca="1" si="786"/>
        <v>0</v>
      </c>
      <c r="W2498" s="256">
        <f t="shared" ca="1" si="778"/>
        <v>2</v>
      </c>
      <c r="X2498" s="256">
        <f t="shared" ca="1" si="782"/>
        <v>1</v>
      </c>
      <c r="Y2498" s="336"/>
      <c r="Z2498" s="336"/>
    </row>
    <row r="2499" spans="1:29" s="337" customFormat="1" ht="15.75" hidden="1" x14ac:dyDescent="0.2">
      <c r="A2499" s="288"/>
      <c r="B2499" s="296"/>
      <c r="C2499" s="297"/>
      <c r="D2499" s="298"/>
      <c r="E2499" s="299"/>
      <c r="F2499" s="300"/>
      <c r="G2499" s="301"/>
      <c r="H2499" s="302"/>
      <c r="I2499" s="303"/>
      <c r="J2499" s="304"/>
      <c r="K2499" s="304"/>
      <c r="L2499" s="304"/>
      <c r="M2499" s="304"/>
      <c r="N2499" s="304"/>
      <c r="O2499" s="304"/>
      <c r="P2499" s="306"/>
      <c r="Q2499" s="304"/>
      <c r="R2499" s="307"/>
      <c r="S2499" s="304"/>
      <c r="T2499" s="309"/>
      <c r="U2499" s="310"/>
      <c r="V2499" s="291">
        <f t="shared" ca="1" si="786"/>
        <v>0</v>
      </c>
      <c r="W2499" s="256">
        <f t="shared" ca="1" si="778"/>
        <v>0</v>
      </c>
      <c r="X2499" s="256">
        <f t="shared" ca="1" si="782"/>
        <v>1</v>
      </c>
      <c r="Y2499" s="336"/>
      <c r="Z2499" s="336"/>
    </row>
    <row r="2500" spans="1:29" s="111" customFormat="1" ht="15.75" hidden="1" x14ac:dyDescent="0.2">
      <c r="A2500" s="288"/>
      <c r="B2500" s="311"/>
      <c r="C2500" s="312"/>
      <c r="D2500" s="313"/>
      <c r="E2500" s="314"/>
      <c r="F2500" s="315"/>
      <c r="G2500" s="380"/>
      <c r="H2500" s="316"/>
      <c r="I2500" s="381"/>
      <c r="J2500" s="317"/>
      <c r="K2500" s="313"/>
      <c r="L2500" s="317"/>
      <c r="M2500" s="315"/>
      <c r="N2500" s="314"/>
      <c r="O2500" s="313"/>
      <c r="P2500" s="318"/>
      <c r="Q2500" s="315"/>
      <c r="R2500" s="319"/>
      <c r="S2500" s="317"/>
      <c r="T2500" s="320"/>
      <c r="U2500" s="321"/>
      <c r="V2500" s="291">
        <f t="shared" ca="1" si="786"/>
        <v>0</v>
      </c>
      <c r="W2500" s="256">
        <f t="shared" ref="W2500:W2563" ca="1" si="787">IF(LEFT(_xlfn.FORMULATEXT(V2500),3)="=SO",1,IF(COUNTA(A2500:U2500)=0,0,2))</f>
        <v>0</v>
      </c>
      <c r="X2500" s="256">
        <f t="shared" ca="1" si="782"/>
        <v>1</v>
      </c>
      <c r="Y2500" s="250"/>
      <c r="Z2500" s="250"/>
    </row>
    <row r="2501" spans="1:29" s="111" customFormat="1" ht="15" hidden="1" x14ac:dyDescent="0.2">
      <c r="A2501" s="288"/>
      <c r="B2501" s="322"/>
      <c r="C2501" s="382"/>
      <c r="D2501" s="324"/>
      <c r="E2501" s="325"/>
      <c r="F2501" s="326"/>
      <c r="G2501" s="324"/>
      <c r="H2501" s="325"/>
      <c r="I2501" s="326"/>
      <c r="J2501" s="317"/>
      <c r="K2501" s="328"/>
      <c r="L2501" s="328"/>
      <c r="M2501" s="328"/>
      <c r="N2501" s="328"/>
      <c r="O2501" s="334"/>
      <c r="P2501" s="328"/>
      <c r="Q2501" s="334"/>
      <c r="R2501" s="333"/>
      <c r="S2501" s="331"/>
      <c r="T2501" s="320"/>
      <c r="U2501" s="335"/>
      <c r="V2501" s="291">
        <f t="shared" ca="1" si="786"/>
        <v>0</v>
      </c>
      <c r="W2501" s="256">
        <f t="shared" ca="1" si="787"/>
        <v>0</v>
      </c>
      <c r="X2501" s="256">
        <f t="shared" ca="1" si="782"/>
        <v>1</v>
      </c>
      <c r="Y2501" s="250"/>
      <c r="Z2501" s="250"/>
    </row>
    <row r="2502" spans="1:29" s="111" customFormat="1" ht="15" hidden="1" x14ac:dyDescent="0.2">
      <c r="A2502" s="288"/>
      <c r="B2502" s="338"/>
      <c r="C2502" s="339"/>
      <c r="D2502" s="340"/>
      <c r="E2502" s="341"/>
      <c r="F2502" s="342"/>
      <c r="G2502" s="340"/>
      <c r="H2502" s="341"/>
      <c r="I2502" s="342"/>
      <c r="J2502" s="343"/>
      <c r="K2502" s="344"/>
      <c r="L2502" s="345"/>
      <c r="M2502" s="346"/>
      <c r="N2502" s="347"/>
      <c r="O2502" s="348"/>
      <c r="P2502" s="345"/>
      <c r="Q2502" s="349"/>
      <c r="R2502" s="350"/>
      <c r="S2502" s="351"/>
      <c r="T2502" s="352"/>
      <c r="U2502" s="353"/>
      <c r="V2502" s="291">
        <f t="shared" ca="1" si="786"/>
        <v>0</v>
      </c>
      <c r="W2502" s="256">
        <f t="shared" ca="1" si="787"/>
        <v>0</v>
      </c>
      <c r="X2502" s="256">
        <f t="shared" ca="1" si="782"/>
        <v>1</v>
      </c>
      <c r="Y2502" s="250"/>
      <c r="Z2502" s="250"/>
    </row>
    <row r="2503" spans="1:29" s="111" customFormat="1" ht="15.75" hidden="1" customHeight="1" x14ac:dyDescent="0.2">
      <c r="A2503" s="288"/>
      <c r="B2503" s="354"/>
      <c r="C2503" s="355"/>
      <c r="D2503" s="1354" t="s">
        <v>492</v>
      </c>
      <c r="E2503" s="1355"/>
      <c r="F2503" s="1355"/>
      <c r="G2503" s="1355"/>
      <c r="H2503" s="1355"/>
      <c r="I2503" s="1356"/>
      <c r="J2503" s="1357">
        <f>VLOOKUP(A2505,'11 - FINANCEIRO'!_xlnm.Print_Area,6,FALSE)</f>
        <v>3.5</v>
      </c>
      <c r="K2503" s="1358"/>
      <c r="L2503" s="356" t="str">
        <f>VLOOKUP(A2505,'11 - FINANCEIRO'!_xlnm.Print_Area,4,FALSE)</f>
        <v>m</v>
      </c>
      <c r="M2503" s="1359" t="s">
        <v>493</v>
      </c>
      <c r="N2503" s="1360"/>
      <c r="O2503" s="1360"/>
      <c r="P2503" s="1360"/>
      <c r="Q2503" s="1361"/>
      <c r="R2503" s="357">
        <f>TRUNC(SUM(R2499:R2502),3)</f>
        <v>0</v>
      </c>
      <c r="S2503" s="358" t="str">
        <f>L2503</f>
        <v>m</v>
      </c>
      <c r="T2503" s="359"/>
      <c r="U2503" s="360"/>
      <c r="V2503" s="291">
        <f t="shared" ca="1" si="786"/>
        <v>0</v>
      </c>
      <c r="W2503" s="256">
        <f t="shared" ca="1" si="787"/>
        <v>2</v>
      </c>
      <c r="X2503" s="256">
        <f t="shared" ca="1" si="782"/>
        <v>1</v>
      </c>
      <c r="Y2503" s="250"/>
      <c r="Z2503" s="250"/>
    </row>
    <row r="2504" spans="1:29" s="293" customFormat="1" ht="15.75" hidden="1" customHeight="1" x14ac:dyDescent="0.2">
      <c r="A2504" s="288"/>
      <c r="B2504" s="354"/>
      <c r="C2504" s="361"/>
      <c r="D2504" s="1362" t="s">
        <v>494</v>
      </c>
      <c r="E2504" s="1363"/>
      <c r="F2504" s="1363"/>
      <c r="G2504" s="1363"/>
      <c r="H2504" s="1363"/>
      <c r="I2504" s="1364"/>
      <c r="J2504" s="1365">
        <f>R2503/J2503</f>
        <v>0</v>
      </c>
      <c r="K2504" s="1366"/>
      <c r="L2504" s="1369"/>
      <c r="M2504" s="1371" t="s">
        <v>495</v>
      </c>
      <c r="N2504" s="1372"/>
      <c r="O2504" s="1372"/>
      <c r="P2504" s="1372"/>
      <c r="Q2504" s="1373"/>
      <c r="R2504" s="362">
        <f>VLOOKUP(A2505,'11 - FINANCEIRO'!_xlnm.Print_Area,8,FALSE)</f>
        <v>0</v>
      </c>
      <c r="S2504" s="363" t="str">
        <f>L2503</f>
        <v>m</v>
      </c>
      <c r="T2504" s="359"/>
      <c r="U2504" s="360"/>
      <c r="V2504" s="291">
        <f t="shared" ca="1" si="786"/>
        <v>0</v>
      </c>
      <c r="W2504" s="256">
        <f t="shared" ca="1" si="787"/>
        <v>2</v>
      </c>
      <c r="X2504" s="256">
        <f t="shared" ca="1" si="782"/>
        <v>1</v>
      </c>
      <c r="Y2504" s="256"/>
      <c r="Z2504" s="256"/>
      <c r="AA2504" s="292"/>
      <c r="AB2504" s="292"/>
      <c r="AC2504" s="292"/>
    </row>
    <row r="2505" spans="1:29" s="293" customFormat="1" ht="15.75" hidden="1" customHeight="1" x14ac:dyDescent="0.2">
      <c r="A2505" s="288" t="s">
        <v>117</v>
      </c>
      <c r="B2505" s="364"/>
      <c r="C2505" s="365"/>
      <c r="D2505" s="1354"/>
      <c r="E2505" s="1355"/>
      <c r="F2505" s="1355"/>
      <c r="G2505" s="1355"/>
      <c r="H2505" s="1355"/>
      <c r="I2505" s="1356"/>
      <c r="J2505" s="1367"/>
      <c r="K2505" s="1368"/>
      <c r="L2505" s="1370"/>
      <c r="M2505" s="1371" t="s">
        <v>496</v>
      </c>
      <c r="N2505" s="1372"/>
      <c r="O2505" s="1372"/>
      <c r="P2505" s="1372"/>
      <c r="Q2505" s="1373"/>
      <c r="R2505" s="362">
        <f>R2503-R2504</f>
        <v>0</v>
      </c>
      <c r="S2505" s="363" t="str">
        <f>L2503</f>
        <v>m</v>
      </c>
      <c r="T2505" s="366"/>
      <c r="U2505" s="367"/>
      <c r="V2505" s="291">
        <f t="shared" ca="1" si="786"/>
        <v>0</v>
      </c>
      <c r="W2505" s="256">
        <f t="shared" ca="1" si="787"/>
        <v>2</v>
      </c>
      <c r="X2505" s="256">
        <f t="shared" ca="1" si="782"/>
        <v>1</v>
      </c>
      <c r="Y2505" s="256"/>
      <c r="Z2505" s="256"/>
      <c r="AA2505" s="292"/>
      <c r="AB2505" s="292"/>
      <c r="AC2505" s="292"/>
    </row>
    <row r="2506" spans="1:29" s="111" customFormat="1" ht="15.75" hidden="1" x14ac:dyDescent="0.2">
      <c r="A2506" s="288"/>
      <c r="B2506" s="368"/>
      <c r="C2506" s="365"/>
      <c r="D2506" s="369"/>
      <c r="E2506" s="370"/>
      <c r="F2506" s="369"/>
      <c r="G2506" s="369"/>
      <c r="H2506" s="369"/>
      <c r="I2506" s="369"/>
      <c r="J2506" s="371"/>
      <c r="K2506" s="372"/>
      <c r="L2506" s="373"/>
      <c r="M2506" s="374"/>
      <c r="N2506" s="374"/>
      <c r="O2506" s="374"/>
      <c r="P2506" s="374"/>
      <c r="Q2506" s="374"/>
      <c r="R2506" s="375"/>
      <c r="S2506" s="376"/>
      <c r="T2506" s="377"/>
      <c r="U2506" s="378"/>
      <c r="V2506" s="379">
        <f ca="1">SUM(V2497:V2505)</f>
        <v>0</v>
      </c>
      <c r="W2506" s="256">
        <f t="shared" ca="1" si="787"/>
        <v>1</v>
      </c>
      <c r="X2506" s="256">
        <f t="shared" ca="1" si="782"/>
        <v>0</v>
      </c>
      <c r="Y2506" s="250"/>
      <c r="Z2506" s="250"/>
    </row>
    <row r="2507" spans="1:29" s="293" customFormat="1" ht="15.75" hidden="1" customHeight="1" x14ac:dyDescent="0.25">
      <c r="A2507" s="288"/>
      <c r="B2507" s="1374" t="str">
        <f>VLOOKUP(A2515,'11 - FINANCEIRO'!_xlnm.Print_Area,1,FALSE)</f>
        <v>3.2.9</v>
      </c>
      <c r="C2507" s="1376" t="str">
        <f>VLOOKUP(A2515,'11 - FINANCEIRO'!_xlnm.Print_Area,3,FALSE)</f>
        <v>Corpo BSTC Diâmetro 0,40 M C.S. Pb Inclusive Escavação, Reaterro E Transporte Do Tubo</v>
      </c>
      <c r="D2507" s="1378" t="s">
        <v>477</v>
      </c>
      <c r="E2507" s="1379"/>
      <c r="F2507" s="1379"/>
      <c r="G2507" s="1379"/>
      <c r="H2507" s="1379"/>
      <c r="I2507" s="1380"/>
      <c r="J2507" s="1338" t="s">
        <v>478</v>
      </c>
      <c r="K2507" s="1338" t="s">
        <v>479</v>
      </c>
      <c r="L2507" s="1338" t="s">
        <v>480</v>
      </c>
      <c r="M2507" s="1338" t="s">
        <v>481</v>
      </c>
      <c r="N2507" s="1338" t="s">
        <v>482</v>
      </c>
      <c r="O2507" s="1338" t="s">
        <v>483</v>
      </c>
      <c r="P2507" s="290" t="s">
        <v>484</v>
      </c>
      <c r="Q2507" s="1338" t="s">
        <v>485</v>
      </c>
      <c r="R2507" s="1336" t="s">
        <v>296</v>
      </c>
      <c r="S2507" s="1338" t="s">
        <v>486</v>
      </c>
      <c r="T2507" s="1338" t="s">
        <v>487</v>
      </c>
      <c r="U2507" s="1340" t="s">
        <v>488</v>
      </c>
      <c r="V2507" s="291">
        <f t="shared" ref="V2507:V2515" ca="1" si="788">IF(OFFSET(V2507,1,1)=1,OFFSET(V2507,0,-4),OFFSET(V2507,1,0))</f>
        <v>0</v>
      </c>
      <c r="W2507" s="256">
        <f t="shared" ca="1" si="787"/>
        <v>2</v>
      </c>
      <c r="X2507" s="256">
        <f t="shared" ca="1" si="782"/>
        <v>1</v>
      </c>
      <c r="Y2507" s="256"/>
      <c r="Z2507" s="256"/>
      <c r="AA2507" s="292"/>
      <c r="AB2507" s="292"/>
      <c r="AC2507" s="292"/>
    </row>
    <row r="2508" spans="1:29" s="337" customFormat="1" ht="15.75" hidden="1" x14ac:dyDescent="0.2">
      <c r="A2508" s="288"/>
      <c r="B2508" s="1375"/>
      <c r="C2508" s="1377" t="e">
        <f>VLOOKUP(LEFT(#REF!,5),'11 - FINANCEIRO'!_xlnm.Print_Area,2,FALSE)</f>
        <v>#REF!</v>
      </c>
      <c r="D2508" s="1342" t="s">
        <v>489</v>
      </c>
      <c r="E2508" s="1343"/>
      <c r="F2508" s="1344"/>
      <c r="G2508" s="1345" t="s">
        <v>490</v>
      </c>
      <c r="H2508" s="1346"/>
      <c r="I2508" s="1347"/>
      <c r="J2508" s="1339"/>
      <c r="K2508" s="1339"/>
      <c r="L2508" s="1339"/>
      <c r="M2508" s="1339"/>
      <c r="N2508" s="1339"/>
      <c r="O2508" s="1339"/>
      <c r="P2508" s="295" t="s">
        <v>491</v>
      </c>
      <c r="Q2508" s="1339"/>
      <c r="R2508" s="1337"/>
      <c r="S2508" s="1339"/>
      <c r="T2508" s="1339"/>
      <c r="U2508" s="1341"/>
      <c r="V2508" s="291">
        <f t="shared" ca="1" si="788"/>
        <v>0</v>
      </c>
      <c r="W2508" s="256">
        <f t="shared" ca="1" si="787"/>
        <v>2</v>
      </c>
      <c r="X2508" s="256">
        <f t="shared" ca="1" si="782"/>
        <v>1</v>
      </c>
      <c r="Y2508" s="336"/>
      <c r="Z2508" s="336"/>
    </row>
    <row r="2509" spans="1:29" s="337" customFormat="1" ht="15.75" hidden="1" x14ac:dyDescent="0.2">
      <c r="A2509" s="288"/>
      <c r="B2509" s="296"/>
      <c r="C2509" s="297" t="s">
        <v>619</v>
      </c>
      <c r="D2509" s="298">
        <v>8</v>
      </c>
      <c r="E2509" s="299" t="s">
        <v>518</v>
      </c>
      <c r="F2509" s="300">
        <v>19.2</v>
      </c>
      <c r="G2509" s="301"/>
      <c r="H2509" s="302"/>
      <c r="I2509" s="303"/>
      <c r="J2509" s="304" t="s">
        <v>621</v>
      </c>
      <c r="K2509" s="416">
        <v>4</v>
      </c>
      <c r="L2509" s="304"/>
      <c r="M2509" s="304"/>
      <c r="N2509" s="304"/>
      <c r="O2509" s="304"/>
      <c r="P2509" s="306"/>
      <c r="Q2509" s="304"/>
      <c r="R2509" s="307">
        <v>1</v>
      </c>
      <c r="S2509" s="308" t="str">
        <f>$S$2513</f>
        <v>m</v>
      </c>
      <c r="T2509" s="309">
        <v>5</v>
      </c>
      <c r="U2509" s="310"/>
      <c r="V2509" s="291">
        <f t="shared" ca="1" si="788"/>
        <v>0</v>
      </c>
      <c r="W2509" s="256">
        <f t="shared" ca="1" si="787"/>
        <v>2</v>
      </c>
      <c r="X2509" s="256">
        <f t="shared" ca="1" si="782"/>
        <v>1</v>
      </c>
      <c r="Y2509" s="336"/>
      <c r="Z2509" s="336"/>
    </row>
    <row r="2510" spans="1:29" s="111" customFormat="1" ht="15.75" hidden="1" x14ac:dyDescent="0.2">
      <c r="A2510" s="288"/>
      <c r="B2510" s="311"/>
      <c r="C2510" s="312"/>
      <c r="D2510" s="313"/>
      <c r="E2510" s="314"/>
      <c r="F2510" s="315"/>
      <c r="G2510" s="380"/>
      <c r="H2510" s="316"/>
      <c r="I2510" s="381"/>
      <c r="J2510" s="317"/>
      <c r="K2510" s="313"/>
      <c r="L2510" s="317"/>
      <c r="M2510" s="315"/>
      <c r="N2510" s="314"/>
      <c r="O2510" s="313"/>
      <c r="P2510" s="318"/>
      <c r="Q2510" s="315"/>
      <c r="R2510" s="319"/>
      <c r="S2510" s="317"/>
      <c r="T2510" s="320"/>
      <c r="U2510" s="321"/>
      <c r="V2510" s="291">
        <f t="shared" ca="1" si="788"/>
        <v>0</v>
      </c>
      <c r="W2510" s="256">
        <f t="shared" ca="1" si="787"/>
        <v>0</v>
      </c>
      <c r="X2510" s="256">
        <f t="shared" ca="1" si="782"/>
        <v>1</v>
      </c>
      <c r="Y2510" s="250"/>
      <c r="Z2510" s="250"/>
    </row>
    <row r="2511" spans="1:29" s="111" customFormat="1" ht="15" hidden="1" x14ac:dyDescent="0.2">
      <c r="A2511" s="288"/>
      <c r="B2511" s="338"/>
      <c r="C2511" s="339"/>
      <c r="D2511" s="340"/>
      <c r="E2511" s="341"/>
      <c r="F2511" s="342"/>
      <c r="G2511" s="340"/>
      <c r="H2511" s="341"/>
      <c r="I2511" s="342"/>
      <c r="J2511" s="343"/>
      <c r="K2511" s="345"/>
      <c r="L2511" s="345"/>
      <c r="M2511" s="345"/>
      <c r="N2511" s="345"/>
      <c r="O2511" s="351"/>
      <c r="P2511" s="345"/>
      <c r="Q2511" s="351"/>
      <c r="R2511" s="350"/>
      <c r="S2511" s="348"/>
      <c r="T2511" s="352"/>
      <c r="U2511" s="353"/>
      <c r="V2511" s="291">
        <f t="shared" ca="1" si="788"/>
        <v>0</v>
      </c>
      <c r="W2511" s="256">
        <f t="shared" ca="1" si="787"/>
        <v>0</v>
      </c>
      <c r="X2511" s="256">
        <f t="shared" ca="1" si="782"/>
        <v>1</v>
      </c>
      <c r="Y2511" s="250"/>
      <c r="Z2511" s="250"/>
    </row>
    <row r="2512" spans="1:29" s="111" customFormat="1" ht="15.75" hidden="1" x14ac:dyDescent="0.2">
      <c r="A2512" s="288"/>
      <c r="B2512" s="1006"/>
      <c r="C2512" s="1007" t="s">
        <v>619</v>
      </c>
      <c r="D2512" s="1008">
        <v>6</v>
      </c>
      <c r="E2512" s="1009" t="s">
        <v>518</v>
      </c>
      <c r="F2512" s="1010">
        <v>11</v>
      </c>
      <c r="G2512" s="1011"/>
      <c r="H2512" s="1012"/>
      <c r="I2512" s="1013"/>
      <c r="J2512" s="1014" t="s">
        <v>621</v>
      </c>
      <c r="K2512" s="1015">
        <v>4</v>
      </c>
      <c r="L2512" s="1014"/>
      <c r="M2512" s="1016"/>
      <c r="N2512" s="1009"/>
      <c r="O2512" s="1017"/>
      <c r="P2512" s="1018"/>
      <c r="Q2512" s="1016"/>
      <c r="R2512" s="1019">
        <v>3</v>
      </c>
      <c r="S2512" s="1020" t="str">
        <f>$S$1967</f>
        <v>m</v>
      </c>
      <c r="T2512" s="1021">
        <v>5</v>
      </c>
      <c r="U2512" s="1022"/>
      <c r="V2512" s="291">
        <f t="shared" ca="1" si="788"/>
        <v>0</v>
      </c>
      <c r="W2512" s="256">
        <f t="shared" ca="1" si="787"/>
        <v>2</v>
      </c>
      <c r="X2512" s="256">
        <f t="shared" ca="1" si="782"/>
        <v>1</v>
      </c>
      <c r="Y2512" s="250"/>
      <c r="Z2512" s="250"/>
    </row>
    <row r="2513" spans="1:29" s="111" customFormat="1" ht="15.75" hidden="1" customHeight="1" x14ac:dyDescent="0.2">
      <c r="A2513" s="288"/>
      <c r="B2513" s="485"/>
      <c r="C2513" s="486"/>
      <c r="D2513" s="1397" t="s">
        <v>492</v>
      </c>
      <c r="E2513" s="1398"/>
      <c r="F2513" s="1398"/>
      <c r="G2513" s="1398"/>
      <c r="H2513" s="1398"/>
      <c r="I2513" s="1399"/>
      <c r="J2513" s="1400">
        <f>VLOOKUP(A2515,'11 - FINANCEIRO'!_xlnm.Print_Area,6,FALSE)</f>
        <v>1</v>
      </c>
      <c r="K2513" s="1401"/>
      <c r="L2513" s="487" t="str">
        <f>VLOOKUP(A2515,'11 - FINANCEIRO'!_xlnm.Print_Area,4,FALSE)</f>
        <v>m</v>
      </c>
      <c r="M2513" s="1371" t="s">
        <v>493</v>
      </c>
      <c r="N2513" s="1372"/>
      <c r="O2513" s="1372"/>
      <c r="P2513" s="1372"/>
      <c r="Q2513" s="1373"/>
      <c r="R2513" s="362">
        <f>TRUNC(SUM(R2509:R2511),3)</f>
        <v>1</v>
      </c>
      <c r="S2513" s="488" t="str">
        <f>L2513</f>
        <v>m</v>
      </c>
      <c r="T2513" s="489"/>
      <c r="U2513" s="490"/>
      <c r="V2513" s="291">
        <f t="shared" ca="1" si="788"/>
        <v>0</v>
      </c>
      <c r="W2513" s="256">
        <f t="shared" ca="1" si="787"/>
        <v>2</v>
      </c>
      <c r="X2513" s="256">
        <f t="shared" ca="1" si="782"/>
        <v>1</v>
      </c>
      <c r="Y2513" s="250"/>
      <c r="Z2513" s="250"/>
    </row>
    <row r="2514" spans="1:29" s="293" customFormat="1" ht="15.75" hidden="1" customHeight="1" x14ac:dyDescent="0.2">
      <c r="A2514" s="288"/>
      <c r="B2514" s="354"/>
      <c r="C2514" s="361"/>
      <c r="D2514" s="1362" t="s">
        <v>494</v>
      </c>
      <c r="E2514" s="1363"/>
      <c r="F2514" s="1363"/>
      <c r="G2514" s="1363"/>
      <c r="H2514" s="1363"/>
      <c r="I2514" s="1364"/>
      <c r="J2514" s="1365">
        <f>R2513/J2513</f>
        <v>1</v>
      </c>
      <c r="K2514" s="1366"/>
      <c r="L2514" s="1369"/>
      <c r="M2514" s="1371" t="s">
        <v>495</v>
      </c>
      <c r="N2514" s="1372"/>
      <c r="O2514" s="1372"/>
      <c r="P2514" s="1372"/>
      <c r="Q2514" s="1373"/>
      <c r="R2514" s="362">
        <f>VLOOKUP(A2515,'11 - FINANCEIRO'!_xlnm.Print_Area,8,FALSE)</f>
        <v>1</v>
      </c>
      <c r="S2514" s="363" t="str">
        <f>L2513</f>
        <v>m</v>
      </c>
      <c r="T2514" s="359"/>
      <c r="U2514" s="360"/>
      <c r="V2514" s="291">
        <f t="shared" ca="1" si="788"/>
        <v>0</v>
      </c>
      <c r="W2514" s="256">
        <f t="shared" ca="1" si="787"/>
        <v>2</v>
      </c>
      <c r="X2514" s="256">
        <f t="shared" ca="1" si="782"/>
        <v>1</v>
      </c>
      <c r="Y2514" s="256"/>
      <c r="Z2514" s="256"/>
      <c r="AA2514" s="292"/>
      <c r="AB2514" s="292"/>
      <c r="AC2514" s="292"/>
    </row>
    <row r="2515" spans="1:29" s="293" customFormat="1" ht="15.75" hidden="1" customHeight="1" x14ac:dyDescent="0.2">
      <c r="A2515" s="288" t="s">
        <v>118</v>
      </c>
      <c r="B2515" s="364"/>
      <c r="C2515" s="365"/>
      <c r="D2515" s="1354"/>
      <c r="E2515" s="1355"/>
      <c r="F2515" s="1355"/>
      <c r="G2515" s="1355"/>
      <c r="H2515" s="1355"/>
      <c r="I2515" s="1356"/>
      <c r="J2515" s="1367"/>
      <c r="K2515" s="1368"/>
      <c r="L2515" s="1370"/>
      <c r="M2515" s="1371" t="s">
        <v>496</v>
      </c>
      <c r="N2515" s="1372"/>
      <c r="O2515" s="1372"/>
      <c r="P2515" s="1372"/>
      <c r="Q2515" s="1373"/>
      <c r="R2515" s="362">
        <f>R2513-R2514</f>
        <v>0</v>
      </c>
      <c r="S2515" s="363" t="str">
        <f>L2513</f>
        <v>m</v>
      </c>
      <c r="T2515" s="366"/>
      <c r="U2515" s="367"/>
      <c r="V2515" s="291">
        <f t="shared" ca="1" si="788"/>
        <v>0</v>
      </c>
      <c r="W2515" s="256">
        <f t="shared" ca="1" si="787"/>
        <v>2</v>
      </c>
      <c r="X2515" s="256">
        <f t="shared" ca="1" si="782"/>
        <v>1</v>
      </c>
      <c r="Y2515" s="256"/>
      <c r="Z2515" s="256"/>
      <c r="AA2515" s="292"/>
      <c r="AB2515" s="292"/>
      <c r="AC2515" s="292"/>
    </row>
    <row r="2516" spans="1:29" s="111" customFormat="1" ht="15.75" hidden="1" x14ac:dyDescent="0.2">
      <c r="A2516" s="288"/>
      <c r="B2516" s="368"/>
      <c r="C2516" s="365"/>
      <c r="D2516" s="369"/>
      <c r="E2516" s="370"/>
      <c r="F2516" s="369"/>
      <c r="G2516" s="369"/>
      <c r="H2516" s="369"/>
      <c r="I2516" s="369"/>
      <c r="J2516" s="371"/>
      <c r="K2516" s="372"/>
      <c r="L2516" s="373"/>
      <c r="M2516" s="374"/>
      <c r="N2516" s="374"/>
      <c r="O2516" s="374"/>
      <c r="P2516" s="374"/>
      <c r="Q2516" s="374"/>
      <c r="R2516" s="375"/>
      <c r="S2516" s="376"/>
      <c r="T2516" s="377"/>
      <c r="U2516" s="378"/>
      <c r="V2516" s="379">
        <f ca="1">SUM(V2507:V2515)</f>
        <v>0</v>
      </c>
      <c r="W2516" s="256">
        <f t="shared" ca="1" si="787"/>
        <v>1</v>
      </c>
      <c r="X2516" s="256">
        <f t="shared" ca="1" si="782"/>
        <v>0</v>
      </c>
      <c r="Y2516" s="250"/>
      <c r="Z2516" s="250"/>
    </row>
    <row r="2517" spans="1:29" s="293" customFormat="1" ht="15.75" hidden="1" customHeight="1" x14ac:dyDescent="0.25">
      <c r="A2517" s="288"/>
      <c r="B2517" s="1374" t="str">
        <f>VLOOKUP(A2525,'11 - FINANCEIRO'!_xlnm.Print_Area,1,FALSE)</f>
        <v>3.2.10</v>
      </c>
      <c r="C2517" s="1376" t="str">
        <f>VLOOKUP(A2525,'11 - FINANCEIRO'!_xlnm.Print_Area,3,FALSE)</f>
        <v>Corpo BSTC Diâmetro 0,60 M C.S. Pb Inclusive Escavação, Reaterro E Transporte Do Tubo</v>
      </c>
      <c r="D2517" s="1378" t="s">
        <v>477</v>
      </c>
      <c r="E2517" s="1379"/>
      <c r="F2517" s="1379"/>
      <c r="G2517" s="1379"/>
      <c r="H2517" s="1379"/>
      <c r="I2517" s="1380"/>
      <c r="J2517" s="1338" t="s">
        <v>478</v>
      </c>
      <c r="K2517" s="1338" t="s">
        <v>479</v>
      </c>
      <c r="L2517" s="1338" t="s">
        <v>480</v>
      </c>
      <c r="M2517" s="1338" t="s">
        <v>481</v>
      </c>
      <c r="N2517" s="1338" t="s">
        <v>482</v>
      </c>
      <c r="O2517" s="1338" t="s">
        <v>483</v>
      </c>
      <c r="P2517" s="290" t="s">
        <v>484</v>
      </c>
      <c r="Q2517" s="1338" t="s">
        <v>485</v>
      </c>
      <c r="R2517" s="1336" t="s">
        <v>296</v>
      </c>
      <c r="S2517" s="1338" t="s">
        <v>486</v>
      </c>
      <c r="T2517" s="1338" t="s">
        <v>487</v>
      </c>
      <c r="U2517" s="1340" t="s">
        <v>488</v>
      </c>
      <c r="V2517" s="291">
        <f t="shared" ref="V2517:V2525" ca="1" si="789">IF(OFFSET(V2517,1,1)=1,OFFSET(V2517,0,-4),OFFSET(V2517,1,0))</f>
        <v>0</v>
      </c>
      <c r="W2517" s="256">
        <f t="shared" ca="1" si="787"/>
        <v>2</v>
      </c>
      <c r="X2517" s="256">
        <f t="shared" ca="1" si="782"/>
        <v>1</v>
      </c>
      <c r="Y2517" s="256"/>
      <c r="Z2517" s="256"/>
      <c r="AA2517" s="292"/>
      <c r="AB2517" s="292"/>
      <c r="AC2517" s="292"/>
    </row>
    <row r="2518" spans="1:29" s="337" customFormat="1" ht="15.75" hidden="1" x14ac:dyDescent="0.2">
      <c r="A2518" s="288"/>
      <c r="B2518" s="1375"/>
      <c r="C2518" s="1377" t="e">
        <f>VLOOKUP(LEFT(#REF!,5),'11 - FINANCEIRO'!_xlnm.Print_Area,2,FALSE)</f>
        <v>#REF!</v>
      </c>
      <c r="D2518" s="1342" t="s">
        <v>489</v>
      </c>
      <c r="E2518" s="1343"/>
      <c r="F2518" s="1344"/>
      <c r="G2518" s="1345" t="s">
        <v>490</v>
      </c>
      <c r="H2518" s="1346"/>
      <c r="I2518" s="1347"/>
      <c r="J2518" s="1339"/>
      <c r="K2518" s="1339"/>
      <c r="L2518" s="1339"/>
      <c r="M2518" s="1339"/>
      <c r="N2518" s="1339"/>
      <c r="O2518" s="1339"/>
      <c r="P2518" s="295" t="s">
        <v>491</v>
      </c>
      <c r="Q2518" s="1339"/>
      <c r="R2518" s="1337"/>
      <c r="S2518" s="1339"/>
      <c r="T2518" s="1339"/>
      <c r="U2518" s="1341"/>
      <c r="V2518" s="291">
        <f t="shared" ca="1" si="789"/>
        <v>0</v>
      </c>
      <c r="W2518" s="256">
        <f t="shared" ca="1" si="787"/>
        <v>2</v>
      </c>
      <c r="X2518" s="256">
        <f t="shared" ca="1" si="782"/>
        <v>1</v>
      </c>
      <c r="Y2518" s="336"/>
      <c r="Z2518" s="336"/>
    </row>
    <row r="2519" spans="1:29" s="337" customFormat="1" ht="15.75" hidden="1" x14ac:dyDescent="0.2">
      <c r="A2519" s="288"/>
      <c r="B2519" s="296"/>
      <c r="C2519" s="297"/>
      <c r="D2519" s="298"/>
      <c r="E2519" s="299"/>
      <c r="F2519" s="300"/>
      <c r="G2519" s="301"/>
      <c r="H2519" s="302"/>
      <c r="I2519" s="303"/>
      <c r="J2519" s="304"/>
      <c r="K2519" s="304"/>
      <c r="L2519" s="304"/>
      <c r="M2519" s="304"/>
      <c r="N2519" s="304"/>
      <c r="O2519" s="304"/>
      <c r="P2519" s="306"/>
      <c r="Q2519" s="304"/>
      <c r="R2519" s="307"/>
      <c r="S2519" s="304"/>
      <c r="T2519" s="309"/>
      <c r="U2519" s="310"/>
      <c r="V2519" s="291">
        <f t="shared" ca="1" si="789"/>
        <v>0</v>
      </c>
      <c r="W2519" s="256">
        <f t="shared" ca="1" si="787"/>
        <v>0</v>
      </c>
      <c r="X2519" s="256">
        <f t="shared" ca="1" si="782"/>
        <v>1</v>
      </c>
      <c r="Y2519" s="336"/>
      <c r="Z2519" s="336"/>
    </row>
    <row r="2520" spans="1:29" s="111" customFormat="1" ht="15.75" hidden="1" x14ac:dyDescent="0.2">
      <c r="A2520" s="288"/>
      <c r="B2520" s="311"/>
      <c r="C2520" s="312"/>
      <c r="D2520" s="313"/>
      <c r="E2520" s="314"/>
      <c r="F2520" s="315"/>
      <c r="G2520" s="380"/>
      <c r="H2520" s="316"/>
      <c r="I2520" s="381"/>
      <c r="J2520" s="317"/>
      <c r="K2520" s="313"/>
      <c r="L2520" s="317"/>
      <c r="M2520" s="315"/>
      <c r="N2520" s="314"/>
      <c r="O2520" s="313"/>
      <c r="P2520" s="318"/>
      <c r="Q2520" s="315"/>
      <c r="R2520" s="319"/>
      <c r="S2520" s="317"/>
      <c r="T2520" s="320"/>
      <c r="U2520" s="321"/>
      <c r="V2520" s="291">
        <f t="shared" ca="1" si="789"/>
        <v>0</v>
      </c>
      <c r="W2520" s="256">
        <f t="shared" ca="1" si="787"/>
        <v>0</v>
      </c>
      <c r="X2520" s="256">
        <f t="shared" ca="1" si="782"/>
        <v>1</v>
      </c>
      <c r="Y2520" s="250"/>
      <c r="Z2520" s="250"/>
    </row>
    <row r="2521" spans="1:29" s="111" customFormat="1" ht="15" hidden="1" x14ac:dyDescent="0.2">
      <c r="A2521" s="288"/>
      <c r="B2521" s="322"/>
      <c r="C2521" s="382"/>
      <c r="D2521" s="324"/>
      <c r="E2521" s="325"/>
      <c r="F2521" s="326"/>
      <c r="G2521" s="324"/>
      <c r="H2521" s="325"/>
      <c r="I2521" s="326"/>
      <c r="J2521" s="317"/>
      <c r="K2521" s="328"/>
      <c r="L2521" s="328"/>
      <c r="M2521" s="328"/>
      <c r="N2521" s="328"/>
      <c r="O2521" s="334"/>
      <c r="P2521" s="328"/>
      <c r="Q2521" s="334"/>
      <c r="R2521" s="333"/>
      <c r="S2521" s="331"/>
      <c r="T2521" s="320"/>
      <c r="U2521" s="335"/>
      <c r="V2521" s="291">
        <f t="shared" ca="1" si="789"/>
        <v>0</v>
      </c>
      <c r="W2521" s="256">
        <f t="shared" ca="1" si="787"/>
        <v>0</v>
      </c>
      <c r="X2521" s="256">
        <f t="shared" ca="1" si="782"/>
        <v>1</v>
      </c>
      <c r="Y2521" s="250"/>
      <c r="Z2521" s="250"/>
    </row>
    <row r="2522" spans="1:29" s="111" customFormat="1" ht="15" hidden="1" x14ac:dyDescent="0.2">
      <c r="A2522" s="288"/>
      <c r="B2522" s="338"/>
      <c r="C2522" s="339"/>
      <c r="D2522" s="340"/>
      <c r="E2522" s="341"/>
      <c r="F2522" s="342"/>
      <c r="G2522" s="340"/>
      <c r="H2522" s="341"/>
      <c r="I2522" s="342"/>
      <c r="J2522" s="343"/>
      <c r="K2522" s="344"/>
      <c r="L2522" s="345"/>
      <c r="M2522" s="346"/>
      <c r="N2522" s="347"/>
      <c r="O2522" s="348"/>
      <c r="P2522" s="345"/>
      <c r="Q2522" s="349"/>
      <c r="R2522" s="350"/>
      <c r="S2522" s="351"/>
      <c r="T2522" s="352"/>
      <c r="U2522" s="353"/>
      <c r="V2522" s="291">
        <f t="shared" ca="1" si="789"/>
        <v>0</v>
      </c>
      <c r="W2522" s="256">
        <f t="shared" ca="1" si="787"/>
        <v>0</v>
      </c>
      <c r="X2522" s="256">
        <f t="shared" ca="1" si="782"/>
        <v>1</v>
      </c>
      <c r="Y2522" s="250"/>
      <c r="Z2522" s="250"/>
    </row>
    <row r="2523" spans="1:29" s="395" customFormat="1" ht="15.75" hidden="1" customHeight="1" x14ac:dyDescent="0.2">
      <c r="A2523" s="276"/>
      <c r="B2523" s="354"/>
      <c r="C2523" s="355"/>
      <c r="D2523" s="1354" t="s">
        <v>492</v>
      </c>
      <c r="E2523" s="1355"/>
      <c r="F2523" s="1355"/>
      <c r="G2523" s="1355"/>
      <c r="H2523" s="1355"/>
      <c r="I2523" s="1356"/>
      <c r="J2523" s="1357">
        <f>VLOOKUP(A2525,'11 - FINANCEIRO'!_xlnm.Print_Area,6,FALSE)</f>
        <v>3.2</v>
      </c>
      <c r="K2523" s="1358"/>
      <c r="L2523" s="356" t="str">
        <f>VLOOKUP(A2525,'11 - FINANCEIRO'!_xlnm.Print_Area,4,FALSE)</f>
        <v>m</v>
      </c>
      <c r="M2523" s="1359" t="s">
        <v>493</v>
      </c>
      <c r="N2523" s="1360"/>
      <c r="O2523" s="1360"/>
      <c r="P2523" s="1360"/>
      <c r="Q2523" s="1361"/>
      <c r="R2523" s="357">
        <f>TRUNC(SUM(R2519:R2522),3)</f>
        <v>0</v>
      </c>
      <c r="S2523" s="358" t="str">
        <f>L2523</f>
        <v>m</v>
      </c>
      <c r="T2523" s="359"/>
      <c r="U2523" s="360"/>
      <c r="V2523" s="291">
        <f t="shared" ca="1" si="789"/>
        <v>0</v>
      </c>
      <c r="W2523" s="256">
        <f t="shared" ca="1" si="787"/>
        <v>2</v>
      </c>
      <c r="X2523" s="256">
        <f t="shared" ca="1" si="782"/>
        <v>1</v>
      </c>
    </row>
    <row r="2524" spans="1:29" s="293" customFormat="1" ht="15.75" hidden="1" customHeight="1" x14ac:dyDescent="0.2">
      <c r="A2524" s="288"/>
      <c r="B2524" s="354"/>
      <c r="C2524" s="361"/>
      <c r="D2524" s="1362" t="s">
        <v>494</v>
      </c>
      <c r="E2524" s="1363"/>
      <c r="F2524" s="1363"/>
      <c r="G2524" s="1363"/>
      <c r="H2524" s="1363"/>
      <c r="I2524" s="1364"/>
      <c r="J2524" s="1365">
        <f>R2523/J2523</f>
        <v>0</v>
      </c>
      <c r="K2524" s="1366"/>
      <c r="L2524" s="1369"/>
      <c r="M2524" s="1371" t="s">
        <v>495</v>
      </c>
      <c r="N2524" s="1372"/>
      <c r="O2524" s="1372"/>
      <c r="P2524" s="1372"/>
      <c r="Q2524" s="1373"/>
      <c r="R2524" s="362">
        <f>VLOOKUP(A2525,'11 - FINANCEIRO'!_xlnm.Print_Area,8,FALSE)</f>
        <v>0</v>
      </c>
      <c r="S2524" s="363" t="str">
        <f>L2523</f>
        <v>m</v>
      </c>
      <c r="T2524" s="359"/>
      <c r="U2524" s="360"/>
      <c r="V2524" s="291">
        <f t="shared" ca="1" si="789"/>
        <v>0</v>
      </c>
      <c r="W2524" s="256">
        <f t="shared" ca="1" si="787"/>
        <v>2</v>
      </c>
      <c r="X2524" s="256">
        <f t="shared" ref="X2524:X2587" ca="1" si="790">IF(COUNTA(OFFSET(A2523,1,0))-COUNTA(A2523)=-1,0,1)</f>
        <v>1</v>
      </c>
      <c r="Y2524" s="256"/>
      <c r="Z2524" s="256"/>
      <c r="AA2524" s="292"/>
      <c r="AB2524" s="292"/>
      <c r="AC2524" s="292"/>
    </row>
    <row r="2525" spans="1:29" s="293" customFormat="1" ht="15.75" hidden="1" customHeight="1" x14ac:dyDescent="0.2">
      <c r="A2525" s="288" t="s">
        <v>119</v>
      </c>
      <c r="B2525" s="364"/>
      <c r="C2525" s="365"/>
      <c r="D2525" s="1354"/>
      <c r="E2525" s="1355"/>
      <c r="F2525" s="1355"/>
      <c r="G2525" s="1355"/>
      <c r="H2525" s="1355"/>
      <c r="I2525" s="1356"/>
      <c r="J2525" s="1367"/>
      <c r="K2525" s="1368"/>
      <c r="L2525" s="1370"/>
      <c r="M2525" s="1371" t="s">
        <v>496</v>
      </c>
      <c r="N2525" s="1372"/>
      <c r="O2525" s="1372"/>
      <c r="P2525" s="1372"/>
      <c r="Q2525" s="1373"/>
      <c r="R2525" s="362">
        <f>R2523-R2524</f>
        <v>0</v>
      </c>
      <c r="S2525" s="363" t="str">
        <f>L2523</f>
        <v>m</v>
      </c>
      <c r="T2525" s="366"/>
      <c r="U2525" s="367"/>
      <c r="V2525" s="291">
        <f t="shared" ca="1" si="789"/>
        <v>0</v>
      </c>
      <c r="W2525" s="256">
        <f t="shared" ca="1" si="787"/>
        <v>2</v>
      </c>
      <c r="X2525" s="256">
        <f t="shared" ca="1" si="790"/>
        <v>1</v>
      </c>
      <c r="Y2525" s="256"/>
      <c r="Z2525" s="256"/>
      <c r="AA2525" s="292"/>
      <c r="AB2525" s="292"/>
      <c r="AC2525" s="292"/>
    </row>
    <row r="2526" spans="1:29" s="111" customFormat="1" ht="15.75" hidden="1" x14ac:dyDescent="0.2">
      <c r="A2526" s="288"/>
      <c r="B2526" s="368"/>
      <c r="C2526" s="365"/>
      <c r="D2526" s="369"/>
      <c r="E2526" s="370"/>
      <c r="F2526" s="369"/>
      <c r="G2526" s="369"/>
      <c r="H2526" s="369"/>
      <c r="I2526" s="369"/>
      <c r="J2526" s="371"/>
      <c r="K2526" s="372"/>
      <c r="L2526" s="373"/>
      <c r="M2526" s="374"/>
      <c r="N2526" s="374"/>
      <c r="O2526" s="374"/>
      <c r="P2526" s="374"/>
      <c r="Q2526" s="374"/>
      <c r="R2526" s="375"/>
      <c r="S2526" s="376"/>
      <c r="T2526" s="377"/>
      <c r="U2526" s="378"/>
      <c r="V2526" s="379">
        <f ca="1">SUM(V2517:V2525)</f>
        <v>0</v>
      </c>
      <c r="W2526" s="256">
        <f t="shared" ca="1" si="787"/>
        <v>1</v>
      </c>
      <c r="X2526" s="256">
        <f t="shared" ca="1" si="790"/>
        <v>0</v>
      </c>
      <c r="Y2526" s="250"/>
      <c r="Z2526" s="250"/>
    </row>
    <row r="2527" spans="1:29" s="293" customFormat="1" ht="15.75" hidden="1" customHeight="1" x14ac:dyDescent="0.25">
      <c r="A2527" s="288"/>
      <c r="B2527" s="1374" t="str">
        <f>VLOOKUP(A2535,'11 - FINANCEIRO'!_xlnm.Print_Area,1,FALSE)</f>
        <v>3.2.11</v>
      </c>
      <c r="C2527" s="1376" t="str">
        <f>VLOOKUP(A2535,'11 - FINANCEIRO'!_xlnm.Print_Area,3,FALSE)</f>
        <v>Demolição De Concreto Simples</v>
      </c>
      <c r="D2527" s="1378" t="s">
        <v>477</v>
      </c>
      <c r="E2527" s="1379"/>
      <c r="F2527" s="1379"/>
      <c r="G2527" s="1379"/>
      <c r="H2527" s="1379"/>
      <c r="I2527" s="1380"/>
      <c r="J2527" s="1338" t="s">
        <v>478</v>
      </c>
      <c r="K2527" s="1338" t="s">
        <v>479</v>
      </c>
      <c r="L2527" s="1338" t="s">
        <v>480</v>
      </c>
      <c r="M2527" s="1338" t="s">
        <v>481</v>
      </c>
      <c r="N2527" s="1338" t="s">
        <v>482</v>
      </c>
      <c r="O2527" s="1338" t="s">
        <v>483</v>
      </c>
      <c r="P2527" s="290" t="s">
        <v>484</v>
      </c>
      <c r="Q2527" s="1338" t="s">
        <v>485</v>
      </c>
      <c r="R2527" s="1336" t="s">
        <v>296</v>
      </c>
      <c r="S2527" s="1338" t="s">
        <v>486</v>
      </c>
      <c r="T2527" s="1338" t="s">
        <v>487</v>
      </c>
      <c r="U2527" s="1340" t="s">
        <v>488</v>
      </c>
      <c r="V2527" s="291">
        <f t="shared" ref="V2527:V2535" ca="1" si="791">IF(OFFSET(V2527,1,1)=1,OFFSET(V2527,0,-4),OFFSET(V2527,1,0))</f>
        <v>0</v>
      </c>
      <c r="W2527" s="256">
        <f t="shared" ca="1" si="787"/>
        <v>2</v>
      </c>
      <c r="X2527" s="256">
        <f t="shared" ca="1" si="790"/>
        <v>1</v>
      </c>
      <c r="Y2527" s="256"/>
      <c r="Z2527" s="256"/>
      <c r="AA2527" s="292"/>
      <c r="AB2527" s="292"/>
      <c r="AC2527" s="292"/>
    </row>
    <row r="2528" spans="1:29" s="337" customFormat="1" ht="15.75" hidden="1" x14ac:dyDescent="0.2">
      <c r="A2528" s="288"/>
      <c r="B2528" s="1375"/>
      <c r="C2528" s="1377" t="e">
        <f>VLOOKUP(LEFT(#REF!,5),'11 - FINANCEIRO'!_xlnm.Print_Area,2,FALSE)</f>
        <v>#REF!</v>
      </c>
      <c r="D2528" s="1342" t="s">
        <v>489</v>
      </c>
      <c r="E2528" s="1343"/>
      <c r="F2528" s="1344"/>
      <c r="G2528" s="1345" t="s">
        <v>490</v>
      </c>
      <c r="H2528" s="1346"/>
      <c r="I2528" s="1347"/>
      <c r="J2528" s="1339"/>
      <c r="K2528" s="1339"/>
      <c r="L2528" s="1339"/>
      <c r="M2528" s="1339"/>
      <c r="N2528" s="1339"/>
      <c r="O2528" s="1339"/>
      <c r="P2528" s="295" t="s">
        <v>491</v>
      </c>
      <c r="Q2528" s="1339"/>
      <c r="R2528" s="1337"/>
      <c r="S2528" s="1339"/>
      <c r="T2528" s="1339"/>
      <c r="U2528" s="1341"/>
      <c r="V2528" s="291">
        <f t="shared" ca="1" si="791"/>
        <v>0</v>
      </c>
      <c r="W2528" s="256">
        <f t="shared" ca="1" si="787"/>
        <v>2</v>
      </c>
      <c r="X2528" s="256">
        <f t="shared" ca="1" si="790"/>
        <v>1</v>
      </c>
      <c r="Y2528" s="336"/>
      <c r="Z2528" s="336"/>
    </row>
    <row r="2529" spans="1:29" s="337" customFormat="1" ht="15.75" hidden="1" x14ac:dyDescent="0.2">
      <c r="A2529" s="288"/>
      <c r="B2529" s="296"/>
      <c r="C2529" s="297"/>
      <c r="D2529" s="298"/>
      <c r="E2529" s="299"/>
      <c r="F2529" s="300"/>
      <c r="G2529" s="301"/>
      <c r="H2529" s="302"/>
      <c r="I2529" s="303"/>
      <c r="J2529" s="304"/>
      <c r="K2529" s="304"/>
      <c r="L2529" s="304"/>
      <c r="M2529" s="304"/>
      <c r="N2529" s="304"/>
      <c r="O2529" s="304"/>
      <c r="P2529" s="306"/>
      <c r="Q2529" s="304"/>
      <c r="R2529" s="307"/>
      <c r="S2529" s="304"/>
      <c r="T2529" s="309"/>
      <c r="U2529" s="310"/>
      <c r="V2529" s="291">
        <f t="shared" ca="1" si="791"/>
        <v>0</v>
      </c>
      <c r="W2529" s="256">
        <f t="shared" ca="1" si="787"/>
        <v>0</v>
      </c>
      <c r="X2529" s="256">
        <f t="shared" ca="1" si="790"/>
        <v>1</v>
      </c>
      <c r="Y2529" s="336"/>
      <c r="Z2529" s="336"/>
    </row>
    <row r="2530" spans="1:29" s="111" customFormat="1" ht="15.75" hidden="1" x14ac:dyDescent="0.2">
      <c r="A2530" s="288"/>
      <c r="B2530" s="311"/>
      <c r="C2530" s="312"/>
      <c r="D2530" s="313"/>
      <c r="E2530" s="314"/>
      <c r="F2530" s="315"/>
      <c r="G2530" s="380"/>
      <c r="H2530" s="316"/>
      <c r="I2530" s="381"/>
      <c r="J2530" s="317"/>
      <c r="K2530" s="313"/>
      <c r="L2530" s="317"/>
      <c r="M2530" s="315"/>
      <c r="N2530" s="314"/>
      <c r="O2530" s="313"/>
      <c r="P2530" s="318"/>
      <c r="Q2530" s="315"/>
      <c r="R2530" s="319"/>
      <c r="S2530" s="317"/>
      <c r="T2530" s="320"/>
      <c r="U2530" s="321"/>
      <c r="V2530" s="291">
        <f t="shared" ca="1" si="791"/>
        <v>0</v>
      </c>
      <c r="W2530" s="256">
        <f t="shared" ca="1" si="787"/>
        <v>0</v>
      </c>
      <c r="X2530" s="256">
        <f t="shared" ca="1" si="790"/>
        <v>1</v>
      </c>
      <c r="Y2530" s="250"/>
      <c r="Z2530" s="250"/>
    </row>
    <row r="2531" spans="1:29" s="111" customFormat="1" ht="15" hidden="1" x14ac:dyDescent="0.2">
      <c r="A2531" s="288"/>
      <c r="B2531" s="322"/>
      <c r="C2531" s="382"/>
      <c r="D2531" s="324"/>
      <c r="E2531" s="325"/>
      <c r="F2531" s="326"/>
      <c r="G2531" s="324"/>
      <c r="H2531" s="325"/>
      <c r="I2531" s="326"/>
      <c r="J2531" s="317"/>
      <c r="K2531" s="328"/>
      <c r="L2531" s="328"/>
      <c r="M2531" s="328"/>
      <c r="N2531" s="328"/>
      <c r="O2531" s="334"/>
      <c r="P2531" s="328"/>
      <c r="Q2531" s="334"/>
      <c r="R2531" s="333"/>
      <c r="S2531" s="331"/>
      <c r="T2531" s="320"/>
      <c r="U2531" s="335"/>
      <c r="V2531" s="291">
        <f t="shared" ca="1" si="791"/>
        <v>0</v>
      </c>
      <c r="W2531" s="256">
        <f t="shared" ca="1" si="787"/>
        <v>0</v>
      </c>
      <c r="X2531" s="256">
        <f t="shared" ca="1" si="790"/>
        <v>1</v>
      </c>
      <c r="Y2531" s="250"/>
      <c r="Z2531" s="250"/>
    </row>
    <row r="2532" spans="1:29" s="111" customFormat="1" ht="15" hidden="1" x14ac:dyDescent="0.2">
      <c r="A2532" s="288"/>
      <c r="B2532" s="338"/>
      <c r="C2532" s="339"/>
      <c r="D2532" s="340"/>
      <c r="E2532" s="341"/>
      <c r="F2532" s="342"/>
      <c r="G2532" s="340"/>
      <c r="H2532" s="341"/>
      <c r="I2532" s="342"/>
      <c r="J2532" s="343"/>
      <c r="K2532" s="344"/>
      <c r="L2532" s="345"/>
      <c r="M2532" s="346"/>
      <c r="N2532" s="347"/>
      <c r="O2532" s="348"/>
      <c r="P2532" s="345"/>
      <c r="Q2532" s="349"/>
      <c r="R2532" s="350"/>
      <c r="S2532" s="351"/>
      <c r="T2532" s="352"/>
      <c r="U2532" s="353"/>
      <c r="V2532" s="291">
        <f t="shared" ca="1" si="791"/>
        <v>0</v>
      </c>
      <c r="W2532" s="256">
        <f t="shared" ca="1" si="787"/>
        <v>0</v>
      </c>
      <c r="X2532" s="256">
        <f t="shared" ca="1" si="790"/>
        <v>1</v>
      </c>
      <c r="Y2532" s="250"/>
      <c r="Z2532" s="250"/>
    </row>
    <row r="2533" spans="1:29" s="111" customFormat="1" ht="15.75" hidden="1" customHeight="1" x14ac:dyDescent="0.2">
      <c r="A2533" s="288"/>
      <c r="B2533" s="354"/>
      <c r="C2533" s="355"/>
      <c r="D2533" s="1354" t="s">
        <v>492</v>
      </c>
      <c r="E2533" s="1355"/>
      <c r="F2533" s="1355"/>
      <c r="G2533" s="1355"/>
      <c r="H2533" s="1355"/>
      <c r="I2533" s="1356"/>
      <c r="J2533" s="1357">
        <f>VLOOKUP(A2535,'11 - FINANCEIRO'!_xlnm.Print_Area,6,FALSE)</f>
        <v>3.34</v>
      </c>
      <c r="K2533" s="1358"/>
      <c r="L2533" s="356" t="str">
        <f>VLOOKUP(A2535,'11 - FINANCEIRO'!_xlnm.Print_Area,4,FALSE)</f>
        <v>m³</v>
      </c>
      <c r="M2533" s="1359" t="s">
        <v>493</v>
      </c>
      <c r="N2533" s="1360"/>
      <c r="O2533" s="1360"/>
      <c r="P2533" s="1360"/>
      <c r="Q2533" s="1361"/>
      <c r="R2533" s="357">
        <f>TRUNC(SUM(R2529:R2532),3)</f>
        <v>0</v>
      </c>
      <c r="S2533" s="358" t="str">
        <f>L2533</f>
        <v>m³</v>
      </c>
      <c r="T2533" s="359"/>
      <c r="U2533" s="360"/>
      <c r="V2533" s="291">
        <f t="shared" ca="1" si="791"/>
        <v>0</v>
      </c>
      <c r="W2533" s="256">
        <f t="shared" ca="1" si="787"/>
        <v>2</v>
      </c>
      <c r="X2533" s="256">
        <f t="shared" ca="1" si="790"/>
        <v>1</v>
      </c>
      <c r="Y2533" s="250"/>
      <c r="Z2533" s="250"/>
    </row>
    <row r="2534" spans="1:29" s="395" customFormat="1" ht="15.75" hidden="1" customHeight="1" x14ac:dyDescent="0.2">
      <c r="A2534" s="276"/>
      <c r="B2534" s="354"/>
      <c r="C2534" s="361"/>
      <c r="D2534" s="1362" t="s">
        <v>494</v>
      </c>
      <c r="E2534" s="1363"/>
      <c r="F2534" s="1363"/>
      <c r="G2534" s="1363"/>
      <c r="H2534" s="1363"/>
      <c r="I2534" s="1364"/>
      <c r="J2534" s="1365">
        <f>R2533/J2533</f>
        <v>0</v>
      </c>
      <c r="K2534" s="1366"/>
      <c r="L2534" s="1369"/>
      <c r="M2534" s="1371" t="s">
        <v>495</v>
      </c>
      <c r="N2534" s="1372"/>
      <c r="O2534" s="1372"/>
      <c r="P2534" s="1372"/>
      <c r="Q2534" s="1373"/>
      <c r="R2534" s="362">
        <f>VLOOKUP(A2535,'11 - FINANCEIRO'!_xlnm.Print_Area,8,FALSE)</f>
        <v>0</v>
      </c>
      <c r="S2534" s="363" t="str">
        <f>L2533</f>
        <v>m³</v>
      </c>
      <c r="T2534" s="359"/>
      <c r="U2534" s="360"/>
      <c r="V2534" s="291">
        <f t="shared" ca="1" si="791"/>
        <v>0</v>
      </c>
      <c r="W2534" s="256">
        <f t="shared" ca="1" si="787"/>
        <v>2</v>
      </c>
      <c r="X2534" s="256">
        <f t="shared" ca="1" si="790"/>
        <v>1</v>
      </c>
    </row>
    <row r="2535" spans="1:29" s="293" customFormat="1" ht="15.75" hidden="1" customHeight="1" x14ac:dyDescent="0.2">
      <c r="A2535" s="288" t="s">
        <v>120</v>
      </c>
      <c r="B2535" s="364"/>
      <c r="C2535" s="365"/>
      <c r="D2535" s="1354"/>
      <c r="E2535" s="1355"/>
      <c r="F2535" s="1355"/>
      <c r="G2535" s="1355"/>
      <c r="H2535" s="1355"/>
      <c r="I2535" s="1356"/>
      <c r="J2535" s="1367"/>
      <c r="K2535" s="1368"/>
      <c r="L2535" s="1370"/>
      <c r="M2535" s="1371" t="s">
        <v>496</v>
      </c>
      <c r="N2535" s="1372"/>
      <c r="O2535" s="1372"/>
      <c r="P2535" s="1372"/>
      <c r="Q2535" s="1373"/>
      <c r="R2535" s="362">
        <f>R2533-R2534</f>
        <v>0</v>
      </c>
      <c r="S2535" s="363" t="str">
        <f>L2533</f>
        <v>m³</v>
      </c>
      <c r="T2535" s="366"/>
      <c r="U2535" s="367"/>
      <c r="V2535" s="291">
        <f t="shared" ca="1" si="791"/>
        <v>0</v>
      </c>
      <c r="W2535" s="256">
        <f t="shared" ca="1" si="787"/>
        <v>2</v>
      </c>
      <c r="X2535" s="256">
        <f t="shared" ca="1" si="790"/>
        <v>1</v>
      </c>
      <c r="Y2535" s="256"/>
      <c r="Z2535" s="256"/>
      <c r="AA2535" s="292"/>
      <c r="AB2535" s="292"/>
      <c r="AC2535" s="292"/>
    </row>
    <row r="2536" spans="1:29" s="111" customFormat="1" ht="15.75" hidden="1" x14ac:dyDescent="0.2">
      <c r="A2536" s="288"/>
      <c r="B2536" s="368"/>
      <c r="C2536" s="365"/>
      <c r="D2536" s="369"/>
      <c r="E2536" s="370"/>
      <c r="F2536" s="369"/>
      <c r="G2536" s="369"/>
      <c r="H2536" s="369"/>
      <c r="I2536" s="369"/>
      <c r="J2536" s="371"/>
      <c r="K2536" s="372"/>
      <c r="L2536" s="373"/>
      <c r="M2536" s="374"/>
      <c r="N2536" s="374"/>
      <c r="O2536" s="374"/>
      <c r="P2536" s="374"/>
      <c r="Q2536" s="374"/>
      <c r="R2536" s="375"/>
      <c r="S2536" s="376"/>
      <c r="T2536" s="377"/>
      <c r="U2536" s="378"/>
      <c r="V2536" s="379">
        <f ca="1">SUM(V2527:V2535)</f>
        <v>0</v>
      </c>
      <c r="W2536" s="256">
        <f t="shared" ca="1" si="787"/>
        <v>1</v>
      </c>
      <c r="X2536" s="256">
        <f t="shared" ca="1" si="790"/>
        <v>0</v>
      </c>
      <c r="Y2536" s="250"/>
      <c r="Z2536" s="250"/>
    </row>
    <row r="2537" spans="1:29" s="293" customFormat="1" ht="15.75" x14ac:dyDescent="0.2">
      <c r="A2537" s="288"/>
      <c r="B2537" s="385" t="str">
        <f>LEFT(A2545,7)</f>
        <v>3.3</v>
      </c>
      <c r="C2537" s="386" t="str">
        <f>VLOOKUP(LEFT(A2545,7),'11 - FINANCEIRO'!_xlnm.Print_Area,2,FALSE)</f>
        <v>Esgoto</v>
      </c>
      <c r="D2537" s="386"/>
      <c r="E2537" s="387"/>
      <c r="F2537" s="386"/>
      <c r="G2537" s="1395"/>
      <c r="H2537" s="1395"/>
      <c r="I2537" s="1395"/>
      <c r="J2537" s="1395"/>
      <c r="K2537" s="1395"/>
      <c r="L2537" s="1395"/>
      <c r="M2537" s="389"/>
      <c r="N2537" s="390"/>
      <c r="O2537" s="389"/>
      <c r="P2537" s="389"/>
      <c r="Q2537" s="389"/>
      <c r="R2537" s="390"/>
      <c r="S2537" s="389"/>
      <c r="T2537" s="389"/>
      <c r="U2537" s="601"/>
      <c r="V2537" s="549">
        <f ca="1">SUM(V2538:V2742)</f>
        <v>5760</v>
      </c>
      <c r="W2537" s="256">
        <f t="shared" ca="1" si="787"/>
        <v>1</v>
      </c>
      <c r="X2537" s="256">
        <f t="shared" ca="1" si="790"/>
        <v>1</v>
      </c>
      <c r="Y2537" s="256"/>
      <c r="Z2537" s="256"/>
      <c r="AA2537" s="292"/>
      <c r="AB2537" s="292"/>
      <c r="AC2537" s="292"/>
    </row>
    <row r="2538" spans="1:29" s="293" customFormat="1" ht="15.75" customHeight="1" x14ac:dyDescent="0.25">
      <c r="A2538" s="288"/>
      <c r="B2538" s="1374" t="str">
        <f>VLOOKUP(A2546,'11 - FINANCEIRO'!_xlnm.Print_Area,1,FALSE)</f>
        <v>3.3.1</v>
      </c>
      <c r="C2538" s="1376" t="str">
        <f>VLOOKUP(A2546,'11 - FINANCEIRO'!_xlnm.Print_Area,3,FALSE)</f>
        <v>(Composição Representativa) Poço De Visita Circular Para Esgoto, Em Concreto Pré-Moldado, Diâmetro Interno = 1,0 M, Profundidade De 1,50 A 2,00 M, Incluindo Tampão De Ferro Fundido, Diâmetro De 60 Cm. Af_04/2018</v>
      </c>
      <c r="D2538" s="1378" t="s">
        <v>477</v>
      </c>
      <c r="E2538" s="1379"/>
      <c r="F2538" s="1379"/>
      <c r="G2538" s="1379"/>
      <c r="H2538" s="1379"/>
      <c r="I2538" s="1380"/>
      <c r="J2538" s="1338" t="s">
        <v>478</v>
      </c>
      <c r="K2538" s="1338" t="s">
        <v>479</v>
      </c>
      <c r="L2538" s="1338" t="s">
        <v>480</v>
      </c>
      <c r="M2538" s="1338" t="s">
        <v>481</v>
      </c>
      <c r="N2538" s="1338" t="s">
        <v>482</v>
      </c>
      <c r="O2538" s="1338" t="s">
        <v>483</v>
      </c>
      <c r="P2538" s="290" t="s">
        <v>484</v>
      </c>
      <c r="Q2538" s="1338" t="s">
        <v>485</v>
      </c>
      <c r="R2538" s="1336" t="s">
        <v>296</v>
      </c>
      <c r="S2538" s="1338" t="s">
        <v>486</v>
      </c>
      <c r="T2538" s="1338" t="s">
        <v>487</v>
      </c>
      <c r="U2538" s="1340" t="s">
        <v>488</v>
      </c>
      <c r="V2538" s="291">
        <f t="shared" ref="V2538:V2546" ca="1" si="792">IF(OFFSET(V2538,1,1)=1,OFFSET(V2538,0,-4),OFFSET(V2538,1,0))</f>
        <v>0</v>
      </c>
      <c r="W2538" s="256">
        <f t="shared" ca="1" si="787"/>
        <v>2</v>
      </c>
      <c r="X2538" s="256">
        <f t="shared" ca="1" si="790"/>
        <v>1</v>
      </c>
      <c r="Y2538" s="256"/>
      <c r="Z2538" s="256"/>
      <c r="AA2538" s="292"/>
      <c r="AB2538" s="292"/>
      <c r="AC2538" s="292"/>
    </row>
    <row r="2539" spans="1:29" s="337" customFormat="1" ht="15.75" x14ac:dyDescent="0.2">
      <c r="A2539" s="288"/>
      <c r="B2539" s="1375"/>
      <c r="C2539" s="1377" t="e">
        <f>VLOOKUP(LEFT(#REF!,5),'11 - FINANCEIRO'!_xlnm.Print_Area,2,FALSE)</f>
        <v>#REF!</v>
      </c>
      <c r="D2539" s="1342" t="s">
        <v>489</v>
      </c>
      <c r="E2539" s="1343"/>
      <c r="F2539" s="1344"/>
      <c r="G2539" s="1345" t="s">
        <v>490</v>
      </c>
      <c r="H2539" s="1346"/>
      <c r="I2539" s="1347"/>
      <c r="J2539" s="1339"/>
      <c r="K2539" s="1339"/>
      <c r="L2539" s="1339"/>
      <c r="M2539" s="1339"/>
      <c r="N2539" s="1339"/>
      <c r="O2539" s="1339"/>
      <c r="P2539" s="295" t="s">
        <v>491</v>
      </c>
      <c r="Q2539" s="1339"/>
      <c r="R2539" s="1337"/>
      <c r="S2539" s="1339"/>
      <c r="T2539" s="1339"/>
      <c r="U2539" s="1341"/>
      <c r="V2539" s="291">
        <f t="shared" ca="1" si="792"/>
        <v>0</v>
      </c>
      <c r="W2539" s="256">
        <f t="shared" ca="1" si="787"/>
        <v>2</v>
      </c>
      <c r="X2539" s="256">
        <f t="shared" ca="1" si="790"/>
        <v>1</v>
      </c>
      <c r="Y2539" s="336"/>
      <c r="Z2539" s="336"/>
    </row>
    <row r="2540" spans="1:29" s="337" customFormat="1" ht="15.75" x14ac:dyDescent="0.2">
      <c r="A2540" s="288"/>
      <c r="B2540" s="296"/>
      <c r="C2540" s="297" t="s">
        <v>1098</v>
      </c>
      <c r="D2540" s="298"/>
      <c r="E2540" s="299"/>
      <c r="F2540" s="300"/>
      <c r="G2540" s="301"/>
      <c r="H2540" s="302"/>
      <c r="I2540" s="303"/>
      <c r="J2540" s="304"/>
      <c r="K2540" s="304"/>
      <c r="L2540" s="304"/>
      <c r="M2540" s="304"/>
      <c r="N2540" s="304"/>
      <c r="O2540" s="304"/>
      <c r="P2540" s="306"/>
      <c r="Q2540" s="304"/>
      <c r="R2540" s="307">
        <v>1</v>
      </c>
      <c r="S2540" s="304"/>
      <c r="T2540" s="309">
        <v>33</v>
      </c>
      <c r="U2540" s="310"/>
      <c r="V2540" s="291">
        <f t="shared" ca="1" si="792"/>
        <v>0</v>
      </c>
      <c r="W2540" s="256">
        <f t="shared" ca="1" si="787"/>
        <v>2</v>
      </c>
      <c r="X2540" s="256">
        <f t="shared" ca="1" si="790"/>
        <v>1</v>
      </c>
      <c r="Y2540" s="336"/>
      <c r="Z2540" s="336"/>
    </row>
    <row r="2541" spans="1:29" s="111" customFormat="1" ht="15.75" x14ac:dyDescent="0.2">
      <c r="A2541" s="288"/>
      <c r="B2541" s="311"/>
      <c r="C2541" s="312"/>
      <c r="D2541" s="313"/>
      <c r="E2541" s="314"/>
      <c r="F2541" s="315"/>
      <c r="G2541" s="380"/>
      <c r="H2541" s="316"/>
      <c r="I2541" s="381"/>
      <c r="J2541" s="317"/>
      <c r="K2541" s="313"/>
      <c r="L2541" s="317"/>
      <c r="M2541" s="315"/>
      <c r="N2541" s="314"/>
      <c r="O2541" s="313"/>
      <c r="P2541" s="318"/>
      <c r="Q2541" s="315"/>
      <c r="R2541" s="319"/>
      <c r="S2541" s="317"/>
      <c r="T2541" s="320"/>
      <c r="U2541" s="321"/>
      <c r="V2541" s="291">
        <f t="shared" ca="1" si="792"/>
        <v>0</v>
      </c>
      <c r="W2541" s="256">
        <f t="shared" ca="1" si="787"/>
        <v>0</v>
      </c>
      <c r="X2541" s="256">
        <f t="shared" ca="1" si="790"/>
        <v>1</v>
      </c>
      <c r="Y2541" s="250"/>
      <c r="Z2541" s="250"/>
    </row>
    <row r="2542" spans="1:29" s="111" customFormat="1" ht="15" x14ac:dyDescent="0.2">
      <c r="A2542" s="288"/>
      <c r="B2542" s="322"/>
      <c r="C2542" s="382"/>
      <c r="D2542" s="324"/>
      <c r="E2542" s="325"/>
      <c r="F2542" s="326"/>
      <c r="G2542" s="324"/>
      <c r="H2542" s="325"/>
      <c r="I2542" s="326"/>
      <c r="J2542" s="317"/>
      <c r="K2542" s="328"/>
      <c r="L2542" s="328"/>
      <c r="M2542" s="328"/>
      <c r="N2542" s="328"/>
      <c r="O2542" s="334"/>
      <c r="P2542" s="328"/>
      <c r="Q2542" s="334"/>
      <c r="R2542" s="333"/>
      <c r="S2542" s="331"/>
      <c r="T2542" s="320"/>
      <c r="U2542" s="335"/>
      <c r="V2542" s="291">
        <f t="shared" ca="1" si="792"/>
        <v>0</v>
      </c>
      <c r="W2542" s="256">
        <f t="shared" ca="1" si="787"/>
        <v>0</v>
      </c>
      <c r="X2542" s="256">
        <f t="shared" ca="1" si="790"/>
        <v>1</v>
      </c>
      <c r="Y2542" s="250"/>
      <c r="Z2542" s="250"/>
    </row>
    <row r="2543" spans="1:29" s="111" customFormat="1" ht="15" x14ac:dyDescent="0.2">
      <c r="A2543" s="288"/>
      <c r="B2543" s="338"/>
      <c r="C2543" s="339"/>
      <c r="D2543" s="340"/>
      <c r="E2543" s="341"/>
      <c r="F2543" s="342"/>
      <c r="G2543" s="340"/>
      <c r="H2543" s="341"/>
      <c r="I2543" s="342"/>
      <c r="J2543" s="343"/>
      <c r="K2543" s="344"/>
      <c r="L2543" s="345"/>
      <c r="M2543" s="346"/>
      <c r="N2543" s="347"/>
      <c r="O2543" s="348"/>
      <c r="P2543" s="345"/>
      <c r="Q2543" s="349"/>
      <c r="R2543" s="350"/>
      <c r="S2543" s="351"/>
      <c r="T2543" s="352"/>
      <c r="U2543" s="353"/>
      <c r="V2543" s="291">
        <f t="shared" ca="1" si="792"/>
        <v>0</v>
      </c>
      <c r="W2543" s="256">
        <f t="shared" ca="1" si="787"/>
        <v>0</v>
      </c>
      <c r="X2543" s="256">
        <f t="shared" ca="1" si="790"/>
        <v>1</v>
      </c>
      <c r="Y2543" s="250"/>
      <c r="Z2543" s="250"/>
    </row>
    <row r="2544" spans="1:29" s="111" customFormat="1" ht="15.75" customHeight="1" x14ac:dyDescent="0.2">
      <c r="A2544" s="288"/>
      <c r="B2544" s="354"/>
      <c r="C2544" s="355"/>
      <c r="D2544" s="1354" t="s">
        <v>492</v>
      </c>
      <c r="E2544" s="1355"/>
      <c r="F2544" s="1355"/>
      <c r="G2544" s="1355"/>
      <c r="H2544" s="1355"/>
      <c r="I2544" s="1356"/>
      <c r="J2544" s="1357">
        <f>VLOOKUP(A2546,'11 - FINANCEIRO'!_xlnm.Print_Area,6,FALSE)</f>
        <v>1</v>
      </c>
      <c r="K2544" s="1358"/>
      <c r="L2544" s="356" t="str">
        <f>VLOOKUP(A2546,'11 - FINANCEIRO'!_xlnm.Print_Area,4,FALSE)</f>
        <v>un</v>
      </c>
      <c r="M2544" s="1359" t="s">
        <v>493</v>
      </c>
      <c r="N2544" s="1360"/>
      <c r="O2544" s="1360"/>
      <c r="P2544" s="1360"/>
      <c r="Q2544" s="1361"/>
      <c r="R2544" s="357">
        <f>TRUNC(SUM(R2540:R2543),3)</f>
        <v>1</v>
      </c>
      <c r="S2544" s="358" t="str">
        <f>L2544</f>
        <v>un</v>
      </c>
      <c r="T2544" s="359"/>
      <c r="U2544" s="360"/>
      <c r="V2544" s="291">
        <f t="shared" ca="1" si="792"/>
        <v>0</v>
      </c>
      <c r="W2544" s="256">
        <f t="shared" ca="1" si="787"/>
        <v>2</v>
      </c>
      <c r="X2544" s="256">
        <f t="shared" ca="1" si="790"/>
        <v>1</v>
      </c>
      <c r="Y2544" s="250"/>
      <c r="Z2544" s="250"/>
    </row>
    <row r="2545" spans="1:29" s="395" customFormat="1" ht="15.75" customHeight="1" x14ac:dyDescent="0.2">
      <c r="A2545" s="288" t="s">
        <v>121</v>
      </c>
      <c r="B2545" s="354"/>
      <c r="C2545" s="361"/>
      <c r="D2545" s="1362" t="s">
        <v>494</v>
      </c>
      <c r="E2545" s="1363"/>
      <c r="F2545" s="1363"/>
      <c r="G2545" s="1363"/>
      <c r="H2545" s="1363"/>
      <c r="I2545" s="1364"/>
      <c r="J2545" s="1365">
        <f>R2544/J2544</f>
        <v>1</v>
      </c>
      <c r="K2545" s="1366"/>
      <c r="L2545" s="1369"/>
      <c r="M2545" s="1371" t="s">
        <v>495</v>
      </c>
      <c r="N2545" s="1372"/>
      <c r="O2545" s="1372"/>
      <c r="P2545" s="1372"/>
      <c r="Q2545" s="1373"/>
      <c r="R2545" s="362">
        <f>VLOOKUP(A2546,'11 - FINANCEIRO'!_xlnm.Print_Area,8,FALSE)</f>
        <v>1</v>
      </c>
      <c r="S2545" s="363" t="str">
        <f>L2544</f>
        <v>un</v>
      </c>
      <c r="T2545" s="359"/>
      <c r="U2545" s="360"/>
      <c r="V2545" s="291">
        <f t="shared" ca="1" si="792"/>
        <v>0</v>
      </c>
      <c r="W2545" s="256">
        <f t="shared" ca="1" si="787"/>
        <v>2</v>
      </c>
      <c r="X2545" s="256">
        <f t="shared" ca="1" si="790"/>
        <v>1</v>
      </c>
    </row>
    <row r="2546" spans="1:29" s="395" customFormat="1" ht="15.75" customHeight="1" x14ac:dyDescent="0.2">
      <c r="A2546" s="288" t="s">
        <v>122</v>
      </c>
      <c r="B2546" s="364"/>
      <c r="C2546" s="365"/>
      <c r="D2546" s="1354"/>
      <c r="E2546" s="1355"/>
      <c r="F2546" s="1355"/>
      <c r="G2546" s="1355"/>
      <c r="H2546" s="1355"/>
      <c r="I2546" s="1356"/>
      <c r="J2546" s="1367"/>
      <c r="K2546" s="1368"/>
      <c r="L2546" s="1370"/>
      <c r="M2546" s="1371" t="s">
        <v>496</v>
      </c>
      <c r="N2546" s="1372"/>
      <c r="O2546" s="1372"/>
      <c r="P2546" s="1372"/>
      <c r="Q2546" s="1373"/>
      <c r="R2546" s="362">
        <f>R2544-R2545</f>
        <v>0</v>
      </c>
      <c r="S2546" s="363" t="str">
        <f>L2544</f>
        <v>un</v>
      </c>
      <c r="T2546" s="366"/>
      <c r="U2546" s="367"/>
      <c r="V2546" s="291">
        <f t="shared" ca="1" si="792"/>
        <v>0</v>
      </c>
      <c r="W2546" s="256">
        <f t="shared" ca="1" si="787"/>
        <v>2</v>
      </c>
      <c r="X2546" s="256">
        <f t="shared" ca="1" si="790"/>
        <v>1</v>
      </c>
    </row>
    <row r="2547" spans="1:29" s="111" customFormat="1" ht="15.75" x14ac:dyDescent="0.2">
      <c r="A2547" s="288"/>
      <c r="B2547" s="368"/>
      <c r="C2547" s="365"/>
      <c r="D2547" s="369"/>
      <c r="E2547" s="370"/>
      <c r="F2547" s="369"/>
      <c r="G2547" s="369"/>
      <c r="H2547" s="369"/>
      <c r="I2547" s="369"/>
      <c r="J2547" s="371"/>
      <c r="K2547" s="372"/>
      <c r="L2547" s="373"/>
      <c r="M2547" s="374"/>
      <c r="N2547" s="374"/>
      <c r="O2547" s="374"/>
      <c r="P2547" s="374"/>
      <c r="Q2547" s="374"/>
      <c r="R2547" s="375"/>
      <c r="S2547" s="376"/>
      <c r="T2547" s="377"/>
      <c r="U2547" s="378"/>
      <c r="V2547" s="379">
        <f ca="1">SUM(V2538:V2546)</f>
        <v>0</v>
      </c>
      <c r="W2547" s="256">
        <f t="shared" ca="1" si="787"/>
        <v>1</v>
      </c>
      <c r="X2547" s="256">
        <f t="shared" ca="1" si="790"/>
        <v>0</v>
      </c>
      <c r="Y2547" s="250"/>
      <c r="Z2547" s="250"/>
    </row>
    <row r="2548" spans="1:29" s="293" customFormat="1" ht="15.75" x14ac:dyDescent="0.2">
      <c r="A2548" s="288"/>
      <c r="B2548" s="385" t="str">
        <f>LEFT(A2556,11)</f>
        <v>3.3.2</v>
      </c>
      <c r="C2548" s="386" t="str">
        <f>VLOOKUP(LEFT(A2556,11),'11 - FINANCEIRO'!_xlnm.Print_Area,2,FALSE)</f>
        <v>Rede Coletora</v>
      </c>
      <c r="D2548" s="386"/>
      <c r="E2548" s="387"/>
      <c r="F2548" s="386"/>
      <c r="G2548" s="1395"/>
      <c r="H2548" s="1395"/>
      <c r="I2548" s="1395"/>
      <c r="J2548" s="1395"/>
      <c r="K2548" s="1395"/>
      <c r="L2548" s="1395"/>
      <c r="M2548" s="389"/>
      <c r="N2548" s="390"/>
      <c r="O2548" s="389"/>
      <c r="P2548" s="389"/>
      <c r="Q2548" s="389"/>
      <c r="R2548" s="390"/>
      <c r="S2548" s="389"/>
      <c r="T2548" s="389"/>
      <c r="U2548" s="601"/>
      <c r="V2548" s="549">
        <f ca="1">SUM(V2549:V2742)</f>
        <v>2880</v>
      </c>
      <c r="W2548" s="256">
        <f t="shared" ca="1" si="787"/>
        <v>1</v>
      </c>
      <c r="X2548" s="256">
        <f t="shared" ca="1" si="790"/>
        <v>1</v>
      </c>
      <c r="Y2548" s="256"/>
      <c r="Z2548" s="256"/>
      <c r="AA2548" s="292"/>
      <c r="AB2548" s="292"/>
      <c r="AC2548" s="292"/>
    </row>
    <row r="2549" spans="1:29" s="293" customFormat="1" ht="15.75" hidden="1" x14ac:dyDescent="0.2">
      <c r="A2549" s="288"/>
      <c r="B2549" s="385" t="str">
        <f>LEFT(A2557,7)</f>
        <v>3.3.2.1</v>
      </c>
      <c r="C2549" s="386" t="str">
        <f>VLOOKUP(LEFT(A2557,7),'11 - FINANCEIRO'!_xlnm.Print_Area,2,FALSE)</f>
        <v>Serviços Técnicos</v>
      </c>
      <c r="D2549" s="386"/>
      <c r="E2549" s="387"/>
      <c r="F2549" s="386"/>
      <c r="G2549" s="1395"/>
      <c r="H2549" s="1395"/>
      <c r="I2549" s="1395"/>
      <c r="J2549" s="1395"/>
      <c r="K2549" s="1395"/>
      <c r="L2549" s="1395"/>
      <c r="M2549" s="389"/>
      <c r="N2549" s="390"/>
      <c r="O2549" s="389"/>
      <c r="P2549" s="389"/>
      <c r="Q2549" s="389"/>
      <c r="R2549" s="390"/>
      <c r="S2549" s="389"/>
      <c r="T2549" s="389"/>
      <c r="U2549" s="601"/>
      <c r="V2549" s="549">
        <f ca="1">SUM(V2550:V2569)</f>
        <v>0</v>
      </c>
      <c r="W2549" s="256">
        <f t="shared" ca="1" si="787"/>
        <v>1</v>
      </c>
      <c r="X2549" s="256">
        <f t="shared" ca="1" si="790"/>
        <v>1</v>
      </c>
      <c r="Y2549" s="256"/>
      <c r="Z2549" s="256"/>
      <c r="AA2549" s="292"/>
      <c r="AB2549" s="292"/>
      <c r="AC2549" s="292"/>
    </row>
    <row r="2550" spans="1:29" s="293" customFormat="1" ht="15.75" hidden="1" customHeight="1" x14ac:dyDescent="0.25">
      <c r="A2550" s="288"/>
      <c r="B2550" s="1374" t="str">
        <f>VLOOKUP(A2558,'11 - FINANCEIRO'!_xlnm.Print_Area,1,FALSE)</f>
        <v>3.3.2.1.1</v>
      </c>
      <c r="C2550" s="1376" t="str">
        <f>VLOOKUP(A2558,'11 - FINANCEIRO'!_xlnm.Print_Area,3,FALSE)</f>
        <v>Teste De Estanqueidade Em Redes De Esgoto</v>
      </c>
      <c r="D2550" s="1378" t="s">
        <v>477</v>
      </c>
      <c r="E2550" s="1379"/>
      <c r="F2550" s="1379"/>
      <c r="G2550" s="1379"/>
      <c r="H2550" s="1379"/>
      <c r="I2550" s="1380"/>
      <c r="J2550" s="1338" t="s">
        <v>478</v>
      </c>
      <c r="K2550" s="1338" t="s">
        <v>479</v>
      </c>
      <c r="L2550" s="1338" t="s">
        <v>480</v>
      </c>
      <c r="M2550" s="1338" t="s">
        <v>481</v>
      </c>
      <c r="N2550" s="1338" t="s">
        <v>482</v>
      </c>
      <c r="O2550" s="1338" t="s">
        <v>483</v>
      </c>
      <c r="P2550" s="290" t="s">
        <v>484</v>
      </c>
      <c r="Q2550" s="1338" t="s">
        <v>485</v>
      </c>
      <c r="R2550" s="1336" t="s">
        <v>296</v>
      </c>
      <c r="S2550" s="1338" t="s">
        <v>486</v>
      </c>
      <c r="T2550" s="1338" t="s">
        <v>487</v>
      </c>
      <c r="U2550" s="1340" t="s">
        <v>488</v>
      </c>
      <c r="V2550" s="291">
        <f t="shared" ref="V2550:V2558" ca="1" si="793">IF(OFFSET(V2550,1,1)=1,OFFSET(V2550,0,-4),OFFSET(V2550,1,0))</f>
        <v>0</v>
      </c>
      <c r="W2550" s="256">
        <f t="shared" ca="1" si="787"/>
        <v>2</v>
      </c>
      <c r="X2550" s="256">
        <f t="shared" ca="1" si="790"/>
        <v>1</v>
      </c>
      <c r="Y2550" s="256"/>
      <c r="Z2550" s="256"/>
      <c r="AA2550" s="292"/>
      <c r="AB2550" s="292"/>
      <c r="AC2550" s="292"/>
    </row>
    <row r="2551" spans="1:29" s="337" customFormat="1" ht="15.75" hidden="1" x14ac:dyDescent="0.2">
      <c r="A2551" s="288"/>
      <c r="B2551" s="1375"/>
      <c r="C2551" s="1377" t="e">
        <f>VLOOKUP(LEFT(#REF!,5),'11 - FINANCEIRO'!_xlnm.Print_Area,2,FALSE)</f>
        <v>#REF!</v>
      </c>
      <c r="D2551" s="1342" t="s">
        <v>489</v>
      </c>
      <c r="E2551" s="1343"/>
      <c r="F2551" s="1344"/>
      <c r="G2551" s="1345" t="s">
        <v>490</v>
      </c>
      <c r="H2551" s="1346"/>
      <c r="I2551" s="1347"/>
      <c r="J2551" s="1339"/>
      <c r="K2551" s="1339"/>
      <c r="L2551" s="1339"/>
      <c r="M2551" s="1339"/>
      <c r="N2551" s="1339"/>
      <c r="O2551" s="1339"/>
      <c r="P2551" s="295" t="s">
        <v>491</v>
      </c>
      <c r="Q2551" s="1339"/>
      <c r="R2551" s="1337"/>
      <c r="S2551" s="1339"/>
      <c r="T2551" s="1339"/>
      <c r="U2551" s="1341"/>
      <c r="V2551" s="291">
        <f t="shared" ca="1" si="793"/>
        <v>0</v>
      </c>
      <c r="W2551" s="256">
        <f t="shared" ca="1" si="787"/>
        <v>2</v>
      </c>
      <c r="X2551" s="256">
        <f t="shared" ca="1" si="790"/>
        <v>1</v>
      </c>
      <c r="Y2551" s="336"/>
      <c r="Z2551" s="336"/>
    </row>
    <row r="2552" spans="1:29" s="337" customFormat="1" ht="15.75" hidden="1" x14ac:dyDescent="0.2">
      <c r="A2552" s="288"/>
      <c r="B2552" s="296"/>
      <c r="C2552" s="297"/>
      <c r="D2552" s="298"/>
      <c r="E2552" s="299"/>
      <c r="F2552" s="300"/>
      <c r="G2552" s="301"/>
      <c r="H2552" s="302"/>
      <c r="I2552" s="303"/>
      <c r="J2552" s="304"/>
      <c r="K2552" s="304"/>
      <c r="L2552" s="304"/>
      <c r="M2552" s="304"/>
      <c r="N2552" s="304"/>
      <c r="O2552" s="304"/>
      <c r="P2552" s="306"/>
      <c r="Q2552" s="304"/>
      <c r="R2552" s="307"/>
      <c r="S2552" s="304"/>
      <c r="T2552" s="309"/>
      <c r="U2552" s="310"/>
      <c r="V2552" s="291">
        <f t="shared" ca="1" si="793"/>
        <v>0</v>
      </c>
      <c r="W2552" s="256">
        <f t="shared" ca="1" si="787"/>
        <v>0</v>
      </c>
      <c r="X2552" s="256">
        <f t="shared" ca="1" si="790"/>
        <v>1</v>
      </c>
      <c r="Y2552" s="336"/>
      <c r="Z2552" s="336"/>
    </row>
    <row r="2553" spans="1:29" s="111" customFormat="1" ht="15.75" hidden="1" x14ac:dyDescent="0.2">
      <c r="A2553" s="288"/>
      <c r="B2553" s="311"/>
      <c r="C2553" s="312"/>
      <c r="D2553" s="313"/>
      <c r="E2553" s="314"/>
      <c r="F2553" s="315"/>
      <c r="G2553" s="380"/>
      <c r="H2553" s="316"/>
      <c r="I2553" s="381"/>
      <c r="J2553" s="317"/>
      <c r="K2553" s="313"/>
      <c r="L2553" s="317"/>
      <c r="M2553" s="315"/>
      <c r="N2553" s="314"/>
      <c r="O2553" s="313"/>
      <c r="P2553" s="318"/>
      <c r="Q2553" s="315"/>
      <c r="R2553" s="319"/>
      <c r="S2553" s="317"/>
      <c r="T2553" s="320"/>
      <c r="U2553" s="321"/>
      <c r="V2553" s="291">
        <f t="shared" ca="1" si="793"/>
        <v>0</v>
      </c>
      <c r="W2553" s="256">
        <f t="shared" ca="1" si="787"/>
        <v>0</v>
      </c>
      <c r="X2553" s="256">
        <f t="shared" ca="1" si="790"/>
        <v>1</v>
      </c>
      <c r="Y2553" s="250"/>
      <c r="Z2553" s="250"/>
    </row>
    <row r="2554" spans="1:29" s="111" customFormat="1" ht="15" hidden="1" x14ac:dyDescent="0.2">
      <c r="A2554" s="288"/>
      <c r="B2554" s="322"/>
      <c r="C2554" s="382"/>
      <c r="D2554" s="324"/>
      <c r="E2554" s="325"/>
      <c r="F2554" s="326"/>
      <c r="G2554" s="324"/>
      <c r="H2554" s="325"/>
      <c r="I2554" s="326"/>
      <c r="J2554" s="317"/>
      <c r="K2554" s="328"/>
      <c r="L2554" s="328"/>
      <c r="M2554" s="328"/>
      <c r="N2554" s="328"/>
      <c r="O2554" s="334"/>
      <c r="P2554" s="328"/>
      <c r="Q2554" s="334"/>
      <c r="R2554" s="333"/>
      <c r="S2554" s="331"/>
      <c r="T2554" s="320"/>
      <c r="U2554" s="335"/>
      <c r="V2554" s="291">
        <f t="shared" ca="1" si="793"/>
        <v>0</v>
      </c>
      <c r="W2554" s="256">
        <f t="shared" ca="1" si="787"/>
        <v>0</v>
      </c>
      <c r="X2554" s="256">
        <f t="shared" ca="1" si="790"/>
        <v>1</v>
      </c>
      <c r="Y2554" s="250"/>
      <c r="Z2554" s="250"/>
    </row>
    <row r="2555" spans="1:29" s="111" customFormat="1" ht="15" hidden="1" x14ac:dyDescent="0.2">
      <c r="A2555" s="288"/>
      <c r="B2555" s="338"/>
      <c r="C2555" s="339"/>
      <c r="D2555" s="340"/>
      <c r="E2555" s="341"/>
      <c r="F2555" s="342"/>
      <c r="G2555" s="340"/>
      <c r="H2555" s="341"/>
      <c r="I2555" s="342"/>
      <c r="J2555" s="343"/>
      <c r="K2555" s="344"/>
      <c r="L2555" s="345"/>
      <c r="M2555" s="346"/>
      <c r="N2555" s="347"/>
      <c r="O2555" s="348"/>
      <c r="P2555" s="345"/>
      <c r="Q2555" s="349"/>
      <c r="R2555" s="350"/>
      <c r="S2555" s="351"/>
      <c r="T2555" s="352"/>
      <c r="U2555" s="353"/>
      <c r="V2555" s="291">
        <f t="shared" ca="1" si="793"/>
        <v>0</v>
      </c>
      <c r="W2555" s="256">
        <f t="shared" ca="1" si="787"/>
        <v>0</v>
      </c>
      <c r="X2555" s="256">
        <f t="shared" ca="1" si="790"/>
        <v>1</v>
      </c>
      <c r="Y2555" s="250"/>
      <c r="Z2555" s="250"/>
    </row>
    <row r="2556" spans="1:29" s="111" customFormat="1" ht="15.75" hidden="1" customHeight="1" x14ac:dyDescent="0.2">
      <c r="A2556" s="288" t="s">
        <v>123</v>
      </c>
      <c r="B2556" s="354"/>
      <c r="C2556" s="355"/>
      <c r="D2556" s="1354" t="s">
        <v>492</v>
      </c>
      <c r="E2556" s="1355"/>
      <c r="F2556" s="1355"/>
      <c r="G2556" s="1355"/>
      <c r="H2556" s="1355"/>
      <c r="I2556" s="1356"/>
      <c r="J2556" s="1357">
        <f>VLOOKUP(A2558,'11 - FINANCEIRO'!_xlnm.Print_Area,6,FALSE)</f>
        <v>80</v>
      </c>
      <c r="K2556" s="1358"/>
      <c r="L2556" s="356" t="str">
        <f>VLOOKUP(A2558,'11 - FINANCEIRO'!_xlnm.Print_Area,4,FALSE)</f>
        <v>m</v>
      </c>
      <c r="M2556" s="1359" t="s">
        <v>493</v>
      </c>
      <c r="N2556" s="1360"/>
      <c r="O2556" s="1360"/>
      <c r="P2556" s="1360"/>
      <c r="Q2556" s="1361"/>
      <c r="R2556" s="357">
        <f>TRUNC(SUM(R2552:R2555),3)</f>
        <v>0</v>
      </c>
      <c r="S2556" s="358" t="str">
        <f>L2556</f>
        <v>m</v>
      </c>
      <c r="T2556" s="359"/>
      <c r="U2556" s="360"/>
      <c r="V2556" s="291">
        <f t="shared" ca="1" si="793"/>
        <v>0</v>
      </c>
      <c r="W2556" s="256">
        <f t="shared" ca="1" si="787"/>
        <v>2</v>
      </c>
      <c r="X2556" s="256">
        <f t="shared" ca="1" si="790"/>
        <v>1</v>
      </c>
      <c r="Y2556" s="250"/>
      <c r="Z2556" s="250"/>
    </row>
    <row r="2557" spans="1:29" s="293" customFormat="1" ht="15.75" hidden="1" customHeight="1" x14ac:dyDescent="0.2">
      <c r="A2557" s="288" t="s">
        <v>124</v>
      </c>
      <c r="B2557" s="354"/>
      <c r="C2557" s="361"/>
      <c r="D2557" s="1362" t="s">
        <v>494</v>
      </c>
      <c r="E2557" s="1363"/>
      <c r="F2557" s="1363"/>
      <c r="G2557" s="1363"/>
      <c r="H2557" s="1363"/>
      <c r="I2557" s="1364"/>
      <c r="J2557" s="1365">
        <f>R2556/J2556</f>
        <v>0</v>
      </c>
      <c r="K2557" s="1366"/>
      <c r="L2557" s="1369"/>
      <c r="M2557" s="1371" t="s">
        <v>495</v>
      </c>
      <c r="N2557" s="1372"/>
      <c r="O2557" s="1372"/>
      <c r="P2557" s="1372"/>
      <c r="Q2557" s="1373"/>
      <c r="R2557" s="362">
        <f>VLOOKUP(A2558,'11 - FINANCEIRO'!_xlnm.Print_Area,8,FALSE)</f>
        <v>0</v>
      </c>
      <c r="S2557" s="363" t="str">
        <f>L2556</f>
        <v>m</v>
      </c>
      <c r="T2557" s="359"/>
      <c r="U2557" s="360"/>
      <c r="V2557" s="291">
        <f t="shared" ca="1" si="793"/>
        <v>0</v>
      </c>
      <c r="W2557" s="256">
        <f t="shared" ca="1" si="787"/>
        <v>2</v>
      </c>
      <c r="X2557" s="256">
        <f t="shared" ca="1" si="790"/>
        <v>1</v>
      </c>
      <c r="Y2557" s="256"/>
      <c r="Z2557" s="256"/>
      <c r="AA2557" s="292"/>
      <c r="AB2557" s="292"/>
      <c r="AC2557" s="292"/>
    </row>
    <row r="2558" spans="1:29" s="293" customFormat="1" ht="15.75" hidden="1" customHeight="1" x14ac:dyDescent="0.2">
      <c r="A2558" s="288" t="s">
        <v>125</v>
      </c>
      <c r="B2558" s="364"/>
      <c r="C2558" s="365"/>
      <c r="D2558" s="1354"/>
      <c r="E2558" s="1355"/>
      <c r="F2558" s="1355"/>
      <c r="G2558" s="1355"/>
      <c r="H2558" s="1355"/>
      <c r="I2558" s="1356"/>
      <c r="J2558" s="1367"/>
      <c r="K2558" s="1368"/>
      <c r="L2558" s="1370"/>
      <c r="M2558" s="1371" t="s">
        <v>496</v>
      </c>
      <c r="N2558" s="1372"/>
      <c r="O2558" s="1372"/>
      <c r="P2558" s="1372"/>
      <c r="Q2558" s="1373"/>
      <c r="R2558" s="362">
        <f>R2556-R2557</f>
        <v>0</v>
      </c>
      <c r="S2558" s="363" t="str">
        <f>L2556</f>
        <v>m</v>
      </c>
      <c r="T2558" s="366"/>
      <c r="U2558" s="367"/>
      <c r="V2558" s="291">
        <f t="shared" ca="1" si="793"/>
        <v>0</v>
      </c>
      <c r="W2558" s="256">
        <f t="shared" ca="1" si="787"/>
        <v>2</v>
      </c>
      <c r="X2558" s="256">
        <f t="shared" ca="1" si="790"/>
        <v>1</v>
      </c>
      <c r="Y2558" s="256"/>
      <c r="Z2558" s="256"/>
      <c r="AA2558" s="292"/>
      <c r="AB2558" s="292"/>
      <c r="AC2558" s="292"/>
    </row>
    <row r="2559" spans="1:29" s="111" customFormat="1" ht="15.75" hidden="1" x14ac:dyDescent="0.2">
      <c r="A2559" s="288"/>
      <c r="B2559" s="368"/>
      <c r="C2559" s="365"/>
      <c r="D2559" s="369"/>
      <c r="E2559" s="370"/>
      <c r="F2559" s="369"/>
      <c r="G2559" s="369"/>
      <c r="H2559" s="369"/>
      <c r="I2559" s="369"/>
      <c r="J2559" s="371"/>
      <c r="K2559" s="372"/>
      <c r="L2559" s="373"/>
      <c r="M2559" s="374"/>
      <c r="N2559" s="374"/>
      <c r="O2559" s="374"/>
      <c r="P2559" s="374"/>
      <c r="Q2559" s="374"/>
      <c r="R2559" s="375"/>
      <c r="S2559" s="376"/>
      <c r="T2559" s="377"/>
      <c r="U2559" s="378"/>
      <c r="V2559" s="379">
        <f ca="1">SUM(V2550:V2558)</f>
        <v>0</v>
      </c>
      <c r="W2559" s="256">
        <f t="shared" ca="1" si="787"/>
        <v>1</v>
      </c>
      <c r="X2559" s="256">
        <f t="shared" ca="1" si="790"/>
        <v>0</v>
      </c>
      <c r="Y2559" s="250"/>
      <c r="Z2559" s="250"/>
    </row>
    <row r="2560" spans="1:29" s="293" customFormat="1" ht="15.75" hidden="1" customHeight="1" x14ac:dyDescent="0.25">
      <c r="A2560" s="288"/>
      <c r="B2560" s="1374" t="str">
        <f>VLOOKUP(A2568,'11 - FINANCEIRO'!_xlnm.Print_Area,1,FALSE)</f>
        <v>3.3.2.1.2</v>
      </c>
      <c r="C2560" s="1376" t="str">
        <f>VLOOKUP(A2568,'11 - FINANCEIRO'!_xlnm.Print_Area,3,FALSE)</f>
        <v>Cadastro De Rede Agua Ou Esgoto</v>
      </c>
      <c r="D2560" s="1378" t="s">
        <v>477</v>
      </c>
      <c r="E2560" s="1379"/>
      <c r="F2560" s="1379"/>
      <c r="G2560" s="1379"/>
      <c r="H2560" s="1379"/>
      <c r="I2560" s="1380"/>
      <c r="J2560" s="1338" t="s">
        <v>478</v>
      </c>
      <c r="K2560" s="1338" t="s">
        <v>479</v>
      </c>
      <c r="L2560" s="1338" t="s">
        <v>480</v>
      </c>
      <c r="M2560" s="1338" t="s">
        <v>481</v>
      </c>
      <c r="N2560" s="1338" t="s">
        <v>482</v>
      </c>
      <c r="O2560" s="1338" t="s">
        <v>483</v>
      </c>
      <c r="P2560" s="290" t="s">
        <v>484</v>
      </c>
      <c r="Q2560" s="1338" t="s">
        <v>485</v>
      </c>
      <c r="R2560" s="1336" t="s">
        <v>296</v>
      </c>
      <c r="S2560" s="1338" t="s">
        <v>486</v>
      </c>
      <c r="T2560" s="1338" t="s">
        <v>487</v>
      </c>
      <c r="U2560" s="1340" t="s">
        <v>488</v>
      </c>
      <c r="V2560" s="291">
        <f t="shared" ref="V2560:V2568" ca="1" si="794">IF(OFFSET(V2560,1,1)=1,OFFSET(V2560,0,-4),OFFSET(V2560,1,0))</f>
        <v>0</v>
      </c>
      <c r="W2560" s="256">
        <f t="shared" ca="1" si="787"/>
        <v>2</v>
      </c>
      <c r="X2560" s="256">
        <f t="shared" ca="1" si="790"/>
        <v>1</v>
      </c>
      <c r="Y2560" s="256"/>
      <c r="Z2560" s="256"/>
      <c r="AA2560" s="292"/>
      <c r="AB2560" s="292"/>
      <c r="AC2560" s="292"/>
    </row>
    <row r="2561" spans="1:29" s="337" customFormat="1" ht="15.75" hidden="1" x14ac:dyDescent="0.2">
      <c r="A2561" s="288"/>
      <c r="B2561" s="1375"/>
      <c r="C2561" s="1377" t="e">
        <f>VLOOKUP(LEFT(#REF!,5),'11 - FINANCEIRO'!_xlnm.Print_Area,2,FALSE)</f>
        <v>#REF!</v>
      </c>
      <c r="D2561" s="1342" t="s">
        <v>489</v>
      </c>
      <c r="E2561" s="1343"/>
      <c r="F2561" s="1344"/>
      <c r="G2561" s="1345" t="s">
        <v>490</v>
      </c>
      <c r="H2561" s="1346"/>
      <c r="I2561" s="1347"/>
      <c r="J2561" s="1339"/>
      <c r="K2561" s="1339"/>
      <c r="L2561" s="1339"/>
      <c r="M2561" s="1339"/>
      <c r="N2561" s="1339"/>
      <c r="O2561" s="1339"/>
      <c r="P2561" s="295" t="s">
        <v>491</v>
      </c>
      <c r="Q2561" s="1339"/>
      <c r="R2561" s="1337"/>
      <c r="S2561" s="1339"/>
      <c r="T2561" s="1339"/>
      <c r="U2561" s="1341"/>
      <c r="V2561" s="291">
        <f t="shared" ca="1" si="794"/>
        <v>0</v>
      </c>
      <c r="W2561" s="256">
        <f t="shared" ca="1" si="787"/>
        <v>2</v>
      </c>
      <c r="X2561" s="256">
        <f t="shared" ca="1" si="790"/>
        <v>1</v>
      </c>
      <c r="Y2561" s="336"/>
      <c r="Z2561" s="336"/>
    </row>
    <row r="2562" spans="1:29" s="337" customFormat="1" ht="15.75" hidden="1" x14ac:dyDescent="0.2">
      <c r="A2562" s="288"/>
      <c r="B2562" s="296"/>
      <c r="C2562" s="297"/>
      <c r="D2562" s="298"/>
      <c r="E2562" s="299"/>
      <c r="F2562" s="300"/>
      <c r="G2562" s="301"/>
      <c r="H2562" s="302"/>
      <c r="I2562" s="303"/>
      <c r="J2562" s="304"/>
      <c r="K2562" s="304"/>
      <c r="L2562" s="304"/>
      <c r="M2562" s="304"/>
      <c r="N2562" s="304"/>
      <c r="O2562" s="304"/>
      <c r="P2562" s="306"/>
      <c r="Q2562" s="304"/>
      <c r="R2562" s="307"/>
      <c r="S2562" s="304"/>
      <c r="T2562" s="309"/>
      <c r="U2562" s="310"/>
      <c r="V2562" s="291">
        <f t="shared" ca="1" si="794"/>
        <v>0</v>
      </c>
      <c r="W2562" s="256">
        <f t="shared" ca="1" si="787"/>
        <v>0</v>
      </c>
      <c r="X2562" s="256">
        <f t="shared" ca="1" si="790"/>
        <v>1</v>
      </c>
      <c r="Y2562" s="336"/>
      <c r="Z2562" s="336"/>
    </row>
    <row r="2563" spans="1:29" s="111" customFormat="1" ht="15.75" hidden="1" x14ac:dyDescent="0.2">
      <c r="A2563" s="288"/>
      <c r="B2563" s="311"/>
      <c r="C2563" s="312"/>
      <c r="D2563" s="313"/>
      <c r="E2563" s="314"/>
      <c r="F2563" s="315"/>
      <c r="G2563" s="380"/>
      <c r="H2563" s="316"/>
      <c r="I2563" s="381"/>
      <c r="J2563" s="317"/>
      <c r="K2563" s="313"/>
      <c r="L2563" s="317"/>
      <c r="M2563" s="315"/>
      <c r="N2563" s="314"/>
      <c r="O2563" s="313"/>
      <c r="P2563" s="318"/>
      <c r="Q2563" s="315"/>
      <c r="R2563" s="319"/>
      <c r="S2563" s="317"/>
      <c r="T2563" s="320"/>
      <c r="U2563" s="321"/>
      <c r="V2563" s="291">
        <f t="shared" ca="1" si="794"/>
        <v>0</v>
      </c>
      <c r="W2563" s="256">
        <f t="shared" ca="1" si="787"/>
        <v>0</v>
      </c>
      <c r="X2563" s="256">
        <f t="shared" ca="1" si="790"/>
        <v>1</v>
      </c>
      <c r="Y2563" s="250"/>
      <c r="Z2563" s="250"/>
    </row>
    <row r="2564" spans="1:29" s="111" customFormat="1" ht="15" hidden="1" x14ac:dyDescent="0.2">
      <c r="A2564" s="288"/>
      <c r="B2564" s="322"/>
      <c r="C2564" s="382"/>
      <c r="D2564" s="324"/>
      <c r="E2564" s="325"/>
      <c r="F2564" s="326"/>
      <c r="G2564" s="324"/>
      <c r="H2564" s="325"/>
      <c r="I2564" s="326"/>
      <c r="J2564" s="317"/>
      <c r="K2564" s="328"/>
      <c r="L2564" s="328"/>
      <c r="M2564" s="328"/>
      <c r="N2564" s="328"/>
      <c r="O2564" s="334"/>
      <c r="P2564" s="328"/>
      <c r="Q2564" s="334"/>
      <c r="R2564" s="333"/>
      <c r="S2564" s="331"/>
      <c r="T2564" s="320"/>
      <c r="U2564" s="335"/>
      <c r="V2564" s="291">
        <f t="shared" ca="1" si="794"/>
        <v>0</v>
      </c>
      <c r="W2564" s="256">
        <f t="shared" ref="W2564:W2627" ca="1" si="795">IF(LEFT(_xlfn.FORMULATEXT(V2564),3)="=SO",1,IF(COUNTA(A2564:U2564)=0,0,2))</f>
        <v>0</v>
      </c>
      <c r="X2564" s="256">
        <f t="shared" ca="1" si="790"/>
        <v>1</v>
      </c>
      <c r="Y2564" s="250"/>
      <c r="Z2564" s="250"/>
    </row>
    <row r="2565" spans="1:29" s="111" customFormat="1" ht="15" hidden="1" x14ac:dyDescent="0.2">
      <c r="A2565" s="288"/>
      <c r="B2565" s="338"/>
      <c r="C2565" s="339"/>
      <c r="D2565" s="340"/>
      <c r="E2565" s="341"/>
      <c r="F2565" s="342"/>
      <c r="G2565" s="340"/>
      <c r="H2565" s="341"/>
      <c r="I2565" s="342"/>
      <c r="J2565" s="343"/>
      <c r="K2565" s="344"/>
      <c r="L2565" s="345"/>
      <c r="M2565" s="346"/>
      <c r="N2565" s="347"/>
      <c r="O2565" s="348"/>
      <c r="P2565" s="345"/>
      <c r="Q2565" s="349"/>
      <c r="R2565" s="350"/>
      <c r="S2565" s="351"/>
      <c r="T2565" s="352"/>
      <c r="U2565" s="353"/>
      <c r="V2565" s="291">
        <f t="shared" ca="1" si="794"/>
        <v>0</v>
      </c>
      <c r="W2565" s="256">
        <f t="shared" ca="1" si="795"/>
        <v>0</v>
      </c>
      <c r="X2565" s="256">
        <f t="shared" ca="1" si="790"/>
        <v>1</v>
      </c>
      <c r="Y2565" s="250"/>
      <c r="Z2565" s="250"/>
    </row>
    <row r="2566" spans="1:29" s="111" customFormat="1" ht="15.75" hidden="1" customHeight="1" x14ac:dyDescent="0.2">
      <c r="A2566" s="288"/>
      <c r="B2566" s="354"/>
      <c r="C2566" s="355"/>
      <c r="D2566" s="1354" t="s">
        <v>492</v>
      </c>
      <c r="E2566" s="1355"/>
      <c r="F2566" s="1355"/>
      <c r="G2566" s="1355"/>
      <c r="H2566" s="1355"/>
      <c r="I2566" s="1356"/>
      <c r="J2566" s="1357">
        <f>VLOOKUP(A2568,'11 - FINANCEIRO'!_xlnm.Print_Area,6,FALSE)</f>
        <v>80</v>
      </c>
      <c r="K2566" s="1358"/>
      <c r="L2566" s="356" t="str">
        <f>VLOOKUP(A2568,'11 - FINANCEIRO'!_xlnm.Print_Area,4,FALSE)</f>
        <v>m</v>
      </c>
      <c r="M2566" s="1359" t="s">
        <v>493</v>
      </c>
      <c r="N2566" s="1360"/>
      <c r="O2566" s="1360"/>
      <c r="P2566" s="1360"/>
      <c r="Q2566" s="1361"/>
      <c r="R2566" s="357">
        <f>TRUNC(SUM(R2562:R2565),3)</f>
        <v>0</v>
      </c>
      <c r="S2566" s="358" t="str">
        <f>L2566</f>
        <v>m</v>
      </c>
      <c r="T2566" s="359"/>
      <c r="U2566" s="360"/>
      <c r="V2566" s="291">
        <f t="shared" ca="1" si="794"/>
        <v>0</v>
      </c>
      <c r="W2566" s="256">
        <f t="shared" ca="1" si="795"/>
        <v>2</v>
      </c>
      <c r="X2566" s="256">
        <f t="shared" ca="1" si="790"/>
        <v>1</v>
      </c>
      <c r="Y2566" s="250"/>
      <c r="Z2566" s="250"/>
    </row>
    <row r="2567" spans="1:29" s="395" customFormat="1" ht="15.75" hidden="1" customHeight="1" x14ac:dyDescent="0.2">
      <c r="A2567" s="276"/>
      <c r="B2567" s="354"/>
      <c r="C2567" s="361"/>
      <c r="D2567" s="1362" t="s">
        <v>494</v>
      </c>
      <c r="E2567" s="1363"/>
      <c r="F2567" s="1363"/>
      <c r="G2567" s="1363"/>
      <c r="H2567" s="1363"/>
      <c r="I2567" s="1364"/>
      <c r="J2567" s="1365">
        <f>R2566/J2566</f>
        <v>0</v>
      </c>
      <c r="K2567" s="1366"/>
      <c r="L2567" s="1369"/>
      <c r="M2567" s="1371" t="s">
        <v>495</v>
      </c>
      <c r="N2567" s="1372"/>
      <c r="O2567" s="1372"/>
      <c r="P2567" s="1372"/>
      <c r="Q2567" s="1373"/>
      <c r="R2567" s="362">
        <f>VLOOKUP(A2568,'11 - FINANCEIRO'!_xlnm.Print_Area,8,FALSE)</f>
        <v>0</v>
      </c>
      <c r="S2567" s="363" t="str">
        <f>L2566</f>
        <v>m</v>
      </c>
      <c r="T2567" s="359"/>
      <c r="U2567" s="360"/>
      <c r="V2567" s="291">
        <f t="shared" ca="1" si="794"/>
        <v>0</v>
      </c>
      <c r="W2567" s="256">
        <f t="shared" ca="1" si="795"/>
        <v>2</v>
      </c>
      <c r="X2567" s="256">
        <f t="shared" ca="1" si="790"/>
        <v>1</v>
      </c>
    </row>
    <row r="2568" spans="1:29" s="293" customFormat="1" ht="15.75" hidden="1" customHeight="1" x14ac:dyDescent="0.2">
      <c r="A2568" s="288" t="s">
        <v>126</v>
      </c>
      <c r="B2568" s="364"/>
      <c r="C2568" s="365"/>
      <c r="D2568" s="1354"/>
      <c r="E2568" s="1355"/>
      <c r="F2568" s="1355"/>
      <c r="G2568" s="1355"/>
      <c r="H2568" s="1355"/>
      <c r="I2568" s="1356"/>
      <c r="J2568" s="1367"/>
      <c r="K2568" s="1368"/>
      <c r="L2568" s="1370"/>
      <c r="M2568" s="1371" t="s">
        <v>496</v>
      </c>
      <c r="N2568" s="1372"/>
      <c r="O2568" s="1372"/>
      <c r="P2568" s="1372"/>
      <c r="Q2568" s="1373"/>
      <c r="R2568" s="362">
        <f>R2566-R2567</f>
        <v>0</v>
      </c>
      <c r="S2568" s="363" t="str">
        <f>L2566</f>
        <v>m</v>
      </c>
      <c r="T2568" s="366"/>
      <c r="U2568" s="367"/>
      <c r="V2568" s="291">
        <f t="shared" ca="1" si="794"/>
        <v>0</v>
      </c>
      <c r="W2568" s="256">
        <f t="shared" ca="1" si="795"/>
        <v>2</v>
      </c>
      <c r="X2568" s="256">
        <f t="shared" ca="1" si="790"/>
        <v>1</v>
      </c>
      <c r="Y2568" s="256"/>
      <c r="Z2568" s="256"/>
      <c r="AA2568" s="292"/>
      <c r="AB2568" s="292"/>
      <c r="AC2568" s="292"/>
    </row>
    <row r="2569" spans="1:29" s="111" customFormat="1" ht="15.75" hidden="1" x14ac:dyDescent="0.2">
      <c r="A2569" s="288"/>
      <c r="B2569" s="368"/>
      <c r="C2569" s="365"/>
      <c r="D2569" s="369"/>
      <c r="E2569" s="370"/>
      <c r="F2569" s="369"/>
      <c r="G2569" s="369"/>
      <c r="H2569" s="369"/>
      <c r="I2569" s="369"/>
      <c r="J2569" s="371"/>
      <c r="K2569" s="372"/>
      <c r="L2569" s="373"/>
      <c r="M2569" s="374"/>
      <c r="N2569" s="374"/>
      <c r="O2569" s="374"/>
      <c r="P2569" s="374"/>
      <c r="Q2569" s="374"/>
      <c r="R2569" s="375"/>
      <c r="S2569" s="376"/>
      <c r="T2569" s="377"/>
      <c r="U2569" s="378"/>
      <c r="V2569" s="379">
        <f ca="1">SUM(V2560:V2568)</f>
        <v>0</v>
      </c>
      <c r="W2569" s="256">
        <f t="shared" ca="1" si="795"/>
        <v>1</v>
      </c>
      <c r="X2569" s="256">
        <f t="shared" ca="1" si="790"/>
        <v>0</v>
      </c>
      <c r="Y2569" s="250"/>
      <c r="Z2569" s="250"/>
    </row>
    <row r="2570" spans="1:29" s="293" customFormat="1" ht="15.75" hidden="1" x14ac:dyDescent="0.2">
      <c r="A2570" s="288"/>
      <c r="B2570" s="385" t="str">
        <f>LEFT(A2578,7)</f>
        <v>3.3.2.2</v>
      </c>
      <c r="C2570" s="386" t="str">
        <f>VLOOKUP(LEFT(A2578,7),'11 - FINANCEIRO'!_xlnm.Print_Area,2,FALSE)</f>
        <v>Movimento de Terra</v>
      </c>
      <c r="D2570" s="386"/>
      <c r="E2570" s="387"/>
      <c r="F2570" s="386"/>
      <c r="G2570" s="1395"/>
      <c r="H2570" s="1395"/>
      <c r="I2570" s="1395"/>
      <c r="J2570" s="1395"/>
      <c r="K2570" s="1395"/>
      <c r="L2570" s="1395"/>
      <c r="M2570" s="389"/>
      <c r="N2570" s="390"/>
      <c r="O2570" s="389"/>
      <c r="P2570" s="389"/>
      <c r="Q2570" s="389"/>
      <c r="R2570" s="390"/>
      <c r="S2570" s="389"/>
      <c r="T2570" s="389"/>
      <c r="U2570" s="601"/>
      <c r="V2570" s="549">
        <f ca="1">SUM(V2571:V2700)</f>
        <v>1440</v>
      </c>
      <c r="W2570" s="256">
        <f t="shared" ca="1" si="795"/>
        <v>1</v>
      </c>
      <c r="X2570" s="256">
        <f t="shared" ca="1" si="790"/>
        <v>1</v>
      </c>
      <c r="Y2570" s="256"/>
      <c r="Z2570" s="256"/>
      <c r="AA2570" s="292"/>
      <c r="AB2570" s="292"/>
      <c r="AC2570" s="292"/>
    </row>
    <row r="2571" spans="1:29" s="293" customFormat="1" ht="15.75" hidden="1" customHeight="1" x14ac:dyDescent="0.25">
      <c r="A2571" s="288"/>
      <c r="B2571" s="1374" t="str">
        <f>VLOOKUP(A2579,'11 - FINANCEIRO'!_xlnm.Print_Area,1,FALSE)</f>
        <v>3.3.2.2.1</v>
      </c>
      <c r="C2571" s="1376" t="str">
        <f>VLOOKUP(A2579,'11 - FINANCEIRO'!_xlnm.Print_Area,3,FALSE)</f>
        <v>Escavação Mecânica De Vala Em Material De 1ª Categoria</v>
      </c>
      <c r="D2571" s="1378" t="s">
        <v>477</v>
      </c>
      <c r="E2571" s="1379"/>
      <c r="F2571" s="1379"/>
      <c r="G2571" s="1379"/>
      <c r="H2571" s="1379"/>
      <c r="I2571" s="1380"/>
      <c r="J2571" s="1338" t="s">
        <v>478</v>
      </c>
      <c r="K2571" s="1338" t="s">
        <v>479</v>
      </c>
      <c r="L2571" s="1338" t="s">
        <v>480</v>
      </c>
      <c r="M2571" s="1338" t="s">
        <v>481</v>
      </c>
      <c r="N2571" s="1338" t="s">
        <v>482</v>
      </c>
      <c r="O2571" s="1338" t="s">
        <v>483</v>
      </c>
      <c r="P2571" s="290" t="s">
        <v>484</v>
      </c>
      <c r="Q2571" s="1338" t="s">
        <v>485</v>
      </c>
      <c r="R2571" s="1336" t="s">
        <v>296</v>
      </c>
      <c r="S2571" s="1338" t="s">
        <v>486</v>
      </c>
      <c r="T2571" s="1338" t="s">
        <v>487</v>
      </c>
      <c r="U2571" s="1340" t="s">
        <v>488</v>
      </c>
      <c r="V2571" s="291">
        <f t="shared" ref="V2571:V2579" ca="1" si="796">IF(OFFSET(V2571,1,1)=1,OFFSET(V2571,0,-4),OFFSET(V2571,1,0))</f>
        <v>0</v>
      </c>
      <c r="W2571" s="256">
        <f t="shared" ca="1" si="795"/>
        <v>2</v>
      </c>
      <c r="X2571" s="256">
        <f t="shared" ca="1" si="790"/>
        <v>1</v>
      </c>
      <c r="Y2571" s="256"/>
      <c r="Z2571" s="256"/>
      <c r="AA2571" s="292"/>
      <c r="AB2571" s="292"/>
      <c r="AC2571" s="292"/>
    </row>
    <row r="2572" spans="1:29" s="337" customFormat="1" ht="15.75" hidden="1" x14ac:dyDescent="0.2">
      <c r="A2572" s="288"/>
      <c r="B2572" s="1375"/>
      <c r="C2572" s="1377" t="e">
        <f>VLOOKUP(LEFT(#REF!,5),'11 - FINANCEIRO'!_xlnm.Print_Area,2,FALSE)</f>
        <v>#REF!</v>
      </c>
      <c r="D2572" s="1342" t="s">
        <v>489</v>
      </c>
      <c r="E2572" s="1343"/>
      <c r="F2572" s="1344"/>
      <c r="G2572" s="1345" t="s">
        <v>490</v>
      </c>
      <c r="H2572" s="1346"/>
      <c r="I2572" s="1347"/>
      <c r="J2572" s="1339"/>
      <c r="K2572" s="1339"/>
      <c r="L2572" s="1339"/>
      <c r="M2572" s="1339"/>
      <c r="N2572" s="1339"/>
      <c r="O2572" s="1339"/>
      <c r="P2572" s="295" t="s">
        <v>491</v>
      </c>
      <c r="Q2572" s="1339"/>
      <c r="R2572" s="1337"/>
      <c r="S2572" s="1339"/>
      <c r="T2572" s="1339"/>
      <c r="U2572" s="1341"/>
      <c r="V2572" s="291">
        <f t="shared" ca="1" si="796"/>
        <v>0</v>
      </c>
      <c r="W2572" s="256">
        <f t="shared" ca="1" si="795"/>
        <v>2</v>
      </c>
      <c r="X2572" s="256">
        <f t="shared" ca="1" si="790"/>
        <v>1</v>
      </c>
      <c r="Y2572" s="336"/>
      <c r="Z2572" s="336"/>
    </row>
    <row r="2573" spans="1:29" s="337" customFormat="1" ht="15.75" hidden="1" x14ac:dyDescent="0.2">
      <c r="A2573" s="288"/>
      <c r="B2573" s="296"/>
      <c r="C2573" s="297"/>
      <c r="D2573" s="298"/>
      <c r="E2573" s="299"/>
      <c r="F2573" s="300"/>
      <c r="G2573" s="301"/>
      <c r="H2573" s="302"/>
      <c r="I2573" s="303"/>
      <c r="J2573" s="304"/>
      <c r="K2573" s="304"/>
      <c r="L2573" s="304"/>
      <c r="M2573" s="304"/>
      <c r="N2573" s="304"/>
      <c r="O2573" s="304"/>
      <c r="P2573" s="306"/>
      <c r="Q2573" s="304"/>
      <c r="R2573" s="307"/>
      <c r="S2573" s="304"/>
      <c r="T2573" s="309"/>
      <c r="U2573" s="310"/>
      <c r="V2573" s="291">
        <f t="shared" ca="1" si="796"/>
        <v>0</v>
      </c>
      <c r="W2573" s="256">
        <f t="shared" ca="1" si="795"/>
        <v>0</v>
      </c>
      <c r="X2573" s="256">
        <f t="shared" ca="1" si="790"/>
        <v>1</v>
      </c>
      <c r="Y2573" s="336"/>
      <c r="Z2573" s="336"/>
    </row>
    <row r="2574" spans="1:29" s="111" customFormat="1" ht="15.75" hidden="1" x14ac:dyDescent="0.2">
      <c r="A2574" s="288"/>
      <c r="B2574" s="311"/>
      <c r="C2574" s="312"/>
      <c r="D2574" s="313"/>
      <c r="E2574" s="314"/>
      <c r="F2574" s="315"/>
      <c r="G2574" s="380"/>
      <c r="H2574" s="316"/>
      <c r="I2574" s="381"/>
      <c r="J2574" s="317"/>
      <c r="K2574" s="313"/>
      <c r="L2574" s="317"/>
      <c r="M2574" s="315"/>
      <c r="N2574" s="314"/>
      <c r="O2574" s="313"/>
      <c r="P2574" s="318"/>
      <c r="Q2574" s="315"/>
      <c r="R2574" s="319"/>
      <c r="S2574" s="317"/>
      <c r="T2574" s="320"/>
      <c r="U2574" s="321"/>
      <c r="V2574" s="291">
        <f t="shared" ca="1" si="796"/>
        <v>0</v>
      </c>
      <c r="W2574" s="256">
        <f t="shared" ca="1" si="795"/>
        <v>0</v>
      </c>
      <c r="X2574" s="256">
        <f t="shared" ca="1" si="790"/>
        <v>1</v>
      </c>
      <c r="Y2574" s="250"/>
      <c r="Z2574" s="250"/>
    </row>
    <row r="2575" spans="1:29" s="111" customFormat="1" ht="15" hidden="1" x14ac:dyDescent="0.2">
      <c r="A2575" s="288"/>
      <c r="B2575" s="322"/>
      <c r="C2575" s="382"/>
      <c r="D2575" s="324"/>
      <c r="E2575" s="325"/>
      <c r="F2575" s="326"/>
      <c r="G2575" s="324"/>
      <c r="H2575" s="325"/>
      <c r="I2575" s="326"/>
      <c r="J2575" s="317"/>
      <c r="K2575" s="328"/>
      <c r="L2575" s="328"/>
      <c r="M2575" s="328"/>
      <c r="N2575" s="328"/>
      <c r="O2575" s="334"/>
      <c r="P2575" s="328"/>
      <c r="Q2575" s="334"/>
      <c r="R2575" s="333"/>
      <c r="S2575" s="331"/>
      <c r="T2575" s="320"/>
      <c r="U2575" s="335"/>
      <c r="V2575" s="291">
        <f t="shared" ca="1" si="796"/>
        <v>0</v>
      </c>
      <c r="W2575" s="256">
        <f t="shared" ca="1" si="795"/>
        <v>0</v>
      </c>
      <c r="X2575" s="256">
        <f t="shared" ca="1" si="790"/>
        <v>1</v>
      </c>
      <c r="Y2575" s="250"/>
      <c r="Z2575" s="250"/>
    </row>
    <row r="2576" spans="1:29" s="111" customFormat="1" ht="15" hidden="1" x14ac:dyDescent="0.2">
      <c r="A2576" s="288"/>
      <c r="B2576" s="338"/>
      <c r="C2576" s="339"/>
      <c r="D2576" s="340"/>
      <c r="E2576" s="341"/>
      <c r="F2576" s="342"/>
      <c r="G2576" s="340"/>
      <c r="H2576" s="341"/>
      <c r="I2576" s="342"/>
      <c r="J2576" s="343"/>
      <c r="K2576" s="344"/>
      <c r="L2576" s="345"/>
      <c r="M2576" s="346"/>
      <c r="N2576" s="347"/>
      <c r="O2576" s="348"/>
      <c r="P2576" s="345"/>
      <c r="Q2576" s="349"/>
      <c r="R2576" s="350"/>
      <c r="S2576" s="351"/>
      <c r="T2576" s="352"/>
      <c r="U2576" s="353"/>
      <c r="V2576" s="291">
        <f t="shared" ca="1" si="796"/>
        <v>0</v>
      </c>
      <c r="W2576" s="256">
        <f t="shared" ca="1" si="795"/>
        <v>0</v>
      </c>
      <c r="X2576" s="256">
        <f t="shared" ca="1" si="790"/>
        <v>1</v>
      </c>
      <c r="Y2576" s="250"/>
      <c r="Z2576" s="250"/>
    </row>
    <row r="2577" spans="1:29" s="111" customFormat="1" ht="15.75" hidden="1" customHeight="1" x14ac:dyDescent="0.2">
      <c r="A2577" s="288"/>
      <c r="B2577" s="354"/>
      <c r="C2577" s="355"/>
      <c r="D2577" s="1354" t="s">
        <v>492</v>
      </c>
      <c r="E2577" s="1355"/>
      <c r="F2577" s="1355"/>
      <c r="G2577" s="1355"/>
      <c r="H2577" s="1355"/>
      <c r="I2577" s="1356"/>
      <c r="J2577" s="1357">
        <f>VLOOKUP(A2579,'11 - FINANCEIRO'!_xlnm.Print_Area,6,FALSE)</f>
        <v>126</v>
      </c>
      <c r="K2577" s="1358"/>
      <c r="L2577" s="356" t="str">
        <f>VLOOKUP(A2579,'11 - FINANCEIRO'!_xlnm.Print_Area,4,FALSE)</f>
        <v>m³</v>
      </c>
      <c r="M2577" s="1359" t="s">
        <v>493</v>
      </c>
      <c r="N2577" s="1360"/>
      <c r="O2577" s="1360"/>
      <c r="P2577" s="1360"/>
      <c r="Q2577" s="1361"/>
      <c r="R2577" s="357">
        <f>TRUNC(SUM(R2573:R2576),3)</f>
        <v>0</v>
      </c>
      <c r="S2577" s="358" t="str">
        <f>L2577</f>
        <v>m³</v>
      </c>
      <c r="T2577" s="359"/>
      <c r="U2577" s="360"/>
      <c r="V2577" s="291">
        <f t="shared" ca="1" si="796"/>
        <v>0</v>
      </c>
      <c r="W2577" s="256">
        <f t="shared" ca="1" si="795"/>
        <v>2</v>
      </c>
      <c r="X2577" s="256">
        <f t="shared" ca="1" si="790"/>
        <v>1</v>
      </c>
      <c r="Y2577" s="250"/>
      <c r="Z2577" s="250"/>
    </row>
    <row r="2578" spans="1:29" s="293" customFormat="1" ht="15.75" hidden="1" customHeight="1" x14ac:dyDescent="0.2">
      <c r="A2578" s="288" t="s">
        <v>127</v>
      </c>
      <c r="B2578" s="354"/>
      <c r="C2578" s="361"/>
      <c r="D2578" s="1362" t="s">
        <v>494</v>
      </c>
      <c r="E2578" s="1363"/>
      <c r="F2578" s="1363"/>
      <c r="G2578" s="1363"/>
      <c r="H2578" s="1363"/>
      <c r="I2578" s="1364"/>
      <c r="J2578" s="1365">
        <f>R2577/J2577</f>
        <v>0</v>
      </c>
      <c r="K2578" s="1366"/>
      <c r="L2578" s="1369"/>
      <c r="M2578" s="1371" t="s">
        <v>495</v>
      </c>
      <c r="N2578" s="1372"/>
      <c r="O2578" s="1372"/>
      <c r="P2578" s="1372"/>
      <c r="Q2578" s="1373"/>
      <c r="R2578" s="362">
        <f>VLOOKUP(A2579,'11 - FINANCEIRO'!_xlnm.Print_Area,8,FALSE)</f>
        <v>0</v>
      </c>
      <c r="S2578" s="363" t="str">
        <f>L2577</f>
        <v>m³</v>
      </c>
      <c r="T2578" s="359"/>
      <c r="U2578" s="360"/>
      <c r="V2578" s="291">
        <f t="shared" ca="1" si="796"/>
        <v>0</v>
      </c>
      <c r="W2578" s="256">
        <f t="shared" ca="1" si="795"/>
        <v>2</v>
      </c>
      <c r="X2578" s="256">
        <f t="shared" ca="1" si="790"/>
        <v>1</v>
      </c>
      <c r="Y2578" s="256"/>
      <c r="Z2578" s="256"/>
      <c r="AA2578" s="292"/>
      <c r="AB2578" s="292"/>
      <c r="AC2578" s="292"/>
    </row>
    <row r="2579" spans="1:29" s="293" customFormat="1" ht="15.75" hidden="1" customHeight="1" x14ac:dyDescent="0.2">
      <c r="A2579" s="288" t="s">
        <v>128</v>
      </c>
      <c r="B2579" s="364"/>
      <c r="C2579" s="365"/>
      <c r="D2579" s="1354"/>
      <c r="E2579" s="1355"/>
      <c r="F2579" s="1355"/>
      <c r="G2579" s="1355"/>
      <c r="H2579" s="1355"/>
      <c r="I2579" s="1356"/>
      <c r="J2579" s="1367"/>
      <c r="K2579" s="1368"/>
      <c r="L2579" s="1370"/>
      <c r="M2579" s="1371" t="s">
        <v>496</v>
      </c>
      <c r="N2579" s="1372"/>
      <c r="O2579" s="1372"/>
      <c r="P2579" s="1372"/>
      <c r="Q2579" s="1373"/>
      <c r="R2579" s="362">
        <f>R2577-R2578</f>
        <v>0</v>
      </c>
      <c r="S2579" s="363" t="str">
        <f>L2577</f>
        <v>m³</v>
      </c>
      <c r="T2579" s="366"/>
      <c r="U2579" s="367"/>
      <c r="V2579" s="291">
        <f t="shared" ca="1" si="796"/>
        <v>0</v>
      </c>
      <c r="W2579" s="256">
        <f t="shared" ca="1" si="795"/>
        <v>2</v>
      </c>
      <c r="X2579" s="256">
        <f t="shared" ca="1" si="790"/>
        <v>1</v>
      </c>
      <c r="Y2579" s="256"/>
      <c r="Z2579" s="256"/>
      <c r="AA2579" s="292"/>
      <c r="AB2579" s="292"/>
      <c r="AC2579" s="292"/>
    </row>
    <row r="2580" spans="1:29" s="111" customFormat="1" ht="15.75" hidden="1" x14ac:dyDescent="0.2">
      <c r="A2580" s="288"/>
      <c r="B2580" s="368"/>
      <c r="C2580" s="365"/>
      <c r="D2580" s="369"/>
      <c r="E2580" s="370"/>
      <c r="F2580" s="369"/>
      <c r="G2580" s="369"/>
      <c r="H2580" s="369"/>
      <c r="I2580" s="369"/>
      <c r="J2580" s="371"/>
      <c r="K2580" s="372"/>
      <c r="L2580" s="373"/>
      <c r="M2580" s="374"/>
      <c r="N2580" s="374"/>
      <c r="O2580" s="374"/>
      <c r="P2580" s="374"/>
      <c r="Q2580" s="374"/>
      <c r="R2580" s="375"/>
      <c r="S2580" s="376"/>
      <c r="T2580" s="377"/>
      <c r="U2580" s="378"/>
      <c r="V2580" s="379">
        <f ca="1">SUM(V2571:V2579)</f>
        <v>0</v>
      </c>
      <c r="W2580" s="256">
        <f t="shared" ca="1" si="795"/>
        <v>1</v>
      </c>
      <c r="X2580" s="256">
        <f t="shared" ca="1" si="790"/>
        <v>0</v>
      </c>
      <c r="Y2580" s="250"/>
      <c r="Z2580" s="250"/>
    </row>
    <row r="2581" spans="1:29" s="293" customFormat="1" ht="15.75" hidden="1" customHeight="1" x14ac:dyDescent="0.25">
      <c r="A2581" s="288"/>
      <c r="B2581" s="1374" t="str">
        <f>VLOOKUP(A2589,'11 - FINANCEIRO'!_xlnm.Print_Area,1,FALSE)</f>
        <v>3.3.2.2.2</v>
      </c>
      <c r="C2581" s="1376" t="str">
        <f>VLOOKUP(A2589,'11 - FINANCEIRO'!_xlnm.Print_Area,3,FALSE)</f>
        <v>Escavação Manual De Vala Em Material De 1ª Categoria</v>
      </c>
      <c r="D2581" s="1378" t="s">
        <v>477</v>
      </c>
      <c r="E2581" s="1379"/>
      <c r="F2581" s="1379"/>
      <c r="G2581" s="1379"/>
      <c r="H2581" s="1379"/>
      <c r="I2581" s="1380"/>
      <c r="J2581" s="1338" t="s">
        <v>478</v>
      </c>
      <c r="K2581" s="1338" t="s">
        <v>479</v>
      </c>
      <c r="L2581" s="1338" t="s">
        <v>480</v>
      </c>
      <c r="M2581" s="1338" t="s">
        <v>481</v>
      </c>
      <c r="N2581" s="1338" t="s">
        <v>482</v>
      </c>
      <c r="O2581" s="1338" t="s">
        <v>483</v>
      </c>
      <c r="P2581" s="290" t="s">
        <v>484</v>
      </c>
      <c r="Q2581" s="1338" t="s">
        <v>485</v>
      </c>
      <c r="R2581" s="1336" t="s">
        <v>296</v>
      </c>
      <c r="S2581" s="1338" t="s">
        <v>486</v>
      </c>
      <c r="T2581" s="1338" t="s">
        <v>487</v>
      </c>
      <c r="U2581" s="1340" t="s">
        <v>488</v>
      </c>
      <c r="V2581" s="291">
        <f t="shared" ref="V2581:V2589" ca="1" si="797">IF(OFFSET(V2581,1,1)=1,OFFSET(V2581,0,-4),OFFSET(V2581,1,0))</f>
        <v>0</v>
      </c>
      <c r="W2581" s="256">
        <f t="shared" ca="1" si="795"/>
        <v>2</v>
      </c>
      <c r="X2581" s="256">
        <f t="shared" ca="1" si="790"/>
        <v>1</v>
      </c>
      <c r="Y2581" s="256"/>
      <c r="Z2581" s="256"/>
      <c r="AA2581" s="292"/>
      <c r="AB2581" s="292"/>
      <c r="AC2581" s="292"/>
    </row>
    <row r="2582" spans="1:29" s="337" customFormat="1" ht="15.75" hidden="1" x14ac:dyDescent="0.2">
      <c r="A2582" s="288"/>
      <c r="B2582" s="1375"/>
      <c r="C2582" s="1377" t="e">
        <f>VLOOKUP(LEFT(#REF!,5),'11 - FINANCEIRO'!_xlnm.Print_Area,2,FALSE)</f>
        <v>#REF!</v>
      </c>
      <c r="D2582" s="1342" t="s">
        <v>489</v>
      </c>
      <c r="E2582" s="1343"/>
      <c r="F2582" s="1344"/>
      <c r="G2582" s="1345" t="s">
        <v>490</v>
      </c>
      <c r="H2582" s="1346"/>
      <c r="I2582" s="1347"/>
      <c r="J2582" s="1339"/>
      <c r="K2582" s="1339"/>
      <c r="L2582" s="1339"/>
      <c r="M2582" s="1339"/>
      <c r="N2582" s="1339"/>
      <c r="O2582" s="1339"/>
      <c r="P2582" s="295" t="s">
        <v>491</v>
      </c>
      <c r="Q2582" s="1339"/>
      <c r="R2582" s="1337"/>
      <c r="S2582" s="1339"/>
      <c r="T2582" s="1339"/>
      <c r="U2582" s="1341"/>
      <c r="V2582" s="291">
        <f t="shared" ca="1" si="797"/>
        <v>0</v>
      </c>
      <c r="W2582" s="256">
        <f t="shared" ca="1" si="795"/>
        <v>2</v>
      </c>
      <c r="X2582" s="256">
        <f t="shared" ca="1" si="790"/>
        <v>1</v>
      </c>
      <c r="Y2582" s="336"/>
      <c r="Z2582" s="336"/>
    </row>
    <row r="2583" spans="1:29" s="337" customFormat="1" ht="15.75" hidden="1" x14ac:dyDescent="0.2">
      <c r="A2583" s="288"/>
      <c r="B2583" s="296"/>
      <c r="C2583" s="297"/>
      <c r="D2583" s="298"/>
      <c r="E2583" s="299"/>
      <c r="F2583" s="300"/>
      <c r="G2583" s="301"/>
      <c r="H2583" s="302"/>
      <c r="I2583" s="303"/>
      <c r="J2583" s="304"/>
      <c r="K2583" s="304"/>
      <c r="L2583" s="304"/>
      <c r="M2583" s="304"/>
      <c r="N2583" s="304"/>
      <c r="O2583" s="304"/>
      <c r="P2583" s="306"/>
      <c r="Q2583" s="304"/>
      <c r="R2583" s="307"/>
      <c r="S2583" s="304"/>
      <c r="T2583" s="309"/>
      <c r="U2583" s="310"/>
      <c r="V2583" s="291">
        <f t="shared" ca="1" si="797"/>
        <v>0</v>
      </c>
      <c r="W2583" s="256">
        <f t="shared" ca="1" si="795"/>
        <v>0</v>
      </c>
      <c r="X2583" s="256">
        <f t="shared" ca="1" si="790"/>
        <v>1</v>
      </c>
      <c r="Y2583" s="336"/>
      <c r="Z2583" s="336"/>
    </row>
    <row r="2584" spans="1:29" s="111" customFormat="1" ht="15.75" hidden="1" x14ac:dyDescent="0.2">
      <c r="A2584" s="288"/>
      <c r="B2584" s="311"/>
      <c r="C2584" s="312"/>
      <c r="D2584" s="313"/>
      <c r="E2584" s="314"/>
      <c r="F2584" s="315"/>
      <c r="G2584" s="380"/>
      <c r="H2584" s="316"/>
      <c r="I2584" s="381"/>
      <c r="J2584" s="317"/>
      <c r="K2584" s="313"/>
      <c r="L2584" s="317"/>
      <c r="M2584" s="315"/>
      <c r="N2584" s="314"/>
      <c r="O2584" s="313"/>
      <c r="P2584" s="318"/>
      <c r="Q2584" s="315"/>
      <c r="R2584" s="319"/>
      <c r="S2584" s="317"/>
      <c r="T2584" s="320"/>
      <c r="U2584" s="321"/>
      <c r="V2584" s="291">
        <f t="shared" ca="1" si="797"/>
        <v>0</v>
      </c>
      <c r="W2584" s="256">
        <f t="shared" ca="1" si="795"/>
        <v>0</v>
      </c>
      <c r="X2584" s="256">
        <f t="shared" ca="1" si="790"/>
        <v>1</v>
      </c>
      <c r="Y2584" s="250"/>
      <c r="Z2584" s="250"/>
    </row>
    <row r="2585" spans="1:29" s="111" customFormat="1" ht="15" hidden="1" x14ac:dyDescent="0.2">
      <c r="A2585" s="288"/>
      <c r="B2585" s="322"/>
      <c r="C2585" s="382"/>
      <c r="D2585" s="324"/>
      <c r="E2585" s="325"/>
      <c r="F2585" s="326"/>
      <c r="G2585" s="324"/>
      <c r="H2585" s="325"/>
      <c r="I2585" s="326"/>
      <c r="J2585" s="317"/>
      <c r="K2585" s="328"/>
      <c r="L2585" s="328"/>
      <c r="M2585" s="328"/>
      <c r="N2585" s="328"/>
      <c r="O2585" s="334"/>
      <c r="P2585" s="328"/>
      <c r="Q2585" s="334"/>
      <c r="R2585" s="333"/>
      <c r="S2585" s="331"/>
      <c r="T2585" s="320"/>
      <c r="U2585" s="335"/>
      <c r="V2585" s="291">
        <f t="shared" ca="1" si="797"/>
        <v>0</v>
      </c>
      <c r="W2585" s="256">
        <f t="shared" ca="1" si="795"/>
        <v>0</v>
      </c>
      <c r="X2585" s="256">
        <f t="shared" ca="1" si="790"/>
        <v>1</v>
      </c>
      <c r="Y2585" s="250"/>
      <c r="Z2585" s="250"/>
    </row>
    <row r="2586" spans="1:29" s="111" customFormat="1" ht="15" hidden="1" x14ac:dyDescent="0.2">
      <c r="A2586" s="288"/>
      <c r="B2586" s="338"/>
      <c r="C2586" s="339"/>
      <c r="D2586" s="340"/>
      <c r="E2586" s="341"/>
      <c r="F2586" s="342"/>
      <c r="G2586" s="340"/>
      <c r="H2586" s="341"/>
      <c r="I2586" s="342"/>
      <c r="J2586" s="343"/>
      <c r="K2586" s="344"/>
      <c r="L2586" s="345"/>
      <c r="M2586" s="346"/>
      <c r="N2586" s="347"/>
      <c r="O2586" s="348"/>
      <c r="P2586" s="345"/>
      <c r="Q2586" s="349"/>
      <c r="R2586" s="350"/>
      <c r="S2586" s="351"/>
      <c r="T2586" s="352"/>
      <c r="U2586" s="353"/>
      <c r="V2586" s="291">
        <f t="shared" ca="1" si="797"/>
        <v>0</v>
      </c>
      <c r="W2586" s="256">
        <f t="shared" ca="1" si="795"/>
        <v>0</v>
      </c>
      <c r="X2586" s="256">
        <f t="shared" ca="1" si="790"/>
        <v>1</v>
      </c>
      <c r="Y2586" s="250"/>
      <c r="Z2586" s="250"/>
    </row>
    <row r="2587" spans="1:29" s="111" customFormat="1" ht="15.75" hidden="1" customHeight="1" x14ac:dyDescent="0.2">
      <c r="A2587" s="288"/>
      <c r="B2587" s="354"/>
      <c r="C2587" s="355"/>
      <c r="D2587" s="1354" t="s">
        <v>492</v>
      </c>
      <c r="E2587" s="1355"/>
      <c r="F2587" s="1355"/>
      <c r="G2587" s="1355"/>
      <c r="H2587" s="1355"/>
      <c r="I2587" s="1356"/>
      <c r="J2587" s="1357">
        <f>VLOOKUP(A2589,'11 - FINANCEIRO'!_xlnm.Print_Area,6,FALSE)</f>
        <v>14</v>
      </c>
      <c r="K2587" s="1358"/>
      <c r="L2587" s="356" t="str">
        <f>VLOOKUP(A2589,'11 - FINANCEIRO'!_xlnm.Print_Area,4,FALSE)</f>
        <v>m³</v>
      </c>
      <c r="M2587" s="1359" t="s">
        <v>493</v>
      </c>
      <c r="N2587" s="1360"/>
      <c r="O2587" s="1360"/>
      <c r="P2587" s="1360"/>
      <c r="Q2587" s="1361"/>
      <c r="R2587" s="357">
        <f>TRUNC(SUM(R2583:R2586),3)</f>
        <v>0</v>
      </c>
      <c r="S2587" s="358" t="str">
        <f>L2587</f>
        <v>m³</v>
      </c>
      <c r="T2587" s="359"/>
      <c r="U2587" s="360"/>
      <c r="V2587" s="291">
        <f t="shared" ca="1" si="797"/>
        <v>0</v>
      </c>
      <c r="W2587" s="256">
        <f t="shared" ca="1" si="795"/>
        <v>2</v>
      </c>
      <c r="X2587" s="256">
        <f t="shared" ca="1" si="790"/>
        <v>1</v>
      </c>
      <c r="Y2587" s="250"/>
      <c r="Z2587" s="250"/>
    </row>
    <row r="2588" spans="1:29" s="293" customFormat="1" ht="15.75" hidden="1" customHeight="1" x14ac:dyDescent="0.2">
      <c r="A2588" s="288"/>
      <c r="B2588" s="354"/>
      <c r="C2588" s="361"/>
      <c r="D2588" s="1362" t="s">
        <v>494</v>
      </c>
      <c r="E2588" s="1363"/>
      <c r="F2588" s="1363"/>
      <c r="G2588" s="1363"/>
      <c r="H2588" s="1363"/>
      <c r="I2588" s="1364"/>
      <c r="J2588" s="1365">
        <f>R2587/J2587</f>
        <v>0</v>
      </c>
      <c r="K2588" s="1366"/>
      <c r="L2588" s="1369"/>
      <c r="M2588" s="1371" t="s">
        <v>495</v>
      </c>
      <c r="N2588" s="1372"/>
      <c r="O2588" s="1372"/>
      <c r="P2588" s="1372"/>
      <c r="Q2588" s="1373"/>
      <c r="R2588" s="362">
        <f>VLOOKUP(A2589,'11 - FINANCEIRO'!_xlnm.Print_Area,8,FALSE)</f>
        <v>0</v>
      </c>
      <c r="S2588" s="363" t="str">
        <f>L2587</f>
        <v>m³</v>
      </c>
      <c r="T2588" s="359"/>
      <c r="U2588" s="360"/>
      <c r="V2588" s="291">
        <f t="shared" ca="1" si="797"/>
        <v>0</v>
      </c>
      <c r="W2588" s="256">
        <f t="shared" ca="1" si="795"/>
        <v>2</v>
      </c>
      <c r="X2588" s="256">
        <f t="shared" ref="X2588:X2651" ca="1" si="798">IF(COUNTA(OFFSET(A2587,1,0))-COUNTA(A2587)=-1,0,1)</f>
        <v>1</v>
      </c>
      <c r="Y2588" s="256"/>
      <c r="Z2588" s="256"/>
      <c r="AA2588" s="292"/>
      <c r="AB2588" s="292"/>
      <c r="AC2588" s="292"/>
    </row>
    <row r="2589" spans="1:29" s="293" customFormat="1" ht="15.75" hidden="1" customHeight="1" x14ac:dyDescent="0.2">
      <c r="A2589" s="288" t="s">
        <v>129</v>
      </c>
      <c r="B2589" s="364"/>
      <c r="C2589" s="365"/>
      <c r="D2589" s="1354"/>
      <c r="E2589" s="1355"/>
      <c r="F2589" s="1355"/>
      <c r="G2589" s="1355"/>
      <c r="H2589" s="1355"/>
      <c r="I2589" s="1356"/>
      <c r="J2589" s="1367"/>
      <c r="K2589" s="1368"/>
      <c r="L2589" s="1370"/>
      <c r="M2589" s="1371" t="s">
        <v>496</v>
      </c>
      <c r="N2589" s="1372"/>
      <c r="O2589" s="1372"/>
      <c r="P2589" s="1372"/>
      <c r="Q2589" s="1373"/>
      <c r="R2589" s="362">
        <f>R2587-R2588</f>
        <v>0</v>
      </c>
      <c r="S2589" s="363" t="str">
        <f>L2587</f>
        <v>m³</v>
      </c>
      <c r="T2589" s="366"/>
      <c r="U2589" s="367"/>
      <c r="V2589" s="291">
        <f t="shared" ca="1" si="797"/>
        <v>0</v>
      </c>
      <c r="W2589" s="256">
        <f t="shared" ca="1" si="795"/>
        <v>2</v>
      </c>
      <c r="X2589" s="256">
        <f t="shared" ca="1" si="798"/>
        <v>1</v>
      </c>
      <c r="Y2589" s="256"/>
      <c r="Z2589" s="256"/>
      <c r="AA2589" s="292"/>
      <c r="AB2589" s="292"/>
      <c r="AC2589" s="292"/>
    </row>
    <row r="2590" spans="1:29" s="111" customFormat="1" ht="15.75" hidden="1" x14ac:dyDescent="0.2">
      <c r="A2590" s="288"/>
      <c r="B2590" s="368"/>
      <c r="C2590" s="365"/>
      <c r="D2590" s="369"/>
      <c r="E2590" s="370"/>
      <c r="F2590" s="369"/>
      <c r="G2590" s="369"/>
      <c r="H2590" s="369"/>
      <c r="I2590" s="369"/>
      <c r="J2590" s="371"/>
      <c r="K2590" s="372"/>
      <c r="L2590" s="373"/>
      <c r="M2590" s="374"/>
      <c r="N2590" s="374"/>
      <c r="O2590" s="374"/>
      <c r="P2590" s="374"/>
      <c r="Q2590" s="374"/>
      <c r="R2590" s="375"/>
      <c r="S2590" s="376"/>
      <c r="T2590" s="377"/>
      <c r="U2590" s="378"/>
      <c r="V2590" s="379">
        <f ca="1">SUM(V2581:V2589)</f>
        <v>0</v>
      </c>
      <c r="W2590" s="256">
        <f t="shared" ca="1" si="795"/>
        <v>1</v>
      </c>
      <c r="X2590" s="256">
        <f t="shared" ca="1" si="798"/>
        <v>0</v>
      </c>
      <c r="Y2590" s="250"/>
      <c r="Z2590" s="250"/>
    </row>
    <row r="2591" spans="1:29" s="293" customFormat="1" ht="15.75" hidden="1" customHeight="1" x14ac:dyDescent="0.25">
      <c r="A2591" s="288"/>
      <c r="B2591" s="1374" t="str">
        <f>VLOOKUP(A2599,'11 - FINANCEIRO'!_xlnm.Print_Area,1,FALSE)</f>
        <v>3.3.2.2.3</v>
      </c>
      <c r="C2591" s="1376" t="str">
        <f>VLOOKUP(A2599,'11 - FINANCEIRO'!_xlnm.Print_Area,3,FALSE)</f>
        <v>Aterro Manual Para Regularização Do Terreno Em Areia, Inclusive Adensamento Hidráulico E Fornecimento Do Material (Máximo De 100M3)</v>
      </c>
      <c r="D2591" s="1378" t="s">
        <v>477</v>
      </c>
      <c r="E2591" s="1379"/>
      <c r="F2591" s="1379"/>
      <c r="G2591" s="1379"/>
      <c r="H2591" s="1379"/>
      <c r="I2591" s="1380"/>
      <c r="J2591" s="1338" t="s">
        <v>478</v>
      </c>
      <c r="K2591" s="1338" t="s">
        <v>479</v>
      </c>
      <c r="L2591" s="1338" t="s">
        <v>480</v>
      </c>
      <c r="M2591" s="1338" t="s">
        <v>481</v>
      </c>
      <c r="N2591" s="1338" t="s">
        <v>482</v>
      </c>
      <c r="O2591" s="1338" t="s">
        <v>483</v>
      </c>
      <c r="P2591" s="290" t="s">
        <v>484</v>
      </c>
      <c r="Q2591" s="1338" t="s">
        <v>485</v>
      </c>
      <c r="R2591" s="1336" t="s">
        <v>296</v>
      </c>
      <c r="S2591" s="1338" t="s">
        <v>486</v>
      </c>
      <c r="T2591" s="1338" t="s">
        <v>487</v>
      </c>
      <c r="U2591" s="1340" t="s">
        <v>488</v>
      </c>
      <c r="V2591" s="291">
        <f t="shared" ref="V2591:V2599" ca="1" si="799">IF(OFFSET(V2591,1,1)=1,OFFSET(V2591,0,-4),OFFSET(V2591,1,0))</f>
        <v>0</v>
      </c>
      <c r="W2591" s="256">
        <f t="shared" ca="1" si="795"/>
        <v>2</v>
      </c>
      <c r="X2591" s="256">
        <f t="shared" ca="1" si="798"/>
        <v>1</v>
      </c>
      <c r="Y2591" s="256"/>
      <c r="Z2591" s="256"/>
      <c r="AA2591" s="292"/>
      <c r="AB2591" s="292"/>
      <c r="AC2591" s="292"/>
    </row>
    <row r="2592" spans="1:29" s="337" customFormat="1" ht="15.75" hidden="1" x14ac:dyDescent="0.2">
      <c r="A2592" s="288"/>
      <c r="B2592" s="1375"/>
      <c r="C2592" s="1377" t="e">
        <f>VLOOKUP(LEFT(#REF!,5),'11 - FINANCEIRO'!_xlnm.Print_Area,2,FALSE)</f>
        <v>#REF!</v>
      </c>
      <c r="D2592" s="1342" t="s">
        <v>489</v>
      </c>
      <c r="E2592" s="1343"/>
      <c r="F2592" s="1344"/>
      <c r="G2592" s="1345" t="s">
        <v>490</v>
      </c>
      <c r="H2592" s="1346"/>
      <c r="I2592" s="1347"/>
      <c r="J2592" s="1339"/>
      <c r="K2592" s="1339"/>
      <c r="L2592" s="1339"/>
      <c r="M2592" s="1339"/>
      <c r="N2592" s="1339"/>
      <c r="O2592" s="1339"/>
      <c r="P2592" s="295" t="s">
        <v>491</v>
      </c>
      <c r="Q2592" s="1339"/>
      <c r="R2592" s="1337"/>
      <c r="S2592" s="1339"/>
      <c r="T2592" s="1339"/>
      <c r="U2592" s="1341"/>
      <c r="V2592" s="291">
        <f t="shared" ca="1" si="799"/>
        <v>0</v>
      </c>
      <c r="W2592" s="256">
        <f t="shared" ca="1" si="795"/>
        <v>2</v>
      </c>
      <c r="X2592" s="256">
        <f t="shared" ca="1" si="798"/>
        <v>1</v>
      </c>
      <c r="Y2592" s="336"/>
      <c r="Z2592" s="336"/>
    </row>
    <row r="2593" spans="1:29" s="337" customFormat="1" ht="15.75" hidden="1" x14ac:dyDescent="0.2">
      <c r="A2593" s="288"/>
      <c r="B2593" s="296"/>
      <c r="C2593" s="297"/>
      <c r="D2593" s="298"/>
      <c r="E2593" s="299"/>
      <c r="F2593" s="300"/>
      <c r="G2593" s="301"/>
      <c r="H2593" s="302"/>
      <c r="I2593" s="303"/>
      <c r="J2593" s="304"/>
      <c r="K2593" s="304"/>
      <c r="L2593" s="304"/>
      <c r="M2593" s="304"/>
      <c r="N2593" s="304"/>
      <c r="O2593" s="304"/>
      <c r="P2593" s="306"/>
      <c r="Q2593" s="304"/>
      <c r="R2593" s="307"/>
      <c r="S2593" s="304"/>
      <c r="T2593" s="309"/>
      <c r="U2593" s="310"/>
      <c r="V2593" s="291">
        <f t="shared" ca="1" si="799"/>
        <v>0</v>
      </c>
      <c r="W2593" s="256">
        <f t="shared" ca="1" si="795"/>
        <v>0</v>
      </c>
      <c r="X2593" s="256">
        <f t="shared" ca="1" si="798"/>
        <v>1</v>
      </c>
      <c r="Y2593" s="336"/>
      <c r="Z2593" s="336"/>
    </row>
    <row r="2594" spans="1:29" s="111" customFormat="1" ht="15.75" hidden="1" x14ac:dyDescent="0.2">
      <c r="A2594" s="288"/>
      <c r="B2594" s="311"/>
      <c r="C2594" s="312"/>
      <c r="D2594" s="313"/>
      <c r="E2594" s="314"/>
      <c r="F2594" s="315"/>
      <c r="G2594" s="380"/>
      <c r="H2594" s="316"/>
      <c r="I2594" s="381"/>
      <c r="J2594" s="317"/>
      <c r="K2594" s="313"/>
      <c r="L2594" s="317"/>
      <c r="M2594" s="315"/>
      <c r="N2594" s="314"/>
      <c r="O2594" s="313"/>
      <c r="P2594" s="318"/>
      <c r="Q2594" s="315"/>
      <c r="R2594" s="319"/>
      <c r="S2594" s="317"/>
      <c r="T2594" s="320"/>
      <c r="U2594" s="321"/>
      <c r="V2594" s="291">
        <f t="shared" ca="1" si="799"/>
        <v>0</v>
      </c>
      <c r="W2594" s="256">
        <f t="shared" ca="1" si="795"/>
        <v>0</v>
      </c>
      <c r="X2594" s="256">
        <f t="shared" ca="1" si="798"/>
        <v>1</v>
      </c>
      <c r="Y2594" s="250"/>
      <c r="Z2594" s="250"/>
    </row>
    <row r="2595" spans="1:29" s="111" customFormat="1" ht="15" hidden="1" x14ac:dyDescent="0.2">
      <c r="A2595" s="288"/>
      <c r="B2595" s="322"/>
      <c r="C2595" s="382"/>
      <c r="D2595" s="324"/>
      <c r="E2595" s="325"/>
      <c r="F2595" s="326"/>
      <c r="G2595" s="324"/>
      <c r="H2595" s="325"/>
      <c r="I2595" s="326"/>
      <c r="J2595" s="317"/>
      <c r="K2595" s="328"/>
      <c r="L2595" s="328"/>
      <c r="M2595" s="328"/>
      <c r="N2595" s="328"/>
      <c r="O2595" s="334"/>
      <c r="P2595" s="328"/>
      <c r="Q2595" s="334"/>
      <c r="R2595" s="333"/>
      <c r="S2595" s="331"/>
      <c r="T2595" s="320"/>
      <c r="U2595" s="335"/>
      <c r="V2595" s="291">
        <f t="shared" ca="1" si="799"/>
        <v>0</v>
      </c>
      <c r="W2595" s="256">
        <f t="shared" ca="1" si="795"/>
        <v>0</v>
      </c>
      <c r="X2595" s="256">
        <f t="shared" ca="1" si="798"/>
        <v>1</v>
      </c>
      <c r="Y2595" s="250"/>
      <c r="Z2595" s="250"/>
    </row>
    <row r="2596" spans="1:29" s="111" customFormat="1" ht="15" hidden="1" x14ac:dyDescent="0.2">
      <c r="A2596" s="288"/>
      <c r="B2596" s="338"/>
      <c r="C2596" s="339"/>
      <c r="D2596" s="340"/>
      <c r="E2596" s="341"/>
      <c r="F2596" s="342"/>
      <c r="G2596" s="340"/>
      <c r="H2596" s="341"/>
      <c r="I2596" s="342"/>
      <c r="J2596" s="343"/>
      <c r="K2596" s="344"/>
      <c r="L2596" s="345"/>
      <c r="M2596" s="346"/>
      <c r="N2596" s="347"/>
      <c r="O2596" s="348"/>
      <c r="P2596" s="345"/>
      <c r="Q2596" s="349"/>
      <c r="R2596" s="350"/>
      <c r="S2596" s="351"/>
      <c r="T2596" s="352"/>
      <c r="U2596" s="353"/>
      <c r="V2596" s="291">
        <f t="shared" ca="1" si="799"/>
        <v>0</v>
      </c>
      <c r="W2596" s="256">
        <f t="shared" ca="1" si="795"/>
        <v>0</v>
      </c>
      <c r="X2596" s="256">
        <f t="shared" ca="1" si="798"/>
        <v>1</v>
      </c>
      <c r="Y2596" s="250"/>
      <c r="Z2596" s="250"/>
    </row>
    <row r="2597" spans="1:29" s="111" customFormat="1" ht="15.75" hidden="1" customHeight="1" x14ac:dyDescent="0.2">
      <c r="A2597" s="288"/>
      <c r="B2597" s="354"/>
      <c r="C2597" s="355"/>
      <c r="D2597" s="1354" t="s">
        <v>492</v>
      </c>
      <c r="E2597" s="1355"/>
      <c r="F2597" s="1355"/>
      <c r="G2597" s="1355"/>
      <c r="H2597" s="1355"/>
      <c r="I2597" s="1356"/>
      <c r="J2597" s="1357">
        <f>VLOOKUP(A2599,'11 - FINANCEIRO'!_xlnm.Print_Area,6,FALSE)</f>
        <v>4</v>
      </c>
      <c r="K2597" s="1358"/>
      <c r="L2597" s="356" t="str">
        <f>VLOOKUP(A2599,'11 - FINANCEIRO'!_xlnm.Print_Area,4,FALSE)</f>
        <v>m³</v>
      </c>
      <c r="M2597" s="1359" t="s">
        <v>493</v>
      </c>
      <c r="N2597" s="1360"/>
      <c r="O2597" s="1360"/>
      <c r="P2597" s="1360"/>
      <c r="Q2597" s="1361"/>
      <c r="R2597" s="357">
        <f>TRUNC(SUM(R2593:R2596),3)</f>
        <v>0</v>
      </c>
      <c r="S2597" s="358" t="str">
        <f>L2597</f>
        <v>m³</v>
      </c>
      <c r="T2597" s="359"/>
      <c r="U2597" s="360"/>
      <c r="V2597" s="291">
        <f t="shared" ca="1" si="799"/>
        <v>0</v>
      </c>
      <c r="W2597" s="256">
        <f t="shared" ca="1" si="795"/>
        <v>2</v>
      </c>
      <c r="X2597" s="256">
        <f t="shared" ca="1" si="798"/>
        <v>1</v>
      </c>
      <c r="Y2597" s="250"/>
      <c r="Z2597" s="250"/>
    </row>
    <row r="2598" spans="1:29" s="293" customFormat="1" ht="15.75" hidden="1" customHeight="1" x14ac:dyDescent="0.2">
      <c r="A2598" s="288"/>
      <c r="B2598" s="354"/>
      <c r="C2598" s="361"/>
      <c r="D2598" s="1362" t="s">
        <v>494</v>
      </c>
      <c r="E2598" s="1363"/>
      <c r="F2598" s="1363"/>
      <c r="G2598" s="1363"/>
      <c r="H2598" s="1363"/>
      <c r="I2598" s="1364"/>
      <c r="J2598" s="1365">
        <f>R2597/J2597</f>
        <v>0</v>
      </c>
      <c r="K2598" s="1366"/>
      <c r="L2598" s="1369"/>
      <c r="M2598" s="1371" t="s">
        <v>495</v>
      </c>
      <c r="N2598" s="1372"/>
      <c r="O2598" s="1372"/>
      <c r="P2598" s="1372"/>
      <c r="Q2598" s="1373"/>
      <c r="R2598" s="362">
        <f>VLOOKUP(A2599,'11 - FINANCEIRO'!_xlnm.Print_Area,8,FALSE)</f>
        <v>0</v>
      </c>
      <c r="S2598" s="363" t="str">
        <f>L2597</f>
        <v>m³</v>
      </c>
      <c r="T2598" s="359"/>
      <c r="U2598" s="360"/>
      <c r="V2598" s="291">
        <f t="shared" ca="1" si="799"/>
        <v>0</v>
      </c>
      <c r="W2598" s="256">
        <f t="shared" ca="1" si="795"/>
        <v>2</v>
      </c>
      <c r="X2598" s="256">
        <f t="shared" ca="1" si="798"/>
        <v>1</v>
      </c>
      <c r="Y2598" s="256"/>
      <c r="Z2598" s="256"/>
      <c r="AA2598" s="292"/>
      <c r="AB2598" s="292"/>
      <c r="AC2598" s="292"/>
    </row>
    <row r="2599" spans="1:29" s="293" customFormat="1" ht="15.75" hidden="1" customHeight="1" x14ac:dyDescent="0.2">
      <c r="A2599" s="288" t="s">
        <v>130</v>
      </c>
      <c r="B2599" s="364"/>
      <c r="C2599" s="365"/>
      <c r="D2599" s="1354"/>
      <c r="E2599" s="1355"/>
      <c r="F2599" s="1355"/>
      <c r="G2599" s="1355"/>
      <c r="H2599" s="1355"/>
      <c r="I2599" s="1356"/>
      <c r="J2599" s="1367"/>
      <c r="K2599" s="1368"/>
      <c r="L2599" s="1370"/>
      <c r="M2599" s="1371" t="s">
        <v>496</v>
      </c>
      <c r="N2599" s="1372"/>
      <c r="O2599" s="1372"/>
      <c r="P2599" s="1372"/>
      <c r="Q2599" s="1373"/>
      <c r="R2599" s="362">
        <f>R2597-R2598</f>
        <v>0</v>
      </c>
      <c r="S2599" s="363" t="str">
        <f>L2597</f>
        <v>m³</v>
      </c>
      <c r="T2599" s="366"/>
      <c r="U2599" s="367"/>
      <c r="V2599" s="291">
        <f t="shared" ca="1" si="799"/>
        <v>0</v>
      </c>
      <c r="W2599" s="256">
        <f t="shared" ca="1" si="795"/>
        <v>2</v>
      </c>
      <c r="X2599" s="256">
        <f t="shared" ca="1" si="798"/>
        <v>1</v>
      </c>
      <c r="Y2599" s="256"/>
      <c r="Z2599" s="256"/>
      <c r="AA2599" s="292"/>
      <c r="AB2599" s="292"/>
      <c r="AC2599" s="292"/>
    </row>
    <row r="2600" spans="1:29" s="111" customFormat="1" ht="15.75" hidden="1" x14ac:dyDescent="0.2">
      <c r="A2600" s="288"/>
      <c r="B2600" s="368"/>
      <c r="C2600" s="365"/>
      <c r="D2600" s="369"/>
      <c r="E2600" s="370"/>
      <c r="F2600" s="369"/>
      <c r="G2600" s="369"/>
      <c r="H2600" s="369"/>
      <c r="I2600" s="369"/>
      <c r="J2600" s="371"/>
      <c r="K2600" s="372"/>
      <c r="L2600" s="373"/>
      <c r="M2600" s="374"/>
      <c r="N2600" s="374"/>
      <c r="O2600" s="374"/>
      <c r="P2600" s="374"/>
      <c r="Q2600" s="374"/>
      <c r="R2600" s="375"/>
      <c r="S2600" s="376"/>
      <c r="T2600" s="377"/>
      <c r="U2600" s="378"/>
      <c r="V2600" s="379">
        <f ca="1">SUM(V2591:V2599)</f>
        <v>0</v>
      </c>
      <c r="W2600" s="256">
        <f t="shared" ca="1" si="795"/>
        <v>1</v>
      </c>
      <c r="X2600" s="256">
        <f t="shared" ca="1" si="798"/>
        <v>0</v>
      </c>
      <c r="Y2600" s="250"/>
      <c r="Z2600" s="250"/>
    </row>
    <row r="2601" spans="1:29" s="293" customFormat="1" ht="15.75" hidden="1" customHeight="1" x14ac:dyDescent="0.25">
      <c r="A2601" s="288"/>
      <c r="B2601" s="1374" t="str">
        <f>VLOOKUP(A2609,'11 - FINANCEIRO'!_xlnm.Print_Area,1,FALSE)</f>
        <v>3.3.2.2.4</v>
      </c>
      <c r="C2601" s="1376" t="str">
        <f>VLOOKUP(A2609,'11 - FINANCEIRO'!_xlnm.Print_Area,3,FALSE)</f>
        <v>Reaterro Manual Apiloado Com Soquete. Af_10/2017</v>
      </c>
      <c r="D2601" s="1378" t="s">
        <v>477</v>
      </c>
      <c r="E2601" s="1379"/>
      <c r="F2601" s="1379"/>
      <c r="G2601" s="1379"/>
      <c r="H2601" s="1379"/>
      <c r="I2601" s="1380"/>
      <c r="J2601" s="1338" t="s">
        <v>478</v>
      </c>
      <c r="K2601" s="1338" t="s">
        <v>479</v>
      </c>
      <c r="L2601" s="1338" t="s">
        <v>480</v>
      </c>
      <c r="M2601" s="1338" t="s">
        <v>481</v>
      </c>
      <c r="N2601" s="1338" t="s">
        <v>482</v>
      </c>
      <c r="O2601" s="1338" t="s">
        <v>483</v>
      </c>
      <c r="P2601" s="290" t="s">
        <v>484</v>
      </c>
      <c r="Q2601" s="1338" t="s">
        <v>485</v>
      </c>
      <c r="R2601" s="1336" t="s">
        <v>296</v>
      </c>
      <c r="S2601" s="1338" t="s">
        <v>486</v>
      </c>
      <c r="T2601" s="1338" t="s">
        <v>487</v>
      </c>
      <c r="U2601" s="1340" t="s">
        <v>488</v>
      </c>
      <c r="V2601" s="291">
        <f t="shared" ref="V2601:V2609" ca="1" si="800">IF(OFFSET(V2601,1,1)=1,OFFSET(V2601,0,-4),OFFSET(V2601,1,0))</f>
        <v>0</v>
      </c>
      <c r="W2601" s="256">
        <f t="shared" ca="1" si="795"/>
        <v>2</v>
      </c>
      <c r="X2601" s="256">
        <f t="shared" ca="1" si="798"/>
        <v>1</v>
      </c>
      <c r="Y2601" s="256"/>
      <c r="Z2601" s="256"/>
      <c r="AA2601" s="292"/>
      <c r="AB2601" s="292"/>
      <c r="AC2601" s="292"/>
    </row>
    <row r="2602" spans="1:29" s="337" customFormat="1" ht="15.75" hidden="1" x14ac:dyDescent="0.2">
      <c r="A2602" s="288"/>
      <c r="B2602" s="1375"/>
      <c r="C2602" s="1377" t="e">
        <f>VLOOKUP(LEFT(#REF!,5),'11 - FINANCEIRO'!_xlnm.Print_Area,2,FALSE)</f>
        <v>#REF!</v>
      </c>
      <c r="D2602" s="1342" t="s">
        <v>489</v>
      </c>
      <c r="E2602" s="1343"/>
      <c r="F2602" s="1344"/>
      <c r="G2602" s="1345" t="s">
        <v>490</v>
      </c>
      <c r="H2602" s="1346"/>
      <c r="I2602" s="1347"/>
      <c r="J2602" s="1339"/>
      <c r="K2602" s="1339"/>
      <c r="L2602" s="1339"/>
      <c r="M2602" s="1339"/>
      <c r="N2602" s="1339"/>
      <c r="O2602" s="1339"/>
      <c r="P2602" s="295" t="s">
        <v>491</v>
      </c>
      <c r="Q2602" s="1339"/>
      <c r="R2602" s="1337"/>
      <c r="S2602" s="1339"/>
      <c r="T2602" s="1339"/>
      <c r="U2602" s="1341"/>
      <c r="V2602" s="291">
        <f t="shared" ca="1" si="800"/>
        <v>0</v>
      </c>
      <c r="W2602" s="256">
        <f t="shared" ca="1" si="795"/>
        <v>2</v>
      </c>
      <c r="X2602" s="256">
        <f t="shared" ca="1" si="798"/>
        <v>1</v>
      </c>
      <c r="Y2602" s="336"/>
      <c r="Z2602" s="336"/>
    </row>
    <row r="2603" spans="1:29" s="337" customFormat="1" ht="15.75" hidden="1" x14ac:dyDescent="0.2">
      <c r="A2603" s="288"/>
      <c r="B2603" s="296"/>
      <c r="C2603" s="297"/>
      <c r="D2603" s="298"/>
      <c r="E2603" s="299"/>
      <c r="F2603" s="300"/>
      <c r="G2603" s="301"/>
      <c r="H2603" s="302"/>
      <c r="I2603" s="303"/>
      <c r="J2603" s="304"/>
      <c r="K2603" s="304"/>
      <c r="L2603" s="304"/>
      <c r="M2603" s="304"/>
      <c r="N2603" s="304"/>
      <c r="O2603" s="304"/>
      <c r="P2603" s="306"/>
      <c r="Q2603" s="304"/>
      <c r="R2603" s="307"/>
      <c r="S2603" s="304"/>
      <c r="T2603" s="309"/>
      <c r="U2603" s="310"/>
      <c r="V2603" s="291">
        <f t="shared" ca="1" si="800"/>
        <v>0</v>
      </c>
      <c r="W2603" s="256">
        <f t="shared" ca="1" si="795"/>
        <v>0</v>
      </c>
      <c r="X2603" s="256">
        <f t="shared" ca="1" si="798"/>
        <v>1</v>
      </c>
      <c r="Y2603" s="336"/>
      <c r="Z2603" s="336"/>
    </row>
    <row r="2604" spans="1:29" s="111" customFormat="1" ht="15.75" hidden="1" x14ac:dyDescent="0.2">
      <c r="A2604" s="288"/>
      <c r="B2604" s="311"/>
      <c r="C2604" s="312"/>
      <c r="D2604" s="313"/>
      <c r="E2604" s="314"/>
      <c r="F2604" s="315"/>
      <c r="G2604" s="380"/>
      <c r="H2604" s="316"/>
      <c r="I2604" s="381"/>
      <c r="J2604" s="317"/>
      <c r="K2604" s="313"/>
      <c r="L2604" s="317"/>
      <c r="M2604" s="315"/>
      <c r="N2604" s="314"/>
      <c r="O2604" s="313"/>
      <c r="P2604" s="318"/>
      <c r="Q2604" s="315"/>
      <c r="R2604" s="319"/>
      <c r="S2604" s="317"/>
      <c r="T2604" s="320"/>
      <c r="U2604" s="321"/>
      <c r="V2604" s="291">
        <f t="shared" ca="1" si="800"/>
        <v>0</v>
      </c>
      <c r="W2604" s="256">
        <f t="shared" ca="1" si="795"/>
        <v>0</v>
      </c>
      <c r="X2604" s="256">
        <f t="shared" ca="1" si="798"/>
        <v>1</v>
      </c>
      <c r="Y2604" s="250"/>
      <c r="Z2604" s="250"/>
    </row>
    <row r="2605" spans="1:29" s="111" customFormat="1" ht="15" hidden="1" x14ac:dyDescent="0.2">
      <c r="A2605" s="288"/>
      <c r="B2605" s="322"/>
      <c r="C2605" s="382"/>
      <c r="D2605" s="324"/>
      <c r="E2605" s="325"/>
      <c r="F2605" s="326"/>
      <c r="G2605" s="324"/>
      <c r="H2605" s="325"/>
      <c r="I2605" s="326"/>
      <c r="J2605" s="317"/>
      <c r="K2605" s="328"/>
      <c r="L2605" s="328"/>
      <c r="M2605" s="328"/>
      <c r="N2605" s="328"/>
      <c r="O2605" s="334"/>
      <c r="P2605" s="328"/>
      <c r="Q2605" s="334"/>
      <c r="R2605" s="333"/>
      <c r="S2605" s="331"/>
      <c r="T2605" s="320"/>
      <c r="U2605" s="335"/>
      <c r="V2605" s="291">
        <f t="shared" ca="1" si="800"/>
        <v>0</v>
      </c>
      <c r="W2605" s="256">
        <f t="shared" ca="1" si="795"/>
        <v>0</v>
      </c>
      <c r="X2605" s="256">
        <f t="shared" ca="1" si="798"/>
        <v>1</v>
      </c>
      <c r="Y2605" s="250"/>
      <c r="Z2605" s="250"/>
    </row>
    <row r="2606" spans="1:29" s="111" customFormat="1" ht="15" hidden="1" x14ac:dyDescent="0.2">
      <c r="A2606" s="288"/>
      <c r="B2606" s="338"/>
      <c r="C2606" s="339"/>
      <c r="D2606" s="340"/>
      <c r="E2606" s="341"/>
      <c r="F2606" s="342"/>
      <c r="G2606" s="340"/>
      <c r="H2606" s="341"/>
      <c r="I2606" s="342"/>
      <c r="J2606" s="343"/>
      <c r="K2606" s="344"/>
      <c r="L2606" s="345"/>
      <c r="M2606" s="346"/>
      <c r="N2606" s="347"/>
      <c r="O2606" s="348"/>
      <c r="P2606" s="345"/>
      <c r="Q2606" s="349"/>
      <c r="R2606" s="350"/>
      <c r="S2606" s="351"/>
      <c r="T2606" s="352"/>
      <c r="U2606" s="353"/>
      <c r="V2606" s="291">
        <f t="shared" ca="1" si="800"/>
        <v>0</v>
      </c>
      <c r="W2606" s="256">
        <f t="shared" ca="1" si="795"/>
        <v>0</v>
      </c>
      <c r="X2606" s="256">
        <f t="shared" ca="1" si="798"/>
        <v>1</v>
      </c>
      <c r="Y2606" s="250"/>
      <c r="Z2606" s="250"/>
    </row>
    <row r="2607" spans="1:29" s="111" customFormat="1" ht="15.75" hidden="1" customHeight="1" x14ac:dyDescent="0.2">
      <c r="A2607" s="288"/>
      <c r="B2607" s="354"/>
      <c r="C2607" s="355"/>
      <c r="D2607" s="1354" t="s">
        <v>492</v>
      </c>
      <c r="E2607" s="1355"/>
      <c r="F2607" s="1355"/>
      <c r="G2607" s="1355"/>
      <c r="H2607" s="1355"/>
      <c r="I2607" s="1356"/>
      <c r="J2607" s="1357">
        <f>VLOOKUP(A2609,'11 - FINANCEIRO'!_xlnm.Print_Area,6,FALSE)</f>
        <v>40</v>
      </c>
      <c r="K2607" s="1358"/>
      <c r="L2607" s="356" t="str">
        <f>VLOOKUP(A2609,'11 - FINANCEIRO'!_xlnm.Print_Area,4,FALSE)</f>
        <v>m³</v>
      </c>
      <c r="M2607" s="1359" t="s">
        <v>493</v>
      </c>
      <c r="N2607" s="1360"/>
      <c r="O2607" s="1360"/>
      <c r="P2607" s="1360"/>
      <c r="Q2607" s="1361"/>
      <c r="R2607" s="357">
        <f>TRUNC(SUM(R2603:R2606),3)</f>
        <v>0</v>
      </c>
      <c r="S2607" s="358" t="str">
        <f>L2607</f>
        <v>m³</v>
      </c>
      <c r="T2607" s="359"/>
      <c r="U2607" s="360"/>
      <c r="V2607" s="291">
        <f t="shared" ca="1" si="800"/>
        <v>0</v>
      </c>
      <c r="W2607" s="256">
        <f t="shared" ca="1" si="795"/>
        <v>2</v>
      </c>
      <c r="X2607" s="256">
        <f t="shared" ca="1" si="798"/>
        <v>1</v>
      </c>
      <c r="Y2607" s="250"/>
      <c r="Z2607" s="250"/>
    </row>
    <row r="2608" spans="1:29" s="293" customFormat="1" ht="15.75" hidden="1" customHeight="1" x14ac:dyDescent="0.2">
      <c r="A2608" s="288"/>
      <c r="B2608" s="354"/>
      <c r="C2608" s="361"/>
      <c r="D2608" s="1362" t="s">
        <v>494</v>
      </c>
      <c r="E2608" s="1363"/>
      <c r="F2608" s="1363"/>
      <c r="G2608" s="1363"/>
      <c r="H2608" s="1363"/>
      <c r="I2608" s="1364"/>
      <c r="J2608" s="1365">
        <f>R2607/J2607</f>
        <v>0</v>
      </c>
      <c r="K2608" s="1366"/>
      <c r="L2608" s="1369"/>
      <c r="M2608" s="1371" t="s">
        <v>495</v>
      </c>
      <c r="N2608" s="1372"/>
      <c r="O2608" s="1372"/>
      <c r="P2608" s="1372"/>
      <c r="Q2608" s="1373"/>
      <c r="R2608" s="362">
        <f>VLOOKUP(A2609,'11 - FINANCEIRO'!_xlnm.Print_Area,8,FALSE)</f>
        <v>0</v>
      </c>
      <c r="S2608" s="363" t="str">
        <f>L2607</f>
        <v>m³</v>
      </c>
      <c r="T2608" s="359"/>
      <c r="U2608" s="360"/>
      <c r="V2608" s="291">
        <f t="shared" ca="1" si="800"/>
        <v>0</v>
      </c>
      <c r="W2608" s="256">
        <f t="shared" ca="1" si="795"/>
        <v>2</v>
      </c>
      <c r="X2608" s="256">
        <f t="shared" ca="1" si="798"/>
        <v>1</v>
      </c>
      <c r="Y2608" s="256"/>
      <c r="Z2608" s="256"/>
      <c r="AA2608" s="292"/>
      <c r="AB2608" s="292"/>
      <c r="AC2608" s="292"/>
    </row>
    <row r="2609" spans="1:29" s="293" customFormat="1" ht="15.75" hidden="1" customHeight="1" x14ac:dyDescent="0.2">
      <c r="A2609" s="288" t="s">
        <v>131</v>
      </c>
      <c r="B2609" s="364"/>
      <c r="C2609" s="365"/>
      <c r="D2609" s="1354"/>
      <c r="E2609" s="1355"/>
      <c r="F2609" s="1355"/>
      <c r="G2609" s="1355"/>
      <c r="H2609" s="1355"/>
      <c r="I2609" s="1356"/>
      <c r="J2609" s="1367"/>
      <c r="K2609" s="1368"/>
      <c r="L2609" s="1370"/>
      <c r="M2609" s="1371" t="s">
        <v>496</v>
      </c>
      <c r="N2609" s="1372"/>
      <c r="O2609" s="1372"/>
      <c r="P2609" s="1372"/>
      <c r="Q2609" s="1373"/>
      <c r="R2609" s="362">
        <f>R2607-R2608</f>
        <v>0</v>
      </c>
      <c r="S2609" s="363" t="str">
        <f>L2607</f>
        <v>m³</v>
      </c>
      <c r="T2609" s="366"/>
      <c r="U2609" s="367"/>
      <c r="V2609" s="291">
        <f t="shared" ca="1" si="800"/>
        <v>0</v>
      </c>
      <c r="W2609" s="256">
        <f t="shared" ca="1" si="795"/>
        <v>2</v>
      </c>
      <c r="X2609" s="256">
        <f t="shared" ca="1" si="798"/>
        <v>1</v>
      </c>
      <c r="Y2609" s="256"/>
      <c r="Z2609" s="256"/>
      <c r="AA2609" s="292"/>
      <c r="AB2609" s="292"/>
      <c r="AC2609" s="292"/>
    </row>
    <row r="2610" spans="1:29" s="111" customFormat="1" ht="15.75" hidden="1" x14ac:dyDescent="0.2">
      <c r="A2610" s="288"/>
      <c r="B2610" s="368"/>
      <c r="C2610" s="365"/>
      <c r="D2610" s="369"/>
      <c r="E2610" s="370"/>
      <c r="F2610" s="369"/>
      <c r="G2610" s="369"/>
      <c r="H2610" s="369"/>
      <c r="I2610" s="369"/>
      <c r="J2610" s="371"/>
      <c r="K2610" s="372"/>
      <c r="L2610" s="373"/>
      <c r="M2610" s="374"/>
      <c r="N2610" s="374"/>
      <c r="O2610" s="374"/>
      <c r="P2610" s="374"/>
      <c r="Q2610" s="374"/>
      <c r="R2610" s="375"/>
      <c r="S2610" s="376"/>
      <c r="T2610" s="377"/>
      <c r="U2610" s="378"/>
      <c r="V2610" s="379">
        <f ca="1">SUM(V2601:V2609)</f>
        <v>0</v>
      </c>
      <c r="W2610" s="256">
        <f t="shared" ca="1" si="795"/>
        <v>1</v>
      </c>
      <c r="X2610" s="256">
        <f t="shared" ca="1" si="798"/>
        <v>0</v>
      </c>
      <c r="Y2610" s="250"/>
      <c r="Z2610" s="250"/>
    </row>
    <row r="2611" spans="1:29" s="293" customFormat="1" ht="15.75" hidden="1" customHeight="1" x14ac:dyDescent="0.25">
      <c r="A2611" s="288"/>
      <c r="B2611" s="1374" t="str">
        <f>VLOOKUP(A2619,'11 - FINANCEIRO'!_xlnm.Print_Area,1,FALSE)</f>
        <v>3.3.2.2.5</v>
      </c>
      <c r="C2611" s="1376" t="str">
        <f>VLOOKUP(A2619,'11 - FINANCEIRO'!_xlnm.Print_Area,3,FALSE)</f>
        <v>Reaterro Manual De Valas Com Compactação Mecanizada. Af_04/2016</v>
      </c>
      <c r="D2611" s="1378" t="s">
        <v>477</v>
      </c>
      <c r="E2611" s="1379"/>
      <c r="F2611" s="1379"/>
      <c r="G2611" s="1379"/>
      <c r="H2611" s="1379"/>
      <c r="I2611" s="1380"/>
      <c r="J2611" s="1338" t="s">
        <v>478</v>
      </c>
      <c r="K2611" s="1338" t="s">
        <v>479</v>
      </c>
      <c r="L2611" s="1338" t="s">
        <v>480</v>
      </c>
      <c r="M2611" s="1338" t="s">
        <v>481</v>
      </c>
      <c r="N2611" s="1338" t="s">
        <v>482</v>
      </c>
      <c r="O2611" s="1338" t="s">
        <v>483</v>
      </c>
      <c r="P2611" s="290" t="s">
        <v>484</v>
      </c>
      <c r="Q2611" s="1338" t="s">
        <v>485</v>
      </c>
      <c r="R2611" s="1336" t="s">
        <v>296</v>
      </c>
      <c r="S2611" s="1338" t="s">
        <v>486</v>
      </c>
      <c r="T2611" s="1338" t="s">
        <v>487</v>
      </c>
      <c r="U2611" s="1340" t="s">
        <v>488</v>
      </c>
      <c r="V2611" s="291">
        <f t="shared" ref="V2611:V2619" ca="1" si="801">IF(OFFSET(V2611,1,1)=1,OFFSET(V2611,0,-4),OFFSET(V2611,1,0))</f>
        <v>0</v>
      </c>
      <c r="W2611" s="256">
        <f t="shared" ca="1" si="795"/>
        <v>2</v>
      </c>
      <c r="X2611" s="256">
        <f t="shared" ca="1" si="798"/>
        <v>1</v>
      </c>
      <c r="Y2611" s="256"/>
      <c r="Z2611" s="256"/>
      <c r="AA2611" s="292"/>
      <c r="AB2611" s="292"/>
      <c r="AC2611" s="292"/>
    </row>
    <row r="2612" spans="1:29" s="337" customFormat="1" ht="15.75" hidden="1" x14ac:dyDescent="0.2">
      <c r="A2612" s="288"/>
      <c r="B2612" s="1375"/>
      <c r="C2612" s="1377" t="e">
        <f>VLOOKUP(LEFT(#REF!,5),'11 - FINANCEIRO'!_xlnm.Print_Area,2,FALSE)</f>
        <v>#REF!</v>
      </c>
      <c r="D2612" s="1342" t="s">
        <v>489</v>
      </c>
      <c r="E2612" s="1343"/>
      <c r="F2612" s="1344"/>
      <c r="G2612" s="1345" t="s">
        <v>490</v>
      </c>
      <c r="H2612" s="1346"/>
      <c r="I2612" s="1347"/>
      <c r="J2612" s="1339"/>
      <c r="K2612" s="1339"/>
      <c r="L2612" s="1339"/>
      <c r="M2612" s="1339"/>
      <c r="N2612" s="1339"/>
      <c r="O2612" s="1339"/>
      <c r="P2612" s="295" t="s">
        <v>491</v>
      </c>
      <c r="Q2612" s="1339"/>
      <c r="R2612" s="1337"/>
      <c r="S2612" s="1339"/>
      <c r="T2612" s="1339"/>
      <c r="U2612" s="1341"/>
      <c r="V2612" s="291">
        <f t="shared" ca="1" si="801"/>
        <v>0</v>
      </c>
      <c r="W2612" s="256">
        <f t="shared" ca="1" si="795"/>
        <v>2</v>
      </c>
      <c r="X2612" s="256">
        <f t="shared" ca="1" si="798"/>
        <v>1</v>
      </c>
      <c r="Y2612" s="336"/>
      <c r="Z2612" s="336"/>
    </row>
    <row r="2613" spans="1:29" s="337" customFormat="1" ht="15.75" hidden="1" x14ac:dyDescent="0.2">
      <c r="A2613" s="288"/>
      <c r="B2613" s="296"/>
      <c r="C2613" s="297"/>
      <c r="D2613" s="298"/>
      <c r="E2613" s="299"/>
      <c r="F2613" s="300"/>
      <c r="G2613" s="301"/>
      <c r="H2613" s="302"/>
      <c r="I2613" s="303"/>
      <c r="J2613" s="304"/>
      <c r="K2613" s="304"/>
      <c r="L2613" s="304"/>
      <c r="M2613" s="304"/>
      <c r="N2613" s="304"/>
      <c r="O2613" s="304"/>
      <c r="P2613" s="306"/>
      <c r="Q2613" s="304"/>
      <c r="R2613" s="307"/>
      <c r="S2613" s="304"/>
      <c r="T2613" s="309"/>
      <c r="U2613" s="310"/>
      <c r="V2613" s="291">
        <f t="shared" ca="1" si="801"/>
        <v>0</v>
      </c>
      <c r="W2613" s="256">
        <f t="shared" ca="1" si="795"/>
        <v>0</v>
      </c>
      <c r="X2613" s="256">
        <f t="shared" ca="1" si="798"/>
        <v>1</v>
      </c>
      <c r="Y2613" s="336"/>
      <c r="Z2613" s="336"/>
    </row>
    <row r="2614" spans="1:29" s="111" customFormat="1" ht="15.75" hidden="1" x14ac:dyDescent="0.2">
      <c r="A2614" s="288"/>
      <c r="B2614" s="311"/>
      <c r="C2614" s="312"/>
      <c r="D2614" s="313"/>
      <c r="E2614" s="314"/>
      <c r="F2614" s="315"/>
      <c r="G2614" s="380"/>
      <c r="H2614" s="316"/>
      <c r="I2614" s="381"/>
      <c r="J2614" s="317"/>
      <c r="K2614" s="313"/>
      <c r="L2614" s="317"/>
      <c r="M2614" s="315"/>
      <c r="N2614" s="314"/>
      <c r="O2614" s="313"/>
      <c r="P2614" s="318"/>
      <c r="Q2614" s="315"/>
      <c r="R2614" s="319"/>
      <c r="S2614" s="317"/>
      <c r="T2614" s="320"/>
      <c r="U2614" s="321"/>
      <c r="V2614" s="291">
        <f t="shared" ca="1" si="801"/>
        <v>0</v>
      </c>
      <c r="W2614" s="256">
        <f t="shared" ca="1" si="795"/>
        <v>0</v>
      </c>
      <c r="X2614" s="256">
        <f t="shared" ca="1" si="798"/>
        <v>1</v>
      </c>
      <c r="Y2614" s="250"/>
      <c r="Z2614" s="250"/>
    </row>
    <row r="2615" spans="1:29" s="111" customFormat="1" ht="15" hidden="1" x14ac:dyDescent="0.2">
      <c r="A2615" s="288"/>
      <c r="B2615" s="322"/>
      <c r="C2615" s="382"/>
      <c r="D2615" s="324"/>
      <c r="E2615" s="325"/>
      <c r="F2615" s="326"/>
      <c r="G2615" s="324"/>
      <c r="H2615" s="325"/>
      <c r="I2615" s="326"/>
      <c r="J2615" s="317"/>
      <c r="K2615" s="328"/>
      <c r="L2615" s="328"/>
      <c r="M2615" s="328"/>
      <c r="N2615" s="328"/>
      <c r="O2615" s="334"/>
      <c r="P2615" s="328"/>
      <c r="Q2615" s="334"/>
      <c r="R2615" s="333"/>
      <c r="S2615" s="331"/>
      <c r="T2615" s="320"/>
      <c r="U2615" s="335"/>
      <c r="V2615" s="291">
        <f t="shared" ca="1" si="801"/>
        <v>0</v>
      </c>
      <c r="W2615" s="256">
        <f t="shared" ca="1" si="795"/>
        <v>0</v>
      </c>
      <c r="X2615" s="256">
        <f t="shared" ca="1" si="798"/>
        <v>1</v>
      </c>
      <c r="Y2615" s="250"/>
      <c r="Z2615" s="250"/>
    </row>
    <row r="2616" spans="1:29" s="111" customFormat="1" ht="15" hidden="1" x14ac:dyDescent="0.2">
      <c r="A2616" s="288"/>
      <c r="B2616" s="338"/>
      <c r="C2616" s="339"/>
      <c r="D2616" s="340"/>
      <c r="E2616" s="341"/>
      <c r="F2616" s="342"/>
      <c r="G2616" s="340"/>
      <c r="H2616" s="341"/>
      <c r="I2616" s="342"/>
      <c r="J2616" s="343"/>
      <c r="K2616" s="344"/>
      <c r="L2616" s="345"/>
      <c r="M2616" s="346"/>
      <c r="N2616" s="347"/>
      <c r="O2616" s="348"/>
      <c r="P2616" s="345"/>
      <c r="Q2616" s="349"/>
      <c r="R2616" s="350"/>
      <c r="S2616" s="351"/>
      <c r="T2616" s="352"/>
      <c r="U2616" s="353"/>
      <c r="V2616" s="291">
        <f t="shared" ca="1" si="801"/>
        <v>0</v>
      </c>
      <c r="W2616" s="256">
        <f t="shared" ca="1" si="795"/>
        <v>0</v>
      </c>
      <c r="X2616" s="256">
        <f t="shared" ca="1" si="798"/>
        <v>1</v>
      </c>
      <c r="Y2616" s="250"/>
      <c r="Z2616" s="250"/>
    </row>
    <row r="2617" spans="1:29" s="111" customFormat="1" ht="15.75" hidden="1" customHeight="1" x14ac:dyDescent="0.2">
      <c r="A2617" s="288"/>
      <c r="B2617" s="354"/>
      <c r="C2617" s="355"/>
      <c r="D2617" s="1354" t="s">
        <v>492</v>
      </c>
      <c r="E2617" s="1355"/>
      <c r="F2617" s="1355"/>
      <c r="G2617" s="1355"/>
      <c r="H2617" s="1355"/>
      <c r="I2617" s="1356"/>
      <c r="J2617" s="1357">
        <f>VLOOKUP(A2619,'11 - FINANCEIRO'!_xlnm.Print_Area,6,FALSE)</f>
        <v>82.59</v>
      </c>
      <c r="K2617" s="1358"/>
      <c r="L2617" s="356" t="str">
        <f>VLOOKUP(A2619,'11 - FINANCEIRO'!_xlnm.Print_Area,4,FALSE)</f>
        <v>m³</v>
      </c>
      <c r="M2617" s="1359" t="s">
        <v>493</v>
      </c>
      <c r="N2617" s="1360"/>
      <c r="O2617" s="1360"/>
      <c r="P2617" s="1360"/>
      <c r="Q2617" s="1361"/>
      <c r="R2617" s="357">
        <f>TRUNC(SUM(R2613:R2616),3)</f>
        <v>0</v>
      </c>
      <c r="S2617" s="358" t="str">
        <f>L2617</f>
        <v>m³</v>
      </c>
      <c r="T2617" s="359"/>
      <c r="U2617" s="360"/>
      <c r="V2617" s="291">
        <f t="shared" ca="1" si="801"/>
        <v>0</v>
      </c>
      <c r="W2617" s="256">
        <f t="shared" ca="1" si="795"/>
        <v>2</v>
      </c>
      <c r="X2617" s="256">
        <f t="shared" ca="1" si="798"/>
        <v>1</v>
      </c>
      <c r="Y2617" s="250"/>
      <c r="Z2617" s="250"/>
    </row>
    <row r="2618" spans="1:29" s="293" customFormat="1" ht="15.75" hidden="1" customHeight="1" x14ac:dyDescent="0.2">
      <c r="A2618" s="288"/>
      <c r="B2618" s="354"/>
      <c r="C2618" s="361"/>
      <c r="D2618" s="1362" t="s">
        <v>494</v>
      </c>
      <c r="E2618" s="1363"/>
      <c r="F2618" s="1363"/>
      <c r="G2618" s="1363"/>
      <c r="H2618" s="1363"/>
      <c r="I2618" s="1364"/>
      <c r="J2618" s="1365">
        <f>R2617/J2617</f>
        <v>0</v>
      </c>
      <c r="K2618" s="1366"/>
      <c r="L2618" s="1369"/>
      <c r="M2618" s="1371" t="s">
        <v>495</v>
      </c>
      <c r="N2618" s="1372"/>
      <c r="O2618" s="1372"/>
      <c r="P2618" s="1372"/>
      <c r="Q2618" s="1373"/>
      <c r="R2618" s="362">
        <f>VLOOKUP(A2619,'11 - FINANCEIRO'!_xlnm.Print_Area,8,FALSE)</f>
        <v>0</v>
      </c>
      <c r="S2618" s="363" t="str">
        <f>L2617</f>
        <v>m³</v>
      </c>
      <c r="T2618" s="359"/>
      <c r="U2618" s="360"/>
      <c r="V2618" s="291">
        <f t="shared" ca="1" si="801"/>
        <v>0</v>
      </c>
      <c r="W2618" s="256">
        <f t="shared" ca="1" si="795"/>
        <v>2</v>
      </c>
      <c r="X2618" s="256">
        <f t="shared" ca="1" si="798"/>
        <v>1</v>
      </c>
      <c r="Y2618" s="256"/>
      <c r="Z2618" s="256"/>
      <c r="AA2618" s="292"/>
      <c r="AB2618" s="292"/>
      <c r="AC2618" s="292"/>
    </row>
    <row r="2619" spans="1:29" s="293" customFormat="1" ht="15.75" hidden="1" customHeight="1" x14ac:dyDescent="0.2">
      <c r="A2619" s="288" t="s">
        <v>132</v>
      </c>
      <c r="B2619" s="364"/>
      <c r="C2619" s="365"/>
      <c r="D2619" s="1354"/>
      <c r="E2619" s="1355"/>
      <c r="F2619" s="1355"/>
      <c r="G2619" s="1355"/>
      <c r="H2619" s="1355"/>
      <c r="I2619" s="1356"/>
      <c r="J2619" s="1367"/>
      <c r="K2619" s="1368"/>
      <c r="L2619" s="1370"/>
      <c r="M2619" s="1371" t="s">
        <v>496</v>
      </c>
      <c r="N2619" s="1372"/>
      <c r="O2619" s="1372"/>
      <c r="P2619" s="1372"/>
      <c r="Q2619" s="1373"/>
      <c r="R2619" s="362">
        <f>R2617-R2618</f>
        <v>0</v>
      </c>
      <c r="S2619" s="363" t="str">
        <f>L2617</f>
        <v>m³</v>
      </c>
      <c r="T2619" s="366"/>
      <c r="U2619" s="367"/>
      <c r="V2619" s="291">
        <f t="shared" ca="1" si="801"/>
        <v>0</v>
      </c>
      <c r="W2619" s="256">
        <f t="shared" ca="1" si="795"/>
        <v>2</v>
      </c>
      <c r="X2619" s="256">
        <f t="shared" ca="1" si="798"/>
        <v>1</v>
      </c>
      <c r="Y2619" s="256"/>
      <c r="Z2619" s="256"/>
      <c r="AA2619" s="292"/>
      <c r="AB2619" s="292"/>
      <c r="AC2619" s="292"/>
    </row>
    <row r="2620" spans="1:29" s="111" customFormat="1" ht="15.75" hidden="1" x14ac:dyDescent="0.2">
      <c r="A2620" s="288"/>
      <c r="B2620" s="368"/>
      <c r="C2620" s="365"/>
      <c r="D2620" s="369"/>
      <c r="E2620" s="370"/>
      <c r="F2620" s="369"/>
      <c r="G2620" s="369"/>
      <c r="H2620" s="369"/>
      <c r="I2620" s="369"/>
      <c r="J2620" s="371"/>
      <c r="K2620" s="372"/>
      <c r="L2620" s="373"/>
      <c r="M2620" s="374"/>
      <c r="N2620" s="374"/>
      <c r="O2620" s="374"/>
      <c r="P2620" s="374"/>
      <c r="Q2620" s="374"/>
      <c r="R2620" s="375"/>
      <c r="S2620" s="376"/>
      <c r="T2620" s="377"/>
      <c r="U2620" s="378"/>
      <c r="V2620" s="379">
        <f ca="1">SUM(V2611:V2619)</f>
        <v>0</v>
      </c>
      <c r="W2620" s="256">
        <f t="shared" ca="1" si="795"/>
        <v>1</v>
      </c>
      <c r="X2620" s="256">
        <f t="shared" ca="1" si="798"/>
        <v>0</v>
      </c>
      <c r="Y2620" s="250"/>
      <c r="Z2620" s="250"/>
    </row>
    <row r="2621" spans="1:29" s="293" customFormat="1" ht="15.75" hidden="1" customHeight="1" x14ac:dyDescent="0.25">
      <c r="A2621" s="288"/>
      <c r="B2621" s="1374" t="str">
        <f>VLOOKUP(A2629,'11 - FINANCEIRO'!_xlnm.Print_Area,1,FALSE)</f>
        <v>3.3.2.2.6</v>
      </c>
      <c r="C2621" s="1376" t="str">
        <f>VLOOKUP(A2629,'11 - FINANCEIRO'!_xlnm.Print_Area,3,FALSE)</f>
        <v>Transporte Com Caminhão Basculante De 6 M³ - Rodovia Em Revestimento Primário</v>
      </c>
      <c r="D2621" s="1378" t="s">
        <v>477</v>
      </c>
      <c r="E2621" s="1379"/>
      <c r="F2621" s="1379"/>
      <c r="G2621" s="1379"/>
      <c r="H2621" s="1379"/>
      <c r="I2621" s="1380"/>
      <c r="J2621" s="1338" t="s">
        <v>478</v>
      </c>
      <c r="K2621" s="1338" t="s">
        <v>479</v>
      </c>
      <c r="L2621" s="1338" t="s">
        <v>480</v>
      </c>
      <c r="M2621" s="1338" t="s">
        <v>481</v>
      </c>
      <c r="N2621" s="1338" t="s">
        <v>482</v>
      </c>
      <c r="O2621" s="1338" t="s">
        <v>483</v>
      </c>
      <c r="P2621" s="290" t="s">
        <v>484</v>
      </c>
      <c r="Q2621" s="1338" t="s">
        <v>485</v>
      </c>
      <c r="R2621" s="1336" t="s">
        <v>296</v>
      </c>
      <c r="S2621" s="1338" t="s">
        <v>486</v>
      </c>
      <c r="T2621" s="1338" t="s">
        <v>487</v>
      </c>
      <c r="U2621" s="1340" t="s">
        <v>488</v>
      </c>
      <c r="V2621" s="291">
        <f t="shared" ref="V2621:V2629" ca="1" si="802">IF(OFFSET(V2621,1,1)=1,OFFSET(V2621,0,-4),OFFSET(V2621,1,0))</f>
        <v>0</v>
      </c>
      <c r="W2621" s="256">
        <f t="shared" ca="1" si="795"/>
        <v>2</v>
      </c>
      <c r="X2621" s="256">
        <f t="shared" ca="1" si="798"/>
        <v>1</v>
      </c>
      <c r="Y2621" s="256"/>
      <c r="Z2621" s="256"/>
      <c r="AA2621" s="292"/>
      <c r="AB2621" s="292"/>
      <c r="AC2621" s="292"/>
    </row>
    <row r="2622" spans="1:29" s="337" customFormat="1" ht="15.75" hidden="1" x14ac:dyDescent="0.2">
      <c r="A2622" s="288"/>
      <c r="B2622" s="1375"/>
      <c r="C2622" s="1377" t="e">
        <f>VLOOKUP(LEFT(#REF!,5),'11 - FINANCEIRO'!_xlnm.Print_Area,2,FALSE)</f>
        <v>#REF!</v>
      </c>
      <c r="D2622" s="1342" t="s">
        <v>489</v>
      </c>
      <c r="E2622" s="1343"/>
      <c r="F2622" s="1344"/>
      <c r="G2622" s="1345" t="s">
        <v>490</v>
      </c>
      <c r="H2622" s="1346"/>
      <c r="I2622" s="1347"/>
      <c r="J2622" s="1339"/>
      <c r="K2622" s="1339"/>
      <c r="L2622" s="1339"/>
      <c r="M2622" s="1339"/>
      <c r="N2622" s="1339"/>
      <c r="O2622" s="1339"/>
      <c r="P2622" s="295" t="s">
        <v>491</v>
      </c>
      <c r="Q2622" s="1339"/>
      <c r="R2622" s="1337"/>
      <c r="S2622" s="1339"/>
      <c r="T2622" s="1339"/>
      <c r="U2622" s="1341"/>
      <c r="V2622" s="291">
        <f t="shared" ca="1" si="802"/>
        <v>0</v>
      </c>
      <c r="W2622" s="256">
        <f t="shared" ca="1" si="795"/>
        <v>2</v>
      </c>
      <c r="X2622" s="256">
        <f t="shared" ca="1" si="798"/>
        <v>1</v>
      </c>
      <c r="Y2622" s="336"/>
      <c r="Z2622" s="336"/>
    </row>
    <row r="2623" spans="1:29" s="337" customFormat="1" ht="15.75" hidden="1" x14ac:dyDescent="0.2">
      <c r="A2623" s="288"/>
      <c r="B2623" s="296"/>
      <c r="C2623" s="297"/>
      <c r="D2623" s="298"/>
      <c r="E2623" s="299"/>
      <c r="F2623" s="300"/>
      <c r="G2623" s="301"/>
      <c r="H2623" s="302"/>
      <c r="I2623" s="303"/>
      <c r="J2623" s="304"/>
      <c r="K2623" s="304"/>
      <c r="L2623" s="304"/>
      <c r="M2623" s="304"/>
      <c r="N2623" s="304"/>
      <c r="O2623" s="304"/>
      <c r="P2623" s="306"/>
      <c r="Q2623" s="304"/>
      <c r="R2623" s="307"/>
      <c r="S2623" s="304"/>
      <c r="T2623" s="309"/>
      <c r="U2623" s="310"/>
      <c r="V2623" s="291">
        <f t="shared" ca="1" si="802"/>
        <v>0</v>
      </c>
      <c r="W2623" s="256">
        <f t="shared" ca="1" si="795"/>
        <v>0</v>
      </c>
      <c r="X2623" s="256">
        <f t="shared" ca="1" si="798"/>
        <v>1</v>
      </c>
      <c r="Y2623" s="336"/>
      <c r="Z2623" s="336"/>
    </row>
    <row r="2624" spans="1:29" s="111" customFormat="1" ht="15.75" hidden="1" x14ac:dyDescent="0.2">
      <c r="A2624" s="288"/>
      <c r="B2624" s="311"/>
      <c r="C2624" s="312"/>
      <c r="D2624" s="313"/>
      <c r="E2624" s="314"/>
      <c r="F2624" s="315"/>
      <c r="G2624" s="380"/>
      <c r="H2624" s="316"/>
      <c r="I2624" s="381"/>
      <c r="J2624" s="317"/>
      <c r="K2624" s="313"/>
      <c r="L2624" s="317"/>
      <c r="M2624" s="315"/>
      <c r="N2624" s="314"/>
      <c r="O2624" s="313"/>
      <c r="P2624" s="318"/>
      <c r="Q2624" s="315"/>
      <c r="R2624" s="319"/>
      <c r="S2624" s="317"/>
      <c r="T2624" s="320"/>
      <c r="U2624" s="321"/>
      <c r="V2624" s="291">
        <f t="shared" ca="1" si="802"/>
        <v>0</v>
      </c>
      <c r="W2624" s="256">
        <f t="shared" ca="1" si="795"/>
        <v>0</v>
      </c>
      <c r="X2624" s="256">
        <f t="shared" ca="1" si="798"/>
        <v>1</v>
      </c>
      <c r="Y2624" s="250"/>
      <c r="Z2624" s="250"/>
    </row>
    <row r="2625" spans="1:29" s="111" customFormat="1" ht="15" hidden="1" x14ac:dyDescent="0.2">
      <c r="A2625" s="288"/>
      <c r="B2625" s="322"/>
      <c r="C2625" s="382"/>
      <c r="D2625" s="324"/>
      <c r="E2625" s="325"/>
      <c r="F2625" s="326"/>
      <c r="G2625" s="324"/>
      <c r="H2625" s="325"/>
      <c r="I2625" s="326"/>
      <c r="J2625" s="317"/>
      <c r="K2625" s="328"/>
      <c r="L2625" s="328"/>
      <c r="M2625" s="328"/>
      <c r="N2625" s="328"/>
      <c r="O2625" s="334"/>
      <c r="P2625" s="328"/>
      <c r="Q2625" s="334"/>
      <c r="R2625" s="333"/>
      <c r="S2625" s="331"/>
      <c r="T2625" s="320"/>
      <c r="U2625" s="335"/>
      <c r="V2625" s="291">
        <f t="shared" ca="1" si="802"/>
        <v>0</v>
      </c>
      <c r="W2625" s="256">
        <f t="shared" ca="1" si="795"/>
        <v>0</v>
      </c>
      <c r="X2625" s="256">
        <f t="shared" ca="1" si="798"/>
        <v>1</v>
      </c>
      <c r="Y2625" s="250"/>
      <c r="Z2625" s="250"/>
    </row>
    <row r="2626" spans="1:29" s="111" customFormat="1" ht="15" hidden="1" x14ac:dyDescent="0.2">
      <c r="A2626" s="288"/>
      <c r="B2626" s="338"/>
      <c r="C2626" s="339"/>
      <c r="D2626" s="340"/>
      <c r="E2626" s="341"/>
      <c r="F2626" s="342"/>
      <c r="G2626" s="340"/>
      <c r="H2626" s="341"/>
      <c r="I2626" s="342"/>
      <c r="J2626" s="343"/>
      <c r="K2626" s="344"/>
      <c r="L2626" s="345"/>
      <c r="M2626" s="346"/>
      <c r="N2626" s="347"/>
      <c r="O2626" s="348"/>
      <c r="P2626" s="345"/>
      <c r="Q2626" s="349"/>
      <c r="R2626" s="350"/>
      <c r="S2626" s="351"/>
      <c r="T2626" s="352"/>
      <c r="U2626" s="353"/>
      <c r="V2626" s="291">
        <f t="shared" ca="1" si="802"/>
        <v>0</v>
      </c>
      <c r="W2626" s="256">
        <f t="shared" ca="1" si="795"/>
        <v>0</v>
      </c>
      <c r="X2626" s="256">
        <f t="shared" ca="1" si="798"/>
        <v>1</v>
      </c>
      <c r="Y2626" s="250"/>
      <c r="Z2626" s="250"/>
    </row>
    <row r="2627" spans="1:29" s="111" customFormat="1" ht="15.75" hidden="1" customHeight="1" x14ac:dyDescent="0.2">
      <c r="A2627" s="288"/>
      <c r="B2627" s="354"/>
      <c r="C2627" s="355"/>
      <c r="D2627" s="1354" t="s">
        <v>492</v>
      </c>
      <c r="E2627" s="1355"/>
      <c r="F2627" s="1355"/>
      <c r="G2627" s="1355"/>
      <c r="H2627" s="1355"/>
      <c r="I2627" s="1356"/>
      <c r="J2627" s="1357">
        <f>VLOOKUP(A2629,'11 - FINANCEIRO'!_xlnm.Print_Area,6,FALSE)</f>
        <v>18.37</v>
      </c>
      <c r="K2627" s="1358"/>
      <c r="L2627" s="356" t="str">
        <f>VLOOKUP(A2629,'11 - FINANCEIRO'!_xlnm.Print_Area,4,FALSE)</f>
        <v>tkm</v>
      </c>
      <c r="M2627" s="1359" t="s">
        <v>493</v>
      </c>
      <c r="N2627" s="1360"/>
      <c r="O2627" s="1360"/>
      <c r="P2627" s="1360"/>
      <c r="Q2627" s="1361"/>
      <c r="R2627" s="357">
        <f>TRUNC(SUM(R2623:R2626),3)</f>
        <v>0</v>
      </c>
      <c r="S2627" s="358" t="str">
        <f>L2627</f>
        <v>tkm</v>
      </c>
      <c r="T2627" s="359"/>
      <c r="U2627" s="360"/>
      <c r="V2627" s="291">
        <f t="shared" ca="1" si="802"/>
        <v>0</v>
      </c>
      <c r="W2627" s="256">
        <f t="shared" ca="1" si="795"/>
        <v>2</v>
      </c>
      <c r="X2627" s="256">
        <f t="shared" ca="1" si="798"/>
        <v>1</v>
      </c>
      <c r="Y2627" s="250"/>
      <c r="Z2627" s="250"/>
    </row>
    <row r="2628" spans="1:29" s="293" customFormat="1" ht="15.75" hidden="1" customHeight="1" x14ac:dyDescent="0.2">
      <c r="A2628" s="288"/>
      <c r="B2628" s="354"/>
      <c r="C2628" s="361"/>
      <c r="D2628" s="1362" t="s">
        <v>494</v>
      </c>
      <c r="E2628" s="1363"/>
      <c r="F2628" s="1363"/>
      <c r="G2628" s="1363"/>
      <c r="H2628" s="1363"/>
      <c r="I2628" s="1364"/>
      <c r="J2628" s="1365">
        <f>R2627/J2627</f>
        <v>0</v>
      </c>
      <c r="K2628" s="1366"/>
      <c r="L2628" s="1369"/>
      <c r="M2628" s="1371" t="s">
        <v>495</v>
      </c>
      <c r="N2628" s="1372"/>
      <c r="O2628" s="1372"/>
      <c r="P2628" s="1372"/>
      <c r="Q2628" s="1373"/>
      <c r="R2628" s="362">
        <f>VLOOKUP(A2629,'11 - FINANCEIRO'!_xlnm.Print_Area,8,FALSE)</f>
        <v>0</v>
      </c>
      <c r="S2628" s="363" t="str">
        <f>L2627</f>
        <v>tkm</v>
      </c>
      <c r="T2628" s="359"/>
      <c r="U2628" s="360"/>
      <c r="V2628" s="291">
        <f t="shared" ca="1" si="802"/>
        <v>0</v>
      </c>
      <c r="W2628" s="256">
        <f t="shared" ref="W2628:W2691" ca="1" si="803">IF(LEFT(_xlfn.FORMULATEXT(V2628),3)="=SO",1,IF(COUNTA(A2628:U2628)=0,0,2))</f>
        <v>2</v>
      </c>
      <c r="X2628" s="256">
        <f t="shared" ca="1" si="798"/>
        <v>1</v>
      </c>
      <c r="Y2628" s="256"/>
      <c r="Z2628" s="256"/>
      <c r="AA2628" s="292"/>
      <c r="AB2628" s="292"/>
      <c r="AC2628" s="292"/>
    </row>
    <row r="2629" spans="1:29" s="293" customFormat="1" ht="15.75" hidden="1" customHeight="1" x14ac:dyDescent="0.2">
      <c r="A2629" s="288" t="s">
        <v>133</v>
      </c>
      <c r="B2629" s="364"/>
      <c r="C2629" s="365"/>
      <c r="D2629" s="1354"/>
      <c r="E2629" s="1355"/>
      <c r="F2629" s="1355"/>
      <c r="G2629" s="1355"/>
      <c r="H2629" s="1355"/>
      <c r="I2629" s="1356"/>
      <c r="J2629" s="1367"/>
      <c r="K2629" s="1368"/>
      <c r="L2629" s="1370"/>
      <c r="M2629" s="1371" t="s">
        <v>496</v>
      </c>
      <c r="N2629" s="1372"/>
      <c r="O2629" s="1372"/>
      <c r="P2629" s="1372"/>
      <c r="Q2629" s="1373"/>
      <c r="R2629" s="362">
        <f>R2627-R2628</f>
        <v>0</v>
      </c>
      <c r="S2629" s="363" t="str">
        <f>L2627</f>
        <v>tkm</v>
      </c>
      <c r="T2629" s="366"/>
      <c r="U2629" s="367"/>
      <c r="V2629" s="291">
        <f t="shared" ca="1" si="802"/>
        <v>0</v>
      </c>
      <c r="W2629" s="256">
        <f t="shared" ca="1" si="803"/>
        <v>2</v>
      </c>
      <c r="X2629" s="256">
        <f t="shared" ca="1" si="798"/>
        <v>1</v>
      </c>
      <c r="Y2629" s="256"/>
      <c r="Z2629" s="256"/>
      <c r="AA2629" s="292"/>
      <c r="AB2629" s="292"/>
      <c r="AC2629" s="292"/>
    </row>
    <row r="2630" spans="1:29" s="111" customFormat="1" ht="15.75" hidden="1" x14ac:dyDescent="0.2">
      <c r="A2630" s="288"/>
      <c r="B2630" s="368"/>
      <c r="C2630" s="365"/>
      <c r="D2630" s="369"/>
      <c r="E2630" s="370"/>
      <c r="F2630" s="369"/>
      <c r="G2630" s="369"/>
      <c r="H2630" s="369"/>
      <c r="I2630" s="369"/>
      <c r="J2630" s="371"/>
      <c r="K2630" s="372"/>
      <c r="L2630" s="373"/>
      <c r="M2630" s="374"/>
      <c r="N2630" s="374"/>
      <c r="O2630" s="374"/>
      <c r="P2630" s="374"/>
      <c r="Q2630" s="374"/>
      <c r="R2630" s="375"/>
      <c r="S2630" s="376"/>
      <c r="T2630" s="377"/>
      <c r="U2630" s="378"/>
      <c r="V2630" s="379">
        <f ca="1">SUM(V2621:V2629)</f>
        <v>0</v>
      </c>
      <c r="W2630" s="256">
        <f t="shared" ca="1" si="803"/>
        <v>1</v>
      </c>
      <c r="X2630" s="256">
        <f t="shared" ca="1" si="798"/>
        <v>0</v>
      </c>
      <c r="Y2630" s="250"/>
      <c r="Z2630" s="250"/>
    </row>
    <row r="2631" spans="1:29" s="293" customFormat="1" ht="15.75" customHeight="1" x14ac:dyDescent="0.25">
      <c r="A2631" s="288"/>
      <c r="B2631" s="1374" t="str">
        <f>VLOOKUP(A2639,'11 - FINANCEIRO'!_xlnm.Print_Area,1,FALSE)</f>
        <v>3.3.2.2.7</v>
      </c>
      <c r="C2631" s="1376" t="str">
        <f>VLOOKUP(A2639,'11 - FINANCEIRO'!_xlnm.Print_Area,3,FALSE)</f>
        <v>Demolição Parcial De Pavimento Asfáltico, De Forma Mecanizada, Sem Reaproveitamento. Af_12/2017</v>
      </c>
      <c r="D2631" s="1378" t="s">
        <v>477</v>
      </c>
      <c r="E2631" s="1379"/>
      <c r="F2631" s="1379"/>
      <c r="G2631" s="1379"/>
      <c r="H2631" s="1379"/>
      <c r="I2631" s="1380"/>
      <c r="J2631" s="1338" t="s">
        <v>478</v>
      </c>
      <c r="K2631" s="1338" t="s">
        <v>479</v>
      </c>
      <c r="L2631" s="1338" t="s">
        <v>480</v>
      </c>
      <c r="M2631" s="1338" t="s">
        <v>481</v>
      </c>
      <c r="N2631" s="1338" t="s">
        <v>482</v>
      </c>
      <c r="O2631" s="1338" t="s">
        <v>483</v>
      </c>
      <c r="P2631" s="290" t="s">
        <v>484</v>
      </c>
      <c r="Q2631" s="1338" t="s">
        <v>485</v>
      </c>
      <c r="R2631" s="1336" t="s">
        <v>296</v>
      </c>
      <c r="S2631" s="1338" t="s">
        <v>486</v>
      </c>
      <c r="T2631" s="1338" t="s">
        <v>487</v>
      </c>
      <c r="U2631" s="1340" t="s">
        <v>488</v>
      </c>
      <c r="V2631" s="291">
        <f t="shared" ref="V2631:V2639" ca="1" si="804">IF(OFFSET(V2631,1,1)=1,OFFSET(V2631,0,-4),OFFSET(V2631,1,0))</f>
        <v>80</v>
      </c>
      <c r="W2631" s="256">
        <f t="shared" ca="1" si="803"/>
        <v>2</v>
      </c>
      <c r="X2631" s="256">
        <f t="shared" ca="1" si="798"/>
        <v>1</v>
      </c>
      <c r="Y2631" s="256"/>
      <c r="Z2631" s="256"/>
      <c r="AA2631" s="292"/>
      <c r="AB2631" s="292"/>
      <c r="AC2631" s="292"/>
    </row>
    <row r="2632" spans="1:29" s="337" customFormat="1" ht="15.75" x14ac:dyDescent="0.2">
      <c r="A2632" s="288"/>
      <c r="B2632" s="1375"/>
      <c r="C2632" s="1377" t="e">
        <f>VLOOKUP(LEFT(#REF!,5),'11 - FINANCEIRO'!_xlnm.Print_Area,2,FALSE)</f>
        <v>#REF!</v>
      </c>
      <c r="D2632" s="1342" t="s">
        <v>489</v>
      </c>
      <c r="E2632" s="1343"/>
      <c r="F2632" s="1344"/>
      <c r="G2632" s="1345" t="s">
        <v>490</v>
      </c>
      <c r="H2632" s="1346"/>
      <c r="I2632" s="1347"/>
      <c r="J2632" s="1339"/>
      <c r="K2632" s="1339"/>
      <c r="L2632" s="1339"/>
      <c r="M2632" s="1339"/>
      <c r="N2632" s="1339"/>
      <c r="O2632" s="1339"/>
      <c r="P2632" s="295" t="s">
        <v>491</v>
      </c>
      <c r="Q2632" s="1339"/>
      <c r="R2632" s="1337"/>
      <c r="S2632" s="1339"/>
      <c r="T2632" s="1339"/>
      <c r="U2632" s="1341"/>
      <c r="V2632" s="291">
        <f t="shared" ca="1" si="804"/>
        <v>80</v>
      </c>
      <c r="W2632" s="256">
        <f t="shared" ca="1" si="803"/>
        <v>2</v>
      </c>
      <c r="X2632" s="256">
        <f t="shared" ca="1" si="798"/>
        <v>1</v>
      </c>
      <c r="Y2632" s="336"/>
      <c r="Z2632" s="336"/>
    </row>
    <row r="2633" spans="1:29" s="337" customFormat="1" ht="30" x14ac:dyDescent="0.2">
      <c r="A2633" s="288"/>
      <c r="B2633" s="296"/>
      <c r="C2633" s="297" t="s">
        <v>1362</v>
      </c>
      <c r="D2633" s="496">
        <v>0</v>
      </c>
      <c r="E2633" s="316" t="s">
        <v>518</v>
      </c>
      <c r="F2633" s="498">
        <v>0</v>
      </c>
      <c r="G2633" s="496">
        <v>5</v>
      </c>
      <c r="H2633" s="316" t="s">
        <v>518</v>
      </c>
      <c r="I2633" s="498">
        <v>14.28</v>
      </c>
      <c r="J2633" s="1109"/>
      <c r="K2633" s="433">
        <f t="shared" ref="K2633" si="805">ABS((G2633*20+I2633)-(D2633*20+F2633))</f>
        <v>114.28</v>
      </c>
      <c r="L2633" s="416">
        <v>7</v>
      </c>
      <c r="M2633" s="416">
        <v>0.1</v>
      </c>
      <c r="N2633" s="304">
        <v>800</v>
      </c>
      <c r="O2633" s="416">
        <f>N2633*M2633</f>
        <v>80</v>
      </c>
      <c r="P2633" s="306"/>
      <c r="Q2633" s="304"/>
      <c r="R2633" s="307">
        <f>O2633</f>
        <v>80</v>
      </c>
      <c r="S2633" s="304"/>
      <c r="T2633" s="309">
        <v>44</v>
      </c>
      <c r="U2633" s="310"/>
      <c r="V2633" s="291">
        <f t="shared" ca="1" si="804"/>
        <v>80</v>
      </c>
      <c r="W2633" s="256">
        <f t="shared" ca="1" si="803"/>
        <v>2</v>
      </c>
      <c r="X2633" s="256">
        <f t="shared" ca="1" si="798"/>
        <v>1</v>
      </c>
      <c r="Y2633" s="336"/>
      <c r="Z2633" s="336"/>
    </row>
    <row r="2634" spans="1:29" s="111" customFormat="1" ht="15.75" x14ac:dyDescent="0.2">
      <c r="A2634" s="288"/>
      <c r="B2634" s="311"/>
      <c r="C2634" s="312"/>
      <c r="D2634" s="313"/>
      <c r="E2634" s="314"/>
      <c r="F2634" s="315"/>
      <c r="G2634" s="380"/>
      <c r="H2634" s="316"/>
      <c r="I2634" s="381"/>
      <c r="J2634" s="317"/>
      <c r="K2634" s="313"/>
      <c r="L2634" s="317"/>
      <c r="M2634" s="315"/>
      <c r="N2634" s="314"/>
      <c r="O2634" s="313"/>
      <c r="P2634" s="318"/>
      <c r="Q2634" s="315"/>
      <c r="R2634" s="319"/>
      <c r="S2634" s="317"/>
      <c r="T2634" s="320"/>
      <c r="U2634" s="321"/>
      <c r="V2634" s="291">
        <f t="shared" ca="1" si="804"/>
        <v>80</v>
      </c>
      <c r="W2634" s="256">
        <f t="shared" ca="1" si="803"/>
        <v>0</v>
      </c>
      <c r="X2634" s="256">
        <f t="shared" ca="1" si="798"/>
        <v>1</v>
      </c>
      <c r="Y2634" s="250"/>
      <c r="Z2634" s="250"/>
    </row>
    <row r="2635" spans="1:29" s="111" customFormat="1" ht="15" x14ac:dyDescent="0.2">
      <c r="A2635" s="288"/>
      <c r="B2635" s="322"/>
      <c r="C2635" s="382"/>
      <c r="D2635" s="324"/>
      <c r="E2635" s="325"/>
      <c r="F2635" s="326"/>
      <c r="G2635" s="324"/>
      <c r="H2635" s="325"/>
      <c r="I2635" s="326"/>
      <c r="J2635" s="317"/>
      <c r="K2635" s="328"/>
      <c r="L2635" s="328"/>
      <c r="M2635" s="328"/>
      <c r="N2635" s="328"/>
      <c r="O2635" s="334"/>
      <c r="P2635" s="328"/>
      <c r="Q2635" s="334"/>
      <c r="R2635" s="333"/>
      <c r="S2635" s="331"/>
      <c r="T2635" s="320"/>
      <c r="U2635" s="335"/>
      <c r="V2635" s="291">
        <f t="shared" ca="1" si="804"/>
        <v>80</v>
      </c>
      <c r="W2635" s="256">
        <f t="shared" ca="1" si="803"/>
        <v>0</v>
      </c>
      <c r="X2635" s="256">
        <f t="shared" ca="1" si="798"/>
        <v>1</v>
      </c>
      <c r="Y2635" s="250"/>
      <c r="Z2635" s="250"/>
    </row>
    <row r="2636" spans="1:29" s="111" customFormat="1" ht="15" x14ac:dyDescent="0.2">
      <c r="A2636" s="288"/>
      <c r="B2636" s="338"/>
      <c r="C2636" s="339"/>
      <c r="D2636" s="340"/>
      <c r="E2636" s="341"/>
      <c r="F2636" s="342"/>
      <c r="G2636" s="340"/>
      <c r="H2636" s="341"/>
      <c r="I2636" s="342"/>
      <c r="J2636" s="343"/>
      <c r="K2636" s="344"/>
      <c r="L2636" s="345"/>
      <c r="M2636" s="346"/>
      <c r="N2636" s="347"/>
      <c r="O2636" s="348"/>
      <c r="P2636" s="345"/>
      <c r="Q2636" s="349"/>
      <c r="R2636" s="350"/>
      <c r="S2636" s="351"/>
      <c r="T2636" s="352"/>
      <c r="U2636" s="353"/>
      <c r="V2636" s="291">
        <f t="shared" ca="1" si="804"/>
        <v>80</v>
      </c>
      <c r="W2636" s="256">
        <f t="shared" ca="1" si="803"/>
        <v>0</v>
      </c>
      <c r="X2636" s="256">
        <f t="shared" ca="1" si="798"/>
        <v>1</v>
      </c>
      <c r="Y2636" s="250"/>
      <c r="Z2636" s="250"/>
    </row>
    <row r="2637" spans="1:29" s="111" customFormat="1" ht="15.75" customHeight="1" x14ac:dyDescent="0.2">
      <c r="A2637" s="288"/>
      <c r="B2637" s="354"/>
      <c r="C2637" s="355"/>
      <c r="D2637" s="1354" t="s">
        <v>492</v>
      </c>
      <c r="E2637" s="1355"/>
      <c r="F2637" s="1355"/>
      <c r="G2637" s="1355"/>
      <c r="H2637" s="1355"/>
      <c r="I2637" s="1356"/>
      <c r="J2637" s="1357">
        <f>VLOOKUP(A2639,'11 - FINANCEIRO'!_xlnm.Print_Area,6,FALSE)</f>
        <v>80</v>
      </c>
      <c r="K2637" s="1358"/>
      <c r="L2637" s="356" t="str">
        <f>VLOOKUP(A2639,'11 - FINANCEIRO'!_xlnm.Print_Area,4,FALSE)</f>
        <v>m²</v>
      </c>
      <c r="M2637" s="1359" t="s">
        <v>493</v>
      </c>
      <c r="N2637" s="1360"/>
      <c r="O2637" s="1360"/>
      <c r="P2637" s="1360"/>
      <c r="Q2637" s="1361"/>
      <c r="R2637" s="357">
        <f>TRUNC(SUM(R2633:R2636),3)</f>
        <v>80</v>
      </c>
      <c r="S2637" s="358" t="str">
        <f>L2637</f>
        <v>m²</v>
      </c>
      <c r="T2637" s="1384"/>
      <c r="U2637" s="1385"/>
      <c r="V2637" s="291">
        <f t="shared" ca="1" si="804"/>
        <v>80</v>
      </c>
      <c r="W2637" s="256">
        <f t="shared" ca="1" si="803"/>
        <v>2</v>
      </c>
      <c r="X2637" s="256">
        <f t="shared" ca="1" si="798"/>
        <v>1</v>
      </c>
      <c r="Y2637" s="250"/>
      <c r="Z2637" s="250"/>
    </row>
    <row r="2638" spans="1:29" s="293" customFormat="1" ht="15.75" customHeight="1" x14ac:dyDescent="0.2">
      <c r="A2638" s="288"/>
      <c r="B2638" s="354"/>
      <c r="C2638" s="361"/>
      <c r="D2638" s="1362" t="s">
        <v>494</v>
      </c>
      <c r="E2638" s="1363"/>
      <c r="F2638" s="1363"/>
      <c r="G2638" s="1363"/>
      <c r="H2638" s="1363"/>
      <c r="I2638" s="1364"/>
      <c r="J2638" s="1365">
        <f>R2637/J2637</f>
        <v>1</v>
      </c>
      <c r="K2638" s="1366"/>
      <c r="L2638" s="1369"/>
      <c r="M2638" s="1371" t="s">
        <v>495</v>
      </c>
      <c r="N2638" s="1372"/>
      <c r="O2638" s="1372"/>
      <c r="P2638" s="1372"/>
      <c r="Q2638" s="1373"/>
      <c r="R2638" s="362">
        <f>VLOOKUP(A2639,'11 - FINANCEIRO'!_xlnm.Print_Area,8,FALSE)</f>
        <v>0</v>
      </c>
      <c r="S2638" s="363" t="str">
        <f>L2637</f>
        <v>m²</v>
      </c>
      <c r="T2638" s="1386"/>
      <c r="U2638" s="1387"/>
      <c r="V2638" s="291">
        <f t="shared" ca="1" si="804"/>
        <v>80</v>
      </c>
      <c r="W2638" s="256">
        <f t="shared" ca="1" si="803"/>
        <v>2</v>
      </c>
      <c r="X2638" s="256">
        <f t="shared" ca="1" si="798"/>
        <v>1</v>
      </c>
      <c r="Y2638" s="256"/>
      <c r="Z2638" s="256"/>
      <c r="AA2638" s="292"/>
      <c r="AB2638" s="292"/>
      <c r="AC2638" s="292"/>
    </row>
    <row r="2639" spans="1:29" s="293" customFormat="1" ht="15.75" customHeight="1" x14ac:dyDescent="0.2">
      <c r="A2639" s="288" t="s">
        <v>134</v>
      </c>
      <c r="B2639" s="364"/>
      <c r="C2639" s="365"/>
      <c r="D2639" s="1354"/>
      <c r="E2639" s="1355"/>
      <c r="F2639" s="1355"/>
      <c r="G2639" s="1355"/>
      <c r="H2639" s="1355"/>
      <c r="I2639" s="1356"/>
      <c r="J2639" s="1367"/>
      <c r="K2639" s="1368"/>
      <c r="L2639" s="1370"/>
      <c r="M2639" s="1371" t="s">
        <v>496</v>
      </c>
      <c r="N2639" s="1372"/>
      <c r="O2639" s="1372"/>
      <c r="P2639" s="1372"/>
      <c r="Q2639" s="1373"/>
      <c r="R2639" s="362">
        <f>R2637-R2638</f>
        <v>80</v>
      </c>
      <c r="S2639" s="363" t="str">
        <f>L2637</f>
        <v>m²</v>
      </c>
      <c r="T2639" s="1388"/>
      <c r="U2639" s="1389"/>
      <c r="V2639" s="291">
        <f t="shared" ca="1" si="804"/>
        <v>80</v>
      </c>
      <c r="W2639" s="256">
        <f t="shared" ca="1" si="803"/>
        <v>2</v>
      </c>
      <c r="X2639" s="256">
        <f t="shared" ca="1" si="798"/>
        <v>1</v>
      </c>
      <c r="Y2639" s="256"/>
      <c r="Z2639" s="256"/>
      <c r="AA2639" s="292"/>
      <c r="AB2639" s="292"/>
      <c r="AC2639" s="292"/>
    </row>
    <row r="2640" spans="1:29" s="111" customFormat="1" ht="15.75" x14ac:dyDescent="0.2">
      <c r="A2640" s="288"/>
      <c r="B2640" s="368"/>
      <c r="C2640" s="365"/>
      <c r="D2640" s="369"/>
      <c r="E2640" s="370"/>
      <c r="F2640" s="369"/>
      <c r="G2640" s="369"/>
      <c r="H2640" s="369"/>
      <c r="I2640" s="369"/>
      <c r="J2640" s="371"/>
      <c r="K2640" s="372"/>
      <c r="L2640" s="373"/>
      <c r="M2640" s="374"/>
      <c r="N2640" s="374"/>
      <c r="O2640" s="374"/>
      <c r="P2640" s="374"/>
      <c r="Q2640" s="374"/>
      <c r="R2640" s="375"/>
      <c r="S2640" s="376"/>
      <c r="T2640" s="377"/>
      <c r="U2640" s="378"/>
      <c r="V2640" s="379">
        <f ca="1">SUM(V2631:V2639)</f>
        <v>720</v>
      </c>
      <c r="W2640" s="256">
        <f t="shared" ca="1" si="803"/>
        <v>1</v>
      </c>
      <c r="X2640" s="256">
        <f t="shared" ca="1" si="798"/>
        <v>0</v>
      </c>
      <c r="Y2640" s="250"/>
      <c r="Z2640" s="250"/>
    </row>
    <row r="2641" spans="1:29" s="293" customFormat="1" ht="15.75" hidden="1" customHeight="1" x14ac:dyDescent="0.25">
      <c r="A2641" s="288"/>
      <c r="B2641" s="1374" t="str">
        <f>VLOOKUP(A2649,'11 - FINANCEIRO'!_xlnm.Print_Area,1,FALSE)</f>
        <v>3.3.2.2.8</v>
      </c>
      <c r="C2641" s="1376" t="str">
        <f>VLOOKUP(A2649,'11 - FINANCEIRO'!_xlnm.Print_Area,3,FALSE)</f>
        <v>Sub-Base De Brita Graduada, Inclusive Fornecimento E Transporte Da Brita Em Vias Urbanas</v>
      </c>
      <c r="D2641" s="1378" t="s">
        <v>477</v>
      </c>
      <c r="E2641" s="1379"/>
      <c r="F2641" s="1379"/>
      <c r="G2641" s="1379"/>
      <c r="H2641" s="1379"/>
      <c r="I2641" s="1380"/>
      <c r="J2641" s="1338" t="s">
        <v>478</v>
      </c>
      <c r="K2641" s="1338" t="s">
        <v>479</v>
      </c>
      <c r="L2641" s="1338" t="s">
        <v>480</v>
      </c>
      <c r="M2641" s="1338" t="s">
        <v>481</v>
      </c>
      <c r="N2641" s="1338" t="s">
        <v>482</v>
      </c>
      <c r="O2641" s="1338" t="s">
        <v>483</v>
      </c>
      <c r="P2641" s="290" t="s">
        <v>484</v>
      </c>
      <c r="Q2641" s="1338" t="s">
        <v>485</v>
      </c>
      <c r="R2641" s="1336" t="s">
        <v>296</v>
      </c>
      <c r="S2641" s="1338" t="s">
        <v>486</v>
      </c>
      <c r="T2641" s="1338" t="s">
        <v>487</v>
      </c>
      <c r="U2641" s="1340" t="s">
        <v>488</v>
      </c>
      <c r="V2641" s="291">
        <f t="shared" ref="V2641:V2649" ca="1" si="806">IF(OFFSET(V2641,1,1)=1,OFFSET(V2641,0,-4),OFFSET(V2641,1,0))</f>
        <v>0</v>
      </c>
      <c r="W2641" s="256">
        <f t="shared" ca="1" si="803"/>
        <v>2</v>
      </c>
      <c r="X2641" s="256">
        <f t="shared" ca="1" si="798"/>
        <v>1</v>
      </c>
      <c r="Y2641" s="256"/>
      <c r="Z2641" s="256"/>
      <c r="AA2641" s="292"/>
      <c r="AB2641" s="292"/>
      <c r="AC2641" s="292"/>
    </row>
    <row r="2642" spans="1:29" s="337" customFormat="1" ht="15.75" hidden="1" x14ac:dyDescent="0.2">
      <c r="A2642" s="288"/>
      <c r="B2642" s="1375"/>
      <c r="C2642" s="1377" t="e">
        <f>VLOOKUP(LEFT(#REF!,5),'11 - FINANCEIRO'!_xlnm.Print_Area,2,FALSE)</f>
        <v>#REF!</v>
      </c>
      <c r="D2642" s="1342" t="s">
        <v>489</v>
      </c>
      <c r="E2642" s="1343"/>
      <c r="F2642" s="1344"/>
      <c r="G2642" s="1345" t="s">
        <v>490</v>
      </c>
      <c r="H2642" s="1346"/>
      <c r="I2642" s="1347"/>
      <c r="J2642" s="1339"/>
      <c r="K2642" s="1339"/>
      <c r="L2642" s="1339"/>
      <c r="M2642" s="1339"/>
      <c r="N2642" s="1339"/>
      <c r="O2642" s="1339"/>
      <c r="P2642" s="295" t="s">
        <v>491</v>
      </c>
      <c r="Q2642" s="1339"/>
      <c r="R2642" s="1337"/>
      <c r="S2642" s="1339"/>
      <c r="T2642" s="1339"/>
      <c r="U2642" s="1341"/>
      <c r="V2642" s="291">
        <f t="shared" ca="1" si="806"/>
        <v>0</v>
      </c>
      <c r="W2642" s="256">
        <f t="shared" ca="1" si="803"/>
        <v>2</v>
      </c>
      <c r="X2642" s="256">
        <f t="shared" ca="1" si="798"/>
        <v>1</v>
      </c>
      <c r="Y2642" s="336"/>
      <c r="Z2642" s="336"/>
    </row>
    <row r="2643" spans="1:29" s="337" customFormat="1" ht="15.75" hidden="1" x14ac:dyDescent="0.2">
      <c r="A2643" s="288"/>
      <c r="B2643" s="296"/>
      <c r="C2643" s="297"/>
      <c r="D2643" s="298"/>
      <c r="E2643" s="299"/>
      <c r="F2643" s="300"/>
      <c r="G2643" s="301"/>
      <c r="H2643" s="302"/>
      <c r="I2643" s="303"/>
      <c r="J2643" s="304"/>
      <c r="K2643" s="304"/>
      <c r="L2643" s="304"/>
      <c r="M2643" s="304"/>
      <c r="N2643" s="304"/>
      <c r="O2643" s="304"/>
      <c r="P2643" s="306"/>
      <c r="Q2643" s="304"/>
      <c r="R2643" s="307"/>
      <c r="S2643" s="304"/>
      <c r="T2643" s="309"/>
      <c r="U2643" s="310"/>
      <c r="V2643" s="291">
        <f t="shared" ca="1" si="806"/>
        <v>0</v>
      </c>
      <c r="W2643" s="256">
        <f t="shared" ca="1" si="803"/>
        <v>0</v>
      </c>
      <c r="X2643" s="256">
        <f t="shared" ca="1" si="798"/>
        <v>1</v>
      </c>
      <c r="Y2643" s="336"/>
      <c r="Z2643" s="336"/>
    </row>
    <row r="2644" spans="1:29" s="111" customFormat="1" ht="15.75" hidden="1" x14ac:dyDescent="0.2">
      <c r="A2644" s="288"/>
      <c r="B2644" s="311"/>
      <c r="C2644" s="312"/>
      <c r="D2644" s="313"/>
      <c r="E2644" s="314"/>
      <c r="F2644" s="315"/>
      <c r="G2644" s="380"/>
      <c r="H2644" s="316"/>
      <c r="I2644" s="381"/>
      <c r="J2644" s="317"/>
      <c r="K2644" s="313"/>
      <c r="L2644" s="317"/>
      <c r="M2644" s="315"/>
      <c r="N2644" s="314"/>
      <c r="O2644" s="313"/>
      <c r="P2644" s="318"/>
      <c r="Q2644" s="315"/>
      <c r="R2644" s="319"/>
      <c r="S2644" s="317"/>
      <c r="T2644" s="320"/>
      <c r="U2644" s="321"/>
      <c r="V2644" s="291">
        <f t="shared" ca="1" si="806"/>
        <v>0</v>
      </c>
      <c r="W2644" s="256">
        <f t="shared" ca="1" si="803"/>
        <v>0</v>
      </c>
      <c r="X2644" s="256">
        <f t="shared" ca="1" si="798"/>
        <v>1</v>
      </c>
      <c r="Y2644" s="250"/>
      <c r="Z2644" s="250"/>
    </row>
    <row r="2645" spans="1:29" s="111" customFormat="1" ht="15" hidden="1" x14ac:dyDescent="0.2">
      <c r="A2645" s="288"/>
      <c r="B2645" s="322"/>
      <c r="C2645" s="382"/>
      <c r="D2645" s="324"/>
      <c r="E2645" s="325"/>
      <c r="F2645" s="326"/>
      <c r="G2645" s="324"/>
      <c r="H2645" s="325"/>
      <c r="I2645" s="326"/>
      <c r="J2645" s="317"/>
      <c r="K2645" s="328"/>
      <c r="L2645" s="328"/>
      <c r="M2645" s="328"/>
      <c r="N2645" s="328"/>
      <c r="O2645" s="334"/>
      <c r="P2645" s="328"/>
      <c r="Q2645" s="334"/>
      <c r="R2645" s="333"/>
      <c r="S2645" s="331"/>
      <c r="T2645" s="320"/>
      <c r="U2645" s="335"/>
      <c r="V2645" s="291">
        <f t="shared" ca="1" si="806"/>
        <v>0</v>
      </c>
      <c r="W2645" s="256">
        <f t="shared" ca="1" si="803"/>
        <v>0</v>
      </c>
      <c r="X2645" s="256">
        <f t="shared" ca="1" si="798"/>
        <v>1</v>
      </c>
      <c r="Y2645" s="250"/>
      <c r="Z2645" s="250"/>
    </row>
    <row r="2646" spans="1:29" s="111" customFormat="1" ht="15" hidden="1" x14ac:dyDescent="0.2">
      <c r="A2646" s="288"/>
      <c r="B2646" s="338"/>
      <c r="C2646" s="339"/>
      <c r="D2646" s="340"/>
      <c r="E2646" s="341"/>
      <c r="F2646" s="342"/>
      <c r="G2646" s="340"/>
      <c r="H2646" s="341"/>
      <c r="I2646" s="342"/>
      <c r="J2646" s="343"/>
      <c r="K2646" s="344"/>
      <c r="L2646" s="345"/>
      <c r="M2646" s="346"/>
      <c r="N2646" s="347"/>
      <c r="O2646" s="348"/>
      <c r="P2646" s="345"/>
      <c r="Q2646" s="349"/>
      <c r="R2646" s="350"/>
      <c r="S2646" s="351"/>
      <c r="T2646" s="352"/>
      <c r="U2646" s="353"/>
      <c r="V2646" s="291">
        <f t="shared" ca="1" si="806"/>
        <v>0</v>
      </c>
      <c r="W2646" s="256">
        <f t="shared" ca="1" si="803"/>
        <v>0</v>
      </c>
      <c r="X2646" s="256">
        <f t="shared" ca="1" si="798"/>
        <v>1</v>
      </c>
      <c r="Y2646" s="250"/>
      <c r="Z2646" s="250"/>
    </row>
    <row r="2647" spans="1:29" s="111" customFormat="1" ht="15.75" hidden="1" customHeight="1" x14ac:dyDescent="0.2">
      <c r="A2647" s="288"/>
      <c r="B2647" s="354"/>
      <c r="C2647" s="355"/>
      <c r="D2647" s="1354" t="s">
        <v>492</v>
      </c>
      <c r="E2647" s="1355"/>
      <c r="F2647" s="1355"/>
      <c r="G2647" s="1355"/>
      <c r="H2647" s="1355"/>
      <c r="I2647" s="1356"/>
      <c r="J2647" s="1357">
        <f>VLOOKUP(A2649,'11 - FINANCEIRO'!_xlnm.Print_Area,6,FALSE)</f>
        <v>12</v>
      </c>
      <c r="K2647" s="1358"/>
      <c r="L2647" s="356" t="str">
        <f>VLOOKUP(A2649,'11 - FINANCEIRO'!_xlnm.Print_Area,4,FALSE)</f>
        <v>m³</v>
      </c>
      <c r="M2647" s="1359" t="s">
        <v>493</v>
      </c>
      <c r="N2647" s="1360"/>
      <c r="O2647" s="1360"/>
      <c r="P2647" s="1360"/>
      <c r="Q2647" s="1361"/>
      <c r="R2647" s="357">
        <f>TRUNC(SUM(R2643:R2646),3)</f>
        <v>0</v>
      </c>
      <c r="S2647" s="358" t="str">
        <f>L2647</f>
        <v>m³</v>
      </c>
      <c r="T2647" s="359"/>
      <c r="U2647" s="360"/>
      <c r="V2647" s="291">
        <f t="shared" ca="1" si="806"/>
        <v>0</v>
      </c>
      <c r="W2647" s="256">
        <f t="shared" ca="1" si="803"/>
        <v>2</v>
      </c>
      <c r="X2647" s="256">
        <f t="shared" ca="1" si="798"/>
        <v>1</v>
      </c>
      <c r="Y2647" s="250"/>
      <c r="Z2647" s="250"/>
    </row>
    <row r="2648" spans="1:29" s="293" customFormat="1" ht="15.75" hidden="1" customHeight="1" x14ac:dyDescent="0.2">
      <c r="A2648" s="288"/>
      <c r="B2648" s="354"/>
      <c r="C2648" s="361"/>
      <c r="D2648" s="1362" t="s">
        <v>494</v>
      </c>
      <c r="E2648" s="1363"/>
      <c r="F2648" s="1363"/>
      <c r="G2648" s="1363"/>
      <c r="H2648" s="1363"/>
      <c r="I2648" s="1364"/>
      <c r="J2648" s="1365">
        <f>R2647/J2647</f>
        <v>0</v>
      </c>
      <c r="K2648" s="1366"/>
      <c r="L2648" s="1369"/>
      <c r="M2648" s="1371" t="s">
        <v>495</v>
      </c>
      <c r="N2648" s="1372"/>
      <c r="O2648" s="1372"/>
      <c r="P2648" s="1372"/>
      <c r="Q2648" s="1373"/>
      <c r="R2648" s="362">
        <f>VLOOKUP(A2649,'11 - FINANCEIRO'!_xlnm.Print_Area,8,FALSE)</f>
        <v>0</v>
      </c>
      <c r="S2648" s="363" t="str">
        <f>L2647</f>
        <v>m³</v>
      </c>
      <c r="T2648" s="359"/>
      <c r="U2648" s="360"/>
      <c r="V2648" s="291">
        <f t="shared" ca="1" si="806"/>
        <v>0</v>
      </c>
      <c r="W2648" s="256">
        <f t="shared" ca="1" si="803"/>
        <v>2</v>
      </c>
      <c r="X2648" s="256">
        <f t="shared" ca="1" si="798"/>
        <v>1</v>
      </c>
      <c r="Y2648" s="256"/>
      <c r="Z2648" s="256"/>
      <c r="AA2648" s="292"/>
      <c r="AB2648" s="292"/>
      <c r="AC2648" s="292"/>
    </row>
    <row r="2649" spans="1:29" s="293" customFormat="1" ht="15.75" hidden="1" customHeight="1" x14ac:dyDescent="0.2">
      <c r="A2649" s="288" t="s">
        <v>135</v>
      </c>
      <c r="B2649" s="364"/>
      <c r="C2649" s="365"/>
      <c r="D2649" s="1354"/>
      <c r="E2649" s="1355"/>
      <c r="F2649" s="1355"/>
      <c r="G2649" s="1355"/>
      <c r="H2649" s="1355"/>
      <c r="I2649" s="1356"/>
      <c r="J2649" s="1367"/>
      <c r="K2649" s="1368"/>
      <c r="L2649" s="1370"/>
      <c r="M2649" s="1371" t="s">
        <v>496</v>
      </c>
      <c r="N2649" s="1372"/>
      <c r="O2649" s="1372"/>
      <c r="P2649" s="1372"/>
      <c r="Q2649" s="1373"/>
      <c r="R2649" s="362">
        <f>R2647-R2648</f>
        <v>0</v>
      </c>
      <c r="S2649" s="363" t="str">
        <f>L2647</f>
        <v>m³</v>
      </c>
      <c r="T2649" s="366"/>
      <c r="U2649" s="367"/>
      <c r="V2649" s="291">
        <f t="shared" ca="1" si="806"/>
        <v>0</v>
      </c>
      <c r="W2649" s="256">
        <f t="shared" ca="1" si="803"/>
        <v>2</v>
      </c>
      <c r="X2649" s="256">
        <f t="shared" ca="1" si="798"/>
        <v>1</v>
      </c>
      <c r="Y2649" s="256"/>
      <c r="Z2649" s="256"/>
      <c r="AA2649" s="292"/>
      <c r="AB2649" s="292"/>
      <c r="AC2649" s="292"/>
    </row>
    <row r="2650" spans="1:29" s="111" customFormat="1" ht="15.75" hidden="1" x14ac:dyDescent="0.2">
      <c r="A2650" s="288"/>
      <c r="B2650" s="368"/>
      <c r="C2650" s="365"/>
      <c r="D2650" s="369"/>
      <c r="E2650" s="370"/>
      <c r="F2650" s="369"/>
      <c r="G2650" s="369"/>
      <c r="H2650" s="369"/>
      <c r="I2650" s="369"/>
      <c r="J2650" s="371"/>
      <c r="K2650" s="372"/>
      <c r="L2650" s="373"/>
      <c r="M2650" s="374"/>
      <c r="N2650" s="374"/>
      <c r="O2650" s="374"/>
      <c r="P2650" s="374"/>
      <c r="Q2650" s="374"/>
      <c r="R2650" s="375"/>
      <c r="S2650" s="376"/>
      <c r="T2650" s="377"/>
      <c r="U2650" s="378"/>
      <c r="V2650" s="379">
        <f ca="1">SUM(V2641:V2649)</f>
        <v>0</v>
      </c>
      <c r="W2650" s="256">
        <f t="shared" ca="1" si="803"/>
        <v>1</v>
      </c>
      <c r="X2650" s="256">
        <f t="shared" ca="1" si="798"/>
        <v>0</v>
      </c>
      <c r="Y2650" s="250"/>
      <c r="Z2650" s="250"/>
    </row>
    <row r="2651" spans="1:29" s="293" customFormat="1" ht="15.75" hidden="1" customHeight="1" x14ac:dyDescent="0.25">
      <c r="A2651" s="288"/>
      <c r="B2651" s="1374" t="str">
        <f>VLOOKUP(A2659,'11 - FINANCEIRO'!_xlnm.Print_Area,1,FALSE)</f>
        <v>3.3.2.2.9</v>
      </c>
      <c r="C2651" s="1376" t="str">
        <f>VLOOKUP(A2659,'11 - FINANCEIRO'!_xlnm.Print_Area,3,FALSE)</f>
        <v>Carga, Manobra E Descarga De Material Demolido Em Caminhão Basculante De 6 M³ - Carga Manual E Descarga Livre</v>
      </c>
      <c r="D2651" s="1378" t="s">
        <v>477</v>
      </c>
      <c r="E2651" s="1379"/>
      <c r="F2651" s="1379"/>
      <c r="G2651" s="1379"/>
      <c r="H2651" s="1379"/>
      <c r="I2651" s="1380"/>
      <c r="J2651" s="1338" t="s">
        <v>478</v>
      </c>
      <c r="K2651" s="1338" t="s">
        <v>479</v>
      </c>
      <c r="L2651" s="1338" t="s">
        <v>480</v>
      </c>
      <c r="M2651" s="1338" t="s">
        <v>481</v>
      </c>
      <c r="N2651" s="1338" t="s">
        <v>482</v>
      </c>
      <c r="O2651" s="1338" t="s">
        <v>483</v>
      </c>
      <c r="P2651" s="290" t="s">
        <v>484</v>
      </c>
      <c r="Q2651" s="1338" t="s">
        <v>485</v>
      </c>
      <c r="R2651" s="1336" t="s">
        <v>296</v>
      </c>
      <c r="S2651" s="1338" t="s">
        <v>486</v>
      </c>
      <c r="T2651" s="1338" t="s">
        <v>487</v>
      </c>
      <c r="U2651" s="1340" t="s">
        <v>488</v>
      </c>
      <c r="V2651" s="291">
        <f t="shared" ref="V2651:V2659" ca="1" si="807">IF(OFFSET(V2651,1,1)=1,OFFSET(V2651,0,-4),OFFSET(V2651,1,0))</f>
        <v>0</v>
      </c>
      <c r="W2651" s="256">
        <f t="shared" ca="1" si="803"/>
        <v>2</v>
      </c>
      <c r="X2651" s="256">
        <f t="shared" ca="1" si="798"/>
        <v>1</v>
      </c>
      <c r="Y2651" s="256"/>
      <c r="Z2651" s="256"/>
      <c r="AA2651" s="292"/>
      <c r="AB2651" s="292"/>
      <c r="AC2651" s="292"/>
    </row>
    <row r="2652" spans="1:29" s="337" customFormat="1" ht="15.75" hidden="1" x14ac:dyDescent="0.2">
      <c r="A2652" s="288"/>
      <c r="B2652" s="1375"/>
      <c r="C2652" s="1377" t="e">
        <f>VLOOKUP(LEFT(#REF!,5),'11 - FINANCEIRO'!_xlnm.Print_Area,2,FALSE)</f>
        <v>#REF!</v>
      </c>
      <c r="D2652" s="1342" t="s">
        <v>489</v>
      </c>
      <c r="E2652" s="1343"/>
      <c r="F2652" s="1344"/>
      <c r="G2652" s="1345" t="s">
        <v>490</v>
      </c>
      <c r="H2652" s="1346"/>
      <c r="I2652" s="1347"/>
      <c r="J2652" s="1339"/>
      <c r="K2652" s="1339"/>
      <c r="L2652" s="1339"/>
      <c r="M2652" s="1339"/>
      <c r="N2652" s="1339"/>
      <c r="O2652" s="1339"/>
      <c r="P2652" s="295" t="s">
        <v>491</v>
      </c>
      <c r="Q2652" s="1339"/>
      <c r="R2652" s="1337"/>
      <c r="S2652" s="1339"/>
      <c r="T2652" s="1339"/>
      <c r="U2652" s="1341"/>
      <c r="V2652" s="291">
        <f t="shared" ca="1" si="807"/>
        <v>0</v>
      </c>
      <c r="W2652" s="256">
        <f t="shared" ca="1" si="803"/>
        <v>2</v>
      </c>
      <c r="X2652" s="256">
        <f t="shared" ref="X2652:X2715" ca="1" si="808">IF(COUNTA(OFFSET(A2651,1,0))-COUNTA(A2651)=-1,0,1)</f>
        <v>1</v>
      </c>
      <c r="Y2652" s="336"/>
      <c r="Z2652" s="336"/>
    </row>
    <row r="2653" spans="1:29" s="337" customFormat="1" ht="15.75" hidden="1" x14ac:dyDescent="0.2">
      <c r="A2653" s="288"/>
      <c r="B2653" s="296"/>
      <c r="C2653" s="297"/>
      <c r="D2653" s="298"/>
      <c r="E2653" s="299"/>
      <c r="F2653" s="300"/>
      <c r="G2653" s="301"/>
      <c r="H2653" s="302"/>
      <c r="I2653" s="303"/>
      <c r="J2653" s="304"/>
      <c r="K2653" s="304"/>
      <c r="L2653" s="304"/>
      <c r="M2653" s="304"/>
      <c r="N2653" s="304"/>
      <c r="O2653" s="304"/>
      <c r="P2653" s="306"/>
      <c r="Q2653" s="304"/>
      <c r="R2653" s="307"/>
      <c r="S2653" s="304"/>
      <c r="T2653" s="309"/>
      <c r="U2653" s="310"/>
      <c r="V2653" s="291">
        <f t="shared" ca="1" si="807"/>
        <v>0</v>
      </c>
      <c r="W2653" s="256">
        <f t="shared" ca="1" si="803"/>
        <v>0</v>
      </c>
      <c r="X2653" s="256">
        <f t="shared" ca="1" si="808"/>
        <v>1</v>
      </c>
      <c r="Y2653" s="336"/>
      <c r="Z2653" s="336"/>
    </row>
    <row r="2654" spans="1:29" s="111" customFormat="1" ht="15.75" hidden="1" x14ac:dyDescent="0.2">
      <c r="A2654" s="288"/>
      <c r="B2654" s="311"/>
      <c r="C2654" s="312"/>
      <c r="D2654" s="313"/>
      <c r="E2654" s="314"/>
      <c r="F2654" s="315"/>
      <c r="G2654" s="380"/>
      <c r="H2654" s="316"/>
      <c r="I2654" s="381"/>
      <c r="J2654" s="317"/>
      <c r="K2654" s="313"/>
      <c r="L2654" s="317"/>
      <c r="M2654" s="315"/>
      <c r="N2654" s="314"/>
      <c r="O2654" s="313"/>
      <c r="P2654" s="318"/>
      <c r="Q2654" s="315"/>
      <c r="R2654" s="319"/>
      <c r="S2654" s="317"/>
      <c r="T2654" s="320"/>
      <c r="U2654" s="321"/>
      <c r="V2654" s="291">
        <f t="shared" ca="1" si="807"/>
        <v>0</v>
      </c>
      <c r="W2654" s="256">
        <f t="shared" ca="1" si="803"/>
        <v>0</v>
      </c>
      <c r="X2654" s="256">
        <f t="shared" ca="1" si="808"/>
        <v>1</v>
      </c>
      <c r="Y2654" s="250"/>
      <c r="Z2654" s="250"/>
    </row>
    <row r="2655" spans="1:29" s="111" customFormat="1" ht="15" hidden="1" x14ac:dyDescent="0.2">
      <c r="A2655" s="288"/>
      <c r="B2655" s="322"/>
      <c r="C2655" s="382"/>
      <c r="D2655" s="324"/>
      <c r="E2655" s="325"/>
      <c r="F2655" s="326"/>
      <c r="G2655" s="324"/>
      <c r="H2655" s="325"/>
      <c r="I2655" s="326"/>
      <c r="J2655" s="317"/>
      <c r="K2655" s="328"/>
      <c r="L2655" s="328"/>
      <c r="M2655" s="328"/>
      <c r="N2655" s="328"/>
      <c r="O2655" s="334"/>
      <c r="P2655" s="328"/>
      <c r="Q2655" s="334"/>
      <c r="R2655" s="333"/>
      <c r="S2655" s="331"/>
      <c r="T2655" s="320"/>
      <c r="U2655" s="335"/>
      <c r="V2655" s="291">
        <f t="shared" ca="1" si="807"/>
        <v>0</v>
      </c>
      <c r="W2655" s="256">
        <f t="shared" ca="1" si="803"/>
        <v>0</v>
      </c>
      <c r="X2655" s="256">
        <f t="shared" ca="1" si="808"/>
        <v>1</v>
      </c>
      <c r="Y2655" s="250"/>
      <c r="Z2655" s="250"/>
    </row>
    <row r="2656" spans="1:29" s="111" customFormat="1" ht="15" hidden="1" x14ac:dyDescent="0.2">
      <c r="A2656" s="288"/>
      <c r="B2656" s="338"/>
      <c r="C2656" s="339"/>
      <c r="D2656" s="340"/>
      <c r="E2656" s="341"/>
      <c r="F2656" s="342"/>
      <c r="G2656" s="340"/>
      <c r="H2656" s="341"/>
      <c r="I2656" s="342"/>
      <c r="J2656" s="343"/>
      <c r="K2656" s="344"/>
      <c r="L2656" s="345"/>
      <c r="M2656" s="346"/>
      <c r="N2656" s="347"/>
      <c r="O2656" s="348"/>
      <c r="P2656" s="345"/>
      <c r="Q2656" s="349"/>
      <c r="R2656" s="350"/>
      <c r="S2656" s="351"/>
      <c r="T2656" s="352"/>
      <c r="U2656" s="353"/>
      <c r="V2656" s="291">
        <f t="shared" ca="1" si="807"/>
        <v>0</v>
      </c>
      <c r="W2656" s="256">
        <f t="shared" ca="1" si="803"/>
        <v>0</v>
      </c>
      <c r="X2656" s="256">
        <f t="shared" ca="1" si="808"/>
        <v>1</v>
      </c>
      <c r="Y2656" s="250"/>
      <c r="Z2656" s="250"/>
    </row>
    <row r="2657" spans="1:29" s="111" customFormat="1" ht="15.75" hidden="1" customHeight="1" x14ac:dyDescent="0.2">
      <c r="A2657" s="288"/>
      <c r="B2657" s="354"/>
      <c r="C2657" s="355"/>
      <c r="D2657" s="1354" t="s">
        <v>492</v>
      </c>
      <c r="E2657" s="1355"/>
      <c r="F2657" s="1355"/>
      <c r="G2657" s="1355"/>
      <c r="H2657" s="1355"/>
      <c r="I2657" s="1356"/>
      <c r="J2657" s="1357">
        <f>VLOOKUP(A2659,'11 - FINANCEIRO'!_xlnm.Print_Area,6,FALSE)</f>
        <v>9.36</v>
      </c>
      <c r="K2657" s="1358"/>
      <c r="L2657" s="356" t="str">
        <f>VLOOKUP(A2659,'11 - FINANCEIRO'!_xlnm.Print_Area,4,FALSE)</f>
        <v>t</v>
      </c>
      <c r="M2657" s="1359" t="s">
        <v>493</v>
      </c>
      <c r="N2657" s="1360"/>
      <c r="O2657" s="1360"/>
      <c r="P2657" s="1360"/>
      <c r="Q2657" s="1361"/>
      <c r="R2657" s="357">
        <f>TRUNC(SUM(R2653:R2656),3)</f>
        <v>0</v>
      </c>
      <c r="S2657" s="358" t="str">
        <f>L2657</f>
        <v>t</v>
      </c>
      <c r="T2657" s="359"/>
      <c r="U2657" s="360"/>
      <c r="V2657" s="291">
        <f t="shared" ca="1" si="807"/>
        <v>0</v>
      </c>
      <c r="W2657" s="256">
        <f t="shared" ca="1" si="803"/>
        <v>2</v>
      </c>
      <c r="X2657" s="256">
        <f t="shared" ca="1" si="808"/>
        <v>1</v>
      </c>
      <c r="Y2657" s="250"/>
      <c r="Z2657" s="250"/>
    </row>
    <row r="2658" spans="1:29" s="293" customFormat="1" ht="15.75" hidden="1" customHeight="1" x14ac:dyDescent="0.2">
      <c r="A2658" s="288"/>
      <c r="B2658" s="354"/>
      <c r="C2658" s="361"/>
      <c r="D2658" s="1362" t="s">
        <v>494</v>
      </c>
      <c r="E2658" s="1363"/>
      <c r="F2658" s="1363"/>
      <c r="G2658" s="1363"/>
      <c r="H2658" s="1363"/>
      <c r="I2658" s="1364"/>
      <c r="J2658" s="1365">
        <f>R2657/J2657</f>
        <v>0</v>
      </c>
      <c r="K2658" s="1366"/>
      <c r="L2658" s="1369"/>
      <c r="M2658" s="1371" t="s">
        <v>495</v>
      </c>
      <c r="N2658" s="1372"/>
      <c r="O2658" s="1372"/>
      <c r="P2658" s="1372"/>
      <c r="Q2658" s="1373"/>
      <c r="R2658" s="362">
        <f>VLOOKUP(A2659,'11 - FINANCEIRO'!_xlnm.Print_Area,8,FALSE)</f>
        <v>0</v>
      </c>
      <c r="S2658" s="363" t="str">
        <f>L2657</f>
        <v>t</v>
      </c>
      <c r="T2658" s="359"/>
      <c r="U2658" s="360"/>
      <c r="V2658" s="291">
        <f t="shared" ca="1" si="807"/>
        <v>0</v>
      </c>
      <c r="W2658" s="256">
        <f t="shared" ca="1" si="803"/>
        <v>2</v>
      </c>
      <c r="X2658" s="256">
        <f t="shared" ca="1" si="808"/>
        <v>1</v>
      </c>
      <c r="Y2658" s="256"/>
      <c r="Z2658" s="256"/>
      <c r="AA2658" s="292"/>
      <c r="AB2658" s="292"/>
      <c r="AC2658" s="292"/>
    </row>
    <row r="2659" spans="1:29" s="293" customFormat="1" ht="15.75" hidden="1" customHeight="1" x14ac:dyDescent="0.2">
      <c r="A2659" s="288" t="s">
        <v>136</v>
      </c>
      <c r="B2659" s="364"/>
      <c r="C2659" s="365"/>
      <c r="D2659" s="1354"/>
      <c r="E2659" s="1355"/>
      <c r="F2659" s="1355"/>
      <c r="G2659" s="1355"/>
      <c r="H2659" s="1355"/>
      <c r="I2659" s="1356"/>
      <c r="J2659" s="1367"/>
      <c r="K2659" s="1368"/>
      <c r="L2659" s="1370"/>
      <c r="M2659" s="1371" t="s">
        <v>496</v>
      </c>
      <c r="N2659" s="1372"/>
      <c r="O2659" s="1372"/>
      <c r="P2659" s="1372"/>
      <c r="Q2659" s="1373"/>
      <c r="R2659" s="362">
        <f>R2657-R2658</f>
        <v>0</v>
      </c>
      <c r="S2659" s="363" t="str">
        <f>L2657</f>
        <v>t</v>
      </c>
      <c r="T2659" s="366"/>
      <c r="U2659" s="367"/>
      <c r="V2659" s="291">
        <f t="shared" ca="1" si="807"/>
        <v>0</v>
      </c>
      <c r="W2659" s="256">
        <f t="shared" ca="1" si="803"/>
        <v>2</v>
      </c>
      <c r="X2659" s="256">
        <f t="shared" ca="1" si="808"/>
        <v>1</v>
      </c>
      <c r="Y2659" s="256"/>
      <c r="Z2659" s="256"/>
      <c r="AA2659" s="292"/>
      <c r="AB2659" s="292"/>
      <c r="AC2659" s="292"/>
    </row>
    <row r="2660" spans="1:29" s="111" customFormat="1" ht="15.75" hidden="1" x14ac:dyDescent="0.2">
      <c r="A2660" s="288"/>
      <c r="B2660" s="368"/>
      <c r="C2660" s="365"/>
      <c r="D2660" s="369"/>
      <c r="E2660" s="370"/>
      <c r="F2660" s="369"/>
      <c r="G2660" s="369"/>
      <c r="H2660" s="369"/>
      <c r="I2660" s="369"/>
      <c r="J2660" s="371"/>
      <c r="K2660" s="372"/>
      <c r="L2660" s="373"/>
      <c r="M2660" s="374"/>
      <c r="N2660" s="374"/>
      <c r="O2660" s="374"/>
      <c r="P2660" s="374"/>
      <c r="Q2660" s="374"/>
      <c r="R2660" s="375"/>
      <c r="S2660" s="376"/>
      <c r="T2660" s="377"/>
      <c r="U2660" s="378"/>
      <c r="V2660" s="379">
        <f ca="1">SUM(V2651:V2659)</f>
        <v>0</v>
      </c>
      <c r="W2660" s="256">
        <f t="shared" ca="1" si="803"/>
        <v>1</v>
      </c>
      <c r="X2660" s="256">
        <f t="shared" ca="1" si="808"/>
        <v>0</v>
      </c>
      <c r="Y2660" s="250"/>
      <c r="Z2660" s="250"/>
    </row>
    <row r="2661" spans="1:29" s="293" customFormat="1" ht="15.75" hidden="1" customHeight="1" x14ac:dyDescent="0.25">
      <c r="A2661" s="288"/>
      <c r="B2661" s="1374" t="str">
        <f>VLOOKUP(A2669,'11 - FINANCEIRO'!_xlnm.Print_Area,1,FALSE)</f>
        <v>3.3.2.2.10</v>
      </c>
      <c r="C2661" s="1376" t="str">
        <f>VLOOKUP(A2669,'11 - FINANCEIRO'!_xlnm.Print_Area,3,FALSE)</f>
        <v>Transporte De Mistura Betuminosa A Quente Com Caminhão Com Caçamba Térmica De 6 M³ - Rodovia Pavimentada</v>
      </c>
      <c r="D2661" s="1378" t="s">
        <v>477</v>
      </c>
      <c r="E2661" s="1379"/>
      <c r="F2661" s="1379"/>
      <c r="G2661" s="1379"/>
      <c r="H2661" s="1379"/>
      <c r="I2661" s="1380"/>
      <c r="J2661" s="1338" t="s">
        <v>478</v>
      </c>
      <c r="K2661" s="1338" t="s">
        <v>479</v>
      </c>
      <c r="L2661" s="1338" t="s">
        <v>480</v>
      </c>
      <c r="M2661" s="1338" t="s">
        <v>481</v>
      </c>
      <c r="N2661" s="1338" t="s">
        <v>482</v>
      </c>
      <c r="O2661" s="1338" t="s">
        <v>483</v>
      </c>
      <c r="P2661" s="290" t="s">
        <v>484</v>
      </c>
      <c r="Q2661" s="1338" t="s">
        <v>485</v>
      </c>
      <c r="R2661" s="1336" t="s">
        <v>296</v>
      </c>
      <c r="S2661" s="1338" t="s">
        <v>486</v>
      </c>
      <c r="T2661" s="1338" t="s">
        <v>487</v>
      </c>
      <c r="U2661" s="1340" t="s">
        <v>488</v>
      </c>
      <c r="V2661" s="291">
        <f t="shared" ref="V2661:V2669" ca="1" si="809">IF(OFFSET(V2661,1,1)=1,OFFSET(V2661,0,-4),OFFSET(V2661,1,0))</f>
        <v>0</v>
      </c>
      <c r="W2661" s="256">
        <f t="shared" ca="1" si="803"/>
        <v>2</v>
      </c>
      <c r="X2661" s="256">
        <f t="shared" ca="1" si="808"/>
        <v>1</v>
      </c>
      <c r="Y2661" s="256"/>
      <c r="Z2661" s="256"/>
      <c r="AA2661" s="292"/>
      <c r="AB2661" s="292"/>
      <c r="AC2661" s="292"/>
    </row>
    <row r="2662" spans="1:29" s="337" customFormat="1" ht="15.75" hidden="1" x14ac:dyDescent="0.2">
      <c r="A2662" s="288"/>
      <c r="B2662" s="1375"/>
      <c r="C2662" s="1377" t="e">
        <f>VLOOKUP(LEFT(#REF!,5),'11 - FINANCEIRO'!_xlnm.Print_Area,2,FALSE)</f>
        <v>#REF!</v>
      </c>
      <c r="D2662" s="1342" t="s">
        <v>489</v>
      </c>
      <c r="E2662" s="1343"/>
      <c r="F2662" s="1344"/>
      <c r="G2662" s="1345" t="s">
        <v>490</v>
      </c>
      <c r="H2662" s="1346"/>
      <c r="I2662" s="1347"/>
      <c r="J2662" s="1339"/>
      <c r="K2662" s="1339"/>
      <c r="L2662" s="1339"/>
      <c r="M2662" s="1339"/>
      <c r="N2662" s="1339"/>
      <c r="O2662" s="1339"/>
      <c r="P2662" s="295" t="s">
        <v>491</v>
      </c>
      <c r="Q2662" s="1339"/>
      <c r="R2662" s="1337"/>
      <c r="S2662" s="1339"/>
      <c r="T2662" s="1339"/>
      <c r="U2662" s="1341"/>
      <c r="V2662" s="291">
        <f t="shared" ca="1" si="809"/>
        <v>0</v>
      </c>
      <c r="W2662" s="256">
        <f t="shared" ca="1" si="803"/>
        <v>2</v>
      </c>
      <c r="X2662" s="256">
        <f t="shared" ca="1" si="808"/>
        <v>1</v>
      </c>
      <c r="Y2662" s="336"/>
      <c r="Z2662" s="336"/>
    </row>
    <row r="2663" spans="1:29" s="337" customFormat="1" ht="15.75" hidden="1" x14ac:dyDescent="0.2">
      <c r="A2663" s="288"/>
      <c r="B2663" s="296"/>
      <c r="C2663" s="297"/>
      <c r="D2663" s="298"/>
      <c r="E2663" s="299"/>
      <c r="F2663" s="300"/>
      <c r="G2663" s="301"/>
      <c r="H2663" s="302"/>
      <c r="I2663" s="303"/>
      <c r="J2663" s="304"/>
      <c r="K2663" s="304"/>
      <c r="L2663" s="304"/>
      <c r="M2663" s="304"/>
      <c r="N2663" s="304"/>
      <c r="O2663" s="304"/>
      <c r="P2663" s="306"/>
      <c r="Q2663" s="304"/>
      <c r="R2663" s="307"/>
      <c r="S2663" s="304"/>
      <c r="T2663" s="309"/>
      <c r="U2663" s="310"/>
      <c r="V2663" s="291">
        <f t="shared" ca="1" si="809"/>
        <v>0</v>
      </c>
      <c r="W2663" s="256">
        <f t="shared" ca="1" si="803"/>
        <v>0</v>
      </c>
      <c r="X2663" s="256">
        <f t="shared" ca="1" si="808"/>
        <v>1</v>
      </c>
      <c r="Y2663" s="336"/>
      <c r="Z2663" s="336"/>
    </row>
    <row r="2664" spans="1:29" s="111" customFormat="1" ht="15.75" hidden="1" x14ac:dyDescent="0.2">
      <c r="A2664" s="288"/>
      <c r="B2664" s="311"/>
      <c r="C2664" s="312"/>
      <c r="D2664" s="313"/>
      <c r="E2664" s="314"/>
      <c r="F2664" s="315"/>
      <c r="G2664" s="380"/>
      <c r="H2664" s="316"/>
      <c r="I2664" s="381"/>
      <c r="J2664" s="317"/>
      <c r="K2664" s="313"/>
      <c r="L2664" s="317"/>
      <c r="M2664" s="315"/>
      <c r="N2664" s="314"/>
      <c r="O2664" s="313"/>
      <c r="P2664" s="318"/>
      <c r="Q2664" s="315"/>
      <c r="R2664" s="319"/>
      <c r="S2664" s="317"/>
      <c r="T2664" s="320"/>
      <c r="U2664" s="321"/>
      <c r="V2664" s="291">
        <f t="shared" ca="1" si="809"/>
        <v>0</v>
      </c>
      <c r="W2664" s="256">
        <f t="shared" ca="1" si="803"/>
        <v>0</v>
      </c>
      <c r="X2664" s="256">
        <f t="shared" ca="1" si="808"/>
        <v>1</v>
      </c>
      <c r="Y2664" s="250"/>
      <c r="Z2664" s="250"/>
    </row>
    <row r="2665" spans="1:29" s="111" customFormat="1" ht="15" hidden="1" x14ac:dyDescent="0.2">
      <c r="A2665" s="288"/>
      <c r="B2665" s="322"/>
      <c r="C2665" s="382"/>
      <c r="D2665" s="324"/>
      <c r="E2665" s="325"/>
      <c r="F2665" s="326"/>
      <c r="G2665" s="324"/>
      <c r="H2665" s="325"/>
      <c r="I2665" s="326"/>
      <c r="J2665" s="317"/>
      <c r="K2665" s="328"/>
      <c r="L2665" s="328"/>
      <c r="M2665" s="328"/>
      <c r="N2665" s="328"/>
      <c r="O2665" s="334"/>
      <c r="P2665" s="328"/>
      <c r="Q2665" s="334"/>
      <c r="R2665" s="333"/>
      <c r="S2665" s="331"/>
      <c r="T2665" s="320"/>
      <c r="U2665" s="335"/>
      <c r="V2665" s="291">
        <f t="shared" ca="1" si="809"/>
        <v>0</v>
      </c>
      <c r="W2665" s="256">
        <f t="shared" ca="1" si="803"/>
        <v>0</v>
      </c>
      <c r="X2665" s="256">
        <f t="shared" ca="1" si="808"/>
        <v>1</v>
      </c>
      <c r="Y2665" s="250"/>
      <c r="Z2665" s="250"/>
    </row>
    <row r="2666" spans="1:29" s="111" customFormat="1" ht="15" hidden="1" x14ac:dyDescent="0.2">
      <c r="A2666" s="288"/>
      <c r="B2666" s="338"/>
      <c r="C2666" s="339"/>
      <c r="D2666" s="340"/>
      <c r="E2666" s="341"/>
      <c r="F2666" s="342"/>
      <c r="G2666" s="340"/>
      <c r="H2666" s="341"/>
      <c r="I2666" s="342"/>
      <c r="J2666" s="343"/>
      <c r="K2666" s="344"/>
      <c r="L2666" s="345"/>
      <c r="M2666" s="346"/>
      <c r="N2666" s="347"/>
      <c r="O2666" s="348"/>
      <c r="P2666" s="345"/>
      <c r="Q2666" s="349"/>
      <c r="R2666" s="350"/>
      <c r="S2666" s="351"/>
      <c r="T2666" s="352"/>
      <c r="U2666" s="353"/>
      <c r="V2666" s="291">
        <f t="shared" ca="1" si="809"/>
        <v>0</v>
      </c>
      <c r="W2666" s="256">
        <f t="shared" ca="1" si="803"/>
        <v>0</v>
      </c>
      <c r="X2666" s="256">
        <f t="shared" ca="1" si="808"/>
        <v>1</v>
      </c>
      <c r="Y2666" s="250"/>
      <c r="Z2666" s="250"/>
    </row>
    <row r="2667" spans="1:29" s="111" customFormat="1" ht="15.75" hidden="1" customHeight="1" x14ac:dyDescent="0.2">
      <c r="A2667" s="288"/>
      <c r="B2667" s="354"/>
      <c r="C2667" s="355"/>
      <c r="D2667" s="1354" t="s">
        <v>492</v>
      </c>
      <c r="E2667" s="1355"/>
      <c r="F2667" s="1355"/>
      <c r="G2667" s="1355"/>
      <c r="H2667" s="1355"/>
      <c r="I2667" s="1356"/>
      <c r="J2667" s="1357">
        <f>VLOOKUP(A2669,'11 - FINANCEIRO'!_xlnm.Print_Area,6,FALSE)</f>
        <v>175.97</v>
      </c>
      <c r="K2667" s="1358"/>
      <c r="L2667" s="356" t="str">
        <f>VLOOKUP(A2669,'11 - FINANCEIRO'!_xlnm.Print_Area,4,FALSE)</f>
        <v>tkm</v>
      </c>
      <c r="M2667" s="1359" t="s">
        <v>493</v>
      </c>
      <c r="N2667" s="1360"/>
      <c r="O2667" s="1360"/>
      <c r="P2667" s="1360"/>
      <c r="Q2667" s="1361"/>
      <c r="R2667" s="357">
        <f>TRUNC(SUM(R2663:R2666),3)</f>
        <v>0</v>
      </c>
      <c r="S2667" s="358" t="str">
        <f>L2667</f>
        <v>tkm</v>
      </c>
      <c r="T2667" s="359"/>
      <c r="U2667" s="360"/>
      <c r="V2667" s="291">
        <f t="shared" ca="1" si="809"/>
        <v>0</v>
      </c>
      <c r="W2667" s="256">
        <f t="shared" ca="1" si="803"/>
        <v>2</v>
      </c>
      <c r="X2667" s="256">
        <f t="shared" ca="1" si="808"/>
        <v>1</v>
      </c>
      <c r="Y2667" s="250"/>
      <c r="Z2667" s="250"/>
    </row>
    <row r="2668" spans="1:29" s="293" customFormat="1" ht="15.75" hidden="1" customHeight="1" x14ac:dyDescent="0.2">
      <c r="A2668" s="288"/>
      <c r="B2668" s="354"/>
      <c r="C2668" s="361"/>
      <c r="D2668" s="1362" t="s">
        <v>494</v>
      </c>
      <c r="E2668" s="1363"/>
      <c r="F2668" s="1363"/>
      <c r="G2668" s="1363"/>
      <c r="H2668" s="1363"/>
      <c r="I2668" s="1364"/>
      <c r="J2668" s="1365">
        <f>R2667/J2667</f>
        <v>0</v>
      </c>
      <c r="K2668" s="1366"/>
      <c r="L2668" s="1369"/>
      <c r="M2668" s="1371" t="s">
        <v>495</v>
      </c>
      <c r="N2668" s="1372"/>
      <c r="O2668" s="1372"/>
      <c r="P2668" s="1372"/>
      <c r="Q2668" s="1373"/>
      <c r="R2668" s="362">
        <f>VLOOKUP(A2669,'11 - FINANCEIRO'!_xlnm.Print_Area,8,FALSE)</f>
        <v>0</v>
      </c>
      <c r="S2668" s="363" t="str">
        <f>L2667</f>
        <v>tkm</v>
      </c>
      <c r="T2668" s="359"/>
      <c r="U2668" s="360"/>
      <c r="V2668" s="291">
        <f t="shared" ca="1" si="809"/>
        <v>0</v>
      </c>
      <c r="W2668" s="256">
        <f t="shared" ca="1" si="803"/>
        <v>2</v>
      </c>
      <c r="X2668" s="256">
        <f t="shared" ca="1" si="808"/>
        <v>1</v>
      </c>
      <c r="Y2668" s="256"/>
      <c r="Z2668" s="256"/>
      <c r="AA2668" s="292"/>
      <c r="AB2668" s="292"/>
      <c r="AC2668" s="292"/>
    </row>
    <row r="2669" spans="1:29" s="293" customFormat="1" ht="15.75" hidden="1" customHeight="1" x14ac:dyDescent="0.2">
      <c r="A2669" s="288" t="s">
        <v>137</v>
      </c>
      <c r="B2669" s="364"/>
      <c r="C2669" s="365"/>
      <c r="D2669" s="1354"/>
      <c r="E2669" s="1355"/>
      <c r="F2669" s="1355"/>
      <c r="G2669" s="1355"/>
      <c r="H2669" s="1355"/>
      <c r="I2669" s="1356"/>
      <c r="J2669" s="1367"/>
      <c r="K2669" s="1368"/>
      <c r="L2669" s="1370"/>
      <c r="M2669" s="1371" t="s">
        <v>496</v>
      </c>
      <c r="N2669" s="1372"/>
      <c r="O2669" s="1372"/>
      <c r="P2669" s="1372"/>
      <c r="Q2669" s="1373"/>
      <c r="R2669" s="362">
        <f>R2667-R2668</f>
        <v>0</v>
      </c>
      <c r="S2669" s="363" t="str">
        <f>L2667</f>
        <v>tkm</v>
      </c>
      <c r="T2669" s="366"/>
      <c r="U2669" s="367"/>
      <c r="V2669" s="291">
        <f t="shared" ca="1" si="809"/>
        <v>0</v>
      </c>
      <c r="W2669" s="256">
        <f t="shared" ca="1" si="803"/>
        <v>2</v>
      </c>
      <c r="X2669" s="256">
        <f t="shared" ca="1" si="808"/>
        <v>1</v>
      </c>
      <c r="Y2669" s="256"/>
      <c r="Z2669" s="256"/>
      <c r="AA2669" s="292"/>
      <c r="AB2669" s="292"/>
      <c r="AC2669" s="292"/>
    </row>
    <row r="2670" spans="1:29" s="111" customFormat="1" ht="15.75" hidden="1" x14ac:dyDescent="0.2">
      <c r="A2670" s="288"/>
      <c r="B2670" s="368"/>
      <c r="C2670" s="365"/>
      <c r="D2670" s="369"/>
      <c r="E2670" s="370"/>
      <c r="F2670" s="369"/>
      <c r="G2670" s="369"/>
      <c r="H2670" s="369"/>
      <c r="I2670" s="369"/>
      <c r="J2670" s="371"/>
      <c r="K2670" s="372"/>
      <c r="L2670" s="373"/>
      <c r="M2670" s="374"/>
      <c r="N2670" s="374"/>
      <c r="O2670" s="374"/>
      <c r="P2670" s="374"/>
      <c r="Q2670" s="374"/>
      <c r="R2670" s="375"/>
      <c r="S2670" s="376"/>
      <c r="T2670" s="377"/>
      <c r="U2670" s="378"/>
      <c r="V2670" s="379">
        <f ca="1">SUM(V2661:V2669)</f>
        <v>0</v>
      </c>
      <c r="W2670" s="256">
        <f t="shared" ca="1" si="803"/>
        <v>1</v>
      </c>
      <c r="X2670" s="256">
        <f t="shared" ca="1" si="808"/>
        <v>0</v>
      </c>
      <c r="Y2670" s="250"/>
      <c r="Z2670" s="250"/>
    </row>
    <row r="2671" spans="1:29" s="293" customFormat="1" ht="15.75" hidden="1" customHeight="1" x14ac:dyDescent="0.25">
      <c r="A2671" s="288"/>
      <c r="B2671" s="1374" t="str">
        <f>VLOOKUP(A2679,'11 - FINANCEIRO'!_xlnm.Print_Area,1,FALSE)</f>
        <v>3.3.2.2.11</v>
      </c>
      <c r="C2671" s="1376" t="str">
        <f>VLOOKUP(A2679,'11 - FINANCEIRO'!_xlnm.Print_Area,3,FALSE)</f>
        <v>Imprimação Com Emulsão Asfáltica</v>
      </c>
      <c r="D2671" s="1378" t="s">
        <v>477</v>
      </c>
      <c r="E2671" s="1379"/>
      <c r="F2671" s="1379"/>
      <c r="G2671" s="1379"/>
      <c r="H2671" s="1379"/>
      <c r="I2671" s="1380"/>
      <c r="J2671" s="1338" t="s">
        <v>478</v>
      </c>
      <c r="K2671" s="1338" t="s">
        <v>479</v>
      </c>
      <c r="L2671" s="1338" t="s">
        <v>480</v>
      </c>
      <c r="M2671" s="1338" t="s">
        <v>481</v>
      </c>
      <c r="N2671" s="1338" t="s">
        <v>482</v>
      </c>
      <c r="O2671" s="1338" t="s">
        <v>483</v>
      </c>
      <c r="P2671" s="290" t="s">
        <v>484</v>
      </c>
      <c r="Q2671" s="1338" t="s">
        <v>485</v>
      </c>
      <c r="R2671" s="1336" t="s">
        <v>296</v>
      </c>
      <c r="S2671" s="1338" t="s">
        <v>486</v>
      </c>
      <c r="T2671" s="1338" t="s">
        <v>487</v>
      </c>
      <c r="U2671" s="1340" t="s">
        <v>488</v>
      </c>
      <c r="V2671" s="291">
        <f t="shared" ref="V2671:V2679" ca="1" si="810">IF(OFFSET(V2671,1,1)=1,OFFSET(V2671,0,-4),OFFSET(V2671,1,0))</f>
        <v>0</v>
      </c>
      <c r="W2671" s="256">
        <f t="shared" ca="1" si="803"/>
        <v>2</v>
      </c>
      <c r="X2671" s="256">
        <f t="shared" ca="1" si="808"/>
        <v>1</v>
      </c>
      <c r="Y2671" s="256"/>
      <c r="Z2671" s="256"/>
      <c r="AA2671" s="292"/>
      <c r="AB2671" s="292"/>
      <c r="AC2671" s="292"/>
    </row>
    <row r="2672" spans="1:29" s="337" customFormat="1" ht="15.75" hidden="1" x14ac:dyDescent="0.2">
      <c r="A2672" s="288"/>
      <c r="B2672" s="1375"/>
      <c r="C2672" s="1377" t="e">
        <f>VLOOKUP(LEFT(#REF!,5),'11 - FINANCEIRO'!_xlnm.Print_Area,2,FALSE)</f>
        <v>#REF!</v>
      </c>
      <c r="D2672" s="1342" t="s">
        <v>489</v>
      </c>
      <c r="E2672" s="1343"/>
      <c r="F2672" s="1344"/>
      <c r="G2672" s="1345" t="s">
        <v>490</v>
      </c>
      <c r="H2672" s="1346"/>
      <c r="I2672" s="1347"/>
      <c r="J2672" s="1339"/>
      <c r="K2672" s="1339"/>
      <c r="L2672" s="1339"/>
      <c r="M2672" s="1339"/>
      <c r="N2672" s="1339"/>
      <c r="O2672" s="1339"/>
      <c r="P2672" s="295" t="s">
        <v>491</v>
      </c>
      <c r="Q2672" s="1339"/>
      <c r="R2672" s="1337"/>
      <c r="S2672" s="1339"/>
      <c r="T2672" s="1339"/>
      <c r="U2672" s="1341"/>
      <c r="V2672" s="291">
        <f t="shared" ca="1" si="810"/>
        <v>0</v>
      </c>
      <c r="W2672" s="256">
        <f t="shared" ca="1" si="803"/>
        <v>2</v>
      </c>
      <c r="X2672" s="256">
        <f t="shared" ca="1" si="808"/>
        <v>1</v>
      </c>
      <c r="Y2672" s="336"/>
      <c r="Z2672" s="336"/>
    </row>
    <row r="2673" spans="1:29" s="337" customFormat="1" ht="15.75" hidden="1" x14ac:dyDescent="0.2">
      <c r="A2673" s="288"/>
      <c r="B2673" s="296"/>
      <c r="C2673" s="297"/>
      <c r="D2673" s="298"/>
      <c r="E2673" s="299"/>
      <c r="F2673" s="300"/>
      <c r="G2673" s="301"/>
      <c r="H2673" s="302"/>
      <c r="I2673" s="303"/>
      <c r="J2673" s="304"/>
      <c r="K2673" s="304"/>
      <c r="L2673" s="304"/>
      <c r="M2673" s="304"/>
      <c r="N2673" s="304"/>
      <c r="O2673" s="304"/>
      <c r="P2673" s="306"/>
      <c r="Q2673" s="304"/>
      <c r="R2673" s="307"/>
      <c r="S2673" s="304"/>
      <c r="T2673" s="309"/>
      <c r="U2673" s="310"/>
      <c r="V2673" s="291">
        <f t="shared" ca="1" si="810"/>
        <v>0</v>
      </c>
      <c r="W2673" s="256">
        <f t="shared" ca="1" si="803"/>
        <v>0</v>
      </c>
      <c r="X2673" s="256">
        <f t="shared" ca="1" si="808"/>
        <v>1</v>
      </c>
      <c r="Y2673" s="336"/>
      <c r="Z2673" s="336"/>
    </row>
    <row r="2674" spans="1:29" s="111" customFormat="1" ht="15.75" hidden="1" x14ac:dyDescent="0.2">
      <c r="A2674" s="288"/>
      <c r="B2674" s="311"/>
      <c r="C2674" s="312"/>
      <c r="D2674" s="313"/>
      <c r="E2674" s="314"/>
      <c r="F2674" s="315"/>
      <c r="G2674" s="380"/>
      <c r="H2674" s="316"/>
      <c r="I2674" s="381"/>
      <c r="J2674" s="317"/>
      <c r="K2674" s="313"/>
      <c r="L2674" s="317"/>
      <c r="M2674" s="315"/>
      <c r="N2674" s="314"/>
      <c r="O2674" s="313"/>
      <c r="P2674" s="318"/>
      <c r="Q2674" s="315"/>
      <c r="R2674" s="319"/>
      <c r="S2674" s="317"/>
      <c r="T2674" s="320"/>
      <c r="U2674" s="321"/>
      <c r="V2674" s="291">
        <f t="shared" ca="1" si="810"/>
        <v>0</v>
      </c>
      <c r="W2674" s="256">
        <f t="shared" ca="1" si="803"/>
        <v>0</v>
      </c>
      <c r="X2674" s="256">
        <f t="shared" ca="1" si="808"/>
        <v>1</v>
      </c>
      <c r="Y2674" s="250"/>
      <c r="Z2674" s="250"/>
    </row>
    <row r="2675" spans="1:29" s="111" customFormat="1" ht="15" hidden="1" x14ac:dyDescent="0.2">
      <c r="A2675" s="288"/>
      <c r="B2675" s="322"/>
      <c r="C2675" s="382"/>
      <c r="D2675" s="324"/>
      <c r="E2675" s="325"/>
      <c r="F2675" s="326"/>
      <c r="G2675" s="324"/>
      <c r="H2675" s="325"/>
      <c r="I2675" s="326"/>
      <c r="J2675" s="317"/>
      <c r="K2675" s="328"/>
      <c r="L2675" s="328"/>
      <c r="M2675" s="328"/>
      <c r="N2675" s="328"/>
      <c r="O2675" s="334"/>
      <c r="P2675" s="328"/>
      <c r="Q2675" s="334"/>
      <c r="R2675" s="333"/>
      <c r="S2675" s="331"/>
      <c r="T2675" s="320"/>
      <c r="U2675" s="335"/>
      <c r="V2675" s="291">
        <f t="shared" ca="1" si="810"/>
        <v>0</v>
      </c>
      <c r="W2675" s="256">
        <f t="shared" ca="1" si="803"/>
        <v>0</v>
      </c>
      <c r="X2675" s="256">
        <f t="shared" ca="1" si="808"/>
        <v>1</v>
      </c>
      <c r="Y2675" s="250"/>
      <c r="Z2675" s="250"/>
    </row>
    <row r="2676" spans="1:29" s="111" customFormat="1" ht="15" hidden="1" x14ac:dyDescent="0.2">
      <c r="A2676" s="288"/>
      <c r="B2676" s="338"/>
      <c r="C2676" s="339"/>
      <c r="D2676" s="340"/>
      <c r="E2676" s="341"/>
      <c r="F2676" s="342"/>
      <c r="G2676" s="340"/>
      <c r="H2676" s="341"/>
      <c r="I2676" s="342"/>
      <c r="J2676" s="343"/>
      <c r="K2676" s="344"/>
      <c r="L2676" s="345"/>
      <c r="M2676" s="346"/>
      <c r="N2676" s="347"/>
      <c r="O2676" s="348"/>
      <c r="P2676" s="345"/>
      <c r="Q2676" s="349"/>
      <c r="R2676" s="350"/>
      <c r="S2676" s="351"/>
      <c r="T2676" s="352"/>
      <c r="U2676" s="353"/>
      <c r="V2676" s="291">
        <f t="shared" ca="1" si="810"/>
        <v>0</v>
      </c>
      <c r="W2676" s="256">
        <f t="shared" ca="1" si="803"/>
        <v>0</v>
      </c>
      <c r="X2676" s="256">
        <f t="shared" ca="1" si="808"/>
        <v>1</v>
      </c>
      <c r="Y2676" s="250"/>
      <c r="Z2676" s="250"/>
    </row>
    <row r="2677" spans="1:29" s="111" customFormat="1" ht="15.75" hidden="1" customHeight="1" x14ac:dyDescent="0.2">
      <c r="A2677" s="288"/>
      <c r="B2677" s="354"/>
      <c r="C2677" s="355"/>
      <c r="D2677" s="1354" t="s">
        <v>492</v>
      </c>
      <c r="E2677" s="1355"/>
      <c r="F2677" s="1355"/>
      <c r="G2677" s="1355"/>
      <c r="H2677" s="1355"/>
      <c r="I2677" s="1356"/>
      <c r="J2677" s="1357">
        <f>VLOOKUP(A2679,'11 - FINANCEIRO'!_xlnm.Print_Area,6,FALSE)</f>
        <v>80</v>
      </c>
      <c r="K2677" s="1358"/>
      <c r="L2677" s="356" t="str">
        <f>VLOOKUP(A2679,'11 - FINANCEIRO'!_xlnm.Print_Area,4,FALSE)</f>
        <v>m²</v>
      </c>
      <c r="M2677" s="1359" t="s">
        <v>493</v>
      </c>
      <c r="N2677" s="1360"/>
      <c r="O2677" s="1360"/>
      <c r="P2677" s="1360"/>
      <c r="Q2677" s="1361"/>
      <c r="R2677" s="357">
        <f>TRUNC(SUM(R2673:R2676),3)</f>
        <v>0</v>
      </c>
      <c r="S2677" s="358" t="str">
        <f>L2677</f>
        <v>m²</v>
      </c>
      <c r="T2677" s="359"/>
      <c r="U2677" s="360"/>
      <c r="V2677" s="291">
        <f t="shared" ca="1" si="810"/>
        <v>0</v>
      </c>
      <c r="W2677" s="256">
        <f t="shared" ca="1" si="803"/>
        <v>2</v>
      </c>
      <c r="X2677" s="256">
        <f t="shared" ca="1" si="808"/>
        <v>1</v>
      </c>
      <c r="Y2677" s="250"/>
      <c r="Z2677" s="250"/>
    </row>
    <row r="2678" spans="1:29" s="293" customFormat="1" ht="15.75" hidden="1" customHeight="1" x14ac:dyDescent="0.2">
      <c r="A2678" s="288"/>
      <c r="B2678" s="354"/>
      <c r="C2678" s="361"/>
      <c r="D2678" s="1362" t="s">
        <v>494</v>
      </c>
      <c r="E2678" s="1363"/>
      <c r="F2678" s="1363"/>
      <c r="G2678" s="1363"/>
      <c r="H2678" s="1363"/>
      <c r="I2678" s="1364"/>
      <c r="J2678" s="1365">
        <f>R2677/J2677</f>
        <v>0</v>
      </c>
      <c r="K2678" s="1366"/>
      <c r="L2678" s="1369"/>
      <c r="M2678" s="1371" t="s">
        <v>495</v>
      </c>
      <c r="N2678" s="1372"/>
      <c r="O2678" s="1372"/>
      <c r="P2678" s="1372"/>
      <c r="Q2678" s="1373"/>
      <c r="R2678" s="362">
        <f>VLOOKUP(A2679,'11 - FINANCEIRO'!_xlnm.Print_Area,8,FALSE)</f>
        <v>0</v>
      </c>
      <c r="S2678" s="363" t="str">
        <f>L2677</f>
        <v>m²</v>
      </c>
      <c r="T2678" s="359"/>
      <c r="U2678" s="360"/>
      <c r="V2678" s="291">
        <f t="shared" ca="1" si="810"/>
        <v>0</v>
      </c>
      <c r="W2678" s="256">
        <f t="shared" ca="1" si="803"/>
        <v>2</v>
      </c>
      <c r="X2678" s="256">
        <f t="shared" ca="1" si="808"/>
        <v>1</v>
      </c>
      <c r="Y2678" s="256"/>
      <c r="Z2678" s="256"/>
      <c r="AA2678" s="292"/>
      <c r="AB2678" s="292"/>
      <c r="AC2678" s="292"/>
    </row>
    <row r="2679" spans="1:29" s="293" customFormat="1" ht="15.75" hidden="1" customHeight="1" x14ac:dyDescent="0.2">
      <c r="A2679" s="288" t="s">
        <v>138</v>
      </c>
      <c r="B2679" s="364"/>
      <c r="C2679" s="365"/>
      <c r="D2679" s="1354"/>
      <c r="E2679" s="1355"/>
      <c r="F2679" s="1355"/>
      <c r="G2679" s="1355"/>
      <c r="H2679" s="1355"/>
      <c r="I2679" s="1356"/>
      <c r="J2679" s="1367"/>
      <c r="K2679" s="1368"/>
      <c r="L2679" s="1370"/>
      <c r="M2679" s="1371" t="s">
        <v>496</v>
      </c>
      <c r="N2679" s="1372"/>
      <c r="O2679" s="1372"/>
      <c r="P2679" s="1372"/>
      <c r="Q2679" s="1373"/>
      <c r="R2679" s="362">
        <f>R2677-R2678</f>
        <v>0</v>
      </c>
      <c r="S2679" s="363" t="str">
        <f>L2677</f>
        <v>m²</v>
      </c>
      <c r="T2679" s="366"/>
      <c r="U2679" s="367"/>
      <c r="V2679" s="291">
        <f t="shared" ca="1" si="810"/>
        <v>0</v>
      </c>
      <c r="W2679" s="256">
        <f t="shared" ca="1" si="803"/>
        <v>2</v>
      </c>
      <c r="X2679" s="256">
        <f t="shared" ca="1" si="808"/>
        <v>1</v>
      </c>
      <c r="Y2679" s="256"/>
      <c r="Z2679" s="256"/>
      <c r="AA2679" s="292"/>
      <c r="AB2679" s="292"/>
      <c r="AC2679" s="292"/>
    </row>
    <row r="2680" spans="1:29" s="111" customFormat="1" ht="15.75" hidden="1" x14ac:dyDescent="0.2">
      <c r="A2680" s="288"/>
      <c r="B2680" s="368"/>
      <c r="C2680" s="365"/>
      <c r="D2680" s="369"/>
      <c r="E2680" s="370"/>
      <c r="F2680" s="369"/>
      <c r="G2680" s="369"/>
      <c r="H2680" s="369"/>
      <c r="I2680" s="369"/>
      <c r="J2680" s="371"/>
      <c r="K2680" s="372"/>
      <c r="L2680" s="373"/>
      <c r="M2680" s="374"/>
      <c r="N2680" s="374"/>
      <c r="O2680" s="374"/>
      <c r="P2680" s="374"/>
      <c r="Q2680" s="374"/>
      <c r="R2680" s="375"/>
      <c r="S2680" s="376"/>
      <c r="T2680" s="377"/>
      <c r="U2680" s="378"/>
      <c r="V2680" s="379">
        <f ca="1">SUM(V2671:V2679)</f>
        <v>0</v>
      </c>
      <c r="W2680" s="256">
        <f t="shared" ca="1" si="803"/>
        <v>1</v>
      </c>
      <c r="X2680" s="256">
        <f t="shared" ca="1" si="808"/>
        <v>0</v>
      </c>
      <c r="Y2680" s="250"/>
      <c r="Z2680" s="250"/>
    </row>
    <row r="2681" spans="1:29" s="293" customFormat="1" ht="15.75" hidden="1" customHeight="1" x14ac:dyDescent="0.25">
      <c r="A2681" s="288"/>
      <c r="B2681" s="1374" t="str">
        <f>VLOOKUP(A2689,'11 - FINANCEIRO'!_xlnm.Print_Area,1,FALSE)</f>
        <v>3.3.2.2.12</v>
      </c>
      <c r="C2681" s="1376" t="str">
        <f>VLOOKUP(A2689,'11 - FINANCEIRO'!_xlnm.Print_Area,3,FALSE)</f>
        <v>Emulsão Asfáltica Para Imprimação (Eai), Fornecimento</v>
      </c>
      <c r="D2681" s="1378" t="s">
        <v>477</v>
      </c>
      <c r="E2681" s="1379"/>
      <c r="F2681" s="1379"/>
      <c r="G2681" s="1379"/>
      <c r="H2681" s="1379"/>
      <c r="I2681" s="1380"/>
      <c r="J2681" s="1338" t="s">
        <v>478</v>
      </c>
      <c r="K2681" s="1338" t="s">
        <v>479</v>
      </c>
      <c r="L2681" s="1338" t="s">
        <v>480</v>
      </c>
      <c r="M2681" s="1338" t="s">
        <v>481</v>
      </c>
      <c r="N2681" s="1338" t="s">
        <v>482</v>
      </c>
      <c r="O2681" s="1338" t="s">
        <v>483</v>
      </c>
      <c r="P2681" s="290" t="s">
        <v>484</v>
      </c>
      <c r="Q2681" s="1338" t="s">
        <v>485</v>
      </c>
      <c r="R2681" s="1336" t="s">
        <v>296</v>
      </c>
      <c r="S2681" s="1338" t="s">
        <v>486</v>
      </c>
      <c r="T2681" s="1338" t="s">
        <v>487</v>
      </c>
      <c r="U2681" s="1340" t="s">
        <v>488</v>
      </c>
      <c r="V2681" s="291">
        <f t="shared" ref="V2681:V2689" ca="1" si="811">IF(OFFSET(V2681,1,1)=1,OFFSET(V2681,0,-4),OFFSET(V2681,1,0))</f>
        <v>0</v>
      </c>
      <c r="W2681" s="256">
        <f t="shared" ca="1" si="803"/>
        <v>2</v>
      </c>
      <c r="X2681" s="256">
        <f t="shared" ca="1" si="808"/>
        <v>1</v>
      </c>
      <c r="Y2681" s="256"/>
      <c r="Z2681" s="256"/>
      <c r="AA2681" s="292"/>
      <c r="AB2681" s="292"/>
      <c r="AC2681" s="292"/>
    </row>
    <row r="2682" spans="1:29" s="337" customFormat="1" ht="15.75" hidden="1" x14ac:dyDescent="0.2">
      <c r="A2682" s="288"/>
      <c r="B2682" s="1375"/>
      <c r="C2682" s="1377" t="e">
        <f>VLOOKUP(LEFT(#REF!,5),'11 - FINANCEIRO'!_xlnm.Print_Area,2,FALSE)</f>
        <v>#REF!</v>
      </c>
      <c r="D2682" s="1342" t="s">
        <v>489</v>
      </c>
      <c r="E2682" s="1343"/>
      <c r="F2682" s="1344"/>
      <c r="G2682" s="1345" t="s">
        <v>490</v>
      </c>
      <c r="H2682" s="1346"/>
      <c r="I2682" s="1347"/>
      <c r="J2682" s="1339"/>
      <c r="K2682" s="1339"/>
      <c r="L2682" s="1339"/>
      <c r="M2682" s="1339"/>
      <c r="N2682" s="1339"/>
      <c r="O2682" s="1339"/>
      <c r="P2682" s="295" t="s">
        <v>491</v>
      </c>
      <c r="Q2682" s="1339"/>
      <c r="R2682" s="1337"/>
      <c r="S2682" s="1339"/>
      <c r="T2682" s="1339"/>
      <c r="U2682" s="1341"/>
      <c r="V2682" s="291">
        <f t="shared" ca="1" si="811"/>
        <v>0</v>
      </c>
      <c r="W2682" s="256">
        <f t="shared" ca="1" si="803"/>
        <v>2</v>
      </c>
      <c r="X2682" s="256">
        <f t="shared" ca="1" si="808"/>
        <v>1</v>
      </c>
      <c r="Y2682" s="336"/>
      <c r="Z2682" s="336"/>
    </row>
    <row r="2683" spans="1:29" s="337" customFormat="1" ht="15.75" hidden="1" x14ac:dyDescent="0.2">
      <c r="A2683" s="288"/>
      <c r="B2683" s="296"/>
      <c r="C2683" s="297"/>
      <c r="D2683" s="298"/>
      <c r="E2683" s="299"/>
      <c r="F2683" s="300"/>
      <c r="G2683" s="301"/>
      <c r="H2683" s="302"/>
      <c r="I2683" s="303"/>
      <c r="J2683" s="304"/>
      <c r="K2683" s="304"/>
      <c r="L2683" s="304"/>
      <c r="M2683" s="304"/>
      <c r="N2683" s="304"/>
      <c r="O2683" s="304"/>
      <c r="P2683" s="306"/>
      <c r="Q2683" s="304"/>
      <c r="R2683" s="307"/>
      <c r="S2683" s="304"/>
      <c r="T2683" s="309"/>
      <c r="U2683" s="310"/>
      <c r="V2683" s="291">
        <f t="shared" ca="1" si="811"/>
        <v>0</v>
      </c>
      <c r="W2683" s="256">
        <f t="shared" ca="1" si="803"/>
        <v>0</v>
      </c>
      <c r="X2683" s="256">
        <f t="shared" ca="1" si="808"/>
        <v>1</v>
      </c>
      <c r="Y2683" s="336"/>
      <c r="Z2683" s="336"/>
    </row>
    <row r="2684" spans="1:29" s="111" customFormat="1" ht="15.75" hidden="1" x14ac:dyDescent="0.2">
      <c r="A2684" s="288"/>
      <c r="B2684" s="311"/>
      <c r="C2684" s="312"/>
      <c r="D2684" s="313"/>
      <c r="E2684" s="314"/>
      <c r="F2684" s="315"/>
      <c r="G2684" s="380"/>
      <c r="H2684" s="316"/>
      <c r="I2684" s="381"/>
      <c r="J2684" s="317"/>
      <c r="K2684" s="313"/>
      <c r="L2684" s="317"/>
      <c r="M2684" s="315"/>
      <c r="N2684" s="314"/>
      <c r="O2684" s="313"/>
      <c r="P2684" s="318"/>
      <c r="Q2684" s="315"/>
      <c r="R2684" s="319"/>
      <c r="S2684" s="317"/>
      <c r="T2684" s="320"/>
      <c r="U2684" s="321"/>
      <c r="V2684" s="291">
        <f t="shared" ca="1" si="811"/>
        <v>0</v>
      </c>
      <c r="W2684" s="256">
        <f t="shared" ca="1" si="803"/>
        <v>0</v>
      </c>
      <c r="X2684" s="256">
        <f t="shared" ca="1" si="808"/>
        <v>1</v>
      </c>
      <c r="Y2684" s="250"/>
      <c r="Z2684" s="250"/>
    </row>
    <row r="2685" spans="1:29" s="111" customFormat="1" ht="15" hidden="1" x14ac:dyDescent="0.2">
      <c r="A2685" s="288"/>
      <c r="B2685" s="322"/>
      <c r="C2685" s="382"/>
      <c r="D2685" s="324"/>
      <c r="E2685" s="325"/>
      <c r="F2685" s="326"/>
      <c r="G2685" s="324"/>
      <c r="H2685" s="325"/>
      <c r="I2685" s="326"/>
      <c r="J2685" s="317"/>
      <c r="K2685" s="328"/>
      <c r="L2685" s="328"/>
      <c r="M2685" s="328"/>
      <c r="N2685" s="328"/>
      <c r="O2685" s="334"/>
      <c r="P2685" s="328"/>
      <c r="Q2685" s="334"/>
      <c r="R2685" s="333"/>
      <c r="S2685" s="331"/>
      <c r="T2685" s="320"/>
      <c r="U2685" s="335"/>
      <c r="V2685" s="291">
        <f t="shared" ca="1" si="811"/>
        <v>0</v>
      </c>
      <c r="W2685" s="256">
        <f t="shared" ca="1" si="803"/>
        <v>0</v>
      </c>
      <c r="X2685" s="256">
        <f t="shared" ca="1" si="808"/>
        <v>1</v>
      </c>
      <c r="Y2685" s="250"/>
      <c r="Z2685" s="250"/>
    </row>
    <row r="2686" spans="1:29" s="111" customFormat="1" ht="15" hidden="1" x14ac:dyDescent="0.2">
      <c r="A2686" s="288"/>
      <c r="B2686" s="338"/>
      <c r="C2686" s="339"/>
      <c r="D2686" s="340"/>
      <c r="E2686" s="341"/>
      <c r="F2686" s="342"/>
      <c r="G2686" s="340"/>
      <c r="H2686" s="341"/>
      <c r="I2686" s="342"/>
      <c r="J2686" s="343"/>
      <c r="K2686" s="344"/>
      <c r="L2686" s="345"/>
      <c r="M2686" s="346"/>
      <c r="N2686" s="347"/>
      <c r="O2686" s="348"/>
      <c r="P2686" s="345"/>
      <c r="Q2686" s="349"/>
      <c r="R2686" s="350"/>
      <c r="S2686" s="351"/>
      <c r="T2686" s="352"/>
      <c r="U2686" s="353"/>
      <c r="V2686" s="291">
        <f t="shared" ca="1" si="811"/>
        <v>0</v>
      </c>
      <c r="W2686" s="256">
        <f t="shared" ca="1" si="803"/>
        <v>0</v>
      </c>
      <c r="X2686" s="256">
        <f t="shared" ca="1" si="808"/>
        <v>1</v>
      </c>
      <c r="Y2686" s="250"/>
      <c r="Z2686" s="250"/>
    </row>
    <row r="2687" spans="1:29" s="111" customFormat="1" ht="15.75" hidden="1" customHeight="1" x14ac:dyDescent="0.2">
      <c r="A2687" s="288"/>
      <c r="B2687" s="354"/>
      <c r="C2687" s="355"/>
      <c r="D2687" s="1354" t="s">
        <v>492</v>
      </c>
      <c r="E2687" s="1355"/>
      <c r="F2687" s="1355"/>
      <c r="G2687" s="1355"/>
      <c r="H2687" s="1355"/>
      <c r="I2687" s="1356"/>
      <c r="J2687" s="1357">
        <f>VLOOKUP(A2689,'11 - FINANCEIRO'!_xlnm.Print_Area,6,FALSE)</f>
        <v>0.06</v>
      </c>
      <c r="K2687" s="1358"/>
      <c r="L2687" s="356" t="str">
        <f>VLOOKUP(A2689,'11 - FINANCEIRO'!_xlnm.Print_Area,4,FALSE)</f>
        <v>t</v>
      </c>
      <c r="M2687" s="1359" t="s">
        <v>493</v>
      </c>
      <c r="N2687" s="1360"/>
      <c r="O2687" s="1360"/>
      <c r="P2687" s="1360"/>
      <c r="Q2687" s="1361"/>
      <c r="R2687" s="357">
        <f>TRUNC(SUM(R2683:R2686),3)</f>
        <v>0</v>
      </c>
      <c r="S2687" s="358" t="str">
        <f>L2687</f>
        <v>t</v>
      </c>
      <c r="T2687" s="359"/>
      <c r="U2687" s="360"/>
      <c r="V2687" s="291">
        <f t="shared" ca="1" si="811"/>
        <v>0</v>
      </c>
      <c r="W2687" s="256">
        <f t="shared" ca="1" si="803"/>
        <v>2</v>
      </c>
      <c r="X2687" s="256">
        <f t="shared" ca="1" si="808"/>
        <v>1</v>
      </c>
      <c r="Y2687" s="250"/>
      <c r="Z2687" s="250"/>
    </row>
    <row r="2688" spans="1:29" s="293" customFormat="1" ht="15.75" hidden="1" customHeight="1" x14ac:dyDescent="0.2">
      <c r="A2688" s="288"/>
      <c r="B2688" s="354"/>
      <c r="C2688" s="361"/>
      <c r="D2688" s="1362" t="s">
        <v>494</v>
      </c>
      <c r="E2688" s="1363"/>
      <c r="F2688" s="1363"/>
      <c r="G2688" s="1363"/>
      <c r="H2688" s="1363"/>
      <c r="I2688" s="1364"/>
      <c r="J2688" s="1365">
        <f>R2687/J2687</f>
        <v>0</v>
      </c>
      <c r="K2688" s="1366"/>
      <c r="L2688" s="1369"/>
      <c r="M2688" s="1371" t="s">
        <v>495</v>
      </c>
      <c r="N2688" s="1372"/>
      <c r="O2688" s="1372"/>
      <c r="P2688" s="1372"/>
      <c r="Q2688" s="1373"/>
      <c r="R2688" s="362">
        <f>VLOOKUP(A2689,'11 - FINANCEIRO'!_xlnm.Print_Area,8,FALSE)</f>
        <v>0</v>
      </c>
      <c r="S2688" s="363" t="str">
        <f>L2687</f>
        <v>t</v>
      </c>
      <c r="T2688" s="359"/>
      <c r="U2688" s="360"/>
      <c r="V2688" s="291">
        <f t="shared" ca="1" si="811"/>
        <v>0</v>
      </c>
      <c r="W2688" s="256">
        <f t="shared" ca="1" si="803"/>
        <v>2</v>
      </c>
      <c r="X2688" s="256">
        <f t="shared" ca="1" si="808"/>
        <v>1</v>
      </c>
      <c r="Y2688" s="256"/>
      <c r="Z2688" s="256"/>
      <c r="AA2688" s="292"/>
      <c r="AB2688" s="292"/>
      <c r="AC2688" s="292"/>
    </row>
    <row r="2689" spans="1:29" s="293" customFormat="1" ht="15.75" hidden="1" customHeight="1" x14ac:dyDescent="0.2">
      <c r="A2689" s="288" t="s">
        <v>139</v>
      </c>
      <c r="B2689" s="364"/>
      <c r="C2689" s="365"/>
      <c r="D2689" s="1354"/>
      <c r="E2689" s="1355"/>
      <c r="F2689" s="1355"/>
      <c r="G2689" s="1355"/>
      <c r="H2689" s="1355"/>
      <c r="I2689" s="1356"/>
      <c r="J2689" s="1367"/>
      <c r="K2689" s="1368"/>
      <c r="L2689" s="1370"/>
      <c r="M2689" s="1371" t="s">
        <v>496</v>
      </c>
      <c r="N2689" s="1372"/>
      <c r="O2689" s="1372"/>
      <c r="P2689" s="1372"/>
      <c r="Q2689" s="1373"/>
      <c r="R2689" s="362">
        <f>R2687-R2688</f>
        <v>0</v>
      </c>
      <c r="S2689" s="363" t="str">
        <f>L2687</f>
        <v>t</v>
      </c>
      <c r="T2689" s="366"/>
      <c r="U2689" s="367"/>
      <c r="V2689" s="291">
        <f t="shared" ca="1" si="811"/>
        <v>0</v>
      </c>
      <c r="W2689" s="256">
        <f t="shared" ca="1" si="803"/>
        <v>2</v>
      </c>
      <c r="X2689" s="256">
        <f t="shared" ca="1" si="808"/>
        <v>1</v>
      </c>
      <c r="Y2689" s="256"/>
      <c r="Z2689" s="256"/>
      <c r="AA2689" s="292"/>
      <c r="AB2689" s="292"/>
      <c r="AC2689" s="292"/>
    </row>
    <row r="2690" spans="1:29" s="111" customFormat="1" ht="15.75" hidden="1" x14ac:dyDescent="0.2">
      <c r="A2690" s="288"/>
      <c r="B2690" s="368"/>
      <c r="C2690" s="365"/>
      <c r="D2690" s="369"/>
      <c r="E2690" s="370"/>
      <c r="F2690" s="369"/>
      <c r="G2690" s="369"/>
      <c r="H2690" s="369"/>
      <c r="I2690" s="369"/>
      <c r="J2690" s="371"/>
      <c r="K2690" s="372"/>
      <c r="L2690" s="373"/>
      <c r="M2690" s="374"/>
      <c r="N2690" s="374"/>
      <c r="O2690" s="374"/>
      <c r="P2690" s="374"/>
      <c r="Q2690" s="374"/>
      <c r="R2690" s="375"/>
      <c r="S2690" s="376"/>
      <c r="T2690" s="377"/>
      <c r="U2690" s="378"/>
      <c r="V2690" s="379">
        <f ca="1">SUM(V2681:V2689)</f>
        <v>0</v>
      </c>
      <c r="W2690" s="256">
        <f t="shared" ca="1" si="803"/>
        <v>1</v>
      </c>
      <c r="X2690" s="256">
        <f t="shared" ca="1" si="808"/>
        <v>0</v>
      </c>
      <c r="Y2690" s="250"/>
      <c r="Z2690" s="250"/>
    </row>
    <row r="2691" spans="1:29" s="293" customFormat="1" ht="15.75" hidden="1" customHeight="1" x14ac:dyDescent="0.25">
      <c r="A2691" s="288"/>
      <c r="B2691" s="1374" t="str">
        <f>VLOOKUP(A2699,'11 - FINANCEIRO'!_xlnm.Print_Area,1,FALSE)</f>
        <v>3.3.2.2.13</v>
      </c>
      <c r="C2691" s="1376" t="str">
        <f>VLOOKUP(A2699,'11 - FINANCEIRO'!_xlnm.Print_Area,3,FALSE)</f>
        <v>Transporte De Material Asfáltico (Dnit), Inclusive Bdi Diferenciado</v>
      </c>
      <c r="D2691" s="1378" t="s">
        <v>477</v>
      </c>
      <c r="E2691" s="1379"/>
      <c r="F2691" s="1379"/>
      <c r="G2691" s="1379"/>
      <c r="H2691" s="1379"/>
      <c r="I2691" s="1380"/>
      <c r="J2691" s="1338" t="s">
        <v>478</v>
      </c>
      <c r="K2691" s="1338" t="s">
        <v>479</v>
      </c>
      <c r="L2691" s="1338" t="s">
        <v>480</v>
      </c>
      <c r="M2691" s="1338" t="s">
        <v>481</v>
      </c>
      <c r="N2691" s="1338" t="s">
        <v>482</v>
      </c>
      <c r="O2691" s="1338" t="s">
        <v>483</v>
      </c>
      <c r="P2691" s="290" t="s">
        <v>484</v>
      </c>
      <c r="Q2691" s="1338" t="s">
        <v>485</v>
      </c>
      <c r="R2691" s="1336" t="s">
        <v>296</v>
      </c>
      <c r="S2691" s="1338" t="s">
        <v>486</v>
      </c>
      <c r="T2691" s="1338" t="s">
        <v>487</v>
      </c>
      <c r="U2691" s="1340" t="s">
        <v>488</v>
      </c>
      <c r="V2691" s="291">
        <f t="shared" ref="V2691:V2699" ca="1" si="812">IF(OFFSET(V2691,1,1)=1,OFFSET(V2691,0,-4),OFFSET(V2691,1,0))</f>
        <v>0</v>
      </c>
      <c r="W2691" s="256">
        <f t="shared" ca="1" si="803"/>
        <v>2</v>
      </c>
      <c r="X2691" s="256">
        <f t="shared" ca="1" si="808"/>
        <v>1</v>
      </c>
      <c r="Y2691" s="256"/>
      <c r="Z2691" s="256"/>
      <c r="AA2691" s="292"/>
      <c r="AB2691" s="292"/>
      <c r="AC2691" s="292"/>
    </row>
    <row r="2692" spans="1:29" s="337" customFormat="1" ht="15.75" hidden="1" x14ac:dyDescent="0.2">
      <c r="A2692" s="288"/>
      <c r="B2692" s="1375"/>
      <c r="C2692" s="1377" t="e">
        <f>VLOOKUP(LEFT(#REF!,5),'11 - FINANCEIRO'!_xlnm.Print_Area,2,FALSE)</f>
        <v>#REF!</v>
      </c>
      <c r="D2692" s="1342" t="s">
        <v>489</v>
      </c>
      <c r="E2692" s="1343"/>
      <c r="F2692" s="1344"/>
      <c r="G2692" s="1345" t="s">
        <v>490</v>
      </c>
      <c r="H2692" s="1346"/>
      <c r="I2692" s="1347"/>
      <c r="J2692" s="1339"/>
      <c r="K2692" s="1339"/>
      <c r="L2692" s="1339"/>
      <c r="M2692" s="1339"/>
      <c r="N2692" s="1339"/>
      <c r="O2692" s="1339"/>
      <c r="P2692" s="295" t="s">
        <v>491</v>
      </c>
      <c r="Q2692" s="1339"/>
      <c r="R2692" s="1337"/>
      <c r="S2692" s="1339"/>
      <c r="T2692" s="1339"/>
      <c r="U2692" s="1341"/>
      <c r="V2692" s="291">
        <f t="shared" ca="1" si="812"/>
        <v>0</v>
      </c>
      <c r="W2692" s="256">
        <f t="shared" ref="W2692:W2755" ca="1" si="813">IF(LEFT(_xlfn.FORMULATEXT(V2692),3)="=SO",1,IF(COUNTA(A2692:U2692)=0,0,2))</f>
        <v>2</v>
      </c>
      <c r="X2692" s="256">
        <f t="shared" ca="1" si="808"/>
        <v>1</v>
      </c>
      <c r="Y2692" s="336"/>
      <c r="Z2692" s="336"/>
    </row>
    <row r="2693" spans="1:29" s="337" customFormat="1" ht="15.75" hidden="1" x14ac:dyDescent="0.2">
      <c r="A2693" s="288"/>
      <c r="B2693" s="296"/>
      <c r="C2693" s="297"/>
      <c r="D2693" s="298"/>
      <c r="E2693" s="299"/>
      <c r="F2693" s="300"/>
      <c r="G2693" s="301"/>
      <c r="H2693" s="302"/>
      <c r="I2693" s="303"/>
      <c r="J2693" s="304"/>
      <c r="K2693" s="304"/>
      <c r="L2693" s="304"/>
      <c r="M2693" s="304"/>
      <c r="N2693" s="304"/>
      <c r="O2693" s="304"/>
      <c r="P2693" s="306"/>
      <c r="Q2693" s="304"/>
      <c r="R2693" s="307"/>
      <c r="S2693" s="304"/>
      <c r="T2693" s="309"/>
      <c r="U2693" s="310"/>
      <c r="V2693" s="291">
        <f t="shared" ca="1" si="812"/>
        <v>0</v>
      </c>
      <c r="W2693" s="256">
        <f t="shared" ca="1" si="813"/>
        <v>0</v>
      </c>
      <c r="X2693" s="256">
        <f t="shared" ca="1" si="808"/>
        <v>1</v>
      </c>
      <c r="Y2693" s="336"/>
      <c r="Z2693" s="336"/>
    </row>
    <row r="2694" spans="1:29" s="111" customFormat="1" ht="15.75" hidden="1" x14ac:dyDescent="0.2">
      <c r="A2694" s="288"/>
      <c r="B2694" s="311"/>
      <c r="C2694" s="312"/>
      <c r="D2694" s="313"/>
      <c r="E2694" s="314"/>
      <c r="F2694" s="315"/>
      <c r="G2694" s="380"/>
      <c r="H2694" s="316"/>
      <c r="I2694" s="381"/>
      <c r="J2694" s="317"/>
      <c r="K2694" s="313"/>
      <c r="L2694" s="317"/>
      <c r="M2694" s="315"/>
      <c r="N2694" s="314"/>
      <c r="O2694" s="313"/>
      <c r="P2694" s="318"/>
      <c r="Q2694" s="315"/>
      <c r="R2694" s="319"/>
      <c r="S2694" s="317"/>
      <c r="T2694" s="320"/>
      <c r="U2694" s="321"/>
      <c r="V2694" s="291">
        <f t="shared" ca="1" si="812"/>
        <v>0</v>
      </c>
      <c r="W2694" s="256">
        <f t="shared" ca="1" si="813"/>
        <v>0</v>
      </c>
      <c r="X2694" s="256">
        <f t="shared" ca="1" si="808"/>
        <v>1</v>
      </c>
      <c r="Y2694" s="250"/>
      <c r="Z2694" s="250"/>
    </row>
    <row r="2695" spans="1:29" s="111" customFormat="1" ht="15" hidden="1" x14ac:dyDescent="0.2">
      <c r="A2695" s="288"/>
      <c r="B2695" s="322"/>
      <c r="C2695" s="382"/>
      <c r="D2695" s="324"/>
      <c r="E2695" s="325"/>
      <c r="F2695" s="326"/>
      <c r="G2695" s="324"/>
      <c r="H2695" s="325"/>
      <c r="I2695" s="326"/>
      <c r="J2695" s="317"/>
      <c r="K2695" s="328"/>
      <c r="L2695" s="328"/>
      <c r="M2695" s="328"/>
      <c r="N2695" s="328"/>
      <c r="O2695" s="334"/>
      <c r="P2695" s="328"/>
      <c r="Q2695" s="334"/>
      <c r="R2695" s="333"/>
      <c r="S2695" s="331"/>
      <c r="T2695" s="320"/>
      <c r="U2695" s="335"/>
      <c r="V2695" s="291">
        <f t="shared" ca="1" si="812"/>
        <v>0</v>
      </c>
      <c r="W2695" s="256">
        <f t="shared" ca="1" si="813"/>
        <v>0</v>
      </c>
      <c r="X2695" s="256">
        <f t="shared" ca="1" si="808"/>
        <v>1</v>
      </c>
      <c r="Y2695" s="250"/>
      <c r="Z2695" s="250"/>
    </row>
    <row r="2696" spans="1:29" s="111" customFormat="1" ht="15" hidden="1" x14ac:dyDescent="0.2">
      <c r="A2696" s="288"/>
      <c r="B2696" s="338"/>
      <c r="C2696" s="339"/>
      <c r="D2696" s="340"/>
      <c r="E2696" s="341"/>
      <c r="F2696" s="342"/>
      <c r="G2696" s="340"/>
      <c r="H2696" s="341"/>
      <c r="I2696" s="342"/>
      <c r="J2696" s="343"/>
      <c r="K2696" s="344"/>
      <c r="L2696" s="345"/>
      <c r="M2696" s="346"/>
      <c r="N2696" s="347"/>
      <c r="O2696" s="348"/>
      <c r="P2696" s="345"/>
      <c r="Q2696" s="349"/>
      <c r="R2696" s="350"/>
      <c r="S2696" s="351"/>
      <c r="T2696" s="352"/>
      <c r="U2696" s="353"/>
      <c r="V2696" s="291">
        <f t="shared" ca="1" si="812"/>
        <v>0</v>
      </c>
      <c r="W2696" s="256">
        <f t="shared" ca="1" si="813"/>
        <v>0</v>
      </c>
      <c r="X2696" s="256">
        <f t="shared" ca="1" si="808"/>
        <v>1</v>
      </c>
      <c r="Y2696" s="250"/>
      <c r="Z2696" s="250"/>
    </row>
    <row r="2697" spans="1:29" s="111" customFormat="1" ht="15.75" hidden="1" customHeight="1" x14ac:dyDescent="0.2">
      <c r="A2697" s="288"/>
      <c r="B2697" s="354"/>
      <c r="C2697" s="355"/>
      <c r="D2697" s="1354" t="s">
        <v>492</v>
      </c>
      <c r="E2697" s="1355"/>
      <c r="F2697" s="1355"/>
      <c r="G2697" s="1355"/>
      <c r="H2697" s="1355"/>
      <c r="I2697" s="1356"/>
      <c r="J2697" s="1357">
        <f>VLOOKUP(A2699,'11 - FINANCEIRO'!_xlnm.Print_Area,6,FALSE)</f>
        <v>0.1</v>
      </c>
      <c r="K2697" s="1358"/>
      <c r="L2697" s="356" t="str">
        <f>VLOOKUP(A2699,'11 - FINANCEIRO'!_xlnm.Print_Area,4,FALSE)</f>
        <v>t</v>
      </c>
      <c r="M2697" s="1359" t="s">
        <v>493</v>
      </c>
      <c r="N2697" s="1360"/>
      <c r="O2697" s="1360"/>
      <c r="P2697" s="1360"/>
      <c r="Q2697" s="1361"/>
      <c r="R2697" s="357">
        <f>TRUNC(SUM(R2693:R2696),3)</f>
        <v>0</v>
      </c>
      <c r="S2697" s="358" t="str">
        <f>L2697</f>
        <v>t</v>
      </c>
      <c r="T2697" s="359"/>
      <c r="U2697" s="360"/>
      <c r="V2697" s="291">
        <f t="shared" ca="1" si="812"/>
        <v>0</v>
      </c>
      <c r="W2697" s="256">
        <f t="shared" ca="1" si="813"/>
        <v>2</v>
      </c>
      <c r="X2697" s="256">
        <f t="shared" ca="1" si="808"/>
        <v>1</v>
      </c>
      <c r="Y2697" s="250"/>
      <c r="Z2697" s="250"/>
    </row>
    <row r="2698" spans="1:29" s="395" customFormat="1" ht="15.75" hidden="1" customHeight="1" x14ac:dyDescent="0.2">
      <c r="A2698" s="276"/>
      <c r="B2698" s="354"/>
      <c r="C2698" s="361"/>
      <c r="D2698" s="1362" t="s">
        <v>494</v>
      </c>
      <c r="E2698" s="1363"/>
      <c r="F2698" s="1363"/>
      <c r="G2698" s="1363"/>
      <c r="H2698" s="1363"/>
      <c r="I2698" s="1364"/>
      <c r="J2698" s="1365">
        <f>R2697/J2697</f>
        <v>0</v>
      </c>
      <c r="K2698" s="1366"/>
      <c r="L2698" s="1369"/>
      <c r="M2698" s="1371" t="s">
        <v>495</v>
      </c>
      <c r="N2698" s="1372"/>
      <c r="O2698" s="1372"/>
      <c r="P2698" s="1372"/>
      <c r="Q2698" s="1373"/>
      <c r="R2698" s="362">
        <f>VLOOKUP(A2699,'11 - FINANCEIRO'!_xlnm.Print_Area,8,FALSE)</f>
        <v>0</v>
      </c>
      <c r="S2698" s="363" t="str">
        <f>L2697</f>
        <v>t</v>
      </c>
      <c r="T2698" s="359"/>
      <c r="U2698" s="360"/>
      <c r="V2698" s="291">
        <f t="shared" ca="1" si="812"/>
        <v>0</v>
      </c>
      <c r="W2698" s="256">
        <f t="shared" ca="1" si="813"/>
        <v>2</v>
      </c>
      <c r="X2698" s="256">
        <f t="shared" ca="1" si="808"/>
        <v>1</v>
      </c>
    </row>
    <row r="2699" spans="1:29" s="293" customFormat="1" ht="15.75" hidden="1" customHeight="1" x14ac:dyDescent="0.2">
      <c r="A2699" s="288" t="s">
        <v>140</v>
      </c>
      <c r="B2699" s="364"/>
      <c r="C2699" s="365"/>
      <c r="D2699" s="1354"/>
      <c r="E2699" s="1355"/>
      <c r="F2699" s="1355"/>
      <c r="G2699" s="1355"/>
      <c r="H2699" s="1355"/>
      <c r="I2699" s="1356"/>
      <c r="J2699" s="1367"/>
      <c r="K2699" s="1368"/>
      <c r="L2699" s="1370"/>
      <c r="M2699" s="1371" t="s">
        <v>496</v>
      </c>
      <c r="N2699" s="1372"/>
      <c r="O2699" s="1372"/>
      <c r="P2699" s="1372"/>
      <c r="Q2699" s="1373"/>
      <c r="R2699" s="362">
        <f>R2697-R2698</f>
        <v>0</v>
      </c>
      <c r="S2699" s="363" t="str">
        <f>L2697</f>
        <v>t</v>
      </c>
      <c r="T2699" s="366"/>
      <c r="U2699" s="367"/>
      <c r="V2699" s="291">
        <f t="shared" ca="1" si="812"/>
        <v>0</v>
      </c>
      <c r="W2699" s="256">
        <f t="shared" ca="1" si="813"/>
        <v>2</v>
      </c>
      <c r="X2699" s="256">
        <f t="shared" ca="1" si="808"/>
        <v>1</v>
      </c>
      <c r="Y2699" s="256"/>
      <c r="Z2699" s="256"/>
      <c r="AA2699" s="292"/>
      <c r="AB2699" s="292"/>
      <c r="AC2699" s="292"/>
    </row>
    <row r="2700" spans="1:29" s="111" customFormat="1" ht="15.75" hidden="1" x14ac:dyDescent="0.2">
      <c r="A2700" s="288"/>
      <c r="B2700" s="368"/>
      <c r="C2700" s="365"/>
      <c r="D2700" s="369"/>
      <c r="E2700" s="370"/>
      <c r="F2700" s="369"/>
      <c r="G2700" s="369"/>
      <c r="H2700" s="369"/>
      <c r="I2700" s="369"/>
      <c r="J2700" s="371"/>
      <c r="K2700" s="372"/>
      <c r="L2700" s="373"/>
      <c r="M2700" s="374"/>
      <c r="N2700" s="374"/>
      <c r="O2700" s="374"/>
      <c r="P2700" s="374"/>
      <c r="Q2700" s="374"/>
      <c r="R2700" s="375"/>
      <c r="S2700" s="376"/>
      <c r="T2700" s="377"/>
      <c r="U2700" s="378"/>
      <c r="V2700" s="379">
        <f ca="1">SUM(V2691:V2699)</f>
        <v>0</v>
      </c>
      <c r="W2700" s="256">
        <f t="shared" ca="1" si="813"/>
        <v>1</v>
      </c>
      <c r="X2700" s="256">
        <f t="shared" ca="1" si="808"/>
        <v>0</v>
      </c>
      <c r="Y2700" s="250"/>
      <c r="Z2700" s="250"/>
    </row>
    <row r="2701" spans="1:29" s="293" customFormat="1" ht="15.75" hidden="1" x14ac:dyDescent="0.2">
      <c r="A2701" s="288"/>
      <c r="B2701" s="385" t="str">
        <f>LEFT(A2709,11)</f>
        <v>3.3.2.3</v>
      </c>
      <c r="C2701" s="386" t="str">
        <f>VLOOKUP(LEFT(A2709,11),'11 - FINANCEIRO'!_xlnm.Print_Area,2,FALSE)</f>
        <v>Escoramento</v>
      </c>
      <c r="D2701" s="386"/>
      <c r="E2701" s="387"/>
      <c r="F2701" s="386"/>
      <c r="G2701" s="1395"/>
      <c r="H2701" s="1395"/>
      <c r="I2701" s="1395"/>
      <c r="J2701" s="1395"/>
      <c r="K2701" s="1395"/>
      <c r="L2701" s="1395"/>
      <c r="M2701" s="389"/>
      <c r="N2701" s="390"/>
      <c r="O2701" s="389"/>
      <c r="P2701" s="389"/>
      <c r="Q2701" s="389"/>
      <c r="R2701" s="390"/>
      <c r="S2701" s="389"/>
      <c r="T2701" s="389"/>
      <c r="U2701" s="601"/>
      <c r="V2701" s="602">
        <f ca="1">SUM(V2702:V2711)</f>
        <v>0</v>
      </c>
      <c r="W2701" s="256">
        <f t="shared" ca="1" si="813"/>
        <v>1</v>
      </c>
      <c r="X2701" s="256">
        <f t="shared" ca="1" si="808"/>
        <v>1</v>
      </c>
      <c r="Y2701" s="256"/>
      <c r="Z2701" s="256"/>
      <c r="AA2701" s="292"/>
      <c r="AB2701" s="292"/>
      <c r="AC2701" s="292"/>
    </row>
    <row r="2702" spans="1:29" s="293" customFormat="1" ht="15.75" hidden="1" customHeight="1" x14ac:dyDescent="0.25">
      <c r="A2702" s="288"/>
      <c r="B2702" s="1374" t="str">
        <f>VLOOKUP(A2710,'11 - FINANCEIRO'!_xlnm.Print_Area,1,FALSE)</f>
        <v>3.3.2.3.1</v>
      </c>
      <c r="C2702" s="1376" t="str">
        <f>VLOOKUP(A2710,'11 - FINANCEIRO'!_xlnm.Print_Area,3,FALSE)</f>
        <v>Escoramento De Vala, Tipo Pontaleteamento, Com Profundidade De 0 A 1,5 M, Largura Menor Que 1,5 M, Em Local Com Nível Alto De Interferência.</v>
      </c>
      <c r="D2702" s="1378" t="s">
        <v>477</v>
      </c>
      <c r="E2702" s="1379"/>
      <c r="F2702" s="1379"/>
      <c r="G2702" s="1379"/>
      <c r="H2702" s="1379"/>
      <c r="I2702" s="1380"/>
      <c r="J2702" s="1338" t="s">
        <v>478</v>
      </c>
      <c r="K2702" s="1338" t="s">
        <v>479</v>
      </c>
      <c r="L2702" s="1338" t="s">
        <v>480</v>
      </c>
      <c r="M2702" s="1338" t="s">
        <v>481</v>
      </c>
      <c r="N2702" s="1338" t="s">
        <v>482</v>
      </c>
      <c r="O2702" s="1338" t="s">
        <v>483</v>
      </c>
      <c r="P2702" s="290" t="s">
        <v>484</v>
      </c>
      <c r="Q2702" s="1338" t="s">
        <v>485</v>
      </c>
      <c r="R2702" s="1336" t="s">
        <v>296</v>
      </c>
      <c r="S2702" s="1338" t="s">
        <v>486</v>
      </c>
      <c r="T2702" s="1338" t="s">
        <v>487</v>
      </c>
      <c r="U2702" s="1340" t="s">
        <v>488</v>
      </c>
      <c r="V2702" s="291">
        <f t="shared" ref="V2702:V2710" ca="1" si="814">IF(OFFSET(V2702,1,1)=1,OFFSET(V2702,0,-4),OFFSET(V2702,1,0))</f>
        <v>0</v>
      </c>
      <c r="W2702" s="256">
        <f t="shared" ca="1" si="813"/>
        <v>2</v>
      </c>
      <c r="X2702" s="256">
        <f t="shared" ca="1" si="808"/>
        <v>1</v>
      </c>
      <c r="Y2702" s="256"/>
      <c r="Z2702" s="256"/>
      <c r="AA2702" s="292"/>
      <c r="AB2702" s="292"/>
      <c r="AC2702" s="292"/>
    </row>
    <row r="2703" spans="1:29" s="337" customFormat="1" ht="15.75" hidden="1" x14ac:dyDescent="0.2">
      <c r="A2703" s="288"/>
      <c r="B2703" s="1375"/>
      <c r="C2703" s="1377" t="e">
        <f>VLOOKUP(LEFT(#REF!,5),'11 - FINANCEIRO'!_xlnm.Print_Area,2,FALSE)</f>
        <v>#REF!</v>
      </c>
      <c r="D2703" s="1342" t="s">
        <v>489</v>
      </c>
      <c r="E2703" s="1343"/>
      <c r="F2703" s="1344"/>
      <c r="G2703" s="1345" t="s">
        <v>490</v>
      </c>
      <c r="H2703" s="1346"/>
      <c r="I2703" s="1347"/>
      <c r="J2703" s="1339"/>
      <c r="K2703" s="1339"/>
      <c r="L2703" s="1339"/>
      <c r="M2703" s="1339"/>
      <c r="N2703" s="1339"/>
      <c r="O2703" s="1339"/>
      <c r="P2703" s="295" t="s">
        <v>491</v>
      </c>
      <c r="Q2703" s="1339"/>
      <c r="R2703" s="1337"/>
      <c r="S2703" s="1339"/>
      <c r="T2703" s="1339"/>
      <c r="U2703" s="1341"/>
      <c r="V2703" s="291">
        <f t="shared" ca="1" si="814"/>
        <v>0</v>
      </c>
      <c r="W2703" s="256">
        <f t="shared" ca="1" si="813"/>
        <v>2</v>
      </c>
      <c r="X2703" s="256">
        <f t="shared" ca="1" si="808"/>
        <v>1</v>
      </c>
      <c r="Y2703" s="336"/>
      <c r="Z2703" s="336"/>
    </row>
    <row r="2704" spans="1:29" s="337" customFormat="1" ht="15.75" hidden="1" x14ac:dyDescent="0.2">
      <c r="A2704" s="288"/>
      <c r="B2704" s="296"/>
      <c r="C2704" s="297"/>
      <c r="D2704" s="298"/>
      <c r="E2704" s="299"/>
      <c r="F2704" s="300"/>
      <c r="G2704" s="301"/>
      <c r="H2704" s="302"/>
      <c r="I2704" s="303"/>
      <c r="J2704" s="304"/>
      <c r="K2704" s="304"/>
      <c r="L2704" s="304"/>
      <c r="M2704" s="304"/>
      <c r="N2704" s="304"/>
      <c r="O2704" s="304"/>
      <c r="P2704" s="306"/>
      <c r="Q2704" s="304"/>
      <c r="R2704" s="307"/>
      <c r="S2704" s="304"/>
      <c r="T2704" s="309"/>
      <c r="U2704" s="310"/>
      <c r="V2704" s="291">
        <f t="shared" ca="1" si="814"/>
        <v>0</v>
      </c>
      <c r="W2704" s="256">
        <f t="shared" ca="1" si="813"/>
        <v>0</v>
      </c>
      <c r="X2704" s="256">
        <f t="shared" ca="1" si="808"/>
        <v>1</v>
      </c>
      <c r="Y2704" s="336"/>
      <c r="Z2704" s="336"/>
    </row>
    <row r="2705" spans="1:29" s="111" customFormat="1" ht="15.75" hidden="1" x14ac:dyDescent="0.2">
      <c r="A2705" s="288"/>
      <c r="B2705" s="311"/>
      <c r="C2705" s="312"/>
      <c r="D2705" s="313"/>
      <c r="E2705" s="314"/>
      <c r="F2705" s="315"/>
      <c r="G2705" s="380"/>
      <c r="H2705" s="316"/>
      <c r="I2705" s="381"/>
      <c r="J2705" s="317"/>
      <c r="K2705" s="313"/>
      <c r="L2705" s="317"/>
      <c r="M2705" s="315"/>
      <c r="N2705" s="314"/>
      <c r="O2705" s="313"/>
      <c r="P2705" s="318"/>
      <c r="Q2705" s="315"/>
      <c r="R2705" s="319"/>
      <c r="S2705" s="317"/>
      <c r="T2705" s="320"/>
      <c r="U2705" s="321"/>
      <c r="V2705" s="291">
        <f t="shared" ca="1" si="814"/>
        <v>0</v>
      </c>
      <c r="W2705" s="256">
        <f t="shared" ca="1" si="813"/>
        <v>0</v>
      </c>
      <c r="X2705" s="256">
        <f t="shared" ca="1" si="808"/>
        <v>1</v>
      </c>
      <c r="Y2705" s="250"/>
      <c r="Z2705" s="250"/>
    </row>
    <row r="2706" spans="1:29" s="111" customFormat="1" ht="15" hidden="1" x14ac:dyDescent="0.2">
      <c r="A2706" s="288"/>
      <c r="B2706" s="322"/>
      <c r="C2706" s="382"/>
      <c r="D2706" s="324"/>
      <c r="E2706" s="325"/>
      <c r="F2706" s="326"/>
      <c r="G2706" s="324"/>
      <c r="H2706" s="325"/>
      <c r="I2706" s="326"/>
      <c r="J2706" s="317"/>
      <c r="K2706" s="328"/>
      <c r="L2706" s="328"/>
      <c r="M2706" s="328"/>
      <c r="N2706" s="328"/>
      <c r="O2706" s="334"/>
      <c r="P2706" s="328"/>
      <c r="Q2706" s="334"/>
      <c r="R2706" s="333"/>
      <c r="S2706" s="331"/>
      <c r="T2706" s="320"/>
      <c r="U2706" s="335"/>
      <c r="V2706" s="291">
        <f t="shared" ca="1" si="814"/>
        <v>0</v>
      </c>
      <c r="W2706" s="256">
        <f t="shared" ca="1" si="813"/>
        <v>0</v>
      </c>
      <c r="X2706" s="256">
        <f t="shared" ca="1" si="808"/>
        <v>1</v>
      </c>
      <c r="Y2706" s="250"/>
      <c r="Z2706" s="250"/>
    </row>
    <row r="2707" spans="1:29" s="111" customFormat="1" ht="15" hidden="1" x14ac:dyDescent="0.2">
      <c r="A2707" s="288"/>
      <c r="B2707" s="338"/>
      <c r="C2707" s="339"/>
      <c r="D2707" s="340"/>
      <c r="E2707" s="341"/>
      <c r="F2707" s="342"/>
      <c r="G2707" s="340"/>
      <c r="H2707" s="341"/>
      <c r="I2707" s="342"/>
      <c r="J2707" s="343"/>
      <c r="K2707" s="344"/>
      <c r="L2707" s="345"/>
      <c r="M2707" s="346"/>
      <c r="N2707" s="347"/>
      <c r="O2707" s="348"/>
      <c r="P2707" s="345"/>
      <c r="Q2707" s="349"/>
      <c r="R2707" s="350"/>
      <c r="S2707" s="351"/>
      <c r="T2707" s="352"/>
      <c r="U2707" s="353"/>
      <c r="V2707" s="291">
        <f t="shared" ca="1" si="814"/>
        <v>0</v>
      </c>
      <c r="W2707" s="256">
        <f t="shared" ca="1" si="813"/>
        <v>0</v>
      </c>
      <c r="X2707" s="256">
        <f t="shared" ca="1" si="808"/>
        <v>1</v>
      </c>
      <c r="Y2707" s="250"/>
      <c r="Z2707" s="250"/>
    </row>
    <row r="2708" spans="1:29" s="111" customFormat="1" ht="15.75" hidden="1" customHeight="1" x14ac:dyDescent="0.2">
      <c r="A2708" s="288"/>
      <c r="B2708" s="354"/>
      <c r="C2708" s="355"/>
      <c r="D2708" s="1354" t="s">
        <v>492</v>
      </c>
      <c r="E2708" s="1355"/>
      <c r="F2708" s="1355"/>
      <c r="G2708" s="1355"/>
      <c r="H2708" s="1355"/>
      <c r="I2708" s="1356"/>
      <c r="J2708" s="1357">
        <f>VLOOKUP(A2710,'11 - FINANCEIRO'!_xlnm.Print_Area,6,FALSE)</f>
        <v>280</v>
      </c>
      <c r="K2708" s="1358"/>
      <c r="L2708" s="356" t="str">
        <f>VLOOKUP(A2710,'11 - FINANCEIRO'!_xlnm.Print_Area,4,FALSE)</f>
        <v>m²</v>
      </c>
      <c r="M2708" s="1359" t="s">
        <v>493</v>
      </c>
      <c r="N2708" s="1360"/>
      <c r="O2708" s="1360"/>
      <c r="P2708" s="1360"/>
      <c r="Q2708" s="1361"/>
      <c r="R2708" s="357">
        <f>TRUNC(SUM(R2704:R2707),3)</f>
        <v>0</v>
      </c>
      <c r="S2708" s="358" t="str">
        <f>L2708</f>
        <v>m²</v>
      </c>
      <c r="T2708" s="359"/>
      <c r="U2708" s="360"/>
      <c r="V2708" s="291">
        <f t="shared" ca="1" si="814"/>
        <v>0</v>
      </c>
      <c r="W2708" s="256">
        <f t="shared" ca="1" si="813"/>
        <v>2</v>
      </c>
      <c r="X2708" s="256">
        <f t="shared" ca="1" si="808"/>
        <v>1</v>
      </c>
      <c r="Y2708" s="250"/>
      <c r="Z2708" s="250"/>
    </row>
    <row r="2709" spans="1:29" s="395" customFormat="1" ht="15.75" hidden="1" customHeight="1" x14ac:dyDescent="0.2">
      <c r="A2709" s="288" t="s">
        <v>141</v>
      </c>
      <c r="B2709" s="354"/>
      <c r="C2709" s="361"/>
      <c r="D2709" s="1362" t="s">
        <v>494</v>
      </c>
      <c r="E2709" s="1363"/>
      <c r="F2709" s="1363"/>
      <c r="G2709" s="1363"/>
      <c r="H2709" s="1363"/>
      <c r="I2709" s="1364"/>
      <c r="J2709" s="1365">
        <f>R2708/J2708</f>
        <v>0</v>
      </c>
      <c r="K2709" s="1366"/>
      <c r="L2709" s="1369"/>
      <c r="M2709" s="1371" t="s">
        <v>495</v>
      </c>
      <c r="N2709" s="1372"/>
      <c r="O2709" s="1372"/>
      <c r="P2709" s="1372"/>
      <c r="Q2709" s="1373"/>
      <c r="R2709" s="362">
        <f>VLOOKUP(A2710,'11 - FINANCEIRO'!_xlnm.Print_Area,8,FALSE)</f>
        <v>0</v>
      </c>
      <c r="S2709" s="363" t="str">
        <f>L2708</f>
        <v>m²</v>
      </c>
      <c r="T2709" s="359"/>
      <c r="U2709" s="360"/>
      <c r="V2709" s="291">
        <f t="shared" ca="1" si="814"/>
        <v>0</v>
      </c>
      <c r="W2709" s="256">
        <f t="shared" ca="1" si="813"/>
        <v>2</v>
      </c>
      <c r="X2709" s="256">
        <f t="shared" ca="1" si="808"/>
        <v>1</v>
      </c>
    </row>
    <row r="2710" spans="1:29" s="293" customFormat="1" ht="15.75" hidden="1" customHeight="1" x14ac:dyDescent="0.2">
      <c r="A2710" s="288" t="s">
        <v>142</v>
      </c>
      <c r="B2710" s="364"/>
      <c r="C2710" s="365"/>
      <c r="D2710" s="1354"/>
      <c r="E2710" s="1355"/>
      <c r="F2710" s="1355"/>
      <c r="G2710" s="1355"/>
      <c r="H2710" s="1355"/>
      <c r="I2710" s="1356"/>
      <c r="J2710" s="1367"/>
      <c r="K2710" s="1368"/>
      <c r="L2710" s="1370"/>
      <c r="M2710" s="1371" t="s">
        <v>496</v>
      </c>
      <c r="N2710" s="1372"/>
      <c r="O2710" s="1372"/>
      <c r="P2710" s="1372"/>
      <c r="Q2710" s="1373"/>
      <c r="R2710" s="362">
        <f>R2708-R2709</f>
        <v>0</v>
      </c>
      <c r="S2710" s="363" t="str">
        <f>L2708</f>
        <v>m²</v>
      </c>
      <c r="T2710" s="366"/>
      <c r="U2710" s="367"/>
      <c r="V2710" s="291">
        <f t="shared" ca="1" si="814"/>
        <v>0</v>
      </c>
      <c r="W2710" s="256">
        <f t="shared" ca="1" si="813"/>
        <v>2</v>
      </c>
      <c r="X2710" s="256">
        <f t="shared" ca="1" si="808"/>
        <v>1</v>
      </c>
      <c r="Y2710" s="256"/>
      <c r="Z2710" s="256"/>
      <c r="AA2710" s="292"/>
      <c r="AB2710" s="292"/>
      <c r="AC2710" s="292"/>
    </row>
    <row r="2711" spans="1:29" s="111" customFormat="1" ht="15.75" hidden="1" x14ac:dyDescent="0.2">
      <c r="A2711" s="288"/>
      <c r="B2711" s="368"/>
      <c r="C2711" s="365"/>
      <c r="D2711" s="369"/>
      <c r="E2711" s="370"/>
      <c r="F2711" s="369"/>
      <c r="G2711" s="369"/>
      <c r="H2711" s="369"/>
      <c r="I2711" s="369"/>
      <c r="J2711" s="371"/>
      <c r="K2711" s="372"/>
      <c r="L2711" s="373"/>
      <c r="M2711" s="374"/>
      <c r="N2711" s="374"/>
      <c r="O2711" s="374"/>
      <c r="P2711" s="374"/>
      <c r="Q2711" s="374"/>
      <c r="R2711" s="375"/>
      <c r="S2711" s="376"/>
      <c r="T2711" s="377"/>
      <c r="U2711" s="378"/>
      <c r="V2711" s="379">
        <f ca="1">SUM(V2702:V2710)</f>
        <v>0</v>
      </c>
      <c r="W2711" s="256">
        <f t="shared" ca="1" si="813"/>
        <v>1</v>
      </c>
      <c r="X2711" s="256">
        <f t="shared" ca="1" si="808"/>
        <v>0</v>
      </c>
      <c r="Y2711" s="250"/>
      <c r="Z2711" s="250"/>
    </row>
    <row r="2712" spans="1:29" s="293" customFormat="1" ht="15.75" hidden="1" x14ac:dyDescent="0.2">
      <c r="A2712" s="288"/>
      <c r="B2712" s="385" t="str">
        <f>LEFT(A2720,11)</f>
        <v>3.3.2.4</v>
      </c>
      <c r="C2712" s="386" t="str">
        <f>VLOOKUP(LEFT(A2720,11),'11 - FINANCEIRO'!_xlnm.Print_Area,2,FALSE)</f>
        <v>Assentamento</v>
      </c>
      <c r="D2712" s="386"/>
      <c r="E2712" s="387"/>
      <c r="F2712" s="386"/>
      <c r="G2712" s="1395"/>
      <c r="H2712" s="1395"/>
      <c r="I2712" s="1395"/>
      <c r="J2712" s="1395"/>
      <c r="K2712" s="1395"/>
      <c r="L2712" s="1395"/>
      <c r="M2712" s="389"/>
      <c r="N2712" s="390"/>
      <c r="O2712" s="389"/>
      <c r="P2712" s="389"/>
      <c r="Q2712" s="389"/>
      <c r="R2712" s="390"/>
      <c r="S2712" s="389"/>
      <c r="T2712" s="389"/>
      <c r="U2712" s="601"/>
      <c r="V2712" s="549">
        <f ca="1">SUM(V2713:V2742)</f>
        <v>0</v>
      </c>
      <c r="W2712" s="256">
        <f t="shared" ca="1" si="813"/>
        <v>1</v>
      </c>
      <c r="X2712" s="256">
        <f t="shared" ca="1" si="808"/>
        <v>1</v>
      </c>
      <c r="Y2712" s="256"/>
      <c r="Z2712" s="256"/>
      <c r="AA2712" s="292"/>
      <c r="AB2712" s="292"/>
      <c r="AC2712" s="292"/>
    </row>
    <row r="2713" spans="1:29" s="293" customFormat="1" ht="15.75" hidden="1" customHeight="1" x14ac:dyDescent="0.25">
      <c r="A2713" s="288"/>
      <c r="B2713" s="1374" t="str">
        <f>VLOOKUP(A2721,'11 - FINANCEIRO'!_xlnm.Print_Area,1,FALSE)</f>
        <v>3.3.2.4.1</v>
      </c>
      <c r="C2713" s="1376" t="str">
        <f>VLOOKUP(A2721,'11 - FINANCEIRO'!_xlnm.Print_Area,3,FALSE)</f>
        <v>Assentamento De Tubo De PVC Para Rede Coletora De Esgoto De Parede Maciça, Dn 150 Mm, Junta Elástica, Instalado Em Local Com Nível Alto De Interferências (Não Inclui Fornecimento).</v>
      </c>
      <c r="D2713" s="1378" t="s">
        <v>477</v>
      </c>
      <c r="E2713" s="1379"/>
      <c r="F2713" s="1379"/>
      <c r="G2713" s="1379"/>
      <c r="H2713" s="1379"/>
      <c r="I2713" s="1380"/>
      <c r="J2713" s="1338" t="s">
        <v>478</v>
      </c>
      <c r="K2713" s="1338" t="s">
        <v>479</v>
      </c>
      <c r="L2713" s="1338" t="s">
        <v>480</v>
      </c>
      <c r="M2713" s="1338" t="s">
        <v>481</v>
      </c>
      <c r="N2713" s="1338" t="s">
        <v>482</v>
      </c>
      <c r="O2713" s="1338" t="s">
        <v>483</v>
      </c>
      <c r="P2713" s="290" t="s">
        <v>484</v>
      </c>
      <c r="Q2713" s="1338" t="s">
        <v>485</v>
      </c>
      <c r="R2713" s="1336" t="s">
        <v>296</v>
      </c>
      <c r="S2713" s="1338" t="s">
        <v>486</v>
      </c>
      <c r="T2713" s="1338" t="s">
        <v>487</v>
      </c>
      <c r="U2713" s="1340" t="s">
        <v>488</v>
      </c>
      <c r="V2713" s="291">
        <f t="shared" ref="V2713:V2721" ca="1" si="815">IF(OFFSET(V2713,1,1)=1,OFFSET(V2713,0,-4),OFFSET(V2713,1,0))</f>
        <v>0</v>
      </c>
      <c r="W2713" s="256">
        <f t="shared" ca="1" si="813"/>
        <v>2</v>
      </c>
      <c r="X2713" s="256">
        <f t="shared" ca="1" si="808"/>
        <v>1</v>
      </c>
      <c r="Y2713" s="256"/>
      <c r="Z2713" s="256"/>
      <c r="AA2713" s="292"/>
      <c r="AB2713" s="292"/>
      <c r="AC2713" s="292"/>
    </row>
    <row r="2714" spans="1:29" s="337" customFormat="1" ht="15.75" hidden="1" x14ac:dyDescent="0.2">
      <c r="A2714" s="288"/>
      <c r="B2714" s="1375"/>
      <c r="C2714" s="1377" t="e">
        <f>VLOOKUP(LEFT(#REF!,5),'11 - FINANCEIRO'!_xlnm.Print_Area,2,FALSE)</f>
        <v>#REF!</v>
      </c>
      <c r="D2714" s="1342" t="s">
        <v>489</v>
      </c>
      <c r="E2714" s="1343"/>
      <c r="F2714" s="1344"/>
      <c r="G2714" s="1345" t="s">
        <v>490</v>
      </c>
      <c r="H2714" s="1346"/>
      <c r="I2714" s="1347"/>
      <c r="J2714" s="1339"/>
      <c r="K2714" s="1339"/>
      <c r="L2714" s="1339"/>
      <c r="M2714" s="1339"/>
      <c r="N2714" s="1339"/>
      <c r="O2714" s="1339"/>
      <c r="P2714" s="295" t="s">
        <v>491</v>
      </c>
      <c r="Q2714" s="1339"/>
      <c r="R2714" s="1337"/>
      <c r="S2714" s="1339"/>
      <c r="T2714" s="1339"/>
      <c r="U2714" s="1341"/>
      <c r="V2714" s="291">
        <f t="shared" ca="1" si="815"/>
        <v>0</v>
      </c>
      <c r="W2714" s="256">
        <f t="shared" ca="1" si="813"/>
        <v>2</v>
      </c>
      <c r="X2714" s="256">
        <f t="shared" ca="1" si="808"/>
        <v>1</v>
      </c>
      <c r="Y2714" s="336"/>
      <c r="Z2714" s="336"/>
    </row>
    <row r="2715" spans="1:29" s="337" customFormat="1" ht="15.75" hidden="1" x14ac:dyDescent="0.2">
      <c r="A2715" s="288"/>
      <c r="B2715" s="296"/>
      <c r="C2715" s="297" t="s">
        <v>1105</v>
      </c>
      <c r="D2715" s="298"/>
      <c r="E2715" s="299"/>
      <c r="F2715" s="300"/>
      <c r="G2715" s="301"/>
      <c r="H2715" s="302"/>
      <c r="I2715" s="303"/>
      <c r="J2715" s="304"/>
      <c r="K2715" s="304"/>
      <c r="L2715" s="304"/>
      <c r="M2715" s="304"/>
      <c r="N2715" s="304"/>
      <c r="O2715" s="304"/>
      <c r="P2715" s="306"/>
      <c r="Q2715" s="304"/>
      <c r="R2715" s="307">
        <v>80</v>
      </c>
      <c r="S2715" s="304"/>
      <c r="T2715" s="309">
        <v>33</v>
      </c>
      <c r="U2715" s="310"/>
      <c r="V2715" s="291">
        <f t="shared" ca="1" si="815"/>
        <v>0</v>
      </c>
      <c r="W2715" s="256">
        <f t="shared" ca="1" si="813"/>
        <v>2</v>
      </c>
      <c r="X2715" s="256">
        <f t="shared" ca="1" si="808"/>
        <v>1</v>
      </c>
      <c r="Y2715" s="336"/>
      <c r="Z2715" s="336"/>
    </row>
    <row r="2716" spans="1:29" s="111" customFormat="1" ht="31.5" hidden="1" x14ac:dyDescent="0.2">
      <c r="A2716" s="288"/>
      <c r="B2716" s="311"/>
      <c r="C2716" s="312" t="s">
        <v>1161</v>
      </c>
      <c r="D2716" s="313"/>
      <c r="E2716" s="314"/>
      <c r="F2716" s="315"/>
      <c r="G2716" s="380"/>
      <c r="H2716" s="316"/>
      <c r="I2716" s="381"/>
      <c r="J2716" s="317"/>
      <c r="K2716" s="313"/>
      <c r="L2716" s="317"/>
      <c r="M2716" s="315"/>
      <c r="N2716" s="314"/>
      <c r="O2716" s="313"/>
      <c r="P2716" s="318"/>
      <c r="Q2716" s="315"/>
      <c r="R2716" s="319">
        <v>-80</v>
      </c>
      <c r="S2716" s="317"/>
      <c r="T2716" s="320">
        <v>35</v>
      </c>
      <c r="U2716" s="321" t="s">
        <v>1163</v>
      </c>
      <c r="V2716" s="291">
        <f t="shared" ca="1" si="815"/>
        <v>0</v>
      </c>
      <c r="W2716" s="256">
        <f t="shared" ca="1" si="813"/>
        <v>2</v>
      </c>
      <c r="X2716" s="256">
        <f t="shared" ref="X2716:X2779" ca="1" si="816">IF(COUNTA(OFFSET(A2715,1,0))-COUNTA(A2715)=-1,0,1)</f>
        <v>1</v>
      </c>
      <c r="Y2716" s="250"/>
      <c r="Z2716" s="250"/>
    </row>
    <row r="2717" spans="1:29" s="111" customFormat="1" ht="15" hidden="1" x14ac:dyDescent="0.2">
      <c r="A2717" s="288"/>
      <c r="B2717" s="322"/>
      <c r="C2717" s="382"/>
      <c r="D2717" s="324"/>
      <c r="E2717" s="325"/>
      <c r="F2717" s="326"/>
      <c r="G2717" s="324"/>
      <c r="H2717" s="325"/>
      <c r="I2717" s="326"/>
      <c r="J2717" s="317"/>
      <c r="K2717" s="328"/>
      <c r="L2717" s="328"/>
      <c r="M2717" s="328"/>
      <c r="N2717" s="328"/>
      <c r="O2717" s="334"/>
      <c r="P2717" s="328"/>
      <c r="Q2717" s="334"/>
      <c r="R2717" s="333"/>
      <c r="S2717" s="331"/>
      <c r="T2717" s="320"/>
      <c r="U2717" s="335"/>
      <c r="V2717" s="291">
        <f t="shared" ca="1" si="815"/>
        <v>0</v>
      </c>
      <c r="W2717" s="256">
        <f t="shared" ca="1" si="813"/>
        <v>0</v>
      </c>
      <c r="X2717" s="256">
        <f t="shared" ca="1" si="816"/>
        <v>1</v>
      </c>
      <c r="Y2717" s="250"/>
      <c r="Z2717" s="250"/>
    </row>
    <row r="2718" spans="1:29" s="111" customFormat="1" ht="15" hidden="1" x14ac:dyDescent="0.2">
      <c r="A2718" s="288"/>
      <c r="B2718" s="338"/>
      <c r="C2718" s="339"/>
      <c r="D2718" s="340"/>
      <c r="E2718" s="341"/>
      <c r="F2718" s="342"/>
      <c r="G2718" s="340"/>
      <c r="H2718" s="341"/>
      <c r="I2718" s="342"/>
      <c r="J2718" s="343"/>
      <c r="K2718" s="344"/>
      <c r="L2718" s="345"/>
      <c r="M2718" s="346"/>
      <c r="N2718" s="347"/>
      <c r="O2718" s="348"/>
      <c r="P2718" s="345"/>
      <c r="Q2718" s="349"/>
      <c r="R2718" s="350"/>
      <c r="S2718" s="351"/>
      <c r="T2718" s="352"/>
      <c r="U2718" s="353"/>
      <c r="V2718" s="291">
        <f t="shared" ca="1" si="815"/>
        <v>0</v>
      </c>
      <c r="W2718" s="256">
        <f t="shared" ca="1" si="813"/>
        <v>0</v>
      </c>
      <c r="X2718" s="256">
        <f t="shared" ca="1" si="816"/>
        <v>1</v>
      </c>
      <c r="Y2718" s="250"/>
      <c r="Z2718" s="250"/>
    </row>
    <row r="2719" spans="1:29" s="111" customFormat="1" ht="15.75" hidden="1" customHeight="1" x14ac:dyDescent="0.2">
      <c r="A2719" s="288"/>
      <c r="B2719" s="354"/>
      <c r="C2719" s="355"/>
      <c r="D2719" s="1354" t="s">
        <v>492</v>
      </c>
      <c r="E2719" s="1355"/>
      <c r="F2719" s="1355"/>
      <c r="G2719" s="1355"/>
      <c r="H2719" s="1355"/>
      <c r="I2719" s="1356"/>
      <c r="J2719" s="1357">
        <f>VLOOKUP(A2721,'11 - FINANCEIRO'!_xlnm.Print_Area,6,FALSE)</f>
        <v>80</v>
      </c>
      <c r="K2719" s="1358"/>
      <c r="L2719" s="356" t="str">
        <f>VLOOKUP(A2721,'11 - FINANCEIRO'!_xlnm.Print_Area,4,FALSE)</f>
        <v>m</v>
      </c>
      <c r="M2719" s="1359" t="s">
        <v>493</v>
      </c>
      <c r="N2719" s="1360"/>
      <c r="O2719" s="1360"/>
      <c r="P2719" s="1360"/>
      <c r="Q2719" s="1361"/>
      <c r="R2719" s="357">
        <f>TRUNC(SUM(R2715:R2718),3)</f>
        <v>0</v>
      </c>
      <c r="S2719" s="358" t="str">
        <f>L2719</f>
        <v>m</v>
      </c>
      <c r="T2719" s="359"/>
      <c r="U2719" s="360"/>
      <c r="V2719" s="291">
        <f t="shared" ca="1" si="815"/>
        <v>0</v>
      </c>
      <c r="W2719" s="256">
        <f t="shared" ca="1" si="813"/>
        <v>2</v>
      </c>
      <c r="X2719" s="256">
        <f t="shared" ca="1" si="816"/>
        <v>1</v>
      </c>
      <c r="Y2719" s="250"/>
      <c r="Z2719" s="250"/>
    </row>
    <row r="2720" spans="1:29" s="293" customFormat="1" ht="15.75" hidden="1" customHeight="1" x14ac:dyDescent="0.2">
      <c r="A2720" s="288" t="s">
        <v>143</v>
      </c>
      <c r="B2720" s="354"/>
      <c r="C2720" s="361"/>
      <c r="D2720" s="1362" t="s">
        <v>494</v>
      </c>
      <c r="E2720" s="1363"/>
      <c r="F2720" s="1363"/>
      <c r="G2720" s="1363"/>
      <c r="H2720" s="1363"/>
      <c r="I2720" s="1364"/>
      <c r="J2720" s="1365">
        <f>R2719/J2719</f>
        <v>0</v>
      </c>
      <c r="K2720" s="1366"/>
      <c r="L2720" s="1369"/>
      <c r="M2720" s="1371" t="s">
        <v>495</v>
      </c>
      <c r="N2720" s="1372"/>
      <c r="O2720" s="1372"/>
      <c r="P2720" s="1372"/>
      <c r="Q2720" s="1373"/>
      <c r="R2720" s="362">
        <f>VLOOKUP(A2721,'11 - FINANCEIRO'!_xlnm.Print_Area,8,FALSE)</f>
        <v>0</v>
      </c>
      <c r="S2720" s="363" t="str">
        <f>L2719</f>
        <v>m</v>
      </c>
      <c r="T2720" s="858"/>
      <c r="U2720" s="360"/>
      <c r="V2720" s="291">
        <f t="shared" ca="1" si="815"/>
        <v>0</v>
      </c>
      <c r="W2720" s="256">
        <f t="shared" ca="1" si="813"/>
        <v>2</v>
      </c>
      <c r="X2720" s="256">
        <f t="shared" ca="1" si="816"/>
        <v>1</v>
      </c>
      <c r="Y2720" s="256"/>
      <c r="Z2720" s="256"/>
      <c r="AA2720" s="292"/>
      <c r="AB2720" s="292"/>
      <c r="AC2720" s="292"/>
    </row>
    <row r="2721" spans="1:29" s="293" customFormat="1" ht="15.75" hidden="1" customHeight="1" x14ac:dyDescent="0.2">
      <c r="A2721" s="288" t="s">
        <v>144</v>
      </c>
      <c r="B2721" s="364"/>
      <c r="C2721" s="365"/>
      <c r="D2721" s="1354"/>
      <c r="E2721" s="1355"/>
      <c r="F2721" s="1355"/>
      <c r="G2721" s="1355"/>
      <c r="H2721" s="1355"/>
      <c r="I2721" s="1356"/>
      <c r="J2721" s="1367"/>
      <c r="K2721" s="1368"/>
      <c r="L2721" s="1370"/>
      <c r="M2721" s="1371" t="s">
        <v>496</v>
      </c>
      <c r="N2721" s="1372"/>
      <c r="O2721" s="1372"/>
      <c r="P2721" s="1372"/>
      <c r="Q2721" s="1373"/>
      <c r="R2721" s="362">
        <f>R2719-R2720</f>
        <v>0</v>
      </c>
      <c r="S2721" s="363" t="str">
        <f>L2719</f>
        <v>m</v>
      </c>
      <c r="T2721" s="366"/>
      <c r="U2721" s="367"/>
      <c r="V2721" s="291">
        <f t="shared" ca="1" si="815"/>
        <v>0</v>
      </c>
      <c r="W2721" s="256">
        <f t="shared" ca="1" si="813"/>
        <v>2</v>
      </c>
      <c r="X2721" s="256">
        <f t="shared" ca="1" si="816"/>
        <v>1</v>
      </c>
      <c r="Y2721" s="256"/>
      <c r="Z2721" s="256"/>
      <c r="AA2721" s="292"/>
      <c r="AB2721" s="292"/>
      <c r="AC2721" s="292"/>
    </row>
    <row r="2722" spans="1:29" s="111" customFormat="1" ht="15.75" hidden="1" x14ac:dyDescent="0.2">
      <c r="A2722" s="288"/>
      <c r="B2722" s="368"/>
      <c r="C2722" s="365"/>
      <c r="D2722" s="369"/>
      <c r="E2722" s="370"/>
      <c r="F2722" s="369"/>
      <c r="G2722" s="369"/>
      <c r="H2722" s="369"/>
      <c r="I2722" s="369"/>
      <c r="J2722" s="371"/>
      <c r="K2722" s="372"/>
      <c r="L2722" s="373"/>
      <c r="M2722" s="374"/>
      <c r="N2722" s="374"/>
      <c r="O2722" s="374"/>
      <c r="P2722" s="374"/>
      <c r="Q2722" s="374"/>
      <c r="R2722" s="375"/>
      <c r="S2722" s="376"/>
      <c r="T2722" s="377"/>
      <c r="U2722" s="378"/>
      <c r="V2722" s="379">
        <f ca="1">SUM(V2713:V2721)</f>
        <v>0</v>
      </c>
      <c r="W2722" s="256">
        <f t="shared" ca="1" si="813"/>
        <v>1</v>
      </c>
      <c r="X2722" s="256">
        <f t="shared" ca="1" si="816"/>
        <v>0</v>
      </c>
      <c r="Y2722" s="250"/>
      <c r="Z2722" s="250"/>
    </row>
    <row r="2723" spans="1:29" s="293" customFormat="1" ht="15.75" hidden="1" customHeight="1" x14ac:dyDescent="0.25">
      <c r="A2723" s="288"/>
      <c r="B2723" s="1374" t="str">
        <f>VLOOKUP(A2731,'11 - FINANCEIRO'!_xlnm.Print_Area,1,FALSE)</f>
        <v>3.3.2.4.2</v>
      </c>
      <c r="C2723" s="1376" t="str">
        <f>VLOOKUP(A2731,'11 - FINANCEIRO'!_xlnm.Print_Area,3,FALSE)</f>
        <v>Tubo Coletor De Esgoto, PVC, Jei, Dn 150 Mm  (Nbr 7362)</v>
      </c>
      <c r="D2723" s="1378" t="s">
        <v>477</v>
      </c>
      <c r="E2723" s="1379"/>
      <c r="F2723" s="1379"/>
      <c r="G2723" s="1379"/>
      <c r="H2723" s="1379"/>
      <c r="I2723" s="1380"/>
      <c r="J2723" s="1338" t="s">
        <v>478</v>
      </c>
      <c r="K2723" s="1338" t="s">
        <v>479</v>
      </c>
      <c r="L2723" s="1338" t="s">
        <v>480</v>
      </c>
      <c r="M2723" s="1338" t="s">
        <v>481</v>
      </c>
      <c r="N2723" s="1338" t="s">
        <v>482</v>
      </c>
      <c r="O2723" s="1338" t="s">
        <v>483</v>
      </c>
      <c r="P2723" s="290" t="s">
        <v>484</v>
      </c>
      <c r="Q2723" s="1338" t="s">
        <v>485</v>
      </c>
      <c r="R2723" s="1336" t="s">
        <v>296</v>
      </c>
      <c r="S2723" s="1338" t="s">
        <v>486</v>
      </c>
      <c r="T2723" s="1338" t="s">
        <v>487</v>
      </c>
      <c r="U2723" s="1340" t="s">
        <v>488</v>
      </c>
      <c r="V2723" s="291">
        <f t="shared" ref="V2723:V2731" ca="1" si="817">IF(OFFSET(V2723,1,1)=1,OFFSET(V2723,0,-4),OFFSET(V2723,1,0))</f>
        <v>0</v>
      </c>
      <c r="W2723" s="256">
        <f t="shared" ca="1" si="813"/>
        <v>2</v>
      </c>
      <c r="X2723" s="256">
        <f t="shared" ca="1" si="816"/>
        <v>1</v>
      </c>
      <c r="Y2723" s="256"/>
      <c r="Z2723" s="256"/>
      <c r="AA2723" s="292"/>
      <c r="AB2723" s="292"/>
      <c r="AC2723" s="292"/>
    </row>
    <row r="2724" spans="1:29" s="337" customFormat="1" ht="15.75" hidden="1" x14ac:dyDescent="0.2">
      <c r="A2724" s="288"/>
      <c r="B2724" s="1375"/>
      <c r="C2724" s="1377" t="e">
        <f>VLOOKUP(LEFT(#REF!,5),'11 - FINANCEIRO'!_xlnm.Print_Area,2,FALSE)</f>
        <v>#REF!</v>
      </c>
      <c r="D2724" s="1342" t="s">
        <v>489</v>
      </c>
      <c r="E2724" s="1343"/>
      <c r="F2724" s="1344"/>
      <c r="G2724" s="1345" t="s">
        <v>490</v>
      </c>
      <c r="H2724" s="1346"/>
      <c r="I2724" s="1347"/>
      <c r="J2724" s="1339"/>
      <c r="K2724" s="1339"/>
      <c r="L2724" s="1339"/>
      <c r="M2724" s="1339"/>
      <c r="N2724" s="1339"/>
      <c r="O2724" s="1339"/>
      <c r="P2724" s="295" t="s">
        <v>491</v>
      </c>
      <c r="Q2724" s="1339"/>
      <c r="R2724" s="1337"/>
      <c r="S2724" s="1339"/>
      <c r="T2724" s="1339"/>
      <c r="U2724" s="1341"/>
      <c r="V2724" s="291">
        <f t="shared" ca="1" si="817"/>
        <v>0</v>
      </c>
      <c r="W2724" s="256">
        <f t="shared" ca="1" si="813"/>
        <v>2</v>
      </c>
      <c r="X2724" s="256">
        <f t="shared" ca="1" si="816"/>
        <v>1</v>
      </c>
      <c r="Y2724" s="336"/>
      <c r="Z2724" s="336"/>
    </row>
    <row r="2725" spans="1:29" s="337" customFormat="1" ht="15.75" hidden="1" x14ac:dyDescent="0.2">
      <c r="A2725" s="288"/>
      <c r="B2725" s="296"/>
      <c r="C2725" s="297" t="s">
        <v>1104</v>
      </c>
      <c r="D2725" s="298"/>
      <c r="E2725" s="299"/>
      <c r="F2725" s="300"/>
      <c r="G2725" s="301"/>
      <c r="H2725" s="302"/>
      <c r="I2725" s="303"/>
      <c r="J2725" s="304"/>
      <c r="K2725" s="304"/>
      <c r="L2725" s="304"/>
      <c r="M2725" s="304"/>
      <c r="N2725" s="304"/>
      <c r="O2725" s="304"/>
      <c r="P2725" s="306"/>
      <c r="Q2725" s="304"/>
      <c r="R2725" s="897">
        <v>80</v>
      </c>
      <c r="S2725" s="304"/>
      <c r="T2725" s="309">
        <v>33</v>
      </c>
      <c r="U2725" s="310"/>
      <c r="V2725" s="291">
        <f t="shared" ca="1" si="817"/>
        <v>0</v>
      </c>
      <c r="W2725" s="256">
        <f t="shared" ca="1" si="813"/>
        <v>2</v>
      </c>
      <c r="X2725" s="256">
        <f t="shared" ca="1" si="816"/>
        <v>1</v>
      </c>
      <c r="Y2725" s="336"/>
      <c r="Z2725" s="336"/>
    </row>
    <row r="2726" spans="1:29" s="111" customFormat="1" ht="31.5" hidden="1" x14ac:dyDescent="0.2">
      <c r="A2726" s="288"/>
      <c r="B2726" s="311"/>
      <c r="C2726" s="312" t="s">
        <v>1162</v>
      </c>
      <c r="D2726" s="313"/>
      <c r="E2726" s="314"/>
      <c r="F2726" s="315"/>
      <c r="G2726" s="380"/>
      <c r="H2726" s="316"/>
      <c r="I2726" s="381"/>
      <c r="J2726" s="317"/>
      <c r="K2726" s="313"/>
      <c r="L2726" s="317"/>
      <c r="M2726" s="315"/>
      <c r="N2726" s="314"/>
      <c r="O2726" s="313"/>
      <c r="P2726" s="318"/>
      <c r="Q2726" s="315"/>
      <c r="R2726" s="319">
        <v>-80</v>
      </c>
      <c r="S2726" s="317"/>
      <c r="T2726" s="320">
        <v>35</v>
      </c>
      <c r="U2726" s="321" t="s">
        <v>1163</v>
      </c>
      <c r="V2726" s="291">
        <f t="shared" ca="1" si="817"/>
        <v>0</v>
      </c>
      <c r="W2726" s="256">
        <f t="shared" ca="1" si="813"/>
        <v>2</v>
      </c>
      <c r="X2726" s="256">
        <f t="shared" ca="1" si="816"/>
        <v>1</v>
      </c>
      <c r="Y2726" s="250"/>
      <c r="Z2726" s="250"/>
    </row>
    <row r="2727" spans="1:29" s="111" customFormat="1" ht="15" hidden="1" x14ac:dyDescent="0.2">
      <c r="A2727" s="288"/>
      <c r="B2727" s="322"/>
      <c r="C2727" s="382"/>
      <c r="D2727" s="324"/>
      <c r="E2727" s="325"/>
      <c r="F2727" s="326"/>
      <c r="G2727" s="324"/>
      <c r="H2727" s="325"/>
      <c r="I2727" s="326"/>
      <c r="J2727" s="317"/>
      <c r="K2727" s="328"/>
      <c r="L2727" s="328"/>
      <c r="M2727" s="328"/>
      <c r="N2727" s="328"/>
      <c r="O2727" s="334"/>
      <c r="P2727" s="328"/>
      <c r="Q2727" s="334"/>
      <c r="R2727" s="333"/>
      <c r="S2727" s="331"/>
      <c r="T2727" s="320"/>
      <c r="U2727" s="335"/>
      <c r="V2727" s="291">
        <f t="shared" ca="1" si="817"/>
        <v>0</v>
      </c>
      <c r="W2727" s="256">
        <f t="shared" ca="1" si="813"/>
        <v>0</v>
      </c>
      <c r="X2727" s="256">
        <f t="shared" ca="1" si="816"/>
        <v>1</v>
      </c>
      <c r="Y2727" s="250"/>
      <c r="Z2727" s="250"/>
    </row>
    <row r="2728" spans="1:29" s="111" customFormat="1" ht="15" hidden="1" x14ac:dyDescent="0.2">
      <c r="A2728" s="288"/>
      <c r="B2728" s="338"/>
      <c r="C2728" s="339"/>
      <c r="D2728" s="340"/>
      <c r="E2728" s="341"/>
      <c r="F2728" s="342"/>
      <c r="G2728" s="340"/>
      <c r="H2728" s="341"/>
      <c r="I2728" s="342"/>
      <c r="J2728" s="343"/>
      <c r="K2728" s="344"/>
      <c r="L2728" s="345"/>
      <c r="M2728" s="346"/>
      <c r="N2728" s="347"/>
      <c r="O2728" s="348"/>
      <c r="P2728" s="345"/>
      <c r="Q2728" s="349"/>
      <c r="R2728" s="350"/>
      <c r="S2728" s="351"/>
      <c r="T2728" s="352"/>
      <c r="U2728" s="353"/>
      <c r="V2728" s="291">
        <f t="shared" ca="1" si="817"/>
        <v>0</v>
      </c>
      <c r="W2728" s="256">
        <f t="shared" ca="1" si="813"/>
        <v>0</v>
      </c>
      <c r="X2728" s="256">
        <f t="shared" ca="1" si="816"/>
        <v>1</v>
      </c>
      <c r="Y2728" s="250"/>
      <c r="Z2728" s="250"/>
    </row>
    <row r="2729" spans="1:29" s="111" customFormat="1" ht="15.75" hidden="1" customHeight="1" x14ac:dyDescent="0.2">
      <c r="A2729" s="288"/>
      <c r="B2729" s="354"/>
      <c r="C2729" s="355"/>
      <c r="D2729" s="1354" t="s">
        <v>492</v>
      </c>
      <c r="E2729" s="1355"/>
      <c r="F2729" s="1355"/>
      <c r="G2729" s="1355"/>
      <c r="H2729" s="1355"/>
      <c r="I2729" s="1356"/>
      <c r="J2729" s="1357">
        <f>VLOOKUP(A2731,'11 - FINANCEIRO'!_xlnm.Print_Area,6,FALSE)</f>
        <v>80</v>
      </c>
      <c r="K2729" s="1358"/>
      <c r="L2729" s="356" t="str">
        <f>VLOOKUP(A2731,'11 - FINANCEIRO'!_xlnm.Print_Area,4,FALSE)</f>
        <v>m</v>
      </c>
      <c r="M2729" s="1359" t="s">
        <v>493</v>
      </c>
      <c r="N2729" s="1360"/>
      <c r="O2729" s="1360"/>
      <c r="P2729" s="1360"/>
      <c r="Q2729" s="1361"/>
      <c r="R2729" s="357">
        <f>TRUNC(SUM(R2725:R2728),3)</f>
        <v>0</v>
      </c>
      <c r="S2729" s="358" t="str">
        <f>L2729</f>
        <v>m</v>
      </c>
      <c r="T2729" s="359"/>
      <c r="U2729" s="360"/>
      <c r="V2729" s="291">
        <f t="shared" ca="1" si="817"/>
        <v>0</v>
      </c>
      <c r="W2729" s="256">
        <f t="shared" ca="1" si="813"/>
        <v>2</v>
      </c>
      <c r="X2729" s="256">
        <f t="shared" ca="1" si="816"/>
        <v>1</v>
      </c>
      <c r="Y2729" s="250"/>
      <c r="Z2729" s="250"/>
    </row>
    <row r="2730" spans="1:29" s="293" customFormat="1" ht="15.75" hidden="1" customHeight="1" x14ac:dyDescent="0.2">
      <c r="A2730" s="288"/>
      <c r="B2730" s="354"/>
      <c r="C2730" s="361"/>
      <c r="D2730" s="1362" t="s">
        <v>494</v>
      </c>
      <c r="E2730" s="1363"/>
      <c r="F2730" s="1363"/>
      <c r="G2730" s="1363"/>
      <c r="H2730" s="1363"/>
      <c r="I2730" s="1364"/>
      <c r="J2730" s="1365">
        <f>IF(R2729&gt;J2729,1,R2729/J2729)</f>
        <v>0</v>
      </c>
      <c r="K2730" s="1366"/>
      <c r="L2730" s="1369"/>
      <c r="M2730" s="1371" t="s">
        <v>495</v>
      </c>
      <c r="N2730" s="1372"/>
      <c r="O2730" s="1372"/>
      <c r="P2730" s="1372"/>
      <c r="Q2730" s="1373"/>
      <c r="R2730" s="362">
        <f>VLOOKUP(A2731,'11 - FINANCEIRO'!_xlnm.Print_Area,8,FALSE)</f>
        <v>0</v>
      </c>
      <c r="S2730" s="363" t="str">
        <f>L2729</f>
        <v>m</v>
      </c>
      <c r="T2730" s="858"/>
      <c r="U2730" s="360"/>
      <c r="V2730" s="291">
        <f t="shared" ca="1" si="817"/>
        <v>0</v>
      </c>
      <c r="W2730" s="256">
        <f t="shared" ca="1" si="813"/>
        <v>2</v>
      </c>
      <c r="X2730" s="256">
        <f t="shared" ca="1" si="816"/>
        <v>1</v>
      </c>
      <c r="Y2730" s="256"/>
      <c r="Z2730" s="256"/>
      <c r="AA2730" s="292"/>
      <c r="AB2730" s="292"/>
      <c r="AC2730" s="292"/>
    </row>
    <row r="2731" spans="1:29" s="293" customFormat="1" ht="15.75" hidden="1" customHeight="1" x14ac:dyDescent="0.2">
      <c r="A2731" s="288" t="s">
        <v>145</v>
      </c>
      <c r="B2731" s="364"/>
      <c r="C2731" s="365"/>
      <c r="D2731" s="1354"/>
      <c r="E2731" s="1355"/>
      <c r="F2731" s="1355"/>
      <c r="G2731" s="1355"/>
      <c r="H2731" s="1355"/>
      <c r="I2731" s="1356"/>
      <c r="J2731" s="1367"/>
      <c r="K2731" s="1368"/>
      <c r="L2731" s="1370"/>
      <c r="M2731" s="1371" t="s">
        <v>496</v>
      </c>
      <c r="N2731" s="1372"/>
      <c r="O2731" s="1372"/>
      <c r="P2731" s="1372"/>
      <c r="Q2731" s="1373"/>
      <c r="R2731" s="362">
        <f>R2729-R2730</f>
        <v>0</v>
      </c>
      <c r="S2731" s="363" t="str">
        <f>L2729</f>
        <v>m</v>
      </c>
      <c r="T2731" s="366"/>
      <c r="U2731" s="367"/>
      <c r="V2731" s="291">
        <f t="shared" ca="1" si="817"/>
        <v>0</v>
      </c>
      <c r="W2731" s="256">
        <f t="shared" ca="1" si="813"/>
        <v>2</v>
      </c>
      <c r="X2731" s="256">
        <f t="shared" ca="1" si="816"/>
        <v>1</v>
      </c>
      <c r="Y2731" s="256"/>
      <c r="Z2731" s="256"/>
      <c r="AA2731" s="292"/>
      <c r="AB2731" s="292"/>
      <c r="AC2731" s="292"/>
    </row>
    <row r="2732" spans="1:29" s="111" customFormat="1" ht="15.75" hidden="1" x14ac:dyDescent="0.2">
      <c r="A2732" s="288"/>
      <c r="B2732" s="368"/>
      <c r="C2732" s="365"/>
      <c r="D2732" s="369"/>
      <c r="E2732" s="370"/>
      <c r="F2732" s="369"/>
      <c r="G2732" s="369"/>
      <c r="H2732" s="369"/>
      <c r="I2732" s="369"/>
      <c r="J2732" s="371"/>
      <c r="K2732" s="372"/>
      <c r="L2732" s="373"/>
      <c r="M2732" s="374"/>
      <c r="N2732" s="374"/>
      <c r="O2732" s="374"/>
      <c r="P2732" s="374"/>
      <c r="Q2732" s="374"/>
      <c r="R2732" s="375"/>
      <c r="S2732" s="376"/>
      <c r="T2732" s="377"/>
      <c r="U2732" s="378"/>
      <c r="V2732" s="379">
        <f ca="1">SUM(V2723:V2731)</f>
        <v>0</v>
      </c>
      <c r="W2732" s="256">
        <f t="shared" ca="1" si="813"/>
        <v>1</v>
      </c>
      <c r="X2732" s="256">
        <f t="shared" ca="1" si="816"/>
        <v>0</v>
      </c>
      <c r="Y2732" s="250"/>
      <c r="Z2732" s="250"/>
    </row>
    <row r="2733" spans="1:29" s="293" customFormat="1" ht="15.75" hidden="1" customHeight="1" x14ac:dyDescent="0.25">
      <c r="A2733" s="288"/>
      <c r="B2733" s="1374" t="str">
        <f>VLOOKUP(A2741,'11 - FINANCEIRO'!_xlnm.Print_Area,1,FALSE)</f>
        <v>3.3.2.4.3</v>
      </c>
      <c r="C2733" s="1376" t="str">
        <f>VLOOKUP(A2741,'11 - FINANCEIRO'!_xlnm.Print_Area,3,FALSE)</f>
        <v>Execução De Pavimento Com Aplicação De Concreto Asfáltico, Camada De Rolamento - Exclusive Carga E Transporte. Af_11/2019</v>
      </c>
      <c r="D2733" s="1378" t="s">
        <v>477</v>
      </c>
      <c r="E2733" s="1379"/>
      <c r="F2733" s="1379"/>
      <c r="G2733" s="1379"/>
      <c r="H2733" s="1379"/>
      <c r="I2733" s="1380"/>
      <c r="J2733" s="1338" t="s">
        <v>478</v>
      </c>
      <c r="K2733" s="1338" t="s">
        <v>479</v>
      </c>
      <c r="L2733" s="1338" t="s">
        <v>480</v>
      </c>
      <c r="M2733" s="1338" t="s">
        <v>481</v>
      </c>
      <c r="N2733" s="1338" t="s">
        <v>482</v>
      </c>
      <c r="O2733" s="1338" t="s">
        <v>483</v>
      </c>
      <c r="P2733" s="290" t="s">
        <v>484</v>
      </c>
      <c r="Q2733" s="1338" t="s">
        <v>485</v>
      </c>
      <c r="R2733" s="1336" t="s">
        <v>296</v>
      </c>
      <c r="S2733" s="1338" t="s">
        <v>486</v>
      </c>
      <c r="T2733" s="1338" t="s">
        <v>487</v>
      </c>
      <c r="U2733" s="1340" t="s">
        <v>488</v>
      </c>
      <c r="V2733" s="291">
        <f t="shared" ref="V2733:V2741" ca="1" si="818">IF(OFFSET(V2733,1,1)=1,OFFSET(V2733,0,-4),OFFSET(V2733,1,0))</f>
        <v>0</v>
      </c>
      <c r="W2733" s="256">
        <f t="shared" ca="1" si="813"/>
        <v>2</v>
      </c>
      <c r="X2733" s="256">
        <f t="shared" ca="1" si="816"/>
        <v>1</v>
      </c>
      <c r="Y2733" s="256"/>
      <c r="Z2733" s="256"/>
      <c r="AA2733" s="292"/>
      <c r="AB2733" s="292"/>
      <c r="AC2733" s="292"/>
    </row>
    <row r="2734" spans="1:29" s="337" customFormat="1" ht="15.75" hidden="1" x14ac:dyDescent="0.2">
      <c r="A2734" s="288"/>
      <c r="B2734" s="1375"/>
      <c r="C2734" s="1377" t="e">
        <f>VLOOKUP(LEFT(#REF!,5),'11 - FINANCEIRO'!_xlnm.Print_Area,2,FALSE)</f>
        <v>#REF!</v>
      </c>
      <c r="D2734" s="1342" t="s">
        <v>489</v>
      </c>
      <c r="E2734" s="1343"/>
      <c r="F2734" s="1344"/>
      <c r="G2734" s="1345" t="s">
        <v>490</v>
      </c>
      <c r="H2734" s="1346"/>
      <c r="I2734" s="1347"/>
      <c r="J2734" s="1339"/>
      <c r="K2734" s="1339"/>
      <c r="L2734" s="1339"/>
      <c r="M2734" s="1339"/>
      <c r="N2734" s="1339"/>
      <c r="O2734" s="1339"/>
      <c r="P2734" s="295" t="s">
        <v>491</v>
      </c>
      <c r="Q2734" s="1339"/>
      <c r="R2734" s="1337"/>
      <c r="S2734" s="1339"/>
      <c r="T2734" s="1339"/>
      <c r="U2734" s="1341"/>
      <c r="V2734" s="291">
        <f t="shared" ca="1" si="818"/>
        <v>0</v>
      </c>
      <c r="W2734" s="256">
        <f t="shared" ca="1" si="813"/>
        <v>2</v>
      </c>
      <c r="X2734" s="256">
        <f t="shared" ca="1" si="816"/>
        <v>1</v>
      </c>
      <c r="Y2734" s="336"/>
      <c r="Z2734" s="336"/>
    </row>
    <row r="2735" spans="1:29" s="337" customFormat="1" ht="15.75" hidden="1" x14ac:dyDescent="0.2">
      <c r="A2735" s="288"/>
      <c r="B2735" s="296"/>
      <c r="C2735" s="297"/>
      <c r="D2735" s="298"/>
      <c r="E2735" s="299"/>
      <c r="F2735" s="300"/>
      <c r="G2735" s="301"/>
      <c r="H2735" s="302"/>
      <c r="I2735" s="303"/>
      <c r="J2735" s="304"/>
      <c r="K2735" s="304"/>
      <c r="L2735" s="304"/>
      <c r="M2735" s="304"/>
      <c r="N2735" s="304"/>
      <c r="O2735" s="304"/>
      <c r="P2735" s="306"/>
      <c r="Q2735" s="304"/>
      <c r="R2735" s="307"/>
      <c r="S2735" s="304"/>
      <c r="T2735" s="309"/>
      <c r="U2735" s="310"/>
      <c r="V2735" s="291">
        <f t="shared" ca="1" si="818"/>
        <v>0</v>
      </c>
      <c r="W2735" s="256">
        <f t="shared" ca="1" si="813"/>
        <v>0</v>
      </c>
      <c r="X2735" s="256">
        <f t="shared" ca="1" si="816"/>
        <v>1</v>
      </c>
      <c r="Y2735" s="336"/>
      <c r="Z2735" s="336"/>
    </row>
    <row r="2736" spans="1:29" s="111" customFormat="1" ht="15.75" hidden="1" x14ac:dyDescent="0.2">
      <c r="A2736" s="288"/>
      <c r="B2736" s="311"/>
      <c r="C2736" s="312"/>
      <c r="D2736" s="313"/>
      <c r="E2736" s="314"/>
      <c r="F2736" s="315"/>
      <c r="G2736" s="380"/>
      <c r="H2736" s="316"/>
      <c r="I2736" s="381"/>
      <c r="J2736" s="317"/>
      <c r="K2736" s="313"/>
      <c r="L2736" s="317"/>
      <c r="M2736" s="315"/>
      <c r="N2736" s="314"/>
      <c r="O2736" s="313"/>
      <c r="P2736" s="318"/>
      <c r="Q2736" s="315"/>
      <c r="R2736" s="319"/>
      <c r="S2736" s="317"/>
      <c r="T2736" s="320"/>
      <c r="U2736" s="321"/>
      <c r="V2736" s="291">
        <f t="shared" ca="1" si="818"/>
        <v>0</v>
      </c>
      <c r="W2736" s="256">
        <f t="shared" ca="1" si="813"/>
        <v>0</v>
      </c>
      <c r="X2736" s="256">
        <f t="shared" ca="1" si="816"/>
        <v>1</v>
      </c>
      <c r="Y2736" s="250"/>
      <c r="Z2736" s="250"/>
    </row>
    <row r="2737" spans="1:29" s="111" customFormat="1" ht="15" hidden="1" x14ac:dyDescent="0.2">
      <c r="A2737" s="288"/>
      <c r="B2737" s="322"/>
      <c r="C2737" s="382"/>
      <c r="D2737" s="324"/>
      <c r="E2737" s="325"/>
      <c r="F2737" s="326"/>
      <c r="G2737" s="324"/>
      <c r="H2737" s="325"/>
      <c r="I2737" s="326"/>
      <c r="J2737" s="317"/>
      <c r="K2737" s="328"/>
      <c r="L2737" s="328"/>
      <c r="M2737" s="328"/>
      <c r="N2737" s="328"/>
      <c r="O2737" s="334"/>
      <c r="P2737" s="328"/>
      <c r="Q2737" s="334"/>
      <c r="R2737" s="333"/>
      <c r="S2737" s="331"/>
      <c r="T2737" s="320"/>
      <c r="U2737" s="335"/>
      <c r="V2737" s="291">
        <f t="shared" ca="1" si="818"/>
        <v>0</v>
      </c>
      <c r="W2737" s="256">
        <f t="shared" ca="1" si="813"/>
        <v>0</v>
      </c>
      <c r="X2737" s="256">
        <f t="shared" ca="1" si="816"/>
        <v>1</v>
      </c>
      <c r="Y2737" s="250"/>
      <c r="Z2737" s="250"/>
    </row>
    <row r="2738" spans="1:29" s="111" customFormat="1" ht="15" hidden="1" x14ac:dyDescent="0.2">
      <c r="A2738" s="288"/>
      <c r="B2738" s="338"/>
      <c r="C2738" s="339"/>
      <c r="D2738" s="340"/>
      <c r="E2738" s="341"/>
      <c r="F2738" s="342"/>
      <c r="G2738" s="340"/>
      <c r="H2738" s="341"/>
      <c r="I2738" s="342"/>
      <c r="J2738" s="343"/>
      <c r="K2738" s="344"/>
      <c r="L2738" s="345"/>
      <c r="M2738" s="346"/>
      <c r="N2738" s="347"/>
      <c r="O2738" s="348"/>
      <c r="P2738" s="345"/>
      <c r="Q2738" s="349"/>
      <c r="R2738" s="350"/>
      <c r="S2738" s="351"/>
      <c r="T2738" s="352"/>
      <c r="U2738" s="353"/>
      <c r="V2738" s="291">
        <f t="shared" ca="1" si="818"/>
        <v>0</v>
      </c>
      <c r="W2738" s="256">
        <f t="shared" ca="1" si="813"/>
        <v>0</v>
      </c>
      <c r="X2738" s="256">
        <f t="shared" ca="1" si="816"/>
        <v>1</v>
      </c>
      <c r="Y2738" s="250"/>
      <c r="Z2738" s="250"/>
    </row>
    <row r="2739" spans="1:29" s="111" customFormat="1" ht="15.75" hidden="1" customHeight="1" x14ac:dyDescent="0.2">
      <c r="A2739" s="288"/>
      <c r="B2739" s="354"/>
      <c r="C2739" s="355"/>
      <c r="D2739" s="1354" t="s">
        <v>492</v>
      </c>
      <c r="E2739" s="1355"/>
      <c r="F2739" s="1355"/>
      <c r="G2739" s="1355"/>
      <c r="H2739" s="1355"/>
      <c r="I2739" s="1356"/>
      <c r="J2739" s="1357">
        <f>VLOOKUP(A2741,'11 - FINANCEIRO'!_xlnm.Print_Area,6,FALSE)</f>
        <v>4</v>
      </c>
      <c r="K2739" s="1358"/>
      <c r="L2739" s="356" t="str">
        <f>VLOOKUP(A2741,'11 - FINANCEIRO'!_xlnm.Print_Area,4,FALSE)</f>
        <v>m³</v>
      </c>
      <c r="M2739" s="1359" t="s">
        <v>493</v>
      </c>
      <c r="N2739" s="1360"/>
      <c r="O2739" s="1360"/>
      <c r="P2739" s="1360"/>
      <c r="Q2739" s="1361"/>
      <c r="R2739" s="357">
        <f>TRUNC(SUM(R2735:R2738),3)</f>
        <v>0</v>
      </c>
      <c r="S2739" s="358" t="str">
        <f>L2739</f>
        <v>m³</v>
      </c>
      <c r="T2739" s="359"/>
      <c r="U2739" s="360"/>
      <c r="V2739" s="291">
        <f t="shared" ca="1" si="818"/>
        <v>0</v>
      </c>
      <c r="W2739" s="256">
        <f t="shared" ca="1" si="813"/>
        <v>2</v>
      </c>
      <c r="X2739" s="256">
        <f t="shared" ca="1" si="816"/>
        <v>1</v>
      </c>
      <c r="Y2739" s="250"/>
      <c r="Z2739" s="250"/>
    </row>
    <row r="2740" spans="1:29" s="395" customFormat="1" ht="15.75" hidden="1" customHeight="1" x14ac:dyDescent="0.2">
      <c r="A2740" s="276"/>
      <c r="B2740" s="354"/>
      <c r="C2740" s="361"/>
      <c r="D2740" s="1362" t="s">
        <v>494</v>
      </c>
      <c r="E2740" s="1363"/>
      <c r="F2740" s="1363"/>
      <c r="G2740" s="1363"/>
      <c r="H2740" s="1363"/>
      <c r="I2740" s="1364"/>
      <c r="J2740" s="1365">
        <f>R2739/J2739</f>
        <v>0</v>
      </c>
      <c r="K2740" s="1366"/>
      <c r="L2740" s="1369"/>
      <c r="M2740" s="1371" t="s">
        <v>495</v>
      </c>
      <c r="N2740" s="1372"/>
      <c r="O2740" s="1372"/>
      <c r="P2740" s="1372"/>
      <c r="Q2740" s="1373"/>
      <c r="R2740" s="362">
        <f>VLOOKUP(A2741,'11 - FINANCEIRO'!_xlnm.Print_Area,8,FALSE)</f>
        <v>0</v>
      </c>
      <c r="S2740" s="363" t="str">
        <f>L2739</f>
        <v>m³</v>
      </c>
      <c r="T2740" s="359"/>
      <c r="U2740" s="360"/>
      <c r="V2740" s="291">
        <f t="shared" ca="1" si="818"/>
        <v>0</v>
      </c>
      <c r="W2740" s="256">
        <f t="shared" ca="1" si="813"/>
        <v>2</v>
      </c>
      <c r="X2740" s="256">
        <f t="shared" ca="1" si="816"/>
        <v>1</v>
      </c>
    </row>
    <row r="2741" spans="1:29" s="293" customFormat="1" ht="15.75" hidden="1" customHeight="1" x14ac:dyDescent="0.2">
      <c r="A2741" s="288" t="s">
        <v>146</v>
      </c>
      <c r="B2741" s="364"/>
      <c r="C2741" s="365"/>
      <c r="D2741" s="1354"/>
      <c r="E2741" s="1355"/>
      <c r="F2741" s="1355"/>
      <c r="G2741" s="1355"/>
      <c r="H2741" s="1355"/>
      <c r="I2741" s="1356"/>
      <c r="J2741" s="1367"/>
      <c r="K2741" s="1368"/>
      <c r="L2741" s="1370"/>
      <c r="M2741" s="1371" t="s">
        <v>496</v>
      </c>
      <c r="N2741" s="1372"/>
      <c r="O2741" s="1372"/>
      <c r="P2741" s="1372"/>
      <c r="Q2741" s="1373"/>
      <c r="R2741" s="362">
        <f>R2739-R2740</f>
        <v>0</v>
      </c>
      <c r="S2741" s="363" t="str">
        <f>L2739</f>
        <v>m³</v>
      </c>
      <c r="T2741" s="366"/>
      <c r="U2741" s="367"/>
      <c r="V2741" s="291">
        <f t="shared" ca="1" si="818"/>
        <v>0</v>
      </c>
      <c r="W2741" s="256">
        <f t="shared" ca="1" si="813"/>
        <v>2</v>
      </c>
      <c r="X2741" s="256">
        <f t="shared" ca="1" si="816"/>
        <v>1</v>
      </c>
      <c r="Y2741" s="256"/>
      <c r="Z2741" s="256"/>
      <c r="AA2741" s="292"/>
      <c r="AB2741" s="292"/>
      <c r="AC2741" s="292"/>
    </row>
    <row r="2742" spans="1:29" s="111" customFormat="1" ht="15.75" hidden="1" x14ac:dyDescent="0.2">
      <c r="A2742" s="288"/>
      <c r="B2742" s="368"/>
      <c r="C2742" s="365"/>
      <c r="D2742" s="369"/>
      <c r="E2742" s="370"/>
      <c r="F2742" s="369"/>
      <c r="G2742" s="369"/>
      <c r="H2742" s="369"/>
      <c r="I2742" s="369"/>
      <c r="J2742" s="371"/>
      <c r="K2742" s="372"/>
      <c r="L2742" s="373"/>
      <c r="M2742" s="374"/>
      <c r="N2742" s="374"/>
      <c r="O2742" s="374"/>
      <c r="P2742" s="374"/>
      <c r="Q2742" s="374"/>
      <c r="R2742" s="375"/>
      <c r="S2742" s="376"/>
      <c r="T2742" s="377"/>
      <c r="U2742" s="378"/>
      <c r="V2742" s="379">
        <f ca="1">SUM(V2733:V2741)</f>
        <v>0</v>
      </c>
      <c r="W2742" s="256">
        <f t="shared" ca="1" si="813"/>
        <v>1</v>
      </c>
      <c r="X2742" s="256">
        <f t="shared" ca="1" si="816"/>
        <v>0</v>
      </c>
      <c r="Y2742" s="250"/>
      <c r="Z2742" s="250"/>
    </row>
    <row r="2743" spans="1:29" s="293" customFormat="1" ht="15.75" hidden="1" x14ac:dyDescent="0.2">
      <c r="A2743" s="288"/>
      <c r="B2743" s="385" t="str">
        <f>LEFT(A2751,11)</f>
        <v>3.4</v>
      </c>
      <c r="C2743" s="386" t="str">
        <f>VLOOKUP(LEFT(A2751,11),'11 - FINANCEIRO'!_xlnm.Print_Area,2,FALSE)</f>
        <v>Sinalizações de Obras</v>
      </c>
      <c r="D2743" s="386"/>
      <c r="E2743" s="387"/>
      <c r="F2743" s="386"/>
      <c r="G2743" s="1395"/>
      <c r="H2743" s="1395"/>
      <c r="I2743" s="1395"/>
      <c r="J2743" s="1395"/>
      <c r="K2743" s="1395"/>
      <c r="L2743" s="1395"/>
      <c r="M2743" s="389"/>
      <c r="N2743" s="390"/>
      <c r="O2743" s="389"/>
      <c r="P2743" s="389"/>
      <c r="Q2743" s="389"/>
      <c r="R2743" s="390"/>
      <c r="S2743" s="389"/>
      <c r="T2743" s="389"/>
      <c r="U2743" s="601"/>
      <c r="V2743" s="549">
        <f ca="1">SUM(V2744:V2773)</f>
        <v>0</v>
      </c>
      <c r="W2743" s="256">
        <f t="shared" ca="1" si="813"/>
        <v>1</v>
      </c>
      <c r="X2743" s="256">
        <f t="shared" ca="1" si="816"/>
        <v>1</v>
      </c>
      <c r="Y2743" s="256"/>
      <c r="Z2743" s="256"/>
      <c r="AA2743" s="292"/>
      <c r="AB2743" s="292"/>
      <c r="AC2743" s="292"/>
    </row>
    <row r="2744" spans="1:29" s="293" customFormat="1" ht="15.75" hidden="1" x14ac:dyDescent="0.25">
      <c r="A2744" s="288"/>
      <c r="B2744" s="1374" t="str">
        <f>VLOOKUP(A2752,'11 - FINANCEIRO'!_xlnm.Print_Area,1,FALSE)</f>
        <v>3.4.1</v>
      </c>
      <c r="C2744" s="1376" t="str">
        <f>VLOOKUP(A2752,'11 - FINANCEIRO'!_xlnm.Print_Area,3,FALSE)</f>
        <v>Elementos De Madeira Para Sinalização - Cavaletes</v>
      </c>
      <c r="D2744" s="1378" t="s">
        <v>477</v>
      </c>
      <c r="E2744" s="1379"/>
      <c r="F2744" s="1379"/>
      <c r="G2744" s="1379"/>
      <c r="H2744" s="1379"/>
      <c r="I2744" s="1380"/>
      <c r="J2744" s="1338" t="s">
        <v>478</v>
      </c>
      <c r="K2744" s="1338" t="s">
        <v>479</v>
      </c>
      <c r="L2744" s="1338" t="s">
        <v>480</v>
      </c>
      <c r="M2744" s="1338" t="s">
        <v>481</v>
      </c>
      <c r="N2744" s="1338" t="s">
        <v>482</v>
      </c>
      <c r="O2744" s="1338" t="s">
        <v>483</v>
      </c>
      <c r="P2744" s="290" t="s">
        <v>484</v>
      </c>
      <c r="Q2744" s="1338" t="s">
        <v>485</v>
      </c>
      <c r="R2744" s="1336" t="s">
        <v>296</v>
      </c>
      <c r="S2744" s="1338" t="s">
        <v>486</v>
      </c>
      <c r="T2744" s="1338" t="s">
        <v>487</v>
      </c>
      <c r="U2744" s="1340" t="s">
        <v>488</v>
      </c>
      <c r="V2744" s="291">
        <f t="shared" ref="V2744:V2752" ca="1" si="819">IF(OFFSET(V2744,1,1)=1,OFFSET(V2744,0,-4),OFFSET(V2744,1,0))</f>
        <v>0</v>
      </c>
      <c r="W2744" s="256">
        <f t="shared" ca="1" si="813"/>
        <v>2</v>
      </c>
      <c r="X2744" s="256">
        <f t="shared" ca="1" si="816"/>
        <v>1</v>
      </c>
      <c r="Y2744" s="256"/>
      <c r="Z2744" s="256"/>
      <c r="AA2744" s="292"/>
      <c r="AB2744" s="292"/>
      <c r="AC2744" s="292"/>
    </row>
    <row r="2745" spans="1:29" s="337" customFormat="1" ht="15.75" hidden="1" x14ac:dyDescent="0.2">
      <c r="A2745" s="288"/>
      <c r="B2745" s="1375"/>
      <c r="C2745" s="1377" t="e">
        <f>VLOOKUP(LEFT(#REF!,5),'11 - FINANCEIRO'!_xlnm.Print_Area,2,FALSE)</f>
        <v>#REF!</v>
      </c>
      <c r="D2745" s="1342" t="s">
        <v>489</v>
      </c>
      <c r="E2745" s="1343"/>
      <c r="F2745" s="1344"/>
      <c r="G2745" s="1345" t="s">
        <v>490</v>
      </c>
      <c r="H2745" s="1346"/>
      <c r="I2745" s="1347"/>
      <c r="J2745" s="1339"/>
      <c r="K2745" s="1339"/>
      <c r="L2745" s="1339"/>
      <c r="M2745" s="1339"/>
      <c r="N2745" s="1339"/>
      <c r="O2745" s="1339"/>
      <c r="P2745" s="295" t="s">
        <v>491</v>
      </c>
      <c r="Q2745" s="1339"/>
      <c r="R2745" s="1337"/>
      <c r="S2745" s="1339"/>
      <c r="T2745" s="1339"/>
      <c r="U2745" s="1341"/>
      <c r="V2745" s="291">
        <f t="shared" ca="1" si="819"/>
        <v>0</v>
      </c>
      <c r="W2745" s="256">
        <f t="shared" ca="1" si="813"/>
        <v>2</v>
      </c>
      <c r="X2745" s="256">
        <f t="shared" ca="1" si="816"/>
        <v>1</v>
      </c>
      <c r="Y2745" s="336"/>
      <c r="Z2745" s="336"/>
    </row>
    <row r="2746" spans="1:29" s="337" customFormat="1" ht="15.75" hidden="1" x14ac:dyDescent="0.2">
      <c r="A2746" s="288"/>
      <c r="B2746" s="296"/>
      <c r="C2746" s="297" t="s">
        <v>679</v>
      </c>
      <c r="D2746" s="298"/>
      <c r="E2746" s="299"/>
      <c r="F2746" s="300"/>
      <c r="G2746" s="301"/>
      <c r="H2746" s="302"/>
      <c r="I2746" s="303"/>
      <c r="J2746" s="304"/>
      <c r="K2746" s="304"/>
      <c r="L2746" s="304"/>
      <c r="M2746" s="304"/>
      <c r="N2746" s="304"/>
      <c r="O2746" s="304"/>
      <c r="P2746" s="306"/>
      <c r="Q2746" s="304"/>
      <c r="R2746" s="307">
        <v>3</v>
      </c>
      <c r="S2746" s="304"/>
      <c r="T2746" s="309">
        <v>18</v>
      </c>
      <c r="U2746" s="310"/>
      <c r="V2746" s="291">
        <f t="shared" ca="1" si="819"/>
        <v>0</v>
      </c>
      <c r="W2746" s="256">
        <f t="shared" ca="1" si="813"/>
        <v>2</v>
      </c>
      <c r="X2746" s="256">
        <f t="shared" ca="1" si="816"/>
        <v>1</v>
      </c>
      <c r="Y2746" s="336"/>
      <c r="Z2746" s="336"/>
    </row>
    <row r="2747" spans="1:29" s="111" customFormat="1" ht="15.75" hidden="1" x14ac:dyDescent="0.2">
      <c r="A2747" s="288"/>
      <c r="B2747" s="311"/>
      <c r="C2747" s="312"/>
      <c r="D2747" s="313"/>
      <c r="E2747" s="314"/>
      <c r="F2747" s="315"/>
      <c r="G2747" s="380"/>
      <c r="H2747" s="316"/>
      <c r="I2747" s="381"/>
      <c r="J2747" s="317"/>
      <c r="K2747" s="313"/>
      <c r="L2747" s="317"/>
      <c r="M2747" s="315"/>
      <c r="N2747" s="314"/>
      <c r="O2747" s="313"/>
      <c r="P2747" s="318"/>
      <c r="Q2747" s="315"/>
      <c r="R2747" s="319"/>
      <c r="S2747" s="317"/>
      <c r="T2747" s="320"/>
      <c r="U2747" s="321"/>
      <c r="V2747" s="291">
        <f t="shared" ca="1" si="819"/>
        <v>0</v>
      </c>
      <c r="W2747" s="256">
        <f t="shared" ca="1" si="813"/>
        <v>0</v>
      </c>
      <c r="X2747" s="256">
        <f t="shared" ca="1" si="816"/>
        <v>1</v>
      </c>
      <c r="Y2747" s="250"/>
      <c r="Z2747" s="250"/>
    </row>
    <row r="2748" spans="1:29" s="111" customFormat="1" ht="15" hidden="1" x14ac:dyDescent="0.2">
      <c r="A2748" s="288"/>
      <c r="B2748" s="322"/>
      <c r="C2748" s="382"/>
      <c r="D2748" s="324"/>
      <c r="E2748" s="325"/>
      <c r="F2748" s="326"/>
      <c r="G2748" s="324"/>
      <c r="H2748" s="325"/>
      <c r="I2748" s="326"/>
      <c r="J2748" s="317"/>
      <c r="K2748" s="328"/>
      <c r="L2748" s="328"/>
      <c r="M2748" s="328"/>
      <c r="N2748" s="328"/>
      <c r="O2748" s="334"/>
      <c r="P2748" s="328"/>
      <c r="Q2748" s="334"/>
      <c r="R2748" s="333"/>
      <c r="S2748" s="331"/>
      <c r="T2748" s="320"/>
      <c r="U2748" s="335"/>
      <c r="V2748" s="291">
        <f t="shared" ca="1" si="819"/>
        <v>0</v>
      </c>
      <c r="W2748" s="256">
        <f t="shared" ca="1" si="813"/>
        <v>0</v>
      </c>
      <c r="X2748" s="256">
        <f t="shared" ca="1" si="816"/>
        <v>1</v>
      </c>
      <c r="Y2748" s="250"/>
      <c r="Z2748" s="250"/>
    </row>
    <row r="2749" spans="1:29" s="111" customFormat="1" ht="15" hidden="1" x14ac:dyDescent="0.2">
      <c r="A2749" s="288"/>
      <c r="B2749" s="338"/>
      <c r="C2749" s="339"/>
      <c r="D2749" s="340"/>
      <c r="E2749" s="341"/>
      <c r="F2749" s="342"/>
      <c r="G2749" s="340"/>
      <c r="H2749" s="341"/>
      <c r="I2749" s="342"/>
      <c r="J2749" s="343"/>
      <c r="K2749" s="344"/>
      <c r="L2749" s="345"/>
      <c r="M2749" s="346"/>
      <c r="N2749" s="347"/>
      <c r="O2749" s="348"/>
      <c r="P2749" s="345"/>
      <c r="Q2749" s="349"/>
      <c r="R2749" s="350"/>
      <c r="S2749" s="351"/>
      <c r="T2749" s="352"/>
      <c r="U2749" s="353"/>
      <c r="V2749" s="291">
        <f t="shared" ca="1" si="819"/>
        <v>0</v>
      </c>
      <c r="W2749" s="256">
        <f t="shared" ca="1" si="813"/>
        <v>0</v>
      </c>
      <c r="X2749" s="256">
        <f t="shared" ca="1" si="816"/>
        <v>1</v>
      </c>
      <c r="Y2749" s="250"/>
      <c r="Z2749" s="250"/>
    </row>
    <row r="2750" spans="1:29" s="111" customFormat="1" ht="15.75" hidden="1" x14ac:dyDescent="0.2">
      <c r="A2750" s="288"/>
      <c r="B2750" s="354"/>
      <c r="C2750" s="355"/>
      <c r="D2750" s="1354" t="s">
        <v>492</v>
      </c>
      <c r="E2750" s="1355"/>
      <c r="F2750" s="1355"/>
      <c r="G2750" s="1355"/>
      <c r="H2750" s="1355"/>
      <c r="I2750" s="1356"/>
      <c r="J2750" s="1357">
        <f>VLOOKUP(A2752,'11 - FINANCEIRO'!_xlnm.Print_Area,6,FALSE)</f>
        <v>3</v>
      </c>
      <c r="K2750" s="1358"/>
      <c r="L2750" s="356" t="str">
        <f>VLOOKUP(A2752,'11 - FINANCEIRO'!_xlnm.Print_Area,4,FALSE)</f>
        <v>ud</v>
      </c>
      <c r="M2750" s="1359" t="s">
        <v>493</v>
      </c>
      <c r="N2750" s="1360"/>
      <c r="O2750" s="1360"/>
      <c r="P2750" s="1360"/>
      <c r="Q2750" s="1361"/>
      <c r="R2750" s="357">
        <f>TRUNC(SUM(R2746:R2749),3)</f>
        <v>3</v>
      </c>
      <c r="S2750" s="358" t="str">
        <f>L2750</f>
        <v>ud</v>
      </c>
      <c r="T2750" s="359"/>
      <c r="U2750" s="360"/>
      <c r="V2750" s="291">
        <f t="shared" ca="1" si="819"/>
        <v>0</v>
      </c>
      <c r="W2750" s="256">
        <f t="shared" ca="1" si="813"/>
        <v>2</v>
      </c>
      <c r="X2750" s="256">
        <f t="shared" ca="1" si="816"/>
        <v>1</v>
      </c>
      <c r="Y2750" s="250"/>
      <c r="Z2750" s="250"/>
    </row>
    <row r="2751" spans="1:29" s="293" customFormat="1" ht="15.75" hidden="1" x14ac:dyDescent="0.2">
      <c r="A2751" s="288" t="s">
        <v>147</v>
      </c>
      <c r="B2751" s="354"/>
      <c r="C2751" s="361"/>
      <c r="D2751" s="1362" t="s">
        <v>494</v>
      </c>
      <c r="E2751" s="1363"/>
      <c r="F2751" s="1363"/>
      <c r="G2751" s="1363"/>
      <c r="H2751" s="1363"/>
      <c r="I2751" s="1364"/>
      <c r="J2751" s="1365">
        <f>R2750/J2750</f>
        <v>1</v>
      </c>
      <c r="K2751" s="1366"/>
      <c r="L2751" s="1369"/>
      <c r="M2751" s="1371" t="s">
        <v>495</v>
      </c>
      <c r="N2751" s="1372"/>
      <c r="O2751" s="1372"/>
      <c r="P2751" s="1372"/>
      <c r="Q2751" s="1373"/>
      <c r="R2751" s="362">
        <f>VLOOKUP(A2752,'11 - FINANCEIRO'!_xlnm.Print_Area,8,FALSE)</f>
        <v>3</v>
      </c>
      <c r="S2751" s="363" t="str">
        <f>L2750</f>
        <v>ud</v>
      </c>
      <c r="T2751" s="359"/>
      <c r="U2751" s="360"/>
      <c r="V2751" s="291">
        <f t="shared" ca="1" si="819"/>
        <v>0</v>
      </c>
      <c r="W2751" s="256">
        <f t="shared" ca="1" si="813"/>
        <v>2</v>
      </c>
      <c r="X2751" s="256">
        <f t="shared" ca="1" si="816"/>
        <v>1</v>
      </c>
      <c r="Y2751" s="256"/>
      <c r="Z2751" s="256"/>
      <c r="AA2751" s="292"/>
      <c r="AB2751" s="292"/>
      <c r="AC2751" s="292"/>
    </row>
    <row r="2752" spans="1:29" s="293" customFormat="1" ht="15.75" hidden="1" x14ac:dyDescent="0.2">
      <c r="A2752" s="288" t="s">
        <v>148</v>
      </c>
      <c r="B2752" s="364"/>
      <c r="C2752" s="365"/>
      <c r="D2752" s="1354"/>
      <c r="E2752" s="1355"/>
      <c r="F2752" s="1355"/>
      <c r="G2752" s="1355"/>
      <c r="H2752" s="1355"/>
      <c r="I2752" s="1356"/>
      <c r="J2752" s="1367"/>
      <c r="K2752" s="1368"/>
      <c r="L2752" s="1370"/>
      <c r="M2752" s="1371" t="s">
        <v>496</v>
      </c>
      <c r="N2752" s="1372"/>
      <c r="O2752" s="1372"/>
      <c r="P2752" s="1372"/>
      <c r="Q2752" s="1373"/>
      <c r="R2752" s="362">
        <f>R2750-R2751</f>
        <v>0</v>
      </c>
      <c r="S2752" s="363" t="str">
        <f>L2750</f>
        <v>ud</v>
      </c>
      <c r="T2752" s="366"/>
      <c r="U2752" s="367"/>
      <c r="V2752" s="291">
        <f t="shared" ca="1" si="819"/>
        <v>0</v>
      </c>
      <c r="W2752" s="256">
        <f t="shared" ca="1" si="813"/>
        <v>2</v>
      </c>
      <c r="X2752" s="256">
        <f t="shared" ca="1" si="816"/>
        <v>1</v>
      </c>
      <c r="Y2752" s="256"/>
      <c r="Z2752" s="256"/>
      <c r="AA2752" s="292"/>
      <c r="AB2752" s="292"/>
      <c r="AC2752" s="292"/>
    </row>
    <row r="2753" spans="1:29" s="111" customFormat="1" ht="15.75" hidden="1" x14ac:dyDescent="0.2">
      <c r="A2753" s="288"/>
      <c r="B2753" s="368"/>
      <c r="C2753" s="365"/>
      <c r="D2753" s="369"/>
      <c r="E2753" s="370"/>
      <c r="F2753" s="369"/>
      <c r="G2753" s="369"/>
      <c r="H2753" s="369"/>
      <c r="I2753" s="369"/>
      <c r="J2753" s="371"/>
      <c r="K2753" s="372"/>
      <c r="L2753" s="373"/>
      <c r="M2753" s="374"/>
      <c r="N2753" s="374"/>
      <c r="O2753" s="374"/>
      <c r="P2753" s="374"/>
      <c r="Q2753" s="374"/>
      <c r="R2753" s="375"/>
      <c r="S2753" s="376"/>
      <c r="T2753" s="377"/>
      <c r="U2753" s="378"/>
      <c r="V2753" s="379">
        <f ca="1">SUM(V2744:V2752)</f>
        <v>0</v>
      </c>
      <c r="W2753" s="256">
        <f t="shared" ca="1" si="813"/>
        <v>1</v>
      </c>
      <c r="X2753" s="256">
        <f t="shared" ca="1" si="816"/>
        <v>0</v>
      </c>
      <c r="Y2753" s="250"/>
      <c r="Z2753" s="250"/>
    </row>
    <row r="2754" spans="1:29" s="293" customFormat="1" ht="15.75" hidden="1" customHeight="1" x14ac:dyDescent="0.25">
      <c r="A2754" s="288"/>
      <c r="B2754" s="1374" t="str">
        <f>VLOOKUP(A2762,'11 - FINANCEIRO'!_xlnm.Print_Area,1,FALSE)</f>
        <v>3.4.2</v>
      </c>
      <c r="C2754" s="1376" t="str">
        <f>VLOOKUP(A2762,'11 - FINANCEIRO'!_xlnm.Print_Area,3,FALSE)</f>
        <v>Sinalização Vertical Com Chapa Em Esmalte Sintético</v>
      </c>
      <c r="D2754" s="1378" t="s">
        <v>477</v>
      </c>
      <c r="E2754" s="1379"/>
      <c r="F2754" s="1379"/>
      <c r="G2754" s="1379"/>
      <c r="H2754" s="1379"/>
      <c r="I2754" s="1380"/>
      <c r="J2754" s="1338" t="s">
        <v>478</v>
      </c>
      <c r="K2754" s="1338" t="s">
        <v>479</v>
      </c>
      <c r="L2754" s="1338" t="s">
        <v>480</v>
      </c>
      <c r="M2754" s="1338" t="s">
        <v>481</v>
      </c>
      <c r="N2754" s="1338" t="s">
        <v>482</v>
      </c>
      <c r="O2754" s="1338" t="s">
        <v>483</v>
      </c>
      <c r="P2754" s="290" t="s">
        <v>484</v>
      </c>
      <c r="Q2754" s="1338" t="s">
        <v>485</v>
      </c>
      <c r="R2754" s="1336" t="s">
        <v>296</v>
      </c>
      <c r="S2754" s="1338" t="s">
        <v>486</v>
      </c>
      <c r="T2754" s="1338" t="s">
        <v>487</v>
      </c>
      <c r="U2754" s="1340" t="s">
        <v>488</v>
      </c>
      <c r="V2754" s="291">
        <f t="shared" ref="V2754:V2762" ca="1" si="820">IF(OFFSET(V2754,1,1)=1,OFFSET(V2754,0,-4),OFFSET(V2754,1,0))</f>
        <v>0</v>
      </c>
      <c r="W2754" s="256">
        <f t="shared" ca="1" si="813"/>
        <v>2</v>
      </c>
      <c r="X2754" s="256">
        <f t="shared" ca="1" si="816"/>
        <v>1</v>
      </c>
      <c r="Y2754" s="256"/>
      <c r="Z2754" s="256"/>
      <c r="AA2754" s="292"/>
      <c r="AB2754" s="292"/>
      <c r="AC2754" s="292"/>
    </row>
    <row r="2755" spans="1:29" s="337" customFormat="1" ht="15.75" hidden="1" x14ac:dyDescent="0.2">
      <c r="A2755" s="288"/>
      <c r="B2755" s="1375"/>
      <c r="C2755" s="1377" t="e">
        <f>VLOOKUP(LEFT(#REF!,5),'11 - FINANCEIRO'!_xlnm.Print_Area,2,FALSE)</f>
        <v>#REF!</v>
      </c>
      <c r="D2755" s="1342" t="s">
        <v>489</v>
      </c>
      <c r="E2755" s="1343"/>
      <c r="F2755" s="1344"/>
      <c r="G2755" s="1345" t="s">
        <v>490</v>
      </c>
      <c r="H2755" s="1346"/>
      <c r="I2755" s="1347"/>
      <c r="J2755" s="1339"/>
      <c r="K2755" s="1339"/>
      <c r="L2755" s="1339"/>
      <c r="M2755" s="1339"/>
      <c r="N2755" s="1339"/>
      <c r="O2755" s="1339"/>
      <c r="P2755" s="295" t="s">
        <v>491</v>
      </c>
      <c r="Q2755" s="1339"/>
      <c r="R2755" s="1337"/>
      <c r="S2755" s="1339"/>
      <c r="T2755" s="1339"/>
      <c r="U2755" s="1341"/>
      <c r="V2755" s="291">
        <f t="shared" ca="1" si="820"/>
        <v>0</v>
      </c>
      <c r="W2755" s="256">
        <f t="shared" ca="1" si="813"/>
        <v>2</v>
      </c>
      <c r="X2755" s="256">
        <f t="shared" ca="1" si="816"/>
        <v>1</v>
      </c>
      <c r="Y2755" s="336"/>
      <c r="Z2755" s="336"/>
    </row>
    <row r="2756" spans="1:29" s="337" customFormat="1" ht="15.75" hidden="1" x14ac:dyDescent="0.2">
      <c r="A2756" s="288"/>
      <c r="B2756" s="296"/>
      <c r="C2756" s="297" t="s">
        <v>679</v>
      </c>
      <c r="D2756" s="298"/>
      <c r="E2756" s="299"/>
      <c r="F2756" s="300"/>
      <c r="G2756" s="301"/>
      <c r="H2756" s="302"/>
      <c r="I2756" s="303"/>
      <c r="J2756" s="304"/>
      <c r="K2756" s="304">
        <v>1</v>
      </c>
      <c r="L2756" s="304"/>
      <c r="M2756" s="304">
        <v>0.7</v>
      </c>
      <c r="N2756" s="304"/>
      <c r="O2756" s="304"/>
      <c r="P2756" s="306"/>
      <c r="Q2756" s="304" t="s">
        <v>626</v>
      </c>
      <c r="R2756" s="307">
        <v>10</v>
      </c>
      <c r="S2756" s="308" t="str">
        <f>S2760</f>
        <v>m²</v>
      </c>
      <c r="T2756" s="309">
        <v>18</v>
      </c>
      <c r="U2756" s="310"/>
      <c r="V2756" s="291">
        <f t="shared" ca="1" si="820"/>
        <v>0</v>
      </c>
      <c r="W2756" s="256">
        <f ca="1">IF(LEFT(_xlfn.FORMULATEXT(V2756),3)="=SO",1,IF(COUNTA(A2756:U2756)=0,0,2))</f>
        <v>2</v>
      </c>
      <c r="X2756" s="256">
        <f t="shared" ca="1" si="816"/>
        <v>1</v>
      </c>
      <c r="Y2756" s="336"/>
      <c r="Z2756" s="336"/>
    </row>
    <row r="2757" spans="1:29" s="111" customFormat="1" ht="15.75" hidden="1" x14ac:dyDescent="0.2">
      <c r="A2757" s="288"/>
      <c r="B2757" s="311"/>
      <c r="C2757" s="312"/>
      <c r="D2757" s="313"/>
      <c r="E2757" s="314"/>
      <c r="F2757" s="315"/>
      <c r="G2757" s="380"/>
      <c r="H2757" s="316"/>
      <c r="I2757" s="381"/>
      <c r="J2757" s="317"/>
      <c r="K2757" s="313"/>
      <c r="L2757" s="317"/>
      <c r="M2757" s="315"/>
      <c r="N2757" s="314"/>
      <c r="O2757" s="313"/>
      <c r="P2757" s="318"/>
      <c r="Q2757" s="315"/>
      <c r="R2757" s="319"/>
      <c r="S2757" s="317"/>
      <c r="T2757" s="320"/>
      <c r="U2757" s="321"/>
      <c r="V2757" s="291">
        <f t="shared" ca="1" si="820"/>
        <v>0</v>
      </c>
      <c r="W2757" s="256">
        <f t="shared" ref="W2757:W2819" ca="1" si="821">IF(LEFT(_xlfn.FORMULATEXT(V2757),3)="=SO",1,IF(COUNTA(A2757:U2757)=0,0,2))</f>
        <v>0</v>
      </c>
      <c r="X2757" s="256">
        <f t="shared" ca="1" si="816"/>
        <v>1</v>
      </c>
      <c r="Y2757" s="250"/>
      <c r="Z2757" s="250"/>
    </row>
    <row r="2758" spans="1:29" s="111" customFormat="1" ht="15" hidden="1" x14ac:dyDescent="0.2">
      <c r="A2758" s="288"/>
      <c r="B2758" s="322"/>
      <c r="C2758" s="382"/>
      <c r="D2758" s="324"/>
      <c r="E2758" s="325"/>
      <c r="F2758" s="326"/>
      <c r="G2758" s="324"/>
      <c r="H2758" s="325"/>
      <c r="I2758" s="326"/>
      <c r="J2758" s="317"/>
      <c r="K2758" s="328"/>
      <c r="L2758" s="328"/>
      <c r="M2758" s="328"/>
      <c r="N2758" s="328"/>
      <c r="O2758" s="334"/>
      <c r="P2758" s="328"/>
      <c r="Q2758" s="334"/>
      <c r="R2758" s="333"/>
      <c r="S2758" s="331"/>
      <c r="T2758" s="320"/>
      <c r="U2758" s="335"/>
      <c r="V2758" s="291">
        <f t="shared" ca="1" si="820"/>
        <v>0</v>
      </c>
      <c r="W2758" s="256">
        <f t="shared" ca="1" si="821"/>
        <v>0</v>
      </c>
      <c r="X2758" s="256">
        <f t="shared" ca="1" si="816"/>
        <v>1</v>
      </c>
      <c r="Y2758" s="250"/>
      <c r="Z2758" s="250"/>
    </row>
    <row r="2759" spans="1:29" s="111" customFormat="1" ht="15" hidden="1" x14ac:dyDescent="0.2">
      <c r="A2759" s="288"/>
      <c r="B2759" s="338"/>
      <c r="C2759" s="339"/>
      <c r="D2759" s="340"/>
      <c r="E2759" s="341"/>
      <c r="F2759" s="342"/>
      <c r="G2759" s="340"/>
      <c r="H2759" s="341"/>
      <c r="I2759" s="342"/>
      <c r="J2759" s="343"/>
      <c r="K2759" s="344"/>
      <c r="L2759" s="345"/>
      <c r="M2759" s="346"/>
      <c r="N2759" s="347"/>
      <c r="O2759" s="348"/>
      <c r="P2759" s="345"/>
      <c r="Q2759" s="349"/>
      <c r="R2759" s="350"/>
      <c r="S2759" s="351"/>
      <c r="T2759" s="352"/>
      <c r="U2759" s="353"/>
      <c r="V2759" s="291">
        <f t="shared" ca="1" si="820"/>
        <v>0</v>
      </c>
      <c r="W2759" s="256">
        <f t="shared" ca="1" si="821"/>
        <v>0</v>
      </c>
      <c r="X2759" s="256">
        <f t="shared" ca="1" si="816"/>
        <v>1</v>
      </c>
      <c r="Y2759" s="250"/>
      <c r="Z2759" s="250"/>
    </row>
    <row r="2760" spans="1:29" s="111" customFormat="1" ht="15.75" hidden="1" customHeight="1" x14ac:dyDescent="0.2">
      <c r="A2760" s="288"/>
      <c r="B2760" s="354"/>
      <c r="C2760" s="355"/>
      <c r="D2760" s="1354" t="s">
        <v>492</v>
      </c>
      <c r="E2760" s="1355"/>
      <c r="F2760" s="1355"/>
      <c r="G2760" s="1355"/>
      <c r="H2760" s="1355"/>
      <c r="I2760" s="1356"/>
      <c r="J2760" s="1357">
        <f>VLOOKUP(A2762,'11 - FINANCEIRO'!_xlnm.Print_Area,6,FALSE)</f>
        <v>10</v>
      </c>
      <c r="K2760" s="1358"/>
      <c r="L2760" s="356" t="str">
        <f>VLOOKUP(A2762,'11 - FINANCEIRO'!_xlnm.Print_Area,4,FALSE)</f>
        <v>m²</v>
      </c>
      <c r="M2760" s="1359" t="s">
        <v>493</v>
      </c>
      <c r="N2760" s="1360"/>
      <c r="O2760" s="1360"/>
      <c r="P2760" s="1360"/>
      <c r="Q2760" s="1361"/>
      <c r="R2760" s="357">
        <f>TRUNC(SUM(R2756:R2759),3)</f>
        <v>10</v>
      </c>
      <c r="S2760" s="358" t="str">
        <f>L2760</f>
        <v>m²</v>
      </c>
      <c r="T2760" s="359"/>
      <c r="U2760" s="360"/>
      <c r="V2760" s="291">
        <f t="shared" ca="1" si="820"/>
        <v>0</v>
      </c>
      <c r="W2760" s="256">
        <f t="shared" ca="1" si="821"/>
        <v>2</v>
      </c>
      <c r="X2760" s="256">
        <f t="shared" ca="1" si="816"/>
        <v>1</v>
      </c>
      <c r="Y2760" s="250"/>
      <c r="Z2760" s="250"/>
    </row>
    <row r="2761" spans="1:29" s="293" customFormat="1" ht="15.75" hidden="1" customHeight="1" x14ac:dyDescent="0.2">
      <c r="A2761" s="288"/>
      <c r="B2761" s="354"/>
      <c r="C2761" s="361"/>
      <c r="D2761" s="1362" t="s">
        <v>494</v>
      </c>
      <c r="E2761" s="1363"/>
      <c r="F2761" s="1363"/>
      <c r="G2761" s="1363"/>
      <c r="H2761" s="1363"/>
      <c r="I2761" s="1364"/>
      <c r="J2761" s="1365">
        <f>R2760/J2760</f>
        <v>1</v>
      </c>
      <c r="K2761" s="1366"/>
      <c r="L2761" s="1369"/>
      <c r="M2761" s="1371" t="s">
        <v>495</v>
      </c>
      <c r="N2761" s="1372"/>
      <c r="O2761" s="1372"/>
      <c r="P2761" s="1372"/>
      <c r="Q2761" s="1373"/>
      <c r="R2761" s="362">
        <f>VLOOKUP(A2762,'11 - FINANCEIRO'!_xlnm.Print_Area,8,FALSE)</f>
        <v>10</v>
      </c>
      <c r="S2761" s="363" t="str">
        <f>L2760</f>
        <v>m²</v>
      </c>
      <c r="T2761" s="359"/>
      <c r="U2761" s="360"/>
      <c r="V2761" s="291">
        <f t="shared" ca="1" si="820"/>
        <v>0</v>
      </c>
      <c r="W2761" s="256">
        <f t="shared" ca="1" si="821"/>
        <v>2</v>
      </c>
      <c r="X2761" s="256">
        <f t="shared" ca="1" si="816"/>
        <v>1</v>
      </c>
      <c r="Y2761" s="256"/>
      <c r="Z2761" s="256"/>
      <c r="AA2761" s="292"/>
      <c r="AB2761" s="292"/>
      <c r="AC2761" s="292"/>
    </row>
    <row r="2762" spans="1:29" s="293" customFormat="1" ht="15.75" hidden="1" customHeight="1" x14ac:dyDescent="0.2">
      <c r="A2762" s="288" t="s">
        <v>149</v>
      </c>
      <c r="B2762" s="364"/>
      <c r="C2762" s="365"/>
      <c r="D2762" s="1354"/>
      <c r="E2762" s="1355"/>
      <c r="F2762" s="1355"/>
      <c r="G2762" s="1355"/>
      <c r="H2762" s="1355"/>
      <c r="I2762" s="1356"/>
      <c r="J2762" s="1367"/>
      <c r="K2762" s="1368"/>
      <c r="L2762" s="1370"/>
      <c r="M2762" s="1371" t="s">
        <v>496</v>
      </c>
      <c r="N2762" s="1372"/>
      <c r="O2762" s="1372"/>
      <c r="P2762" s="1372"/>
      <c r="Q2762" s="1373"/>
      <c r="R2762" s="362">
        <f>R2760-R2761</f>
        <v>0</v>
      </c>
      <c r="S2762" s="363" t="str">
        <f>L2760</f>
        <v>m²</v>
      </c>
      <c r="T2762" s="366"/>
      <c r="U2762" s="367"/>
      <c r="V2762" s="291">
        <f t="shared" ca="1" si="820"/>
        <v>0</v>
      </c>
      <c r="W2762" s="256">
        <f t="shared" ca="1" si="821"/>
        <v>2</v>
      </c>
      <c r="X2762" s="256">
        <f t="shared" ca="1" si="816"/>
        <v>1</v>
      </c>
      <c r="Y2762" s="256"/>
      <c r="Z2762" s="256"/>
      <c r="AA2762" s="292"/>
      <c r="AB2762" s="292"/>
      <c r="AC2762" s="292"/>
    </row>
    <row r="2763" spans="1:29" s="111" customFormat="1" ht="15.75" hidden="1" x14ac:dyDescent="0.2">
      <c r="A2763" s="288"/>
      <c r="B2763" s="368"/>
      <c r="C2763" s="365"/>
      <c r="D2763" s="369"/>
      <c r="E2763" s="370"/>
      <c r="F2763" s="369"/>
      <c r="G2763" s="369"/>
      <c r="H2763" s="369"/>
      <c r="I2763" s="369"/>
      <c r="J2763" s="371"/>
      <c r="K2763" s="372"/>
      <c r="L2763" s="373"/>
      <c r="M2763" s="374"/>
      <c r="N2763" s="374"/>
      <c r="O2763" s="374"/>
      <c r="P2763" s="374"/>
      <c r="Q2763" s="374"/>
      <c r="R2763" s="375"/>
      <c r="S2763" s="376"/>
      <c r="T2763" s="377"/>
      <c r="U2763" s="378"/>
      <c r="V2763" s="379">
        <f ca="1">SUM(V2754:V2762)</f>
        <v>0</v>
      </c>
      <c r="W2763" s="256">
        <f t="shared" ca="1" si="821"/>
        <v>1</v>
      </c>
      <c r="X2763" s="256">
        <f t="shared" ca="1" si="816"/>
        <v>0</v>
      </c>
      <c r="Y2763" s="250"/>
      <c r="Z2763" s="250"/>
    </row>
    <row r="2764" spans="1:29" s="293" customFormat="1" ht="15.75" hidden="1" customHeight="1" x14ac:dyDescent="0.25">
      <c r="A2764" s="288"/>
      <c r="B2764" s="1374" t="str">
        <f>VLOOKUP(A2772,'11 - FINANCEIRO'!_xlnm.Print_Area,1,FALSE)</f>
        <v>3.4.3</v>
      </c>
      <c r="C2764" s="1376" t="str">
        <f>VLOOKUP(A2772,'11 - FINANCEIRO'!_xlnm.Print_Area,3,FALSE)</f>
        <v>Tela De Proteção De Segurança De Pvc Cor Laranja Com Suporte  Para Sinalização De Obras</v>
      </c>
      <c r="D2764" s="1378" t="s">
        <v>477</v>
      </c>
      <c r="E2764" s="1379"/>
      <c r="F2764" s="1379"/>
      <c r="G2764" s="1379"/>
      <c r="H2764" s="1379"/>
      <c r="I2764" s="1380"/>
      <c r="J2764" s="1338" t="s">
        <v>478</v>
      </c>
      <c r="K2764" s="1338" t="s">
        <v>479</v>
      </c>
      <c r="L2764" s="1338" t="s">
        <v>480</v>
      </c>
      <c r="M2764" s="1338" t="s">
        <v>481</v>
      </c>
      <c r="N2764" s="1338" t="s">
        <v>482</v>
      </c>
      <c r="O2764" s="1338" t="s">
        <v>483</v>
      </c>
      <c r="P2764" s="290" t="s">
        <v>484</v>
      </c>
      <c r="Q2764" s="1338" t="s">
        <v>485</v>
      </c>
      <c r="R2764" s="1336" t="s">
        <v>296</v>
      </c>
      <c r="S2764" s="1338" t="s">
        <v>486</v>
      </c>
      <c r="T2764" s="1338" t="s">
        <v>487</v>
      </c>
      <c r="U2764" s="1340" t="s">
        <v>488</v>
      </c>
      <c r="V2764" s="291">
        <f t="shared" ref="V2764:V2772" ca="1" si="822">IF(OFFSET(V2764,1,1)=1,OFFSET(V2764,0,-4),OFFSET(V2764,1,0))</f>
        <v>0</v>
      </c>
      <c r="W2764" s="256">
        <f t="shared" ca="1" si="821"/>
        <v>2</v>
      </c>
      <c r="X2764" s="256">
        <f t="shared" ca="1" si="816"/>
        <v>1</v>
      </c>
      <c r="Y2764" s="256"/>
      <c r="Z2764" s="256"/>
      <c r="AA2764" s="292"/>
      <c r="AB2764" s="292"/>
      <c r="AC2764" s="292"/>
    </row>
    <row r="2765" spans="1:29" s="337" customFormat="1" ht="15.75" hidden="1" x14ac:dyDescent="0.2">
      <c r="A2765" s="288"/>
      <c r="B2765" s="1375"/>
      <c r="C2765" s="1377" t="e">
        <f>VLOOKUP(LEFT(#REF!,5),'11 - FINANCEIRO'!_xlnm.Print_Area,2,FALSE)</f>
        <v>#REF!</v>
      </c>
      <c r="D2765" s="1342" t="s">
        <v>489</v>
      </c>
      <c r="E2765" s="1343"/>
      <c r="F2765" s="1344"/>
      <c r="G2765" s="1345" t="s">
        <v>490</v>
      </c>
      <c r="H2765" s="1346"/>
      <c r="I2765" s="1347"/>
      <c r="J2765" s="1339"/>
      <c r="K2765" s="1339"/>
      <c r="L2765" s="1339"/>
      <c r="M2765" s="1339"/>
      <c r="N2765" s="1339"/>
      <c r="O2765" s="1339"/>
      <c r="P2765" s="295" t="s">
        <v>491</v>
      </c>
      <c r="Q2765" s="1339"/>
      <c r="R2765" s="1337"/>
      <c r="S2765" s="1339"/>
      <c r="T2765" s="1339"/>
      <c r="U2765" s="1341"/>
      <c r="V2765" s="291">
        <f t="shared" ca="1" si="822"/>
        <v>0</v>
      </c>
      <c r="W2765" s="256">
        <f t="shared" ca="1" si="821"/>
        <v>2</v>
      </c>
      <c r="X2765" s="256">
        <f t="shared" ca="1" si="816"/>
        <v>1</v>
      </c>
      <c r="Y2765" s="336"/>
      <c r="Z2765" s="336"/>
    </row>
    <row r="2766" spans="1:29" s="337" customFormat="1" ht="15.75" hidden="1" x14ac:dyDescent="0.2">
      <c r="A2766" s="288"/>
      <c r="B2766" s="296"/>
      <c r="C2766" s="297"/>
      <c r="D2766" s="298"/>
      <c r="E2766" s="299"/>
      <c r="F2766" s="300"/>
      <c r="G2766" s="301"/>
      <c r="H2766" s="302"/>
      <c r="I2766" s="303"/>
      <c r="J2766" s="304"/>
      <c r="K2766" s="304"/>
      <c r="L2766" s="304"/>
      <c r="M2766" s="304"/>
      <c r="N2766" s="304"/>
      <c r="O2766" s="304"/>
      <c r="P2766" s="306"/>
      <c r="Q2766" s="304"/>
      <c r="R2766" s="307"/>
      <c r="S2766" s="304"/>
      <c r="T2766" s="309"/>
      <c r="U2766" s="310"/>
      <c r="V2766" s="291">
        <f t="shared" ca="1" si="822"/>
        <v>0</v>
      </c>
      <c r="W2766" s="256">
        <f t="shared" ca="1" si="821"/>
        <v>0</v>
      </c>
      <c r="X2766" s="256">
        <f t="shared" ca="1" si="816"/>
        <v>1</v>
      </c>
      <c r="Y2766" s="336"/>
      <c r="Z2766" s="336"/>
    </row>
    <row r="2767" spans="1:29" s="111" customFormat="1" ht="15.75" hidden="1" x14ac:dyDescent="0.2">
      <c r="A2767" s="288"/>
      <c r="B2767" s="311"/>
      <c r="C2767" s="312"/>
      <c r="D2767" s="313"/>
      <c r="E2767" s="314"/>
      <c r="F2767" s="315"/>
      <c r="G2767" s="380"/>
      <c r="H2767" s="316"/>
      <c r="I2767" s="381"/>
      <c r="J2767" s="317"/>
      <c r="K2767" s="313"/>
      <c r="L2767" s="317"/>
      <c r="M2767" s="315"/>
      <c r="N2767" s="314"/>
      <c r="O2767" s="313"/>
      <c r="P2767" s="318"/>
      <c r="Q2767" s="315"/>
      <c r="R2767" s="319"/>
      <c r="S2767" s="317"/>
      <c r="T2767" s="320"/>
      <c r="U2767" s="321"/>
      <c r="V2767" s="291">
        <f t="shared" ca="1" si="822"/>
        <v>0</v>
      </c>
      <c r="W2767" s="256">
        <f t="shared" ca="1" si="821"/>
        <v>0</v>
      </c>
      <c r="X2767" s="256">
        <f t="shared" ca="1" si="816"/>
        <v>1</v>
      </c>
      <c r="Y2767" s="250"/>
      <c r="Z2767" s="250"/>
    </row>
    <row r="2768" spans="1:29" s="111" customFormat="1" ht="15" hidden="1" x14ac:dyDescent="0.2">
      <c r="A2768" s="288"/>
      <c r="B2768" s="322"/>
      <c r="C2768" s="382"/>
      <c r="D2768" s="324"/>
      <c r="E2768" s="325"/>
      <c r="F2768" s="326"/>
      <c r="G2768" s="324"/>
      <c r="H2768" s="325"/>
      <c r="I2768" s="326"/>
      <c r="J2768" s="317"/>
      <c r="K2768" s="328"/>
      <c r="L2768" s="328"/>
      <c r="M2768" s="328"/>
      <c r="N2768" s="328"/>
      <c r="O2768" s="334"/>
      <c r="P2768" s="328"/>
      <c r="Q2768" s="334"/>
      <c r="R2768" s="333"/>
      <c r="S2768" s="331"/>
      <c r="T2768" s="320"/>
      <c r="U2768" s="335"/>
      <c r="V2768" s="291">
        <f t="shared" ca="1" si="822"/>
        <v>0</v>
      </c>
      <c r="W2768" s="256">
        <f t="shared" ca="1" si="821"/>
        <v>0</v>
      </c>
      <c r="X2768" s="256">
        <f t="shared" ca="1" si="816"/>
        <v>1</v>
      </c>
      <c r="Y2768" s="250"/>
      <c r="Z2768" s="250"/>
    </row>
    <row r="2769" spans="1:29" s="111" customFormat="1" ht="15" hidden="1" x14ac:dyDescent="0.2">
      <c r="A2769" s="288"/>
      <c r="B2769" s="338"/>
      <c r="C2769" s="753" t="s">
        <v>680</v>
      </c>
      <c r="D2769" s="340"/>
      <c r="E2769" s="341"/>
      <c r="F2769" s="342"/>
      <c r="G2769" s="340"/>
      <c r="H2769" s="341"/>
      <c r="I2769" s="342"/>
      <c r="J2769" s="343"/>
      <c r="K2769" s="344"/>
      <c r="L2769" s="345"/>
      <c r="M2769" s="346"/>
      <c r="N2769" s="347"/>
      <c r="O2769" s="348"/>
      <c r="P2769" s="345"/>
      <c r="Q2769" s="349"/>
      <c r="R2769" s="350"/>
      <c r="S2769" s="351"/>
      <c r="T2769" s="352"/>
      <c r="U2769" s="353"/>
      <c r="V2769" s="291">
        <f t="shared" ca="1" si="822"/>
        <v>0</v>
      </c>
      <c r="W2769" s="256">
        <f t="shared" ca="1" si="821"/>
        <v>2</v>
      </c>
      <c r="X2769" s="256">
        <f t="shared" ca="1" si="816"/>
        <v>1</v>
      </c>
      <c r="Y2769" s="250"/>
      <c r="Z2769" s="250"/>
    </row>
    <row r="2770" spans="1:29" s="111" customFormat="1" ht="15.75" hidden="1" customHeight="1" x14ac:dyDescent="0.2">
      <c r="A2770" s="288"/>
      <c r="B2770" s="354"/>
      <c r="C2770" s="355"/>
      <c r="D2770" s="1354" t="s">
        <v>492</v>
      </c>
      <c r="E2770" s="1355"/>
      <c r="F2770" s="1355"/>
      <c r="G2770" s="1355"/>
      <c r="H2770" s="1355"/>
      <c r="I2770" s="1356"/>
      <c r="J2770" s="1357">
        <f>VLOOKUP(A2772,'11 - FINANCEIRO'!_xlnm.Print_Area,6,FALSE)</f>
        <v>1543.6</v>
      </c>
      <c r="K2770" s="1358"/>
      <c r="L2770" s="356" t="str">
        <f>VLOOKUP(A2772,'11 - FINANCEIRO'!_xlnm.Print_Area,4,FALSE)</f>
        <v>m</v>
      </c>
      <c r="M2770" s="1359" t="s">
        <v>493</v>
      </c>
      <c r="N2770" s="1360"/>
      <c r="O2770" s="1360"/>
      <c r="P2770" s="1360"/>
      <c r="Q2770" s="1361"/>
      <c r="R2770" s="357">
        <f>TRUNC(SUM(R2766:R2769),3)</f>
        <v>0</v>
      </c>
      <c r="S2770" s="358" t="str">
        <f>L2770</f>
        <v>m</v>
      </c>
      <c r="T2770" s="359"/>
      <c r="U2770" s="360"/>
      <c r="V2770" s="291">
        <f t="shared" ca="1" si="822"/>
        <v>0</v>
      </c>
      <c r="W2770" s="256">
        <f t="shared" ca="1" si="821"/>
        <v>2</v>
      </c>
      <c r="X2770" s="256">
        <f t="shared" ca="1" si="816"/>
        <v>1</v>
      </c>
      <c r="Y2770" s="250"/>
      <c r="Z2770" s="250"/>
    </row>
    <row r="2771" spans="1:29" s="395" customFormat="1" ht="15.75" hidden="1" customHeight="1" x14ac:dyDescent="0.2">
      <c r="A2771" s="276"/>
      <c r="B2771" s="354"/>
      <c r="C2771" s="361"/>
      <c r="D2771" s="1362" t="s">
        <v>494</v>
      </c>
      <c r="E2771" s="1363"/>
      <c r="F2771" s="1363"/>
      <c r="G2771" s="1363"/>
      <c r="H2771" s="1363"/>
      <c r="I2771" s="1364"/>
      <c r="J2771" s="1365">
        <f>R2770/J2770</f>
        <v>0</v>
      </c>
      <c r="K2771" s="1366"/>
      <c r="L2771" s="1369"/>
      <c r="M2771" s="1371" t="s">
        <v>495</v>
      </c>
      <c r="N2771" s="1372"/>
      <c r="O2771" s="1372"/>
      <c r="P2771" s="1372"/>
      <c r="Q2771" s="1373"/>
      <c r="R2771" s="362">
        <f>VLOOKUP(A2772,'11 - FINANCEIRO'!_xlnm.Print_Area,8,FALSE)</f>
        <v>0</v>
      </c>
      <c r="S2771" s="363" t="str">
        <f>L2770</f>
        <v>m</v>
      </c>
      <c r="T2771" s="359"/>
      <c r="U2771" s="360"/>
      <c r="V2771" s="291">
        <f t="shared" ca="1" si="822"/>
        <v>0</v>
      </c>
      <c r="W2771" s="256">
        <f t="shared" ca="1" si="821"/>
        <v>2</v>
      </c>
      <c r="X2771" s="256">
        <f t="shared" ca="1" si="816"/>
        <v>1</v>
      </c>
    </row>
    <row r="2772" spans="1:29" s="395" customFormat="1" ht="15.75" hidden="1" customHeight="1" x14ac:dyDescent="0.2">
      <c r="A2772" s="288" t="s">
        <v>150</v>
      </c>
      <c r="B2772" s="364"/>
      <c r="C2772" s="365"/>
      <c r="D2772" s="1354"/>
      <c r="E2772" s="1355"/>
      <c r="F2772" s="1355"/>
      <c r="G2772" s="1355"/>
      <c r="H2772" s="1355"/>
      <c r="I2772" s="1356"/>
      <c r="J2772" s="1367"/>
      <c r="K2772" s="1368"/>
      <c r="L2772" s="1370"/>
      <c r="M2772" s="1371" t="s">
        <v>496</v>
      </c>
      <c r="N2772" s="1372"/>
      <c r="O2772" s="1372"/>
      <c r="P2772" s="1372"/>
      <c r="Q2772" s="1373"/>
      <c r="R2772" s="362">
        <f>R2770-R2771</f>
        <v>0</v>
      </c>
      <c r="S2772" s="363" t="str">
        <f>L2770</f>
        <v>m</v>
      </c>
      <c r="T2772" s="366"/>
      <c r="U2772" s="367"/>
      <c r="V2772" s="291">
        <f t="shared" ca="1" si="822"/>
        <v>0</v>
      </c>
      <c r="W2772" s="256">
        <f t="shared" ca="1" si="821"/>
        <v>2</v>
      </c>
      <c r="X2772" s="256">
        <f t="shared" ca="1" si="816"/>
        <v>1</v>
      </c>
    </row>
    <row r="2773" spans="1:29" s="111" customFormat="1" ht="15.75" hidden="1" x14ac:dyDescent="0.2">
      <c r="A2773" s="288"/>
      <c r="B2773" s="368"/>
      <c r="C2773" s="365"/>
      <c r="D2773" s="369"/>
      <c r="E2773" s="370"/>
      <c r="F2773" s="369"/>
      <c r="G2773" s="369"/>
      <c r="H2773" s="369"/>
      <c r="I2773" s="369"/>
      <c r="J2773" s="371"/>
      <c r="K2773" s="372"/>
      <c r="L2773" s="373"/>
      <c r="M2773" s="374"/>
      <c r="N2773" s="374"/>
      <c r="O2773" s="374"/>
      <c r="P2773" s="374"/>
      <c r="Q2773" s="374"/>
      <c r="R2773" s="375"/>
      <c r="S2773" s="376"/>
      <c r="T2773" s="377"/>
      <c r="U2773" s="378"/>
      <c r="V2773" s="379">
        <f ca="1">SUM(V2764:V2772)</f>
        <v>0</v>
      </c>
      <c r="W2773" s="256">
        <f t="shared" ca="1" si="821"/>
        <v>1</v>
      </c>
      <c r="X2773" s="256">
        <f t="shared" ca="1" si="816"/>
        <v>0</v>
      </c>
      <c r="Y2773" s="250"/>
      <c r="Z2773" s="250"/>
    </row>
    <row r="2774" spans="1:29" s="293" customFormat="1" ht="15.75" x14ac:dyDescent="0.2">
      <c r="A2774" s="288"/>
      <c r="B2774" s="385" t="str">
        <f>LEFT(A2782,11)</f>
        <v>4.0</v>
      </c>
      <c r="C2774" s="386" t="str">
        <f>VLOOKUP(LEFT(A2782,11),'11 - FINANCEIRO'!_xlnm.Print_Area,2,FALSE)</f>
        <v>Passarelas</v>
      </c>
      <c r="D2774" s="386"/>
      <c r="E2774" s="387"/>
      <c r="F2774" s="386"/>
      <c r="G2774" s="1395"/>
      <c r="H2774" s="1395"/>
      <c r="I2774" s="1395"/>
      <c r="J2774" s="1395"/>
      <c r="K2774" s="1395"/>
      <c r="L2774" s="1395"/>
      <c r="M2774" s="389"/>
      <c r="N2774" s="390"/>
      <c r="O2774" s="389"/>
      <c r="P2774" s="389"/>
      <c r="Q2774" s="389"/>
      <c r="R2774" s="390"/>
      <c r="S2774" s="389"/>
      <c r="T2774" s="389"/>
      <c r="U2774" s="601"/>
      <c r="V2774" s="549">
        <f ca="1">SUM(V2775:V3688)</f>
        <v>-867.08000000000152</v>
      </c>
      <c r="W2774" s="256">
        <f t="shared" ca="1" si="821"/>
        <v>1</v>
      </c>
      <c r="X2774" s="256">
        <f t="shared" ca="1" si="816"/>
        <v>1</v>
      </c>
      <c r="Y2774" s="256"/>
      <c r="Z2774" s="256"/>
      <c r="AA2774" s="292"/>
      <c r="AB2774" s="292"/>
      <c r="AC2774" s="292"/>
    </row>
    <row r="2775" spans="1:29" s="293" customFormat="1" ht="15.75" x14ac:dyDescent="0.2">
      <c r="A2775" s="288"/>
      <c r="B2775" s="385" t="str">
        <f>LEFT(A2783,11)</f>
        <v>4.1</v>
      </c>
      <c r="C2775" s="386" t="str">
        <f>VLOOKUP(LEFT(A2783,11),'11 - FINANCEIRO'!_xlnm.Print_Area,2,FALSE)</f>
        <v>Passarela Bradesco</v>
      </c>
      <c r="D2775" s="386"/>
      <c r="E2775" s="387"/>
      <c r="F2775" s="386"/>
      <c r="G2775" s="1395"/>
      <c r="H2775" s="1395"/>
      <c r="I2775" s="1395"/>
      <c r="J2775" s="1395"/>
      <c r="K2775" s="1395"/>
      <c r="L2775" s="1395"/>
      <c r="M2775" s="389"/>
      <c r="N2775" s="390"/>
      <c r="O2775" s="389"/>
      <c r="P2775" s="389"/>
      <c r="Q2775" s="389"/>
      <c r="R2775" s="390"/>
      <c r="S2775" s="389"/>
      <c r="T2775" s="389"/>
      <c r="U2775" s="601"/>
      <c r="V2775" s="549">
        <f ca="1">SUM(V2776:V2906)</f>
        <v>-1555.2</v>
      </c>
      <c r="W2775" s="256">
        <f t="shared" ca="1" si="821"/>
        <v>1</v>
      </c>
      <c r="X2775" s="256">
        <f t="shared" ca="1" si="816"/>
        <v>1</v>
      </c>
      <c r="Y2775" s="256"/>
      <c r="Z2775" s="256"/>
      <c r="AA2775" s="292"/>
      <c r="AB2775" s="292"/>
      <c r="AC2775" s="292"/>
    </row>
    <row r="2776" spans="1:29" s="293" customFormat="1" ht="15.75" hidden="1" customHeight="1" x14ac:dyDescent="0.25">
      <c r="A2776" s="288"/>
      <c r="B2776" s="1374" t="str">
        <f>VLOOKUP(A2784,'11 - FINANCEIRO'!_xlnm.Print_Area,1,FALSE)</f>
        <v>4.1.1</v>
      </c>
      <c r="C2776" s="1376" t="str">
        <f>VLOOKUP(A2784,'11 - FINANCEIRO'!_xlnm.Print_Area,3,FALSE)</f>
        <v>Preparo E Regularização De Terreno Em Desnível</v>
      </c>
      <c r="D2776" s="1378" t="s">
        <v>477</v>
      </c>
      <c r="E2776" s="1379"/>
      <c r="F2776" s="1379"/>
      <c r="G2776" s="1379"/>
      <c r="H2776" s="1379"/>
      <c r="I2776" s="1380"/>
      <c r="J2776" s="1338" t="s">
        <v>478</v>
      </c>
      <c r="K2776" s="1338" t="s">
        <v>479</v>
      </c>
      <c r="L2776" s="1338" t="s">
        <v>480</v>
      </c>
      <c r="M2776" s="1338" t="s">
        <v>481</v>
      </c>
      <c r="N2776" s="1338" t="s">
        <v>482</v>
      </c>
      <c r="O2776" s="1338" t="s">
        <v>483</v>
      </c>
      <c r="P2776" s="290" t="s">
        <v>484</v>
      </c>
      <c r="Q2776" s="1338" t="s">
        <v>485</v>
      </c>
      <c r="R2776" s="1336" t="s">
        <v>296</v>
      </c>
      <c r="S2776" s="1338" t="s">
        <v>486</v>
      </c>
      <c r="T2776" s="1338" t="s">
        <v>487</v>
      </c>
      <c r="U2776" s="1340" t="s">
        <v>488</v>
      </c>
      <c r="V2776" s="291">
        <f t="shared" ref="V2776:V2784" ca="1" si="823">IF(OFFSET(V2776,1,1)=1,OFFSET(V2776,0,-4),OFFSET(V2776,1,0))</f>
        <v>0</v>
      </c>
      <c r="W2776" s="256">
        <f t="shared" ca="1" si="821"/>
        <v>2</v>
      </c>
      <c r="X2776" s="256">
        <f t="shared" ca="1" si="816"/>
        <v>1</v>
      </c>
      <c r="Y2776" s="256"/>
      <c r="Z2776" s="256"/>
      <c r="AA2776" s="292"/>
      <c r="AB2776" s="292"/>
      <c r="AC2776" s="292"/>
    </row>
    <row r="2777" spans="1:29" s="337" customFormat="1" ht="15.75" hidden="1" x14ac:dyDescent="0.2">
      <c r="A2777" s="288"/>
      <c r="B2777" s="1375"/>
      <c r="C2777" s="1377" t="e">
        <f>VLOOKUP(LEFT(#REF!,5),'11 - FINANCEIRO'!_xlnm.Print_Area,2,FALSE)</f>
        <v>#REF!</v>
      </c>
      <c r="D2777" s="1342" t="s">
        <v>489</v>
      </c>
      <c r="E2777" s="1343"/>
      <c r="F2777" s="1344"/>
      <c r="G2777" s="1345" t="s">
        <v>490</v>
      </c>
      <c r="H2777" s="1346"/>
      <c r="I2777" s="1347"/>
      <c r="J2777" s="1339"/>
      <c r="K2777" s="1339"/>
      <c r="L2777" s="1339"/>
      <c r="M2777" s="1339"/>
      <c r="N2777" s="1339"/>
      <c r="O2777" s="1339"/>
      <c r="P2777" s="295" t="s">
        <v>491</v>
      </c>
      <c r="Q2777" s="1339"/>
      <c r="R2777" s="1337"/>
      <c r="S2777" s="1339"/>
      <c r="T2777" s="1339"/>
      <c r="U2777" s="1341"/>
      <c r="V2777" s="291">
        <f t="shared" ca="1" si="823"/>
        <v>0</v>
      </c>
      <c r="W2777" s="256">
        <f t="shared" ca="1" si="821"/>
        <v>2</v>
      </c>
      <c r="X2777" s="256">
        <f t="shared" ca="1" si="816"/>
        <v>1</v>
      </c>
      <c r="Y2777" s="336"/>
      <c r="Z2777" s="336"/>
    </row>
    <row r="2778" spans="1:29" s="337" customFormat="1" ht="15.75" hidden="1" x14ac:dyDescent="0.2">
      <c r="A2778" s="288"/>
      <c r="B2778" s="296"/>
      <c r="C2778" s="297"/>
      <c r="D2778" s="298"/>
      <c r="E2778" s="299"/>
      <c r="F2778" s="300"/>
      <c r="G2778" s="301"/>
      <c r="H2778" s="302"/>
      <c r="I2778" s="303"/>
      <c r="J2778" s="304"/>
      <c r="K2778" s="304"/>
      <c r="L2778" s="304"/>
      <c r="M2778" s="304"/>
      <c r="N2778" s="304"/>
      <c r="O2778" s="304"/>
      <c r="P2778" s="306"/>
      <c r="Q2778" s="304"/>
      <c r="R2778" s="307"/>
      <c r="S2778" s="304"/>
      <c r="T2778" s="309"/>
      <c r="U2778" s="310"/>
      <c r="V2778" s="291">
        <f t="shared" ca="1" si="823"/>
        <v>0</v>
      </c>
      <c r="W2778" s="256">
        <f t="shared" ca="1" si="821"/>
        <v>0</v>
      </c>
      <c r="X2778" s="256">
        <f t="shared" ca="1" si="816"/>
        <v>1</v>
      </c>
      <c r="Y2778" s="336"/>
      <c r="Z2778" s="336"/>
    </row>
    <row r="2779" spans="1:29" s="111" customFormat="1" ht="15.75" hidden="1" x14ac:dyDescent="0.2">
      <c r="A2779" s="288"/>
      <c r="B2779" s="311"/>
      <c r="C2779" s="312"/>
      <c r="D2779" s="313"/>
      <c r="E2779" s="314"/>
      <c r="F2779" s="315"/>
      <c r="G2779" s="380"/>
      <c r="H2779" s="316"/>
      <c r="I2779" s="381"/>
      <c r="J2779" s="317"/>
      <c r="K2779" s="313"/>
      <c r="L2779" s="317"/>
      <c r="M2779" s="315"/>
      <c r="N2779" s="314"/>
      <c r="O2779" s="313"/>
      <c r="P2779" s="318"/>
      <c r="Q2779" s="315"/>
      <c r="R2779" s="319"/>
      <c r="S2779" s="317"/>
      <c r="T2779" s="320"/>
      <c r="U2779" s="321"/>
      <c r="V2779" s="291">
        <f t="shared" ca="1" si="823"/>
        <v>0</v>
      </c>
      <c r="W2779" s="256">
        <f t="shared" ca="1" si="821"/>
        <v>0</v>
      </c>
      <c r="X2779" s="256">
        <f t="shared" ca="1" si="816"/>
        <v>1</v>
      </c>
      <c r="Y2779" s="250"/>
      <c r="Z2779" s="250"/>
    </row>
    <row r="2780" spans="1:29" s="111" customFormat="1" ht="15" hidden="1" x14ac:dyDescent="0.2">
      <c r="A2780" s="288"/>
      <c r="B2780" s="322"/>
      <c r="C2780" s="382"/>
      <c r="D2780" s="324"/>
      <c r="E2780" s="325"/>
      <c r="F2780" s="326"/>
      <c r="G2780" s="324"/>
      <c r="H2780" s="325"/>
      <c r="I2780" s="326"/>
      <c r="J2780" s="317"/>
      <c r="K2780" s="328"/>
      <c r="L2780" s="328"/>
      <c r="M2780" s="328"/>
      <c r="N2780" s="328"/>
      <c r="O2780" s="334"/>
      <c r="P2780" s="328"/>
      <c r="Q2780" s="334"/>
      <c r="R2780" s="333"/>
      <c r="S2780" s="331"/>
      <c r="T2780" s="320"/>
      <c r="U2780" s="335"/>
      <c r="V2780" s="291">
        <f t="shared" ca="1" si="823"/>
        <v>0</v>
      </c>
      <c r="W2780" s="256">
        <f t="shared" ca="1" si="821"/>
        <v>0</v>
      </c>
      <c r="X2780" s="256">
        <f t="shared" ref="X2780:X2843" ca="1" si="824">IF(COUNTA(OFFSET(A2779,1,0))-COUNTA(A2779)=-1,0,1)</f>
        <v>1</v>
      </c>
      <c r="Y2780" s="250"/>
      <c r="Z2780" s="250"/>
    </row>
    <row r="2781" spans="1:29" s="111" customFormat="1" ht="15" hidden="1" x14ac:dyDescent="0.2">
      <c r="A2781" s="288"/>
      <c r="B2781" s="338"/>
      <c r="C2781" s="339"/>
      <c r="D2781" s="340"/>
      <c r="E2781" s="341"/>
      <c r="F2781" s="342"/>
      <c r="G2781" s="340"/>
      <c r="H2781" s="341"/>
      <c r="I2781" s="342"/>
      <c r="J2781" s="343"/>
      <c r="K2781" s="344"/>
      <c r="L2781" s="345"/>
      <c r="M2781" s="346"/>
      <c r="N2781" s="347"/>
      <c r="O2781" s="348"/>
      <c r="P2781" s="345"/>
      <c r="Q2781" s="349"/>
      <c r="R2781" s="350"/>
      <c r="S2781" s="351"/>
      <c r="T2781" s="352"/>
      <c r="U2781" s="353"/>
      <c r="V2781" s="291">
        <f t="shared" ca="1" si="823"/>
        <v>0</v>
      </c>
      <c r="W2781" s="256">
        <f t="shared" ca="1" si="821"/>
        <v>0</v>
      </c>
      <c r="X2781" s="256">
        <f t="shared" ca="1" si="824"/>
        <v>1</v>
      </c>
      <c r="Y2781" s="250"/>
      <c r="Z2781" s="250"/>
    </row>
    <row r="2782" spans="1:29" s="111" customFormat="1" ht="15.75" hidden="1" customHeight="1" x14ac:dyDescent="0.2">
      <c r="A2782" s="288" t="s">
        <v>151</v>
      </c>
      <c r="B2782" s="354"/>
      <c r="C2782" s="355"/>
      <c r="D2782" s="1354" t="s">
        <v>492</v>
      </c>
      <c r="E2782" s="1355"/>
      <c r="F2782" s="1355"/>
      <c r="G2782" s="1355"/>
      <c r="H2782" s="1355"/>
      <c r="I2782" s="1356"/>
      <c r="J2782" s="1357">
        <f>VLOOKUP(A2784,'11 - FINANCEIRO'!_xlnm.Print_Area,6,FALSE)</f>
        <v>450</v>
      </c>
      <c r="K2782" s="1358"/>
      <c r="L2782" s="356" t="str">
        <f>VLOOKUP(A2784,'11 - FINANCEIRO'!_xlnm.Print_Area,4,FALSE)</f>
        <v>m²</v>
      </c>
      <c r="M2782" s="1359" t="s">
        <v>493</v>
      </c>
      <c r="N2782" s="1360"/>
      <c r="O2782" s="1360"/>
      <c r="P2782" s="1360"/>
      <c r="Q2782" s="1361"/>
      <c r="R2782" s="357">
        <f>TRUNC(SUM(R2778:R2781),3)</f>
        <v>0</v>
      </c>
      <c r="S2782" s="358" t="str">
        <f>L2782</f>
        <v>m²</v>
      </c>
      <c r="T2782" s="359"/>
      <c r="U2782" s="360"/>
      <c r="V2782" s="291">
        <f t="shared" ca="1" si="823"/>
        <v>0</v>
      </c>
      <c r="W2782" s="256">
        <f t="shared" ca="1" si="821"/>
        <v>2</v>
      </c>
      <c r="X2782" s="256">
        <f t="shared" ca="1" si="824"/>
        <v>1</v>
      </c>
      <c r="Y2782" s="250"/>
      <c r="Z2782" s="250"/>
    </row>
    <row r="2783" spans="1:29" s="293" customFormat="1" ht="15.75" hidden="1" customHeight="1" x14ac:dyDescent="0.2">
      <c r="A2783" s="288" t="s">
        <v>152</v>
      </c>
      <c r="B2783" s="354"/>
      <c r="C2783" s="361"/>
      <c r="D2783" s="1362" t="s">
        <v>494</v>
      </c>
      <c r="E2783" s="1363"/>
      <c r="F2783" s="1363"/>
      <c r="G2783" s="1363"/>
      <c r="H2783" s="1363"/>
      <c r="I2783" s="1364"/>
      <c r="J2783" s="1365">
        <f>R2782/J2782</f>
        <v>0</v>
      </c>
      <c r="K2783" s="1366"/>
      <c r="L2783" s="1369"/>
      <c r="M2783" s="1371" t="s">
        <v>495</v>
      </c>
      <c r="N2783" s="1372"/>
      <c r="O2783" s="1372"/>
      <c r="P2783" s="1372"/>
      <c r="Q2783" s="1373"/>
      <c r="R2783" s="362">
        <f>VLOOKUP(A2784,'11 - FINANCEIRO'!_xlnm.Print_Area,8,FALSE)</f>
        <v>0</v>
      </c>
      <c r="S2783" s="363" t="str">
        <f>L2782</f>
        <v>m²</v>
      </c>
      <c r="T2783" s="359"/>
      <c r="U2783" s="360"/>
      <c r="V2783" s="291">
        <f t="shared" ca="1" si="823"/>
        <v>0</v>
      </c>
      <c r="W2783" s="256">
        <f t="shared" ca="1" si="821"/>
        <v>2</v>
      </c>
      <c r="X2783" s="256">
        <f t="shared" ca="1" si="824"/>
        <v>1</v>
      </c>
      <c r="Y2783" s="256"/>
      <c r="Z2783" s="256"/>
      <c r="AA2783" s="292"/>
      <c r="AB2783" s="292"/>
      <c r="AC2783" s="292"/>
    </row>
    <row r="2784" spans="1:29" s="293" customFormat="1" ht="15.75" hidden="1" customHeight="1" x14ac:dyDescent="0.2">
      <c r="A2784" s="288" t="s">
        <v>153</v>
      </c>
      <c r="B2784" s="364"/>
      <c r="C2784" s="365"/>
      <c r="D2784" s="1354"/>
      <c r="E2784" s="1355"/>
      <c r="F2784" s="1355"/>
      <c r="G2784" s="1355"/>
      <c r="H2784" s="1355"/>
      <c r="I2784" s="1356"/>
      <c r="J2784" s="1367"/>
      <c r="K2784" s="1368"/>
      <c r="L2784" s="1370"/>
      <c r="M2784" s="1371" t="s">
        <v>496</v>
      </c>
      <c r="N2784" s="1372"/>
      <c r="O2784" s="1372"/>
      <c r="P2784" s="1372"/>
      <c r="Q2784" s="1373"/>
      <c r="R2784" s="362">
        <f>R2782-R2783</f>
        <v>0</v>
      </c>
      <c r="S2784" s="363" t="str">
        <f>L2782</f>
        <v>m²</v>
      </c>
      <c r="T2784" s="366"/>
      <c r="U2784" s="367"/>
      <c r="V2784" s="291">
        <f t="shared" ca="1" si="823"/>
        <v>0</v>
      </c>
      <c r="W2784" s="256">
        <f t="shared" ca="1" si="821"/>
        <v>2</v>
      </c>
      <c r="X2784" s="256">
        <f t="shared" ca="1" si="824"/>
        <v>1</v>
      </c>
      <c r="Y2784" s="256"/>
      <c r="Z2784" s="256"/>
      <c r="AA2784" s="292"/>
      <c r="AB2784" s="292"/>
      <c r="AC2784" s="292"/>
    </row>
    <row r="2785" spans="1:29" s="111" customFormat="1" ht="15.75" hidden="1" x14ac:dyDescent="0.2">
      <c r="A2785" s="288"/>
      <c r="B2785" s="368"/>
      <c r="C2785" s="365"/>
      <c r="D2785" s="369"/>
      <c r="E2785" s="370"/>
      <c r="F2785" s="369"/>
      <c r="G2785" s="369"/>
      <c r="H2785" s="369"/>
      <c r="I2785" s="369"/>
      <c r="J2785" s="371"/>
      <c r="K2785" s="372"/>
      <c r="L2785" s="373"/>
      <c r="M2785" s="374"/>
      <c r="N2785" s="374"/>
      <c r="O2785" s="374"/>
      <c r="P2785" s="374"/>
      <c r="Q2785" s="374"/>
      <c r="R2785" s="375"/>
      <c r="S2785" s="376"/>
      <c r="T2785" s="377"/>
      <c r="U2785" s="378"/>
      <c r="V2785" s="379">
        <f ca="1">SUM(V2776:V2784)</f>
        <v>0</v>
      </c>
      <c r="W2785" s="256">
        <f t="shared" ca="1" si="821"/>
        <v>1</v>
      </c>
      <c r="X2785" s="256">
        <f t="shared" ca="1" si="824"/>
        <v>0</v>
      </c>
      <c r="Y2785" s="250"/>
      <c r="Z2785" s="250"/>
    </row>
    <row r="2786" spans="1:29" s="293" customFormat="1" ht="15.75" hidden="1" customHeight="1" x14ac:dyDescent="0.25">
      <c r="A2786" s="288"/>
      <c r="B2786" s="1374" t="str">
        <f>VLOOKUP(A2794,'11 - FINANCEIRO'!_xlnm.Print_Area,1,FALSE)</f>
        <v>4.1.2</v>
      </c>
      <c r="C2786" s="1376" t="str">
        <f>VLOOKUP(A2794,'11 - FINANCEIRO'!_xlnm.Print_Area,3,FALSE)</f>
        <v>Perfuratriz Com Torre Metálica Para Execução De Estaca Hélice Contínua, Profundidade Máxima De 32 M, Diâmetro Máximo De 1000 Mm, Potência Instalada De 350 Hp, Mesa Rotativa Com Torque Máximo De 263 Knm - Chi Diurno. Af_01/2016</v>
      </c>
      <c r="D2786" s="1378" t="s">
        <v>477</v>
      </c>
      <c r="E2786" s="1379"/>
      <c r="F2786" s="1379"/>
      <c r="G2786" s="1379"/>
      <c r="H2786" s="1379"/>
      <c r="I2786" s="1380"/>
      <c r="J2786" s="1338" t="s">
        <v>478</v>
      </c>
      <c r="K2786" s="1338" t="s">
        <v>479</v>
      </c>
      <c r="L2786" s="1338" t="s">
        <v>480</v>
      </c>
      <c r="M2786" s="1338" t="s">
        <v>481</v>
      </c>
      <c r="N2786" s="1338" t="s">
        <v>482</v>
      </c>
      <c r="O2786" s="1338" t="s">
        <v>483</v>
      </c>
      <c r="P2786" s="290" t="s">
        <v>484</v>
      </c>
      <c r="Q2786" s="1338" t="s">
        <v>485</v>
      </c>
      <c r="R2786" s="1336" t="s">
        <v>296</v>
      </c>
      <c r="S2786" s="1338" t="s">
        <v>486</v>
      </c>
      <c r="T2786" s="1338" t="s">
        <v>487</v>
      </c>
      <c r="U2786" s="1340" t="s">
        <v>488</v>
      </c>
      <c r="V2786" s="291">
        <f t="shared" ref="V2786:V2794" ca="1" si="825">IF(OFFSET(V2786,1,1)=1,OFFSET(V2786,0,-4),OFFSET(V2786,1,0))</f>
        <v>0</v>
      </c>
      <c r="W2786" s="256">
        <f t="shared" ca="1" si="821"/>
        <v>2</v>
      </c>
      <c r="X2786" s="256">
        <f t="shared" ca="1" si="824"/>
        <v>1</v>
      </c>
      <c r="Y2786" s="256"/>
      <c r="Z2786" s="256"/>
      <c r="AA2786" s="292"/>
      <c r="AB2786" s="292"/>
      <c r="AC2786" s="292"/>
    </row>
    <row r="2787" spans="1:29" s="337" customFormat="1" ht="15.75" hidden="1" x14ac:dyDescent="0.2">
      <c r="A2787" s="288"/>
      <c r="B2787" s="1375"/>
      <c r="C2787" s="1377" t="e">
        <f>VLOOKUP(LEFT(#REF!,5),'11 - FINANCEIRO'!_xlnm.Print_Area,2,FALSE)</f>
        <v>#REF!</v>
      </c>
      <c r="D2787" s="1342" t="s">
        <v>489</v>
      </c>
      <c r="E2787" s="1343"/>
      <c r="F2787" s="1344"/>
      <c r="G2787" s="1345" t="s">
        <v>490</v>
      </c>
      <c r="H2787" s="1346"/>
      <c r="I2787" s="1347"/>
      <c r="J2787" s="1339"/>
      <c r="K2787" s="1339"/>
      <c r="L2787" s="1339"/>
      <c r="M2787" s="1339"/>
      <c r="N2787" s="1339"/>
      <c r="O2787" s="1339"/>
      <c r="P2787" s="295" t="s">
        <v>491</v>
      </c>
      <c r="Q2787" s="1339"/>
      <c r="R2787" s="1337"/>
      <c r="S2787" s="1339"/>
      <c r="T2787" s="1339"/>
      <c r="U2787" s="1341"/>
      <c r="V2787" s="291">
        <f t="shared" ca="1" si="825"/>
        <v>0</v>
      </c>
      <c r="W2787" s="256">
        <f t="shared" ca="1" si="821"/>
        <v>2</v>
      </c>
      <c r="X2787" s="256">
        <f t="shared" ca="1" si="824"/>
        <v>1</v>
      </c>
      <c r="Y2787" s="336"/>
      <c r="Z2787" s="336"/>
    </row>
    <row r="2788" spans="1:29" s="337" customFormat="1" ht="15.75" hidden="1" x14ac:dyDescent="0.2">
      <c r="A2788" s="288"/>
      <c r="B2788" s="296"/>
      <c r="C2788" s="297"/>
      <c r="D2788" s="298"/>
      <c r="E2788" s="299"/>
      <c r="F2788" s="300"/>
      <c r="G2788" s="301"/>
      <c r="H2788" s="302"/>
      <c r="I2788" s="303"/>
      <c r="J2788" s="304"/>
      <c r="K2788" s="304"/>
      <c r="L2788" s="304"/>
      <c r="M2788" s="304"/>
      <c r="N2788" s="304"/>
      <c r="O2788" s="304"/>
      <c r="P2788" s="306"/>
      <c r="Q2788" s="304"/>
      <c r="R2788" s="307"/>
      <c r="S2788" s="304"/>
      <c r="T2788" s="309"/>
      <c r="U2788" s="310"/>
      <c r="V2788" s="291">
        <f t="shared" ca="1" si="825"/>
        <v>0</v>
      </c>
      <c r="W2788" s="256">
        <f t="shared" ca="1" si="821"/>
        <v>0</v>
      </c>
      <c r="X2788" s="256">
        <f t="shared" ca="1" si="824"/>
        <v>1</v>
      </c>
      <c r="Y2788" s="336"/>
      <c r="Z2788" s="336"/>
    </row>
    <row r="2789" spans="1:29" s="111" customFormat="1" ht="15.75" hidden="1" x14ac:dyDescent="0.2">
      <c r="A2789" s="288"/>
      <c r="B2789" s="311"/>
      <c r="C2789" s="312"/>
      <c r="D2789" s="313"/>
      <c r="E2789" s="314"/>
      <c r="F2789" s="315"/>
      <c r="G2789" s="380"/>
      <c r="H2789" s="316"/>
      <c r="I2789" s="381"/>
      <c r="J2789" s="317"/>
      <c r="K2789" s="313"/>
      <c r="L2789" s="317"/>
      <c r="M2789" s="315"/>
      <c r="N2789" s="314"/>
      <c r="O2789" s="313"/>
      <c r="P2789" s="318"/>
      <c r="Q2789" s="315"/>
      <c r="R2789" s="319"/>
      <c r="S2789" s="317"/>
      <c r="T2789" s="320"/>
      <c r="U2789" s="321"/>
      <c r="V2789" s="291">
        <f t="shared" ca="1" si="825"/>
        <v>0</v>
      </c>
      <c r="W2789" s="256">
        <f t="shared" ca="1" si="821"/>
        <v>0</v>
      </c>
      <c r="X2789" s="256">
        <f t="shared" ca="1" si="824"/>
        <v>1</v>
      </c>
      <c r="Y2789" s="250"/>
      <c r="Z2789" s="250"/>
    </row>
    <row r="2790" spans="1:29" s="111" customFormat="1" ht="15" hidden="1" x14ac:dyDescent="0.2">
      <c r="A2790" s="288"/>
      <c r="B2790" s="322"/>
      <c r="C2790" s="382"/>
      <c r="D2790" s="324"/>
      <c r="E2790" s="325"/>
      <c r="F2790" s="326"/>
      <c r="G2790" s="324"/>
      <c r="H2790" s="325"/>
      <c r="I2790" s="326"/>
      <c r="J2790" s="317"/>
      <c r="K2790" s="328"/>
      <c r="L2790" s="328"/>
      <c r="M2790" s="328"/>
      <c r="N2790" s="328"/>
      <c r="O2790" s="334"/>
      <c r="P2790" s="328"/>
      <c r="Q2790" s="334"/>
      <c r="R2790" s="333"/>
      <c r="S2790" s="331"/>
      <c r="T2790" s="320"/>
      <c r="U2790" s="335"/>
      <c r="V2790" s="291">
        <f t="shared" ca="1" si="825"/>
        <v>0</v>
      </c>
      <c r="W2790" s="256">
        <f t="shared" ca="1" si="821"/>
        <v>0</v>
      </c>
      <c r="X2790" s="256">
        <f t="shared" ca="1" si="824"/>
        <v>1</v>
      </c>
      <c r="Y2790" s="250"/>
      <c r="Z2790" s="250"/>
    </row>
    <row r="2791" spans="1:29" s="111" customFormat="1" ht="15" hidden="1" x14ac:dyDescent="0.2">
      <c r="A2791" s="288"/>
      <c r="B2791" s="338"/>
      <c r="C2791" s="339"/>
      <c r="D2791" s="340"/>
      <c r="E2791" s="341"/>
      <c r="F2791" s="342"/>
      <c r="G2791" s="340"/>
      <c r="H2791" s="341"/>
      <c r="I2791" s="342"/>
      <c r="J2791" s="343"/>
      <c r="K2791" s="344"/>
      <c r="L2791" s="345"/>
      <c r="M2791" s="346"/>
      <c r="N2791" s="347"/>
      <c r="O2791" s="348"/>
      <c r="P2791" s="345"/>
      <c r="Q2791" s="349"/>
      <c r="R2791" s="350"/>
      <c r="S2791" s="351"/>
      <c r="T2791" s="352"/>
      <c r="U2791" s="353"/>
      <c r="V2791" s="291">
        <f t="shared" ca="1" si="825"/>
        <v>0</v>
      </c>
      <c r="W2791" s="256">
        <f t="shared" ca="1" si="821"/>
        <v>0</v>
      </c>
      <c r="X2791" s="256">
        <f t="shared" ca="1" si="824"/>
        <v>1</v>
      </c>
      <c r="Y2791" s="250"/>
      <c r="Z2791" s="250"/>
    </row>
    <row r="2792" spans="1:29" s="111" customFormat="1" ht="15.75" hidden="1" customHeight="1" x14ac:dyDescent="0.2">
      <c r="A2792" s="288"/>
      <c r="B2792" s="354"/>
      <c r="C2792" s="355"/>
      <c r="D2792" s="1354" t="s">
        <v>492</v>
      </c>
      <c r="E2792" s="1355"/>
      <c r="F2792" s="1355"/>
      <c r="G2792" s="1355"/>
      <c r="H2792" s="1355"/>
      <c r="I2792" s="1356"/>
      <c r="J2792" s="1357">
        <f>VLOOKUP(A2794,'11 - FINANCEIRO'!_xlnm.Print_Area,6,FALSE)</f>
        <v>24</v>
      </c>
      <c r="K2792" s="1358"/>
      <c r="L2792" s="356" t="str">
        <f>VLOOKUP(A2794,'11 - FINANCEIRO'!_xlnm.Print_Area,4,FALSE)</f>
        <v>chi</v>
      </c>
      <c r="M2792" s="1359" t="s">
        <v>493</v>
      </c>
      <c r="N2792" s="1360"/>
      <c r="O2792" s="1360"/>
      <c r="P2792" s="1360"/>
      <c r="Q2792" s="1361"/>
      <c r="R2792" s="357">
        <f>TRUNC(SUM(R2788:R2791),3)</f>
        <v>0</v>
      </c>
      <c r="S2792" s="358" t="str">
        <f>L2792</f>
        <v>chi</v>
      </c>
      <c r="T2792" s="359"/>
      <c r="U2792" s="360"/>
      <c r="V2792" s="291">
        <f t="shared" ca="1" si="825"/>
        <v>0</v>
      </c>
      <c r="W2792" s="256">
        <f t="shared" ca="1" si="821"/>
        <v>2</v>
      </c>
      <c r="X2792" s="256">
        <f t="shared" ca="1" si="824"/>
        <v>1</v>
      </c>
      <c r="Y2792" s="250"/>
      <c r="Z2792" s="250"/>
    </row>
    <row r="2793" spans="1:29" s="293" customFormat="1" ht="15.75" hidden="1" customHeight="1" x14ac:dyDescent="0.2">
      <c r="A2793" s="288"/>
      <c r="B2793" s="354"/>
      <c r="C2793" s="361"/>
      <c r="D2793" s="1362" t="s">
        <v>494</v>
      </c>
      <c r="E2793" s="1363"/>
      <c r="F2793" s="1363"/>
      <c r="G2793" s="1363"/>
      <c r="H2793" s="1363"/>
      <c r="I2793" s="1364"/>
      <c r="J2793" s="1365">
        <f>R2792/J2792</f>
        <v>0</v>
      </c>
      <c r="K2793" s="1366"/>
      <c r="L2793" s="1369"/>
      <c r="M2793" s="1371" t="s">
        <v>495</v>
      </c>
      <c r="N2793" s="1372"/>
      <c r="O2793" s="1372"/>
      <c r="P2793" s="1372"/>
      <c r="Q2793" s="1373"/>
      <c r="R2793" s="362">
        <f>VLOOKUP(A2794,'11 - FINANCEIRO'!_xlnm.Print_Area,8,FALSE)</f>
        <v>0</v>
      </c>
      <c r="S2793" s="363" t="str">
        <f>L2792</f>
        <v>chi</v>
      </c>
      <c r="T2793" s="359"/>
      <c r="U2793" s="360"/>
      <c r="V2793" s="291">
        <f t="shared" ca="1" si="825"/>
        <v>0</v>
      </c>
      <c r="W2793" s="256">
        <f t="shared" ca="1" si="821"/>
        <v>2</v>
      </c>
      <c r="X2793" s="256">
        <f t="shared" ca="1" si="824"/>
        <v>1</v>
      </c>
      <c r="Y2793" s="256"/>
      <c r="Z2793" s="256"/>
      <c r="AA2793" s="292"/>
      <c r="AB2793" s="292"/>
      <c r="AC2793" s="292"/>
    </row>
    <row r="2794" spans="1:29" s="293" customFormat="1" ht="15.75" hidden="1" customHeight="1" x14ac:dyDescent="0.2">
      <c r="A2794" s="288" t="s">
        <v>154</v>
      </c>
      <c r="B2794" s="364"/>
      <c r="C2794" s="365"/>
      <c r="D2794" s="1354"/>
      <c r="E2794" s="1355"/>
      <c r="F2794" s="1355"/>
      <c r="G2794" s="1355"/>
      <c r="H2794" s="1355"/>
      <c r="I2794" s="1356"/>
      <c r="J2794" s="1367"/>
      <c r="K2794" s="1368"/>
      <c r="L2794" s="1370"/>
      <c r="M2794" s="1371" t="s">
        <v>496</v>
      </c>
      <c r="N2794" s="1372"/>
      <c r="O2794" s="1372"/>
      <c r="P2794" s="1372"/>
      <c r="Q2794" s="1373"/>
      <c r="R2794" s="362">
        <f>R2792-R2793</f>
        <v>0</v>
      </c>
      <c r="S2794" s="363" t="str">
        <f>L2792</f>
        <v>chi</v>
      </c>
      <c r="T2794" s="366"/>
      <c r="U2794" s="367"/>
      <c r="V2794" s="291">
        <f t="shared" ca="1" si="825"/>
        <v>0</v>
      </c>
      <c r="W2794" s="256">
        <f t="shared" ca="1" si="821"/>
        <v>2</v>
      </c>
      <c r="X2794" s="256">
        <f t="shared" ca="1" si="824"/>
        <v>1</v>
      </c>
      <c r="Y2794" s="256"/>
      <c r="Z2794" s="256"/>
      <c r="AA2794" s="292"/>
      <c r="AB2794" s="292"/>
      <c r="AC2794" s="292"/>
    </row>
    <row r="2795" spans="1:29" s="111" customFormat="1" ht="15.75" hidden="1" x14ac:dyDescent="0.2">
      <c r="A2795" s="288"/>
      <c r="B2795" s="368"/>
      <c r="C2795" s="365"/>
      <c r="D2795" s="369"/>
      <c r="E2795" s="370"/>
      <c r="F2795" s="369"/>
      <c r="G2795" s="369"/>
      <c r="H2795" s="369"/>
      <c r="I2795" s="369"/>
      <c r="J2795" s="371"/>
      <c r="K2795" s="372"/>
      <c r="L2795" s="373"/>
      <c r="M2795" s="374"/>
      <c r="N2795" s="374"/>
      <c r="O2795" s="374"/>
      <c r="P2795" s="374"/>
      <c r="Q2795" s="374"/>
      <c r="R2795" s="375"/>
      <c r="S2795" s="376"/>
      <c r="T2795" s="377"/>
      <c r="U2795" s="378"/>
      <c r="V2795" s="379">
        <f ca="1">SUM(V2786:V2794)</f>
        <v>0</v>
      </c>
      <c r="W2795" s="256">
        <f t="shared" ca="1" si="821"/>
        <v>1</v>
      </c>
      <c r="X2795" s="256">
        <f t="shared" ca="1" si="824"/>
        <v>0</v>
      </c>
      <c r="Y2795" s="250"/>
      <c r="Z2795" s="250"/>
    </row>
    <row r="2796" spans="1:29" s="293" customFormat="1" ht="15.75" hidden="1" customHeight="1" x14ac:dyDescent="0.25">
      <c r="A2796" s="288"/>
      <c r="B2796" s="1374" t="str">
        <f>VLOOKUP(A2804,'11 - FINANCEIRO'!_xlnm.Print_Area,1,FALSE)</f>
        <v>4.1.3</v>
      </c>
      <c r="C2796" s="1376" t="str">
        <f>VLOOKUP(A2804,'11 - FINANCEIRO'!_xlnm.Print_Area,3,FALSE)</f>
        <v>Estaca Hélice Contínua, Diâmetro De 30 Cm, Incluso Concreto Fck=30Mpa E Armadura Mínima (Exclusive Mobilização, Desmobilização E Bombeamento). Af_12/2019</v>
      </c>
      <c r="D2796" s="1378" t="s">
        <v>477</v>
      </c>
      <c r="E2796" s="1379"/>
      <c r="F2796" s="1379"/>
      <c r="G2796" s="1379"/>
      <c r="H2796" s="1379"/>
      <c r="I2796" s="1380"/>
      <c r="J2796" s="1338" t="s">
        <v>478</v>
      </c>
      <c r="K2796" s="1338" t="s">
        <v>479</v>
      </c>
      <c r="L2796" s="1338" t="s">
        <v>480</v>
      </c>
      <c r="M2796" s="1338" t="s">
        <v>481</v>
      </c>
      <c r="N2796" s="1338" t="s">
        <v>482</v>
      </c>
      <c r="O2796" s="1338" t="s">
        <v>483</v>
      </c>
      <c r="P2796" s="290" t="s">
        <v>484</v>
      </c>
      <c r="Q2796" s="1338" t="s">
        <v>485</v>
      </c>
      <c r="R2796" s="1336" t="s">
        <v>296</v>
      </c>
      <c r="S2796" s="1338" t="s">
        <v>486</v>
      </c>
      <c r="T2796" s="1338" t="s">
        <v>487</v>
      </c>
      <c r="U2796" s="1340" t="s">
        <v>488</v>
      </c>
      <c r="V2796" s="291">
        <f t="shared" ref="V2796:V2804" ca="1" si="826">IF(OFFSET(V2796,1,1)=1,OFFSET(V2796,0,-4),OFFSET(V2796,1,0))</f>
        <v>0</v>
      </c>
      <c r="W2796" s="256">
        <f t="shared" ca="1" si="821"/>
        <v>2</v>
      </c>
      <c r="X2796" s="256">
        <f t="shared" ca="1" si="824"/>
        <v>1</v>
      </c>
      <c r="Y2796" s="256"/>
      <c r="Z2796" s="256"/>
      <c r="AA2796" s="292"/>
      <c r="AB2796" s="292"/>
      <c r="AC2796" s="292"/>
    </row>
    <row r="2797" spans="1:29" s="337" customFormat="1" ht="15.75" hidden="1" x14ac:dyDescent="0.2">
      <c r="A2797" s="288"/>
      <c r="B2797" s="1375"/>
      <c r="C2797" s="1377" t="e">
        <f>VLOOKUP(LEFT(#REF!,5),'11 - FINANCEIRO'!_xlnm.Print_Area,2,FALSE)</f>
        <v>#REF!</v>
      </c>
      <c r="D2797" s="1342" t="s">
        <v>489</v>
      </c>
      <c r="E2797" s="1343"/>
      <c r="F2797" s="1344"/>
      <c r="G2797" s="1345" t="s">
        <v>490</v>
      </c>
      <c r="H2797" s="1346"/>
      <c r="I2797" s="1347"/>
      <c r="J2797" s="1339"/>
      <c r="K2797" s="1339"/>
      <c r="L2797" s="1339"/>
      <c r="M2797" s="1339"/>
      <c r="N2797" s="1339"/>
      <c r="O2797" s="1339"/>
      <c r="P2797" s="295" t="s">
        <v>491</v>
      </c>
      <c r="Q2797" s="1339"/>
      <c r="R2797" s="1337"/>
      <c r="S2797" s="1339"/>
      <c r="T2797" s="1339"/>
      <c r="U2797" s="1341"/>
      <c r="V2797" s="291">
        <f t="shared" ca="1" si="826"/>
        <v>0</v>
      </c>
      <c r="W2797" s="256">
        <f t="shared" ca="1" si="821"/>
        <v>2</v>
      </c>
      <c r="X2797" s="256">
        <f t="shared" ca="1" si="824"/>
        <v>1</v>
      </c>
      <c r="Y2797" s="336"/>
      <c r="Z2797" s="336"/>
    </row>
    <row r="2798" spans="1:29" s="337" customFormat="1" ht="15.75" hidden="1" x14ac:dyDescent="0.2">
      <c r="A2798" s="288"/>
      <c r="B2798" s="296"/>
      <c r="C2798" s="297"/>
      <c r="D2798" s="298"/>
      <c r="E2798" s="299"/>
      <c r="F2798" s="300"/>
      <c r="G2798" s="301"/>
      <c r="H2798" s="302"/>
      <c r="I2798" s="303"/>
      <c r="J2798" s="304"/>
      <c r="K2798" s="304"/>
      <c r="L2798" s="304"/>
      <c r="M2798" s="304"/>
      <c r="N2798" s="304"/>
      <c r="O2798" s="304"/>
      <c r="P2798" s="306"/>
      <c r="Q2798" s="304"/>
      <c r="R2798" s="307"/>
      <c r="S2798" s="304"/>
      <c r="T2798" s="309"/>
      <c r="U2798" s="310"/>
      <c r="V2798" s="291">
        <f t="shared" ca="1" si="826"/>
        <v>0</v>
      </c>
      <c r="W2798" s="256">
        <f t="shared" ca="1" si="821"/>
        <v>0</v>
      </c>
      <c r="X2798" s="256">
        <f t="shared" ca="1" si="824"/>
        <v>1</v>
      </c>
      <c r="Y2798" s="336"/>
      <c r="Z2798" s="336"/>
    </row>
    <row r="2799" spans="1:29" s="111" customFormat="1" ht="15.75" hidden="1" x14ac:dyDescent="0.2">
      <c r="A2799" s="288"/>
      <c r="B2799" s="311"/>
      <c r="C2799" s="312"/>
      <c r="D2799" s="313"/>
      <c r="E2799" s="314"/>
      <c r="F2799" s="315"/>
      <c r="G2799" s="380"/>
      <c r="H2799" s="316"/>
      <c r="I2799" s="381"/>
      <c r="J2799" s="317"/>
      <c r="K2799" s="313"/>
      <c r="L2799" s="317"/>
      <c r="M2799" s="315"/>
      <c r="N2799" s="314"/>
      <c r="O2799" s="313"/>
      <c r="P2799" s="318"/>
      <c r="Q2799" s="315"/>
      <c r="R2799" s="319"/>
      <c r="S2799" s="317"/>
      <c r="T2799" s="320"/>
      <c r="U2799" s="321"/>
      <c r="V2799" s="291">
        <f t="shared" ca="1" si="826"/>
        <v>0</v>
      </c>
      <c r="W2799" s="256">
        <f t="shared" ca="1" si="821"/>
        <v>0</v>
      </c>
      <c r="X2799" s="256">
        <f t="shared" ca="1" si="824"/>
        <v>1</v>
      </c>
      <c r="Y2799" s="250"/>
      <c r="Z2799" s="250"/>
    </row>
    <row r="2800" spans="1:29" s="111" customFormat="1" ht="15" hidden="1" x14ac:dyDescent="0.2">
      <c r="A2800" s="288"/>
      <c r="B2800" s="322"/>
      <c r="C2800" s="382"/>
      <c r="D2800" s="324"/>
      <c r="E2800" s="325"/>
      <c r="F2800" s="326"/>
      <c r="G2800" s="324"/>
      <c r="H2800" s="325"/>
      <c r="I2800" s="326"/>
      <c r="J2800" s="317"/>
      <c r="K2800" s="328"/>
      <c r="L2800" s="328"/>
      <c r="M2800" s="328"/>
      <c r="N2800" s="328"/>
      <c r="O2800" s="334"/>
      <c r="P2800" s="328"/>
      <c r="Q2800" s="334"/>
      <c r="R2800" s="333"/>
      <c r="S2800" s="331"/>
      <c r="T2800" s="320"/>
      <c r="U2800" s="335"/>
      <c r="V2800" s="291">
        <f t="shared" ca="1" si="826"/>
        <v>0</v>
      </c>
      <c r="W2800" s="256">
        <f t="shared" ca="1" si="821"/>
        <v>0</v>
      </c>
      <c r="X2800" s="256">
        <f t="shared" ca="1" si="824"/>
        <v>1</v>
      </c>
      <c r="Y2800" s="250"/>
      <c r="Z2800" s="250"/>
    </row>
    <row r="2801" spans="1:29" s="111" customFormat="1" ht="15" hidden="1" x14ac:dyDescent="0.2">
      <c r="A2801" s="288"/>
      <c r="B2801" s="338"/>
      <c r="C2801" s="339"/>
      <c r="D2801" s="340"/>
      <c r="E2801" s="341"/>
      <c r="F2801" s="342"/>
      <c r="G2801" s="340"/>
      <c r="H2801" s="341"/>
      <c r="I2801" s="342"/>
      <c r="J2801" s="343"/>
      <c r="K2801" s="344"/>
      <c r="L2801" s="345"/>
      <c r="M2801" s="346"/>
      <c r="N2801" s="347"/>
      <c r="O2801" s="348"/>
      <c r="P2801" s="345"/>
      <c r="Q2801" s="349"/>
      <c r="R2801" s="350"/>
      <c r="S2801" s="351"/>
      <c r="T2801" s="352"/>
      <c r="U2801" s="353"/>
      <c r="V2801" s="291">
        <f t="shared" ca="1" si="826"/>
        <v>0</v>
      </c>
      <c r="W2801" s="256">
        <f t="shared" ca="1" si="821"/>
        <v>0</v>
      </c>
      <c r="X2801" s="256">
        <f t="shared" ca="1" si="824"/>
        <v>1</v>
      </c>
      <c r="Y2801" s="250"/>
      <c r="Z2801" s="250"/>
    </row>
    <row r="2802" spans="1:29" s="111" customFormat="1" ht="15.75" hidden="1" customHeight="1" x14ac:dyDescent="0.2">
      <c r="A2802" s="288"/>
      <c r="B2802" s="354"/>
      <c r="C2802" s="355"/>
      <c r="D2802" s="1354" t="s">
        <v>492</v>
      </c>
      <c r="E2802" s="1355"/>
      <c r="F2802" s="1355"/>
      <c r="G2802" s="1355"/>
      <c r="H2802" s="1355"/>
      <c r="I2802" s="1356"/>
      <c r="J2802" s="1357">
        <f>VLOOKUP(A2804,'11 - FINANCEIRO'!_xlnm.Print_Area,6,FALSE)</f>
        <v>104</v>
      </c>
      <c r="K2802" s="1358"/>
      <c r="L2802" s="356" t="str">
        <f>VLOOKUP(A2804,'11 - FINANCEIRO'!_xlnm.Print_Area,4,FALSE)</f>
        <v>m</v>
      </c>
      <c r="M2802" s="1359" t="s">
        <v>493</v>
      </c>
      <c r="N2802" s="1360"/>
      <c r="O2802" s="1360"/>
      <c r="P2802" s="1360"/>
      <c r="Q2802" s="1361"/>
      <c r="R2802" s="357">
        <f>TRUNC(SUM(R2798:R2801),3)</f>
        <v>0</v>
      </c>
      <c r="S2802" s="358" t="str">
        <f>L2802</f>
        <v>m</v>
      </c>
      <c r="T2802" s="359"/>
      <c r="U2802" s="360"/>
      <c r="V2802" s="291">
        <f t="shared" ca="1" si="826"/>
        <v>0</v>
      </c>
      <c r="W2802" s="256">
        <f t="shared" ca="1" si="821"/>
        <v>2</v>
      </c>
      <c r="X2802" s="256">
        <f t="shared" ca="1" si="824"/>
        <v>1</v>
      </c>
      <c r="Y2802" s="250"/>
      <c r="Z2802" s="250"/>
    </row>
    <row r="2803" spans="1:29" s="293" customFormat="1" ht="15.75" hidden="1" customHeight="1" x14ac:dyDescent="0.2">
      <c r="A2803" s="288"/>
      <c r="B2803" s="354"/>
      <c r="C2803" s="361"/>
      <c r="D2803" s="1362" t="s">
        <v>494</v>
      </c>
      <c r="E2803" s="1363"/>
      <c r="F2803" s="1363"/>
      <c r="G2803" s="1363"/>
      <c r="H2803" s="1363"/>
      <c r="I2803" s="1364"/>
      <c r="J2803" s="1365">
        <f>R2802/J2802</f>
        <v>0</v>
      </c>
      <c r="K2803" s="1366"/>
      <c r="L2803" s="1369"/>
      <c r="M2803" s="1371" t="s">
        <v>495</v>
      </c>
      <c r="N2803" s="1372"/>
      <c r="O2803" s="1372"/>
      <c r="P2803" s="1372"/>
      <c r="Q2803" s="1373"/>
      <c r="R2803" s="362">
        <f>VLOOKUP(A2804,'11 - FINANCEIRO'!_xlnm.Print_Area,8,FALSE)</f>
        <v>0</v>
      </c>
      <c r="S2803" s="363" t="str">
        <f>L2802</f>
        <v>m</v>
      </c>
      <c r="T2803" s="359"/>
      <c r="U2803" s="360"/>
      <c r="V2803" s="291">
        <f t="shared" ca="1" si="826"/>
        <v>0</v>
      </c>
      <c r="W2803" s="256">
        <f t="shared" ca="1" si="821"/>
        <v>2</v>
      </c>
      <c r="X2803" s="256">
        <f t="shared" ca="1" si="824"/>
        <v>1</v>
      </c>
      <c r="Y2803" s="256"/>
      <c r="Z2803" s="256"/>
      <c r="AA2803" s="292"/>
      <c r="AB2803" s="292"/>
      <c r="AC2803" s="292"/>
    </row>
    <row r="2804" spans="1:29" s="293" customFormat="1" ht="15.75" hidden="1" customHeight="1" x14ac:dyDescent="0.2">
      <c r="A2804" s="288" t="s">
        <v>155</v>
      </c>
      <c r="B2804" s="364"/>
      <c r="C2804" s="365"/>
      <c r="D2804" s="1354"/>
      <c r="E2804" s="1355"/>
      <c r="F2804" s="1355"/>
      <c r="G2804" s="1355"/>
      <c r="H2804" s="1355"/>
      <c r="I2804" s="1356"/>
      <c r="J2804" s="1367"/>
      <c r="K2804" s="1368"/>
      <c r="L2804" s="1370"/>
      <c r="M2804" s="1371" t="s">
        <v>496</v>
      </c>
      <c r="N2804" s="1372"/>
      <c r="O2804" s="1372"/>
      <c r="P2804" s="1372"/>
      <c r="Q2804" s="1373"/>
      <c r="R2804" s="362">
        <f>R2802-R2803</f>
        <v>0</v>
      </c>
      <c r="S2804" s="363" t="str">
        <f>L2802</f>
        <v>m</v>
      </c>
      <c r="T2804" s="366"/>
      <c r="U2804" s="367"/>
      <c r="V2804" s="291">
        <f t="shared" ca="1" si="826"/>
        <v>0</v>
      </c>
      <c r="W2804" s="256">
        <f t="shared" ca="1" si="821"/>
        <v>2</v>
      </c>
      <c r="X2804" s="256">
        <f t="shared" ca="1" si="824"/>
        <v>1</v>
      </c>
      <c r="Y2804" s="256"/>
      <c r="Z2804" s="256"/>
      <c r="AA2804" s="292"/>
      <c r="AB2804" s="292"/>
      <c r="AC2804" s="292"/>
    </row>
    <row r="2805" spans="1:29" s="111" customFormat="1" ht="15.75" hidden="1" x14ac:dyDescent="0.2">
      <c r="A2805" s="288"/>
      <c r="B2805" s="368"/>
      <c r="C2805" s="365"/>
      <c r="D2805" s="369"/>
      <c r="E2805" s="370"/>
      <c r="F2805" s="369"/>
      <c r="G2805" s="369"/>
      <c r="H2805" s="369"/>
      <c r="I2805" s="369"/>
      <c r="J2805" s="371"/>
      <c r="K2805" s="372"/>
      <c r="L2805" s="373"/>
      <c r="M2805" s="374"/>
      <c r="N2805" s="374"/>
      <c r="O2805" s="374"/>
      <c r="P2805" s="374"/>
      <c r="Q2805" s="374"/>
      <c r="R2805" s="375"/>
      <c r="S2805" s="376"/>
      <c r="T2805" s="377"/>
      <c r="U2805" s="378"/>
      <c r="V2805" s="379">
        <f ca="1">SUM(V2796:V2804)</f>
        <v>0</v>
      </c>
      <c r="W2805" s="256">
        <f t="shared" ca="1" si="821"/>
        <v>1</v>
      </c>
      <c r="X2805" s="256">
        <f t="shared" ca="1" si="824"/>
        <v>0</v>
      </c>
      <c r="Y2805" s="250"/>
      <c r="Z2805" s="250"/>
    </row>
    <row r="2806" spans="1:29" s="293" customFormat="1" ht="15.75" hidden="1" customHeight="1" x14ac:dyDescent="0.25">
      <c r="A2806" s="288"/>
      <c r="B2806" s="1374" t="str">
        <f>VLOOKUP(A2814,'11 - FINANCEIRO'!_xlnm.Print_Area,1,FALSE)</f>
        <v>4.1.4</v>
      </c>
      <c r="C2806" s="1376" t="str">
        <f>VLOOKUP(A2814,'11 - FINANCEIRO'!_xlnm.Print_Area,3,FALSE)</f>
        <v>Arrasamento Mecanico De Estaca De Concreto Armado, Diametros De Até 40 Cm. Af_05/2021</v>
      </c>
      <c r="D2806" s="1378" t="s">
        <v>477</v>
      </c>
      <c r="E2806" s="1379"/>
      <c r="F2806" s="1379"/>
      <c r="G2806" s="1379"/>
      <c r="H2806" s="1379"/>
      <c r="I2806" s="1380"/>
      <c r="J2806" s="1338" t="s">
        <v>478</v>
      </c>
      <c r="K2806" s="1338" t="s">
        <v>479</v>
      </c>
      <c r="L2806" s="1338" t="s">
        <v>480</v>
      </c>
      <c r="M2806" s="1338" t="s">
        <v>481</v>
      </c>
      <c r="N2806" s="1338" t="s">
        <v>482</v>
      </c>
      <c r="O2806" s="1338" t="s">
        <v>483</v>
      </c>
      <c r="P2806" s="290" t="s">
        <v>484</v>
      </c>
      <c r="Q2806" s="1338" t="s">
        <v>485</v>
      </c>
      <c r="R2806" s="1336" t="s">
        <v>296</v>
      </c>
      <c r="S2806" s="1338" t="s">
        <v>486</v>
      </c>
      <c r="T2806" s="1338" t="s">
        <v>487</v>
      </c>
      <c r="U2806" s="1340" t="s">
        <v>488</v>
      </c>
      <c r="V2806" s="291">
        <f t="shared" ref="V2806:V2814" ca="1" si="827">IF(OFFSET(V2806,1,1)=1,OFFSET(V2806,0,-4),OFFSET(V2806,1,0))</f>
        <v>0</v>
      </c>
      <c r="W2806" s="256">
        <f t="shared" ca="1" si="821"/>
        <v>2</v>
      </c>
      <c r="X2806" s="256">
        <f t="shared" ca="1" si="824"/>
        <v>1</v>
      </c>
      <c r="Y2806" s="256"/>
      <c r="Z2806" s="256"/>
      <c r="AA2806" s="292"/>
      <c r="AB2806" s="292"/>
      <c r="AC2806" s="292"/>
    </row>
    <row r="2807" spans="1:29" s="337" customFormat="1" ht="15.75" hidden="1" x14ac:dyDescent="0.2">
      <c r="A2807" s="288"/>
      <c r="B2807" s="1375"/>
      <c r="C2807" s="1377" t="e">
        <f>VLOOKUP(LEFT(#REF!,5),'11 - FINANCEIRO'!_xlnm.Print_Area,2,FALSE)</f>
        <v>#REF!</v>
      </c>
      <c r="D2807" s="1342" t="s">
        <v>489</v>
      </c>
      <c r="E2807" s="1343"/>
      <c r="F2807" s="1344"/>
      <c r="G2807" s="1345" t="s">
        <v>490</v>
      </c>
      <c r="H2807" s="1346"/>
      <c r="I2807" s="1347"/>
      <c r="J2807" s="1339"/>
      <c r="K2807" s="1339"/>
      <c r="L2807" s="1339"/>
      <c r="M2807" s="1339"/>
      <c r="N2807" s="1339"/>
      <c r="O2807" s="1339"/>
      <c r="P2807" s="295" t="s">
        <v>491</v>
      </c>
      <c r="Q2807" s="1339"/>
      <c r="R2807" s="1337"/>
      <c r="S2807" s="1339"/>
      <c r="T2807" s="1339"/>
      <c r="U2807" s="1341"/>
      <c r="V2807" s="291">
        <f t="shared" ca="1" si="827"/>
        <v>0</v>
      </c>
      <c r="W2807" s="256">
        <f t="shared" ca="1" si="821"/>
        <v>2</v>
      </c>
      <c r="X2807" s="256">
        <f t="shared" ca="1" si="824"/>
        <v>1</v>
      </c>
      <c r="Y2807" s="336"/>
      <c r="Z2807" s="336"/>
    </row>
    <row r="2808" spans="1:29" s="337" customFormat="1" ht="15.75" hidden="1" x14ac:dyDescent="0.2">
      <c r="A2808" s="288"/>
      <c r="B2808" s="296"/>
      <c r="C2808" s="297"/>
      <c r="D2808" s="298"/>
      <c r="E2808" s="299"/>
      <c r="F2808" s="300"/>
      <c r="G2808" s="301"/>
      <c r="H2808" s="302"/>
      <c r="I2808" s="303"/>
      <c r="J2808" s="304"/>
      <c r="K2808" s="304"/>
      <c r="L2808" s="304"/>
      <c r="M2808" s="304"/>
      <c r="N2808" s="304"/>
      <c r="O2808" s="304"/>
      <c r="P2808" s="306"/>
      <c r="Q2808" s="304"/>
      <c r="R2808" s="307"/>
      <c r="S2808" s="304"/>
      <c r="T2808" s="309"/>
      <c r="U2808" s="310"/>
      <c r="V2808" s="291">
        <f t="shared" ca="1" si="827"/>
        <v>0</v>
      </c>
      <c r="W2808" s="256">
        <f t="shared" ca="1" si="821"/>
        <v>0</v>
      </c>
      <c r="X2808" s="256">
        <f t="shared" ca="1" si="824"/>
        <v>1</v>
      </c>
      <c r="Y2808" s="336"/>
      <c r="Z2808" s="336"/>
    </row>
    <row r="2809" spans="1:29" s="111" customFormat="1" ht="15.75" hidden="1" x14ac:dyDescent="0.2">
      <c r="A2809" s="288"/>
      <c r="B2809" s="311"/>
      <c r="C2809" s="312"/>
      <c r="D2809" s="313"/>
      <c r="E2809" s="314"/>
      <c r="F2809" s="315"/>
      <c r="G2809" s="380"/>
      <c r="H2809" s="316"/>
      <c r="I2809" s="381"/>
      <c r="J2809" s="317"/>
      <c r="K2809" s="313"/>
      <c r="L2809" s="317"/>
      <c r="M2809" s="315"/>
      <c r="N2809" s="314"/>
      <c r="O2809" s="313"/>
      <c r="P2809" s="318"/>
      <c r="Q2809" s="315"/>
      <c r="R2809" s="319"/>
      <c r="S2809" s="317"/>
      <c r="T2809" s="320"/>
      <c r="U2809" s="321"/>
      <c r="V2809" s="291">
        <f t="shared" ca="1" si="827"/>
        <v>0</v>
      </c>
      <c r="W2809" s="256">
        <f t="shared" ca="1" si="821"/>
        <v>0</v>
      </c>
      <c r="X2809" s="256">
        <f t="shared" ca="1" si="824"/>
        <v>1</v>
      </c>
      <c r="Y2809" s="250"/>
      <c r="Z2809" s="250"/>
    </row>
    <row r="2810" spans="1:29" s="111" customFormat="1" ht="15" hidden="1" x14ac:dyDescent="0.2">
      <c r="A2810" s="288"/>
      <c r="B2810" s="322"/>
      <c r="C2810" s="382"/>
      <c r="D2810" s="324"/>
      <c r="E2810" s="325"/>
      <c r="F2810" s="326"/>
      <c r="G2810" s="324"/>
      <c r="H2810" s="325"/>
      <c r="I2810" s="326"/>
      <c r="J2810" s="317"/>
      <c r="K2810" s="328"/>
      <c r="L2810" s="328"/>
      <c r="M2810" s="328"/>
      <c r="N2810" s="328"/>
      <c r="O2810" s="334"/>
      <c r="P2810" s="328"/>
      <c r="Q2810" s="334"/>
      <c r="R2810" s="333"/>
      <c r="S2810" s="331"/>
      <c r="T2810" s="320"/>
      <c r="U2810" s="335"/>
      <c r="V2810" s="291">
        <f t="shared" ca="1" si="827"/>
        <v>0</v>
      </c>
      <c r="W2810" s="256">
        <f t="shared" ca="1" si="821"/>
        <v>0</v>
      </c>
      <c r="X2810" s="256">
        <f t="shared" ca="1" si="824"/>
        <v>1</v>
      </c>
      <c r="Y2810" s="250"/>
      <c r="Z2810" s="250"/>
    </row>
    <row r="2811" spans="1:29" s="111" customFormat="1" ht="15" hidden="1" x14ac:dyDescent="0.2">
      <c r="A2811" s="288"/>
      <c r="B2811" s="338"/>
      <c r="C2811" s="339"/>
      <c r="D2811" s="340"/>
      <c r="E2811" s="341"/>
      <c r="F2811" s="342"/>
      <c r="G2811" s="340"/>
      <c r="H2811" s="341"/>
      <c r="I2811" s="342"/>
      <c r="J2811" s="343"/>
      <c r="K2811" s="344"/>
      <c r="L2811" s="345"/>
      <c r="M2811" s="346"/>
      <c r="N2811" s="347"/>
      <c r="O2811" s="348"/>
      <c r="P2811" s="345"/>
      <c r="Q2811" s="349"/>
      <c r="R2811" s="350"/>
      <c r="S2811" s="351"/>
      <c r="T2811" s="352"/>
      <c r="U2811" s="353"/>
      <c r="V2811" s="291">
        <f t="shared" ca="1" si="827"/>
        <v>0</v>
      </c>
      <c r="W2811" s="256">
        <f t="shared" ca="1" si="821"/>
        <v>0</v>
      </c>
      <c r="X2811" s="256">
        <f t="shared" ca="1" si="824"/>
        <v>1</v>
      </c>
      <c r="Y2811" s="250"/>
      <c r="Z2811" s="250"/>
    </row>
    <row r="2812" spans="1:29" s="111" customFormat="1" ht="15.75" hidden="1" customHeight="1" x14ac:dyDescent="0.2">
      <c r="A2812" s="288"/>
      <c r="B2812" s="354"/>
      <c r="C2812" s="355"/>
      <c r="D2812" s="1354" t="s">
        <v>492</v>
      </c>
      <c r="E2812" s="1355"/>
      <c r="F2812" s="1355"/>
      <c r="G2812" s="1355"/>
      <c r="H2812" s="1355"/>
      <c r="I2812" s="1356"/>
      <c r="J2812" s="1357">
        <f>VLOOKUP(A2814,'11 - FINANCEIRO'!_xlnm.Print_Area,6,FALSE)</f>
        <v>8</v>
      </c>
      <c r="K2812" s="1358"/>
      <c r="L2812" s="356" t="str">
        <f>VLOOKUP(A2814,'11 - FINANCEIRO'!_xlnm.Print_Area,4,FALSE)</f>
        <v>un</v>
      </c>
      <c r="M2812" s="1359" t="s">
        <v>493</v>
      </c>
      <c r="N2812" s="1360"/>
      <c r="O2812" s="1360"/>
      <c r="P2812" s="1360"/>
      <c r="Q2812" s="1361"/>
      <c r="R2812" s="357">
        <f>TRUNC(SUM(R2808:R2811),3)</f>
        <v>0</v>
      </c>
      <c r="S2812" s="358" t="str">
        <f>L2812</f>
        <v>un</v>
      </c>
      <c r="T2812" s="359"/>
      <c r="U2812" s="360"/>
      <c r="V2812" s="291">
        <f t="shared" ca="1" si="827"/>
        <v>0</v>
      </c>
      <c r="W2812" s="256">
        <f t="shared" ca="1" si="821"/>
        <v>2</v>
      </c>
      <c r="X2812" s="256">
        <f t="shared" ca="1" si="824"/>
        <v>1</v>
      </c>
      <c r="Y2812" s="250"/>
      <c r="Z2812" s="250"/>
    </row>
    <row r="2813" spans="1:29" s="293" customFormat="1" ht="15.75" hidden="1" customHeight="1" x14ac:dyDescent="0.2">
      <c r="A2813" s="288"/>
      <c r="B2813" s="354"/>
      <c r="C2813" s="361"/>
      <c r="D2813" s="1362" t="s">
        <v>494</v>
      </c>
      <c r="E2813" s="1363"/>
      <c r="F2813" s="1363"/>
      <c r="G2813" s="1363"/>
      <c r="H2813" s="1363"/>
      <c r="I2813" s="1364"/>
      <c r="J2813" s="1365">
        <f>R2812/J2812</f>
        <v>0</v>
      </c>
      <c r="K2813" s="1366"/>
      <c r="L2813" s="1369"/>
      <c r="M2813" s="1371" t="s">
        <v>495</v>
      </c>
      <c r="N2813" s="1372"/>
      <c r="O2813" s="1372"/>
      <c r="P2813" s="1372"/>
      <c r="Q2813" s="1373"/>
      <c r="R2813" s="362">
        <f>VLOOKUP(A2814,'11 - FINANCEIRO'!_xlnm.Print_Area,8,FALSE)</f>
        <v>0</v>
      </c>
      <c r="S2813" s="363" t="str">
        <f>L2812</f>
        <v>un</v>
      </c>
      <c r="T2813" s="359"/>
      <c r="U2813" s="360"/>
      <c r="V2813" s="291">
        <f t="shared" ca="1" si="827"/>
        <v>0</v>
      </c>
      <c r="W2813" s="256">
        <f t="shared" ca="1" si="821"/>
        <v>2</v>
      </c>
      <c r="X2813" s="256">
        <f t="shared" ca="1" si="824"/>
        <v>1</v>
      </c>
      <c r="Y2813" s="256"/>
      <c r="Z2813" s="256"/>
      <c r="AA2813" s="292"/>
      <c r="AB2813" s="292"/>
      <c r="AC2813" s="292"/>
    </row>
    <row r="2814" spans="1:29" s="293" customFormat="1" ht="15.75" hidden="1" customHeight="1" x14ac:dyDescent="0.2">
      <c r="A2814" s="288" t="s">
        <v>156</v>
      </c>
      <c r="B2814" s="364"/>
      <c r="C2814" s="365"/>
      <c r="D2814" s="1354"/>
      <c r="E2814" s="1355"/>
      <c r="F2814" s="1355"/>
      <c r="G2814" s="1355"/>
      <c r="H2814" s="1355"/>
      <c r="I2814" s="1356"/>
      <c r="J2814" s="1367"/>
      <c r="K2814" s="1368"/>
      <c r="L2814" s="1370"/>
      <c r="M2814" s="1371" t="s">
        <v>496</v>
      </c>
      <c r="N2814" s="1372"/>
      <c r="O2814" s="1372"/>
      <c r="P2814" s="1372"/>
      <c r="Q2814" s="1373"/>
      <c r="R2814" s="362">
        <f>R2812-R2813</f>
        <v>0</v>
      </c>
      <c r="S2814" s="363" t="str">
        <f>L2812</f>
        <v>un</v>
      </c>
      <c r="T2814" s="366"/>
      <c r="U2814" s="367"/>
      <c r="V2814" s="291">
        <f t="shared" ca="1" si="827"/>
        <v>0</v>
      </c>
      <c r="W2814" s="256">
        <f t="shared" ca="1" si="821"/>
        <v>2</v>
      </c>
      <c r="X2814" s="256">
        <f t="shared" ca="1" si="824"/>
        <v>1</v>
      </c>
      <c r="Y2814" s="256"/>
      <c r="Z2814" s="256"/>
      <c r="AA2814" s="292"/>
      <c r="AB2814" s="292"/>
      <c r="AC2814" s="292"/>
    </row>
    <row r="2815" spans="1:29" s="111" customFormat="1" ht="15.75" hidden="1" x14ac:dyDescent="0.2">
      <c r="A2815" s="288"/>
      <c r="B2815" s="368"/>
      <c r="C2815" s="365"/>
      <c r="D2815" s="369"/>
      <c r="E2815" s="370"/>
      <c r="F2815" s="369"/>
      <c r="G2815" s="369"/>
      <c r="H2815" s="369"/>
      <c r="I2815" s="369"/>
      <c r="J2815" s="371"/>
      <c r="K2815" s="372"/>
      <c r="L2815" s="373"/>
      <c r="M2815" s="374"/>
      <c r="N2815" s="374"/>
      <c r="O2815" s="374"/>
      <c r="P2815" s="374"/>
      <c r="Q2815" s="374"/>
      <c r="R2815" s="375"/>
      <c r="S2815" s="376"/>
      <c r="T2815" s="377"/>
      <c r="U2815" s="378"/>
      <c r="V2815" s="379">
        <f ca="1">SUM(V2806:V2814)</f>
        <v>0</v>
      </c>
      <c r="W2815" s="256">
        <f t="shared" ca="1" si="821"/>
        <v>1</v>
      </c>
      <c r="X2815" s="256">
        <f t="shared" ca="1" si="824"/>
        <v>0</v>
      </c>
      <c r="Y2815" s="250"/>
      <c r="Z2815" s="250"/>
    </row>
    <row r="2816" spans="1:29" s="293" customFormat="1" ht="15.75" hidden="1" customHeight="1" x14ac:dyDescent="0.25">
      <c r="A2816" s="288"/>
      <c r="B2816" s="1374" t="str">
        <f>VLOOKUP(A2824,'11 - FINANCEIRO'!_xlnm.Print_Area,1,FALSE)</f>
        <v>4.1.5</v>
      </c>
      <c r="C2816" s="1376" t="str">
        <f>VLOOKUP(A2824,'11 - FINANCEIRO'!_xlnm.Print_Area,3,FALSE)</f>
        <v>Lastro De Concreto Magro, Aplicado Em Blocos De Coroamento Ou Sapatas, Espessura De 5 Cm. Af_08/2017</v>
      </c>
      <c r="D2816" s="1378" t="s">
        <v>477</v>
      </c>
      <c r="E2816" s="1379"/>
      <c r="F2816" s="1379"/>
      <c r="G2816" s="1379"/>
      <c r="H2816" s="1379"/>
      <c r="I2816" s="1380"/>
      <c r="J2816" s="1338" t="s">
        <v>478</v>
      </c>
      <c r="K2816" s="1338" t="s">
        <v>479</v>
      </c>
      <c r="L2816" s="1338" t="s">
        <v>480</v>
      </c>
      <c r="M2816" s="1338" t="s">
        <v>481</v>
      </c>
      <c r="N2816" s="1338" t="s">
        <v>482</v>
      </c>
      <c r="O2816" s="1338" t="s">
        <v>483</v>
      </c>
      <c r="P2816" s="290" t="s">
        <v>484</v>
      </c>
      <c r="Q2816" s="1338" t="s">
        <v>485</v>
      </c>
      <c r="R2816" s="1336" t="s">
        <v>296</v>
      </c>
      <c r="S2816" s="1338" t="s">
        <v>486</v>
      </c>
      <c r="T2816" s="1338" t="s">
        <v>487</v>
      </c>
      <c r="U2816" s="1340" t="s">
        <v>488</v>
      </c>
      <c r="V2816" s="291">
        <f t="shared" ref="V2816:V2824" ca="1" si="828">IF(OFFSET(V2816,1,1)=1,OFFSET(V2816,0,-4),OFFSET(V2816,1,0))</f>
        <v>0</v>
      </c>
      <c r="W2816" s="256">
        <f t="shared" ca="1" si="821"/>
        <v>2</v>
      </c>
      <c r="X2816" s="256">
        <f t="shared" ca="1" si="824"/>
        <v>1</v>
      </c>
      <c r="Y2816" s="256"/>
      <c r="Z2816" s="256"/>
      <c r="AA2816" s="292"/>
      <c r="AB2816" s="292"/>
      <c r="AC2816" s="292"/>
    </row>
    <row r="2817" spans="1:29" s="337" customFormat="1" ht="15.75" hidden="1" x14ac:dyDescent="0.2">
      <c r="A2817" s="288"/>
      <c r="B2817" s="1375"/>
      <c r="C2817" s="1377" t="e">
        <f>VLOOKUP(LEFT(#REF!,5),'11 - FINANCEIRO'!_xlnm.Print_Area,2,FALSE)</f>
        <v>#REF!</v>
      </c>
      <c r="D2817" s="1342" t="s">
        <v>489</v>
      </c>
      <c r="E2817" s="1343"/>
      <c r="F2817" s="1344"/>
      <c r="G2817" s="1345" t="s">
        <v>490</v>
      </c>
      <c r="H2817" s="1346"/>
      <c r="I2817" s="1347"/>
      <c r="J2817" s="1339"/>
      <c r="K2817" s="1339"/>
      <c r="L2817" s="1339"/>
      <c r="M2817" s="1339"/>
      <c r="N2817" s="1339"/>
      <c r="O2817" s="1339"/>
      <c r="P2817" s="295" t="s">
        <v>491</v>
      </c>
      <c r="Q2817" s="1339"/>
      <c r="R2817" s="1337"/>
      <c r="S2817" s="1339"/>
      <c r="T2817" s="1339"/>
      <c r="U2817" s="1341"/>
      <c r="V2817" s="291">
        <f t="shared" ca="1" si="828"/>
        <v>0</v>
      </c>
      <c r="W2817" s="256">
        <f t="shared" ca="1" si="821"/>
        <v>2</v>
      </c>
      <c r="X2817" s="256">
        <f t="shared" ca="1" si="824"/>
        <v>1</v>
      </c>
      <c r="Y2817" s="336"/>
      <c r="Z2817" s="336"/>
    </row>
    <row r="2818" spans="1:29" s="337" customFormat="1" ht="15.75" hidden="1" x14ac:dyDescent="0.2">
      <c r="A2818" s="288"/>
      <c r="B2818" s="296"/>
      <c r="C2818" s="297"/>
      <c r="D2818" s="298"/>
      <c r="E2818" s="299"/>
      <c r="F2818" s="300"/>
      <c r="G2818" s="301"/>
      <c r="H2818" s="302"/>
      <c r="I2818" s="303"/>
      <c r="J2818" s="304"/>
      <c r="K2818" s="304"/>
      <c r="L2818" s="304"/>
      <c r="M2818" s="304"/>
      <c r="N2818" s="304"/>
      <c r="O2818" s="304"/>
      <c r="P2818" s="306"/>
      <c r="Q2818" s="304"/>
      <c r="R2818" s="307"/>
      <c r="S2818" s="304"/>
      <c r="T2818" s="309"/>
      <c r="U2818" s="310"/>
      <c r="V2818" s="291">
        <f t="shared" ca="1" si="828"/>
        <v>0</v>
      </c>
      <c r="W2818" s="256">
        <f t="shared" ca="1" si="821"/>
        <v>0</v>
      </c>
      <c r="X2818" s="256">
        <f t="shared" ca="1" si="824"/>
        <v>1</v>
      </c>
      <c r="Y2818" s="336"/>
      <c r="Z2818" s="336"/>
    </row>
    <row r="2819" spans="1:29" s="111" customFormat="1" ht="15.75" hidden="1" x14ac:dyDescent="0.2">
      <c r="A2819" s="288"/>
      <c r="B2819" s="311"/>
      <c r="C2819" s="312"/>
      <c r="D2819" s="313"/>
      <c r="E2819" s="314"/>
      <c r="F2819" s="315"/>
      <c r="G2819" s="380"/>
      <c r="H2819" s="316"/>
      <c r="I2819" s="381"/>
      <c r="J2819" s="317"/>
      <c r="K2819" s="313"/>
      <c r="L2819" s="317"/>
      <c r="M2819" s="315"/>
      <c r="N2819" s="314"/>
      <c r="O2819" s="313"/>
      <c r="P2819" s="318"/>
      <c r="Q2819" s="315"/>
      <c r="R2819" s="319"/>
      <c r="S2819" s="317"/>
      <c r="T2819" s="320"/>
      <c r="U2819" s="321"/>
      <c r="V2819" s="291">
        <f t="shared" ca="1" si="828"/>
        <v>0</v>
      </c>
      <c r="W2819" s="256">
        <f t="shared" ca="1" si="821"/>
        <v>0</v>
      </c>
      <c r="X2819" s="256">
        <f t="shared" ca="1" si="824"/>
        <v>1</v>
      </c>
      <c r="Y2819" s="250"/>
      <c r="Z2819" s="250"/>
    </row>
    <row r="2820" spans="1:29" s="111" customFormat="1" ht="15" hidden="1" x14ac:dyDescent="0.2">
      <c r="A2820" s="288"/>
      <c r="B2820" s="322"/>
      <c r="C2820" s="382"/>
      <c r="D2820" s="324"/>
      <c r="E2820" s="325"/>
      <c r="F2820" s="326"/>
      <c r="G2820" s="324"/>
      <c r="H2820" s="325"/>
      <c r="I2820" s="326"/>
      <c r="J2820" s="317"/>
      <c r="K2820" s="328"/>
      <c r="L2820" s="328"/>
      <c r="M2820" s="328"/>
      <c r="N2820" s="328"/>
      <c r="O2820" s="334"/>
      <c r="P2820" s="328"/>
      <c r="Q2820" s="334"/>
      <c r="R2820" s="333"/>
      <c r="S2820" s="331"/>
      <c r="T2820" s="320"/>
      <c r="U2820" s="335"/>
      <c r="V2820" s="291">
        <f t="shared" ca="1" si="828"/>
        <v>0</v>
      </c>
      <c r="W2820" s="256">
        <f t="shared" ref="W2820:W2884" ca="1" si="829">IF(LEFT(_xlfn.FORMULATEXT(V2820),3)="=SO",1,IF(COUNTA(A2820:U2820)=0,0,2))</f>
        <v>0</v>
      </c>
      <c r="X2820" s="256">
        <f t="shared" ca="1" si="824"/>
        <v>1</v>
      </c>
      <c r="Y2820" s="250"/>
      <c r="Z2820" s="250"/>
    </row>
    <row r="2821" spans="1:29" s="111" customFormat="1" ht="15" hidden="1" x14ac:dyDescent="0.2">
      <c r="A2821" s="288"/>
      <c r="B2821" s="338"/>
      <c r="C2821" s="339"/>
      <c r="D2821" s="340"/>
      <c r="E2821" s="341"/>
      <c r="F2821" s="342"/>
      <c r="G2821" s="340"/>
      <c r="H2821" s="341"/>
      <c r="I2821" s="342"/>
      <c r="J2821" s="343"/>
      <c r="K2821" s="344"/>
      <c r="L2821" s="345"/>
      <c r="M2821" s="346"/>
      <c r="N2821" s="347"/>
      <c r="O2821" s="348"/>
      <c r="P2821" s="345"/>
      <c r="Q2821" s="349"/>
      <c r="R2821" s="350"/>
      <c r="S2821" s="351"/>
      <c r="T2821" s="352"/>
      <c r="U2821" s="353"/>
      <c r="V2821" s="291">
        <f t="shared" ca="1" si="828"/>
        <v>0</v>
      </c>
      <c r="W2821" s="256">
        <f t="shared" ca="1" si="829"/>
        <v>0</v>
      </c>
      <c r="X2821" s="256">
        <f t="shared" ca="1" si="824"/>
        <v>1</v>
      </c>
      <c r="Y2821" s="250"/>
      <c r="Z2821" s="250"/>
    </row>
    <row r="2822" spans="1:29" s="111" customFormat="1" ht="15.75" hidden="1" customHeight="1" x14ac:dyDescent="0.2">
      <c r="A2822" s="288"/>
      <c r="B2822" s="354"/>
      <c r="C2822" s="355"/>
      <c r="D2822" s="1354" t="s">
        <v>492</v>
      </c>
      <c r="E2822" s="1355"/>
      <c r="F2822" s="1355"/>
      <c r="G2822" s="1355"/>
      <c r="H2822" s="1355"/>
      <c r="I2822" s="1356"/>
      <c r="J2822" s="1357">
        <f>VLOOKUP(A2824,'11 - FINANCEIRO'!_xlnm.Print_Area,6,FALSE)</f>
        <v>3.5</v>
      </c>
      <c r="K2822" s="1358"/>
      <c r="L2822" s="356" t="str">
        <f>VLOOKUP(A2824,'11 - FINANCEIRO'!_xlnm.Print_Area,4,FALSE)</f>
        <v>m²</v>
      </c>
      <c r="M2822" s="1359" t="s">
        <v>493</v>
      </c>
      <c r="N2822" s="1360"/>
      <c r="O2822" s="1360"/>
      <c r="P2822" s="1360"/>
      <c r="Q2822" s="1361"/>
      <c r="R2822" s="357">
        <f>TRUNC(SUM(R2818:R2821),3)</f>
        <v>0</v>
      </c>
      <c r="S2822" s="358" t="str">
        <f>L2822</f>
        <v>m²</v>
      </c>
      <c r="T2822" s="359"/>
      <c r="U2822" s="360"/>
      <c r="V2822" s="291">
        <f t="shared" ca="1" si="828"/>
        <v>0</v>
      </c>
      <c r="W2822" s="256">
        <f t="shared" ca="1" si="829"/>
        <v>2</v>
      </c>
      <c r="X2822" s="256">
        <f t="shared" ca="1" si="824"/>
        <v>1</v>
      </c>
      <c r="Y2822" s="250"/>
      <c r="Z2822" s="250"/>
    </row>
    <row r="2823" spans="1:29" s="293" customFormat="1" ht="15.75" hidden="1" customHeight="1" x14ac:dyDescent="0.2">
      <c r="A2823" s="288"/>
      <c r="B2823" s="354"/>
      <c r="C2823" s="361"/>
      <c r="D2823" s="1362" t="s">
        <v>494</v>
      </c>
      <c r="E2823" s="1363"/>
      <c r="F2823" s="1363"/>
      <c r="G2823" s="1363"/>
      <c r="H2823" s="1363"/>
      <c r="I2823" s="1364"/>
      <c r="J2823" s="1365">
        <f>R2822/J2822</f>
        <v>0</v>
      </c>
      <c r="K2823" s="1366"/>
      <c r="L2823" s="1369"/>
      <c r="M2823" s="1371" t="s">
        <v>495</v>
      </c>
      <c r="N2823" s="1372"/>
      <c r="O2823" s="1372"/>
      <c r="P2823" s="1372"/>
      <c r="Q2823" s="1373"/>
      <c r="R2823" s="362">
        <f>VLOOKUP(A2824,'11 - FINANCEIRO'!_xlnm.Print_Area,8,FALSE)</f>
        <v>0</v>
      </c>
      <c r="S2823" s="363" t="str">
        <f>L2822</f>
        <v>m²</v>
      </c>
      <c r="T2823" s="359"/>
      <c r="U2823" s="360"/>
      <c r="V2823" s="291">
        <f t="shared" ca="1" si="828"/>
        <v>0</v>
      </c>
      <c r="W2823" s="256">
        <f t="shared" ca="1" si="829"/>
        <v>2</v>
      </c>
      <c r="X2823" s="256">
        <f t="shared" ca="1" si="824"/>
        <v>1</v>
      </c>
      <c r="Y2823" s="256"/>
      <c r="Z2823" s="256"/>
      <c r="AA2823" s="292"/>
      <c r="AB2823" s="292"/>
      <c r="AC2823" s="292"/>
    </row>
    <row r="2824" spans="1:29" s="293" customFormat="1" ht="15.75" hidden="1" customHeight="1" x14ac:dyDescent="0.2">
      <c r="A2824" s="288" t="s">
        <v>157</v>
      </c>
      <c r="B2824" s="364"/>
      <c r="C2824" s="365"/>
      <c r="D2824" s="1354"/>
      <c r="E2824" s="1355"/>
      <c r="F2824" s="1355"/>
      <c r="G2824" s="1355"/>
      <c r="H2824" s="1355"/>
      <c r="I2824" s="1356"/>
      <c r="J2824" s="1367"/>
      <c r="K2824" s="1368"/>
      <c r="L2824" s="1370"/>
      <c r="M2824" s="1371" t="s">
        <v>496</v>
      </c>
      <c r="N2824" s="1372"/>
      <c r="O2824" s="1372"/>
      <c r="P2824" s="1372"/>
      <c r="Q2824" s="1373"/>
      <c r="R2824" s="362">
        <f>R2822-R2823</f>
        <v>0</v>
      </c>
      <c r="S2824" s="363" t="str">
        <f>L2822</f>
        <v>m²</v>
      </c>
      <c r="T2824" s="366"/>
      <c r="U2824" s="367"/>
      <c r="V2824" s="291">
        <f t="shared" ca="1" si="828"/>
        <v>0</v>
      </c>
      <c r="W2824" s="256">
        <f t="shared" ca="1" si="829"/>
        <v>2</v>
      </c>
      <c r="X2824" s="256">
        <f t="shared" ca="1" si="824"/>
        <v>1</v>
      </c>
      <c r="Y2824" s="256"/>
      <c r="Z2824" s="256"/>
      <c r="AA2824" s="292"/>
      <c r="AB2824" s="292"/>
      <c r="AC2824" s="292"/>
    </row>
    <row r="2825" spans="1:29" s="111" customFormat="1" ht="15.75" hidden="1" x14ac:dyDescent="0.2">
      <c r="A2825" s="288"/>
      <c r="B2825" s="368"/>
      <c r="C2825" s="365"/>
      <c r="D2825" s="369"/>
      <c r="E2825" s="370"/>
      <c r="F2825" s="369"/>
      <c r="G2825" s="369"/>
      <c r="H2825" s="369"/>
      <c r="I2825" s="369"/>
      <c r="J2825" s="371"/>
      <c r="K2825" s="372"/>
      <c r="L2825" s="373"/>
      <c r="M2825" s="374"/>
      <c r="N2825" s="374"/>
      <c r="O2825" s="374"/>
      <c r="P2825" s="374"/>
      <c r="Q2825" s="374"/>
      <c r="R2825" s="375"/>
      <c r="S2825" s="376"/>
      <c r="T2825" s="377"/>
      <c r="U2825" s="378"/>
      <c r="V2825" s="379">
        <f ca="1">SUM(V2816:V2824)</f>
        <v>0</v>
      </c>
      <c r="W2825" s="256">
        <f t="shared" ca="1" si="829"/>
        <v>1</v>
      </c>
      <c r="X2825" s="256">
        <f t="shared" ca="1" si="824"/>
        <v>0</v>
      </c>
      <c r="Y2825" s="250"/>
      <c r="Z2825" s="250"/>
    </row>
    <row r="2826" spans="1:29" s="293" customFormat="1" ht="15.75" hidden="1" customHeight="1" x14ac:dyDescent="0.25">
      <c r="A2826" s="288"/>
      <c r="B2826" s="1374" t="str">
        <f>VLOOKUP(A2834,'11 - FINANCEIRO'!_xlnm.Print_Area,1,FALSE)</f>
        <v>4.1.6</v>
      </c>
      <c r="C2826" s="1376" t="str">
        <f>VLOOKUP(A2834,'11 - FINANCEIRO'!_xlnm.Print_Area,3,FALSE)</f>
        <v>Fabricação, Montagem E Desmontagem De Fôrma Para Bloco De Coroamento, Em Chapa De Madeira Compensada Resinada, E=17 Mm, 2 Utilizações. Af_06/2017</v>
      </c>
      <c r="D2826" s="1378" t="s">
        <v>477</v>
      </c>
      <c r="E2826" s="1379"/>
      <c r="F2826" s="1379"/>
      <c r="G2826" s="1379"/>
      <c r="H2826" s="1379"/>
      <c r="I2826" s="1380"/>
      <c r="J2826" s="1338" t="s">
        <v>478</v>
      </c>
      <c r="K2826" s="1338" t="s">
        <v>479</v>
      </c>
      <c r="L2826" s="1338" t="s">
        <v>480</v>
      </c>
      <c r="M2826" s="1338" t="s">
        <v>481</v>
      </c>
      <c r="N2826" s="1338" t="s">
        <v>482</v>
      </c>
      <c r="O2826" s="1338" t="s">
        <v>483</v>
      </c>
      <c r="P2826" s="290" t="s">
        <v>484</v>
      </c>
      <c r="Q2826" s="1338" t="s">
        <v>485</v>
      </c>
      <c r="R2826" s="1336" t="s">
        <v>296</v>
      </c>
      <c r="S2826" s="1338" t="s">
        <v>486</v>
      </c>
      <c r="T2826" s="1338" t="s">
        <v>487</v>
      </c>
      <c r="U2826" s="1340" t="s">
        <v>488</v>
      </c>
      <c r="V2826" s="291">
        <f t="shared" ref="V2826:V2834" ca="1" si="830">IF(OFFSET(V2826,1,1)=1,OFFSET(V2826,0,-4),OFFSET(V2826,1,0))</f>
        <v>0</v>
      </c>
      <c r="W2826" s="256">
        <f t="shared" ca="1" si="829"/>
        <v>2</v>
      </c>
      <c r="X2826" s="256">
        <f t="shared" ca="1" si="824"/>
        <v>1</v>
      </c>
      <c r="Y2826" s="256"/>
      <c r="Z2826" s="256"/>
      <c r="AA2826" s="292"/>
      <c r="AB2826" s="292"/>
      <c r="AC2826" s="292"/>
    </row>
    <row r="2827" spans="1:29" s="337" customFormat="1" ht="15.75" hidden="1" x14ac:dyDescent="0.2">
      <c r="A2827" s="288"/>
      <c r="B2827" s="1375"/>
      <c r="C2827" s="1377" t="e">
        <f>VLOOKUP(LEFT(#REF!,5),'11 - FINANCEIRO'!_xlnm.Print_Area,2,FALSE)</f>
        <v>#REF!</v>
      </c>
      <c r="D2827" s="1342" t="s">
        <v>489</v>
      </c>
      <c r="E2827" s="1343"/>
      <c r="F2827" s="1344"/>
      <c r="G2827" s="1345" t="s">
        <v>490</v>
      </c>
      <c r="H2827" s="1346"/>
      <c r="I2827" s="1347"/>
      <c r="J2827" s="1339"/>
      <c r="K2827" s="1339"/>
      <c r="L2827" s="1339"/>
      <c r="M2827" s="1339"/>
      <c r="N2827" s="1339"/>
      <c r="O2827" s="1339"/>
      <c r="P2827" s="295" t="s">
        <v>491</v>
      </c>
      <c r="Q2827" s="1339"/>
      <c r="R2827" s="1337"/>
      <c r="S2827" s="1339"/>
      <c r="T2827" s="1339"/>
      <c r="U2827" s="1341"/>
      <c r="V2827" s="291">
        <f t="shared" ca="1" si="830"/>
        <v>0</v>
      </c>
      <c r="W2827" s="256">
        <f t="shared" ca="1" si="829"/>
        <v>2</v>
      </c>
      <c r="X2827" s="256">
        <f t="shared" ca="1" si="824"/>
        <v>1</v>
      </c>
      <c r="Y2827" s="336"/>
      <c r="Z2827" s="336"/>
    </row>
    <row r="2828" spans="1:29" s="337" customFormat="1" ht="15.75" hidden="1" x14ac:dyDescent="0.2">
      <c r="A2828" s="288"/>
      <c r="B2828" s="296"/>
      <c r="C2828" s="297"/>
      <c r="D2828" s="298"/>
      <c r="E2828" s="299"/>
      <c r="F2828" s="300"/>
      <c r="G2828" s="301"/>
      <c r="H2828" s="302"/>
      <c r="I2828" s="303"/>
      <c r="J2828" s="304"/>
      <c r="K2828" s="304"/>
      <c r="L2828" s="304"/>
      <c r="M2828" s="304"/>
      <c r="N2828" s="304"/>
      <c r="O2828" s="304"/>
      <c r="P2828" s="306"/>
      <c r="Q2828" s="304"/>
      <c r="R2828" s="307"/>
      <c r="S2828" s="304"/>
      <c r="T2828" s="309"/>
      <c r="U2828" s="310"/>
      <c r="V2828" s="291">
        <f t="shared" ca="1" si="830"/>
        <v>0</v>
      </c>
      <c r="W2828" s="256">
        <f t="shared" ca="1" si="829"/>
        <v>0</v>
      </c>
      <c r="X2828" s="256">
        <f t="shared" ca="1" si="824"/>
        <v>1</v>
      </c>
      <c r="Y2828" s="336"/>
      <c r="Z2828" s="336"/>
    </row>
    <row r="2829" spans="1:29" s="111" customFormat="1" ht="15.75" hidden="1" x14ac:dyDescent="0.2">
      <c r="A2829" s="288"/>
      <c r="B2829" s="311"/>
      <c r="C2829" s="312"/>
      <c r="D2829" s="313"/>
      <c r="E2829" s="314"/>
      <c r="F2829" s="315"/>
      <c r="G2829" s="380"/>
      <c r="H2829" s="316"/>
      <c r="I2829" s="381"/>
      <c r="J2829" s="317"/>
      <c r="K2829" s="313"/>
      <c r="L2829" s="317"/>
      <c r="M2829" s="315"/>
      <c r="N2829" s="314"/>
      <c r="O2829" s="313"/>
      <c r="P2829" s="318"/>
      <c r="Q2829" s="315"/>
      <c r="R2829" s="319"/>
      <c r="S2829" s="317"/>
      <c r="T2829" s="320"/>
      <c r="U2829" s="321"/>
      <c r="V2829" s="291">
        <f t="shared" ca="1" si="830"/>
        <v>0</v>
      </c>
      <c r="W2829" s="256">
        <f t="shared" ca="1" si="829"/>
        <v>0</v>
      </c>
      <c r="X2829" s="256">
        <f t="shared" ca="1" si="824"/>
        <v>1</v>
      </c>
      <c r="Y2829" s="250"/>
      <c r="Z2829" s="250"/>
    </row>
    <row r="2830" spans="1:29" s="111" customFormat="1" ht="15" hidden="1" x14ac:dyDescent="0.2">
      <c r="A2830" s="288"/>
      <c r="B2830" s="322"/>
      <c r="C2830" s="382"/>
      <c r="D2830" s="324"/>
      <c r="E2830" s="325"/>
      <c r="F2830" s="326"/>
      <c r="G2830" s="324"/>
      <c r="H2830" s="325"/>
      <c r="I2830" s="326"/>
      <c r="J2830" s="317"/>
      <c r="K2830" s="328"/>
      <c r="L2830" s="328"/>
      <c r="M2830" s="328"/>
      <c r="N2830" s="328"/>
      <c r="O2830" s="334"/>
      <c r="P2830" s="328"/>
      <c r="Q2830" s="334"/>
      <c r="R2830" s="333"/>
      <c r="S2830" s="331"/>
      <c r="T2830" s="320"/>
      <c r="U2830" s="335"/>
      <c r="V2830" s="291">
        <f t="shared" ca="1" si="830"/>
        <v>0</v>
      </c>
      <c r="W2830" s="256">
        <f t="shared" ca="1" si="829"/>
        <v>0</v>
      </c>
      <c r="X2830" s="256">
        <f t="shared" ca="1" si="824"/>
        <v>1</v>
      </c>
      <c r="Y2830" s="250"/>
      <c r="Z2830" s="250"/>
    </row>
    <row r="2831" spans="1:29" s="111" customFormat="1" ht="15" hidden="1" x14ac:dyDescent="0.2">
      <c r="A2831" s="288"/>
      <c r="B2831" s="338"/>
      <c r="C2831" s="339"/>
      <c r="D2831" s="340"/>
      <c r="E2831" s="341"/>
      <c r="F2831" s="342"/>
      <c r="G2831" s="340"/>
      <c r="H2831" s="341"/>
      <c r="I2831" s="342"/>
      <c r="J2831" s="343"/>
      <c r="K2831" s="344"/>
      <c r="L2831" s="345"/>
      <c r="M2831" s="346"/>
      <c r="N2831" s="347"/>
      <c r="O2831" s="348"/>
      <c r="P2831" s="345"/>
      <c r="Q2831" s="349"/>
      <c r="R2831" s="350"/>
      <c r="S2831" s="351"/>
      <c r="T2831" s="352"/>
      <c r="U2831" s="353"/>
      <c r="V2831" s="291">
        <f t="shared" ca="1" si="830"/>
        <v>0</v>
      </c>
      <c r="W2831" s="256">
        <f t="shared" ca="1" si="829"/>
        <v>0</v>
      </c>
      <c r="X2831" s="256">
        <f t="shared" ca="1" si="824"/>
        <v>1</v>
      </c>
      <c r="Y2831" s="250"/>
      <c r="Z2831" s="250"/>
    </row>
    <row r="2832" spans="1:29" s="111" customFormat="1" ht="15.75" hidden="1" customHeight="1" x14ac:dyDescent="0.2">
      <c r="A2832" s="288"/>
      <c r="B2832" s="354"/>
      <c r="C2832" s="355"/>
      <c r="D2832" s="1354" t="s">
        <v>492</v>
      </c>
      <c r="E2832" s="1355"/>
      <c r="F2832" s="1355"/>
      <c r="G2832" s="1355"/>
      <c r="H2832" s="1355"/>
      <c r="I2832" s="1356"/>
      <c r="J2832" s="1357">
        <f>VLOOKUP(A2834,'11 - FINANCEIRO'!_xlnm.Print_Area,6,FALSE)</f>
        <v>34.6</v>
      </c>
      <c r="K2832" s="1358"/>
      <c r="L2832" s="356" t="str">
        <f>VLOOKUP(A2834,'11 - FINANCEIRO'!_xlnm.Print_Area,4,FALSE)</f>
        <v>m²</v>
      </c>
      <c r="M2832" s="1359" t="s">
        <v>493</v>
      </c>
      <c r="N2832" s="1360"/>
      <c r="O2832" s="1360"/>
      <c r="P2832" s="1360"/>
      <c r="Q2832" s="1361"/>
      <c r="R2832" s="357">
        <f>TRUNC(SUM(R2828:R2831),3)</f>
        <v>0</v>
      </c>
      <c r="S2832" s="358" t="str">
        <f>L2832</f>
        <v>m²</v>
      </c>
      <c r="T2832" s="359"/>
      <c r="U2832" s="360"/>
      <c r="V2832" s="291">
        <f t="shared" ca="1" si="830"/>
        <v>0</v>
      </c>
      <c r="W2832" s="256">
        <f t="shared" ca="1" si="829"/>
        <v>2</v>
      </c>
      <c r="X2832" s="256">
        <f t="shared" ca="1" si="824"/>
        <v>1</v>
      </c>
      <c r="Y2832" s="250"/>
      <c r="Z2832" s="250"/>
    </row>
    <row r="2833" spans="1:29" s="293" customFormat="1" ht="15.75" hidden="1" customHeight="1" x14ac:dyDescent="0.2">
      <c r="A2833" s="288"/>
      <c r="B2833" s="354"/>
      <c r="C2833" s="361"/>
      <c r="D2833" s="1362" t="s">
        <v>494</v>
      </c>
      <c r="E2833" s="1363"/>
      <c r="F2833" s="1363"/>
      <c r="G2833" s="1363"/>
      <c r="H2833" s="1363"/>
      <c r="I2833" s="1364"/>
      <c r="J2833" s="1365">
        <f>R2832/J2832</f>
        <v>0</v>
      </c>
      <c r="K2833" s="1366"/>
      <c r="L2833" s="1369"/>
      <c r="M2833" s="1371" t="s">
        <v>495</v>
      </c>
      <c r="N2833" s="1372"/>
      <c r="O2833" s="1372"/>
      <c r="P2833" s="1372"/>
      <c r="Q2833" s="1373"/>
      <c r="R2833" s="362">
        <f>VLOOKUP(A2834,'11 - FINANCEIRO'!_xlnm.Print_Area,8,FALSE)</f>
        <v>0</v>
      </c>
      <c r="S2833" s="363" t="str">
        <f>L2832</f>
        <v>m²</v>
      </c>
      <c r="T2833" s="359"/>
      <c r="U2833" s="360"/>
      <c r="V2833" s="291">
        <f t="shared" ca="1" si="830"/>
        <v>0</v>
      </c>
      <c r="W2833" s="256">
        <f t="shared" ca="1" si="829"/>
        <v>2</v>
      </c>
      <c r="X2833" s="256">
        <f t="shared" ca="1" si="824"/>
        <v>1</v>
      </c>
      <c r="Y2833" s="256"/>
      <c r="Z2833" s="256"/>
      <c r="AA2833" s="292"/>
      <c r="AB2833" s="292"/>
      <c r="AC2833" s="292"/>
    </row>
    <row r="2834" spans="1:29" s="293" customFormat="1" ht="15.75" hidden="1" customHeight="1" x14ac:dyDescent="0.2">
      <c r="A2834" s="288" t="s">
        <v>158</v>
      </c>
      <c r="B2834" s="364"/>
      <c r="C2834" s="365"/>
      <c r="D2834" s="1354"/>
      <c r="E2834" s="1355"/>
      <c r="F2834" s="1355"/>
      <c r="G2834" s="1355"/>
      <c r="H2834" s="1355"/>
      <c r="I2834" s="1356"/>
      <c r="J2834" s="1367"/>
      <c r="K2834" s="1368"/>
      <c r="L2834" s="1370"/>
      <c r="M2834" s="1371" t="s">
        <v>496</v>
      </c>
      <c r="N2834" s="1372"/>
      <c r="O2834" s="1372"/>
      <c r="P2834" s="1372"/>
      <c r="Q2834" s="1373"/>
      <c r="R2834" s="362">
        <f>R2832-R2833</f>
        <v>0</v>
      </c>
      <c r="S2834" s="363" t="str">
        <f>L2832</f>
        <v>m²</v>
      </c>
      <c r="T2834" s="366"/>
      <c r="U2834" s="367"/>
      <c r="V2834" s="291">
        <f t="shared" ca="1" si="830"/>
        <v>0</v>
      </c>
      <c r="W2834" s="256">
        <f t="shared" ca="1" si="829"/>
        <v>2</v>
      </c>
      <c r="X2834" s="256">
        <f t="shared" ca="1" si="824"/>
        <v>1</v>
      </c>
      <c r="Y2834" s="256"/>
      <c r="Z2834" s="256"/>
      <c r="AA2834" s="292"/>
      <c r="AB2834" s="292"/>
      <c r="AC2834" s="292"/>
    </row>
    <row r="2835" spans="1:29" s="111" customFormat="1" ht="15.75" hidden="1" x14ac:dyDescent="0.2">
      <c r="A2835" s="288"/>
      <c r="B2835" s="368"/>
      <c r="C2835" s="365"/>
      <c r="D2835" s="369"/>
      <c r="E2835" s="370"/>
      <c r="F2835" s="369"/>
      <c r="G2835" s="369"/>
      <c r="H2835" s="369"/>
      <c r="I2835" s="369"/>
      <c r="J2835" s="371"/>
      <c r="K2835" s="372"/>
      <c r="L2835" s="373"/>
      <c r="M2835" s="374"/>
      <c r="N2835" s="374"/>
      <c r="O2835" s="374"/>
      <c r="P2835" s="374"/>
      <c r="Q2835" s="374"/>
      <c r="R2835" s="375"/>
      <c r="S2835" s="376"/>
      <c r="T2835" s="377"/>
      <c r="U2835" s="378"/>
      <c r="V2835" s="379">
        <f ca="1">SUM(V2826:V2834)</f>
        <v>0</v>
      </c>
      <c r="W2835" s="256">
        <f t="shared" ca="1" si="829"/>
        <v>1</v>
      </c>
      <c r="X2835" s="256">
        <f t="shared" ca="1" si="824"/>
        <v>0</v>
      </c>
      <c r="Y2835" s="250"/>
      <c r="Z2835" s="250"/>
    </row>
    <row r="2836" spans="1:29" s="293" customFormat="1" ht="15.75" hidden="1" customHeight="1" x14ac:dyDescent="0.25">
      <c r="A2836" s="288"/>
      <c r="B2836" s="1374" t="str">
        <f>VLOOKUP(A2844,'11 - FINANCEIRO'!_xlnm.Print_Area,1,FALSE)</f>
        <v>4.1.7</v>
      </c>
      <c r="C2836" s="1376" t="str">
        <f>VLOOKUP(A2844,'11 - FINANCEIRO'!_xlnm.Print_Area,3,FALSE)</f>
        <v>Armação Em Aço Ca-50 - Fornecimento, Preparo E Colocação</v>
      </c>
      <c r="D2836" s="1378" t="s">
        <v>477</v>
      </c>
      <c r="E2836" s="1379"/>
      <c r="F2836" s="1379"/>
      <c r="G2836" s="1379"/>
      <c r="H2836" s="1379"/>
      <c r="I2836" s="1380"/>
      <c r="J2836" s="1338" t="s">
        <v>478</v>
      </c>
      <c r="K2836" s="1338" t="s">
        <v>479</v>
      </c>
      <c r="L2836" s="1338" t="s">
        <v>480</v>
      </c>
      <c r="M2836" s="1338" t="s">
        <v>481</v>
      </c>
      <c r="N2836" s="1338" t="s">
        <v>482</v>
      </c>
      <c r="O2836" s="1338" t="s">
        <v>483</v>
      </c>
      <c r="P2836" s="290" t="s">
        <v>484</v>
      </c>
      <c r="Q2836" s="1338" t="s">
        <v>485</v>
      </c>
      <c r="R2836" s="1336" t="s">
        <v>296</v>
      </c>
      <c r="S2836" s="1338" t="s">
        <v>486</v>
      </c>
      <c r="T2836" s="1338" t="s">
        <v>487</v>
      </c>
      <c r="U2836" s="1340" t="s">
        <v>488</v>
      </c>
      <c r="V2836" s="291">
        <f t="shared" ref="V2836:V2844" ca="1" si="831">IF(OFFSET(V2836,1,1)=1,OFFSET(V2836,0,-4),OFFSET(V2836,1,0))</f>
        <v>0</v>
      </c>
      <c r="W2836" s="256">
        <f t="shared" ca="1" si="829"/>
        <v>2</v>
      </c>
      <c r="X2836" s="256">
        <f t="shared" ca="1" si="824"/>
        <v>1</v>
      </c>
      <c r="Y2836" s="256"/>
      <c r="Z2836" s="256"/>
      <c r="AA2836" s="292"/>
      <c r="AB2836" s="292"/>
      <c r="AC2836" s="292"/>
    </row>
    <row r="2837" spans="1:29" s="337" customFormat="1" ht="15.75" hidden="1" x14ac:dyDescent="0.2">
      <c r="A2837" s="288"/>
      <c r="B2837" s="1375"/>
      <c r="C2837" s="1377" t="e">
        <f>VLOOKUP(LEFT(#REF!,5),'11 - FINANCEIRO'!_xlnm.Print_Area,2,FALSE)</f>
        <v>#REF!</v>
      </c>
      <c r="D2837" s="1342" t="s">
        <v>489</v>
      </c>
      <c r="E2837" s="1343"/>
      <c r="F2837" s="1344"/>
      <c r="G2837" s="1345" t="s">
        <v>490</v>
      </c>
      <c r="H2837" s="1346"/>
      <c r="I2837" s="1347"/>
      <c r="J2837" s="1339"/>
      <c r="K2837" s="1339"/>
      <c r="L2837" s="1339"/>
      <c r="M2837" s="1339"/>
      <c r="N2837" s="1339"/>
      <c r="O2837" s="1339"/>
      <c r="P2837" s="295" t="s">
        <v>491</v>
      </c>
      <c r="Q2837" s="1339"/>
      <c r="R2837" s="1337"/>
      <c r="S2837" s="1339"/>
      <c r="T2837" s="1339"/>
      <c r="U2837" s="1341"/>
      <c r="V2837" s="291">
        <f t="shared" ca="1" si="831"/>
        <v>0</v>
      </c>
      <c r="W2837" s="256">
        <f t="shared" ca="1" si="829"/>
        <v>2</v>
      </c>
      <c r="X2837" s="256">
        <f t="shared" ca="1" si="824"/>
        <v>1</v>
      </c>
      <c r="Y2837" s="336"/>
      <c r="Z2837" s="336"/>
    </row>
    <row r="2838" spans="1:29" s="337" customFormat="1" ht="15.75" hidden="1" x14ac:dyDescent="0.2">
      <c r="A2838" s="288"/>
      <c r="B2838" s="296"/>
      <c r="C2838" s="297"/>
      <c r="D2838" s="298"/>
      <c r="E2838" s="299"/>
      <c r="F2838" s="300"/>
      <c r="G2838" s="301"/>
      <c r="H2838" s="302"/>
      <c r="I2838" s="303"/>
      <c r="J2838" s="304"/>
      <c r="K2838" s="304"/>
      <c r="L2838" s="304"/>
      <c r="M2838" s="304"/>
      <c r="N2838" s="304"/>
      <c r="O2838" s="304"/>
      <c r="P2838" s="306"/>
      <c r="Q2838" s="304"/>
      <c r="R2838" s="307"/>
      <c r="S2838" s="304"/>
      <c r="T2838" s="309"/>
      <c r="U2838" s="310"/>
      <c r="V2838" s="291">
        <f t="shared" ca="1" si="831"/>
        <v>0</v>
      </c>
      <c r="W2838" s="256">
        <f t="shared" ca="1" si="829"/>
        <v>0</v>
      </c>
      <c r="X2838" s="256">
        <f t="shared" ca="1" si="824"/>
        <v>1</v>
      </c>
      <c r="Y2838" s="336"/>
      <c r="Z2838" s="336"/>
    </row>
    <row r="2839" spans="1:29" s="111" customFormat="1" ht="15.75" hidden="1" x14ac:dyDescent="0.2">
      <c r="A2839" s="288"/>
      <c r="B2839" s="311"/>
      <c r="C2839" s="312"/>
      <c r="D2839" s="313"/>
      <c r="E2839" s="314"/>
      <c r="F2839" s="315"/>
      <c r="G2839" s="380"/>
      <c r="H2839" s="316"/>
      <c r="I2839" s="381"/>
      <c r="J2839" s="317"/>
      <c r="K2839" s="313"/>
      <c r="L2839" s="317"/>
      <c r="M2839" s="315"/>
      <c r="N2839" s="314"/>
      <c r="O2839" s="313"/>
      <c r="P2839" s="318"/>
      <c r="Q2839" s="315"/>
      <c r="R2839" s="319"/>
      <c r="S2839" s="317"/>
      <c r="T2839" s="320"/>
      <c r="U2839" s="321"/>
      <c r="V2839" s="291">
        <f t="shared" ca="1" si="831"/>
        <v>0</v>
      </c>
      <c r="W2839" s="256">
        <f t="shared" ca="1" si="829"/>
        <v>0</v>
      </c>
      <c r="X2839" s="256">
        <f t="shared" ca="1" si="824"/>
        <v>1</v>
      </c>
      <c r="Y2839" s="250"/>
      <c r="Z2839" s="250"/>
    </row>
    <row r="2840" spans="1:29" s="111" customFormat="1" ht="15" hidden="1" x14ac:dyDescent="0.2">
      <c r="A2840" s="288"/>
      <c r="B2840" s="322"/>
      <c r="C2840" s="382"/>
      <c r="D2840" s="324"/>
      <c r="E2840" s="325"/>
      <c r="F2840" s="326"/>
      <c r="G2840" s="324"/>
      <c r="H2840" s="325"/>
      <c r="I2840" s="326"/>
      <c r="J2840" s="317"/>
      <c r="K2840" s="328"/>
      <c r="L2840" s="328"/>
      <c r="M2840" s="328"/>
      <c r="N2840" s="328"/>
      <c r="O2840" s="334"/>
      <c r="P2840" s="328"/>
      <c r="Q2840" s="334"/>
      <c r="R2840" s="333"/>
      <c r="S2840" s="331"/>
      <c r="T2840" s="320"/>
      <c r="U2840" s="335"/>
      <c r="V2840" s="291">
        <f t="shared" ca="1" si="831"/>
        <v>0</v>
      </c>
      <c r="W2840" s="256">
        <f t="shared" ca="1" si="829"/>
        <v>0</v>
      </c>
      <c r="X2840" s="256">
        <f t="shared" ca="1" si="824"/>
        <v>1</v>
      </c>
      <c r="Y2840" s="250"/>
      <c r="Z2840" s="250"/>
    </row>
    <row r="2841" spans="1:29" s="111" customFormat="1" ht="15" hidden="1" x14ac:dyDescent="0.2">
      <c r="A2841" s="288"/>
      <c r="B2841" s="338"/>
      <c r="C2841" s="339"/>
      <c r="D2841" s="340"/>
      <c r="E2841" s="341"/>
      <c r="F2841" s="342"/>
      <c r="G2841" s="340"/>
      <c r="H2841" s="341"/>
      <c r="I2841" s="342"/>
      <c r="J2841" s="343"/>
      <c r="K2841" s="344"/>
      <c r="L2841" s="345"/>
      <c r="M2841" s="346"/>
      <c r="N2841" s="347"/>
      <c r="O2841" s="348"/>
      <c r="P2841" s="345"/>
      <c r="Q2841" s="349"/>
      <c r="R2841" s="350"/>
      <c r="S2841" s="351"/>
      <c r="T2841" s="352"/>
      <c r="U2841" s="353"/>
      <c r="V2841" s="291">
        <f t="shared" ca="1" si="831"/>
        <v>0</v>
      </c>
      <c r="W2841" s="256">
        <f t="shared" ca="1" si="829"/>
        <v>0</v>
      </c>
      <c r="X2841" s="256">
        <f t="shared" ca="1" si="824"/>
        <v>1</v>
      </c>
      <c r="Y2841" s="250"/>
      <c r="Z2841" s="250"/>
    </row>
    <row r="2842" spans="1:29" s="111" customFormat="1" ht="15.75" hidden="1" customHeight="1" x14ac:dyDescent="0.2">
      <c r="A2842" s="288"/>
      <c r="B2842" s="354"/>
      <c r="C2842" s="355"/>
      <c r="D2842" s="1354" t="s">
        <v>492</v>
      </c>
      <c r="E2842" s="1355"/>
      <c r="F2842" s="1355"/>
      <c r="G2842" s="1355"/>
      <c r="H2842" s="1355"/>
      <c r="I2842" s="1356"/>
      <c r="J2842" s="1357">
        <f>VLOOKUP(A2844,'11 - FINANCEIRO'!_xlnm.Print_Area,6,FALSE)</f>
        <v>99</v>
      </c>
      <c r="K2842" s="1358"/>
      <c r="L2842" s="356" t="str">
        <f>VLOOKUP(A2844,'11 - FINANCEIRO'!_xlnm.Print_Area,4,FALSE)</f>
        <v>kg</v>
      </c>
      <c r="M2842" s="1359" t="s">
        <v>493</v>
      </c>
      <c r="N2842" s="1360"/>
      <c r="O2842" s="1360"/>
      <c r="P2842" s="1360"/>
      <c r="Q2842" s="1361"/>
      <c r="R2842" s="357">
        <f>TRUNC(SUM(R2838:R2841),3)</f>
        <v>0</v>
      </c>
      <c r="S2842" s="358" t="str">
        <f>L2842</f>
        <v>kg</v>
      </c>
      <c r="T2842" s="359"/>
      <c r="U2842" s="360"/>
      <c r="V2842" s="291">
        <f t="shared" ca="1" si="831"/>
        <v>0</v>
      </c>
      <c r="W2842" s="256">
        <f t="shared" ca="1" si="829"/>
        <v>2</v>
      </c>
      <c r="X2842" s="256">
        <f t="shared" ca="1" si="824"/>
        <v>1</v>
      </c>
      <c r="Y2842" s="250"/>
      <c r="Z2842" s="250"/>
    </row>
    <row r="2843" spans="1:29" s="293" customFormat="1" ht="15.75" hidden="1" customHeight="1" x14ac:dyDescent="0.2">
      <c r="A2843" s="288"/>
      <c r="B2843" s="354"/>
      <c r="C2843" s="361"/>
      <c r="D2843" s="1362" t="s">
        <v>494</v>
      </c>
      <c r="E2843" s="1363"/>
      <c r="F2843" s="1363"/>
      <c r="G2843" s="1363"/>
      <c r="H2843" s="1363"/>
      <c r="I2843" s="1364"/>
      <c r="J2843" s="1365">
        <f>R2842/J2842</f>
        <v>0</v>
      </c>
      <c r="K2843" s="1366"/>
      <c r="L2843" s="1369"/>
      <c r="M2843" s="1371" t="s">
        <v>495</v>
      </c>
      <c r="N2843" s="1372"/>
      <c r="O2843" s="1372"/>
      <c r="P2843" s="1372"/>
      <c r="Q2843" s="1373"/>
      <c r="R2843" s="362">
        <f>VLOOKUP(A2844,'11 - FINANCEIRO'!_xlnm.Print_Area,8,FALSE)</f>
        <v>0</v>
      </c>
      <c r="S2843" s="363" t="str">
        <f>L2842</f>
        <v>kg</v>
      </c>
      <c r="T2843" s="359"/>
      <c r="U2843" s="360"/>
      <c r="V2843" s="291">
        <f t="shared" ca="1" si="831"/>
        <v>0</v>
      </c>
      <c r="W2843" s="256">
        <f t="shared" ca="1" si="829"/>
        <v>2</v>
      </c>
      <c r="X2843" s="256">
        <f t="shared" ca="1" si="824"/>
        <v>1</v>
      </c>
      <c r="Y2843" s="256"/>
      <c r="Z2843" s="256"/>
      <c r="AA2843" s="292"/>
      <c r="AB2843" s="292"/>
      <c r="AC2843" s="292"/>
    </row>
    <row r="2844" spans="1:29" s="293" customFormat="1" ht="15.75" hidden="1" customHeight="1" x14ac:dyDescent="0.2">
      <c r="A2844" s="288" t="s">
        <v>159</v>
      </c>
      <c r="B2844" s="364"/>
      <c r="C2844" s="365"/>
      <c r="D2844" s="1354"/>
      <c r="E2844" s="1355"/>
      <c r="F2844" s="1355"/>
      <c r="G2844" s="1355"/>
      <c r="H2844" s="1355"/>
      <c r="I2844" s="1356"/>
      <c r="J2844" s="1367"/>
      <c r="K2844" s="1368"/>
      <c r="L2844" s="1370"/>
      <c r="M2844" s="1371" t="s">
        <v>496</v>
      </c>
      <c r="N2844" s="1372"/>
      <c r="O2844" s="1372"/>
      <c r="P2844" s="1372"/>
      <c r="Q2844" s="1373"/>
      <c r="R2844" s="362">
        <f>R2842-R2843</f>
        <v>0</v>
      </c>
      <c r="S2844" s="363" t="str">
        <f>L2842</f>
        <v>kg</v>
      </c>
      <c r="T2844" s="366"/>
      <c r="U2844" s="367"/>
      <c r="V2844" s="291">
        <f t="shared" ca="1" si="831"/>
        <v>0</v>
      </c>
      <c r="W2844" s="256">
        <f t="shared" ca="1" si="829"/>
        <v>2</v>
      </c>
      <c r="X2844" s="256">
        <f t="shared" ref="X2844:X2908" ca="1" si="832">IF(COUNTA(OFFSET(A2843,1,0))-COUNTA(A2843)=-1,0,1)</f>
        <v>1</v>
      </c>
      <c r="Y2844" s="256"/>
      <c r="Z2844" s="256"/>
      <c r="AA2844" s="292"/>
      <c r="AB2844" s="292"/>
      <c r="AC2844" s="292"/>
    </row>
    <row r="2845" spans="1:29" s="111" customFormat="1" ht="15.75" hidden="1" x14ac:dyDescent="0.2">
      <c r="A2845" s="288"/>
      <c r="B2845" s="368"/>
      <c r="C2845" s="365"/>
      <c r="D2845" s="369"/>
      <c r="E2845" s="370"/>
      <c r="F2845" s="369"/>
      <c r="G2845" s="369"/>
      <c r="H2845" s="369"/>
      <c r="I2845" s="369"/>
      <c r="J2845" s="371"/>
      <c r="K2845" s="372"/>
      <c r="L2845" s="373"/>
      <c r="M2845" s="374"/>
      <c r="N2845" s="374"/>
      <c r="O2845" s="374"/>
      <c r="P2845" s="374"/>
      <c r="Q2845" s="374"/>
      <c r="R2845" s="375"/>
      <c r="S2845" s="376"/>
      <c r="T2845" s="377"/>
      <c r="U2845" s="378"/>
      <c r="V2845" s="379">
        <f ca="1">SUM(V2836:V2844)</f>
        <v>0</v>
      </c>
      <c r="W2845" s="256">
        <f t="shared" ca="1" si="829"/>
        <v>1</v>
      </c>
      <c r="X2845" s="256">
        <f t="shared" ca="1" si="832"/>
        <v>0</v>
      </c>
      <c r="Y2845" s="250"/>
      <c r="Z2845" s="250"/>
    </row>
    <row r="2846" spans="1:29" s="293" customFormat="1" ht="15.75" hidden="1" customHeight="1" x14ac:dyDescent="0.25">
      <c r="A2846" s="288"/>
      <c r="B2846" s="1374" t="str">
        <f>VLOOKUP(A2854,'11 - FINANCEIRO'!_xlnm.Print_Area,1,FALSE)</f>
        <v>4.1.8</v>
      </c>
      <c r="C2846" s="1376" t="str">
        <f>VLOOKUP(A2854,'11 - FINANCEIRO'!_xlnm.Print_Area,3,FALSE)</f>
        <v>Chumbador Tipo Espera Em Aço Ca-25 Para Fixação De Estrutura Metálica Em Concreto - Fornecimento E Instalação</v>
      </c>
      <c r="D2846" s="1378" t="s">
        <v>477</v>
      </c>
      <c r="E2846" s="1379"/>
      <c r="F2846" s="1379"/>
      <c r="G2846" s="1379"/>
      <c r="H2846" s="1379"/>
      <c r="I2846" s="1380"/>
      <c r="J2846" s="1338" t="s">
        <v>478</v>
      </c>
      <c r="K2846" s="1338" t="s">
        <v>479</v>
      </c>
      <c r="L2846" s="1338" t="s">
        <v>480</v>
      </c>
      <c r="M2846" s="1338" t="s">
        <v>481</v>
      </c>
      <c r="N2846" s="1338" t="s">
        <v>482</v>
      </c>
      <c r="O2846" s="1338" t="s">
        <v>483</v>
      </c>
      <c r="P2846" s="290" t="s">
        <v>484</v>
      </c>
      <c r="Q2846" s="1338" t="s">
        <v>485</v>
      </c>
      <c r="R2846" s="1336" t="s">
        <v>296</v>
      </c>
      <c r="S2846" s="1338" t="s">
        <v>486</v>
      </c>
      <c r="T2846" s="1338" t="s">
        <v>487</v>
      </c>
      <c r="U2846" s="1340" t="s">
        <v>488</v>
      </c>
      <c r="V2846" s="291">
        <f t="shared" ref="V2846:V2854" ca="1" si="833">IF(OFFSET(V2846,1,1)=1,OFFSET(V2846,0,-4),OFFSET(V2846,1,0))</f>
        <v>0</v>
      </c>
      <c r="W2846" s="256">
        <f t="shared" ca="1" si="829"/>
        <v>2</v>
      </c>
      <c r="X2846" s="256">
        <f t="shared" ca="1" si="832"/>
        <v>1</v>
      </c>
      <c r="Y2846" s="256"/>
      <c r="Z2846" s="256"/>
      <c r="AA2846" s="292"/>
      <c r="AB2846" s="292"/>
      <c r="AC2846" s="292"/>
    </row>
    <row r="2847" spans="1:29" s="337" customFormat="1" ht="15.75" hidden="1" x14ac:dyDescent="0.2">
      <c r="A2847" s="288"/>
      <c r="B2847" s="1375"/>
      <c r="C2847" s="1377" t="e">
        <f>VLOOKUP(LEFT(#REF!,5),'11 - FINANCEIRO'!_xlnm.Print_Area,2,FALSE)</f>
        <v>#REF!</v>
      </c>
      <c r="D2847" s="1342" t="s">
        <v>489</v>
      </c>
      <c r="E2847" s="1343"/>
      <c r="F2847" s="1344"/>
      <c r="G2847" s="1345" t="s">
        <v>490</v>
      </c>
      <c r="H2847" s="1346"/>
      <c r="I2847" s="1347"/>
      <c r="J2847" s="1339"/>
      <c r="K2847" s="1339"/>
      <c r="L2847" s="1339"/>
      <c r="M2847" s="1339"/>
      <c r="N2847" s="1339"/>
      <c r="O2847" s="1339"/>
      <c r="P2847" s="295" t="s">
        <v>491</v>
      </c>
      <c r="Q2847" s="1339"/>
      <c r="R2847" s="1337"/>
      <c r="S2847" s="1339"/>
      <c r="T2847" s="1339"/>
      <c r="U2847" s="1341"/>
      <c r="V2847" s="291">
        <f t="shared" ca="1" si="833"/>
        <v>0</v>
      </c>
      <c r="W2847" s="256">
        <f t="shared" ca="1" si="829"/>
        <v>2</v>
      </c>
      <c r="X2847" s="256">
        <f t="shared" ca="1" si="832"/>
        <v>1</v>
      </c>
      <c r="Y2847" s="336"/>
      <c r="Z2847" s="336"/>
    </row>
    <row r="2848" spans="1:29" s="337" customFormat="1" ht="15.75" hidden="1" x14ac:dyDescent="0.2">
      <c r="A2848" s="288"/>
      <c r="B2848" s="296"/>
      <c r="C2848" s="297"/>
      <c r="D2848" s="298"/>
      <c r="E2848" s="299"/>
      <c r="F2848" s="300"/>
      <c r="G2848" s="301"/>
      <c r="H2848" s="302"/>
      <c r="I2848" s="303"/>
      <c r="J2848" s="304"/>
      <c r="K2848" s="304"/>
      <c r="L2848" s="304"/>
      <c r="M2848" s="304"/>
      <c r="N2848" s="304"/>
      <c r="O2848" s="304"/>
      <c r="P2848" s="306"/>
      <c r="Q2848" s="304"/>
      <c r="R2848" s="307"/>
      <c r="S2848" s="304"/>
      <c r="T2848" s="309"/>
      <c r="U2848" s="310"/>
      <c r="V2848" s="291">
        <f t="shared" ca="1" si="833"/>
        <v>0</v>
      </c>
      <c r="W2848" s="256">
        <f t="shared" ca="1" si="829"/>
        <v>0</v>
      </c>
      <c r="X2848" s="256">
        <f t="shared" ca="1" si="832"/>
        <v>1</v>
      </c>
      <c r="Y2848" s="336"/>
      <c r="Z2848" s="336"/>
    </row>
    <row r="2849" spans="1:29" s="111" customFormat="1" ht="15.75" hidden="1" x14ac:dyDescent="0.2">
      <c r="A2849" s="288"/>
      <c r="B2849" s="311"/>
      <c r="C2849" s="312"/>
      <c r="D2849" s="313"/>
      <c r="E2849" s="314"/>
      <c r="F2849" s="315"/>
      <c r="G2849" s="380"/>
      <c r="H2849" s="316"/>
      <c r="I2849" s="381"/>
      <c r="J2849" s="317"/>
      <c r="K2849" s="313"/>
      <c r="L2849" s="317"/>
      <c r="M2849" s="315"/>
      <c r="N2849" s="314"/>
      <c r="O2849" s="313"/>
      <c r="P2849" s="318"/>
      <c r="Q2849" s="315"/>
      <c r="R2849" s="319"/>
      <c r="S2849" s="317"/>
      <c r="T2849" s="320"/>
      <c r="U2849" s="321"/>
      <c r="V2849" s="291">
        <f t="shared" ca="1" si="833"/>
        <v>0</v>
      </c>
      <c r="W2849" s="256">
        <f t="shared" ca="1" si="829"/>
        <v>0</v>
      </c>
      <c r="X2849" s="256">
        <f t="shared" ca="1" si="832"/>
        <v>1</v>
      </c>
      <c r="Y2849" s="250"/>
      <c r="Z2849" s="250"/>
    </row>
    <row r="2850" spans="1:29" s="111" customFormat="1" ht="15" hidden="1" x14ac:dyDescent="0.2">
      <c r="A2850" s="288"/>
      <c r="B2850" s="322"/>
      <c r="C2850" s="382"/>
      <c r="D2850" s="324"/>
      <c r="E2850" s="325"/>
      <c r="F2850" s="326"/>
      <c r="G2850" s="324"/>
      <c r="H2850" s="325"/>
      <c r="I2850" s="326"/>
      <c r="J2850" s="317"/>
      <c r="K2850" s="328"/>
      <c r="L2850" s="328"/>
      <c r="M2850" s="328"/>
      <c r="N2850" s="328"/>
      <c r="O2850" s="334"/>
      <c r="P2850" s="328"/>
      <c r="Q2850" s="334"/>
      <c r="R2850" s="333"/>
      <c r="S2850" s="331"/>
      <c r="T2850" s="320"/>
      <c r="U2850" s="335"/>
      <c r="V2850" s="291">
        <f t="shared" ca="1" si="833"/>
        <v>0</v>
      </c>
      <c r="W2850" s="256">
        <f t="shared" ca="1" si="829"/>
        <v>0</v>
      </c>
      <c r="X2850" s="256">
        <f t="shared" ca="1" si="832"/>
        <v>1</v>
      </c>
      <c r="Y2850" s="250"/>
      <c r="Z2850" s="250"/>
    </row>
    <row r="2851" spans="1:29" s="111" customFormat="1" ht="15" hidden="1" x14ac:dyDescent="0.2">
      <c r="A2851" s="288"/>
      <c r="B2851" s="338"/>
      <c r="C2851" s="339"/>
      <c r="D2851" s="340"/>
      <c r="E2851" s="341"/>
      <c r="F2851" s="342"/>
      <c r="G2851" s="340"/>
      <c r="H2851" s="341"/>
      <c r="I2851" s="342"/>
      <c r="J2851" s="343"/>
      <c r="K2851" s="344"/>
      <c r="L2851" s="345"/>
      <c r="M2851" s="346"/>
      <c r="N2851" s="347"/>
      <c r="O2851" s="348"/>
      <c r="P2851" s="345"/>
      <c r="Q2851" s="349"/>
      <c r="R2851" s="350"/>
      <c r="S2851" s="351"/>
      <c r="T2851" s="352"/>
      <c r="U2851" s="353"/>
      <c r="V2851" s="291">
        <f t="shared" ca="1" si="833"/>
        <v>0</v>
      </c>
      <c r="W2851" s="256">
        <f t="shared" ca="1" si="829"/>
        <v>0</v>
      </c>
      <c r="X2851" s="256">
        <f t="shared" ca="1" si="832"/>
        <v>1</v>
      </c>
      <c r="Y2851" s="250"/>
      <c r="Z2851" s="250"/>
    </row>
    <row r="2852" spans="1:29" s="111" customFormat="1" ht="15.75" hidden="1" customHeight="1" x14ac:dyDescent="0.2">
      <c r="A2852" s="288"/>
      <c r="B2852" s="354"/>
      <c r="C2852" s="355"/>
      <c r="D2852" s="1354" t="s">
        <v>492</v>
      </c>
      <c r="E2852" s="1355"/>
      <c r="F2852" s="1355"/>
      <c r="G2852" s="1355"/>
      <c r="H2852" s="1355"/>
      <c r="I2852" s="1356"/>
      <c r="J2852" s="1357">
        <f>VLOOKUP(A2854,'11 - FINANCEIRO'!_xlnm.Print_Area,6,FALSE)</f>
        <v>12.8</v>
      </c>
      <c r="K2852" s="1358"/>
      <c r="L2852" s="356" t="str">
        <f>VLOOKUP(A2854,'11 - FINANCEIRO'!_xlnm.Print_Area,4,FALSE)</f>
        <v>kg</v>
      </c>
      <c r="M2852" s="1359" t="s">
        <v>493</v>
      </c>
      <c r="N2852" s="1360"/>
      <c r="O2852" s="1360"/>
      <c r="P2852" s="1360"/>
      <c r="Q2852" s="1361"/>
      <c r="R2852" s="357">
        <f>TRUNC(SUM(R2848:R2851),3)</f>
        <v>0</v>
      </c>
      <c r="S2852" s="358" t="str">
        <f>L2852</f>
        <v>kg</v>
      </c>
      <c r="T2852" s="359"/>
      <c r="U2852" s="360"/>
      <c r="V2852" s="291">
        <f t="shared" ca="1" si="833"/>
        <v>0</v>
      </c>
      <c r="W2852" s="256">
        <f t="shared" ca="1" si="829"/>
        <v>2</v>
      </c>
      <c r="X2852" s="256">
        <f t="shared" ca="1" si="832"/>
        <v>1</v>
      </c>
      <c r="Y2852" s="250"/>
      <c r="Z2852" s="250"/>
    </row>
    <row r="2853" spans="1:29" s="293" customFormat="1" ht="15.75" hidden="1" customHeight="1" x14ac:dyDescent="0.2">
      <c r="A2853" s="288"/>
      <c r="B2853" s="354"/>
      <c r="C2853" s="361"/>
      <c r="D2853" s="1362" t="s">
        <v>494</v>
      </c>
      <c r="E2853" s="1363"/>
      <c r="F2853" s="1363"/>
      <c r="G2853" s="1363"/>
      <c r="H2853" s="1363"/>
      <c r="I2853" s="1364"/>
      <c r="J2853" s="1365">
        <f>R2852/J2852</f>
        <v>0</v>
      </c>
      <c r="K2853" s="1366"/>
      <c r="L2853" s="1369"/>
      <c r="M2853" s="1371" t="s">
        <v>495</v>
      </c>
      <c r="N2853" s="1372"/>
      <c r="O2853" s="1372"/>
      <c r="P2853" s="1372"/>
      <c r="Q2853" s="1373"/>
      <c r="R2853" s="362">
        <f>VLOOKUP(A2854,'11 - FINANCEIRO'!_xlnm.Print_Area,8,FALSE)</f>
        <v>0</v>
      </c>
      <c r="S2853" s="363" t="str">
        <f>L2852</f>
        <v>kg</v>
      </c>
      <c r="T2853" s="359"/>
      <c r="U2853" s="360"/>
      <c r="V2853" s="291">
        <f t="shared" ca="1" si="833"/>
        <v>0</v>
      </c>
      <c r="W2853" s="256">
        <f t="shared" ca="1" si="829"/>
        <v>2</v>
      </c>
      <c r="X2853" s="256">
        <f t="shared" ca="1" si="832"/>
        <v>1</v>
      </c>
      <c r="Y2853" s="256"/>
      <c r="Z2853" s="256"/>
      <c r="AA2853" s="292"/>
      <c r="AB2853" s="292"/>
      <c r="AC2853" s="292"/>
    </row>
    <row r="2854" spans="1:29" s="293" customFormat="1" ht="15.75" hidden="1" customHeight="1" x14ac:dyDescent="0.2">
      <c r="A2854" s="288" t="s">
        <v>160</v>
      </c>
      <c r="B2854" s="364"/>
      <c r="C2854" s="365"/>
      <c r="D2854" s="1354"/>
      <c r="E2854" s="1355"/>
      <c r="F2854" s="1355"/>
      <c r="G2854" s="1355"/>
      <c r="H2854" s="1355"/>
      <c r="I2854" s="1356"/>
      <c r="J2854" s="1367"/>
      <c r="K2854" s="1368"/>
      <c r="L2854" s="1370"/>
      <c r="M2854" s="1371" t="s">
        <v>496</v>
      </c>
      <c r="N2854" s="1372"/>
      <c r="O2854" s="1372"/>
      <c r="P2854" s="1372"/>
      <c r="Q2854" s="1373"/>
      <c r="R2854" s="362">
        <f>R2852-R2853</f>
        <v>0</v>
      </c>
      <c r="S2854" s="363" t="str">
        <f>L2852</f>
        <v>kg</v>
      </c>
      <c r="T2854" s="366"/>
      <c r="U2854" s="367"/>
      <c r="V2854" s="291">
        <f t="shared" ca="1" si="833"/>
        <v>0</v>
      </c>
      <c r="W2854" s="256">
        <f t="shared" ca="1" si="829"/>
        <v>2</v>
      </c>
      <c r="X2854" s="256">
        <f t="shared" ca="1" si="832"/>
        <v>1</v>
      </c>
      <c r="Y2854" s="256"/>
      <c r="Z2854" s="256"/>
      <c r="AA2854" s="292"/>
      <c r="AB2854" s="292"/>
      <c r="AC2854" s="292"/>
    </row>
    <row r="2855" spans="1:29" s="111" customFormat="1" ht="15.75" hidden="1" x14ac:dyDescent="0.2">
      <c r="A2855" s="288"/>
      <c r="B2855" s="368"/>
      <c r="C2855" s="365"/>
      <c r="D2855" s="369"/>
      <c r="E2855" s="370"/>
      <c r="F2855" s="369"/>
      <c r="G2855" s="369"/>
      <c r="H2855" s="369"/>
      <c r="I2855" s="369"/>
      <c r="J2855" s="371"/>
      <c r="K2855" s="372"/>
      <c r="L2855" s="373"/>
      <c r="M2855" s="374"/>
      <c r="N2855" s="374"/>
      <c r="O2855" s="374"/>
      <c r="P2855" s="374"/>
      <c r="Q2855" s="374"/>
      <c r="R2855" s="375"/>
      <c r="S2855" s="376"/>
      <c r="T2855" s="377"/>
      <c r="U2855" s="378"/>
      <c r="V2855" s="379">
        <f ca="1">SUM(V2846:V2854)</f>
        <v>0</v>
      </c>
      <c r="W2855" s="256">
        <f t="shared" ca="1" si="829"/>
        <v>1</v>
      </c>
      <c r="X2855" s="256">
        <f t="shared" ca="1" si="832"/>
        <v>0</v>
      </c>
      <c r="Y2855" s="250"/>
      <c r="Z2855" s="250"/>
    </row>
    <row r="2856" spans="1:29" s="293" customFormat="1" ht="15.75" hidden="1" customHeight="1" x14ac:dyDescent="0.25">
      <c r="A2856" s="288"/>
      <c r="B2856" s="1374" t="str">
        <f>VLOOKUP(A2864,'11 - FINANCEIRO'!_xlnm.Print_Area,1,FALSE)</f>
        <v>4.1.9</v>
      </c>
      <c r="C2856" s="1376" t="str">
        <f>VLOOKUP(A2864,'11 - FINANCEIRO'!_xlnm.Print_Area,3,FALSE)</f>
        <v>Viga Metálica Em Perfil Laminado Ou Soldado Em Aço Estrutural, Com Conexões Soldadas, Inclusos Mão De Obra, Transporte E Içamento Utilizando Guindaste - Fornecimento E Instalação. Af_01/2020_P</v>
      </c>
      <c r="D2856" s="1378" t="s">
        <v>477</v>
      </c>
      <c r="E2856" s="1379"/>
      <c r="F2856" s="1379"/>
      <c r="G2856" s="1379"/>
      <c r="H2856" s="1379"/>
      <c r="I2856" s="1380"/>
      <c r="J2856" s="1338" t="s">
        <v>478</v>
      </c>
      <c r="K2856" s="1338" t="s">
        <v>479</v>
      </c>
      <c r="L2856" s="1338" t="s">
        <v>480</v>
      </c>
      <c r="M2856" s="1338" t="s">
        <v>481</v>
      </c>
      <c r="N2856" s="1338" t="s">
        <v>482</v>
      </c>
      <c r="O2856" s="1338" t="s">
        <v>483</v>
      </c>
      <c r="P2856" s="290" t="s">
        <v>484</v>
      </c>
      <c r="Q2856" s="1338" t="s">
        <v>485</v>
      </c>
      <c r="R2856" s="1336" t="s">
        <v>296</v>
      </c>
      <c r="S2856" s="1338" t="s">
        <v>486</v>
      </c>
      <c r="T2856" s="1338" t="s">
        <v>487</v>
      </c>
      <c r="U2856" s="1340" t="s">
        <v>488</v>
      </c>
      <c r="V2856" s="291">
        <f t="shared" ref="V2856:V2864" ca="1" si="834">IF(OFFSET(V2856,1,1)=1,OFFSET(V2856,0,-4),OFFSET(V2856,1,0))</f>
        <v>0</v>
      </c>
      <c r="W2856" s="256">
        <f t="shared" ca="1" si="829"/>
        <v>2</v>
      </c>
      <c r="X2856" s="256">
        <f t="shared" ca="1" si="832"/>
        <v>1</v>
      </c>
      <c r="Y2856" s="256"/>
      <c r="Z2856" s="256"/>
      <c r="AA2856" s="292"/>
      <c r="AB2856" s="292"/>
      <c r="AC2856" s="292"/>
    </row>
    <row r="2857" spans="1:29" s="337" customFormat="1" ht="15.75" hidden="1" x14ac:dyDescent="0.2">
      <c r="A2857" s="288"/>
      <c r="B2857" s="1375"/>
      <c r="C2857" s="1377" t="e">
        <f>VLOOKUP(LEFT(#REF!,5),'11 - FINANCEIRO'!_xlnm.Print_Area,2,FALSE)</f>
        <v>#REF!</v>
      </c>
      <c r="D2857" s="1342" t="s">
        <v>489</v>
      </c>
      <c r="E2857" s="1343"/>
      <c r="F2857" s="1344"/>
      <c r="G2857" s="1345" t="s">
        <v>490</v>
      </c>
      <c r="H2857" s="1346"/>
      <c r="I2857" s="1347"/>
      <c r="J2857" s="1339"/>
      <c r="K2857" s="1339"/>
      <c r="L2857" s="1339"/>
      <c r="M2857" s="1339"/>
      <c r="N2857" s="1339"/>
      <c r="O2857" s="1339"/>
      <c r="P2857" s="295" t="s">
        <v>491</v>
      </c>
      <c r="Q2857" s="1339"/>
      <c r="R2857" s="1337"/>
      <c r="S2857" s="1339"/>
      <c r="T2857" s="1339"/>
      <c r="U2857" s="1341"/>
      <c r="V2857" s="291">
        <f t="shared" ca="1" si="834"/>
        <v>0</v>
      </c>
      <c r="W2857" s="256">
        <f t="shared" ca="1" si="829"/>
        <v>2</v>
      </c>
      <c r="X2857" s="256">
        <f t="shared" ca="1" si="832"/>
        <v>1</v>
      </c>
      <c r="Y2857" s="336"/>
      <c r="Z2857" s="336"/>
    </row>
    <row r="2858" spans="1:29" s="337" customFormat="1" ht="15.75" hidden="1" x14ac:dyDescent="0.2">
      <c r="A2858" s="288"/>
      <c r="B2858" s="296"/>
      <c r="C2858" s="297"/>
      <c r="D2858" s="298"/>
      <c r="E2858" s="299"/>
      <c r="F2858" s="300"/>
      <c r="G2858" s="301"/>
      <c r="H2858" s="302"/>
      <c r="I2858" s="303"/>
      <c r="J2858" s="304"/>
      <c r="K2858" s="304"/>
      <c r="L2858" s="304"/>
      <c r="M2858" s="304"/>
      <c r="N2858" s="304"/>
      <c r="O2858" s="304"/>
      <c r="P2858" s="306"/>
      <c r="Q2858" s="304"/>
      <c r="R2858" s="307"/>
      <c r="S2858" s="304"/>
      <c r="T2858" s="309"/>
      <c r="U2858" s="310"/>
      <c r="V2858" s="291">
        <f t="shared" ca="1" si="834"/>
        <v>0</v>
      </c>
      <c r="W2858" s="256">
        <f t="shared" ca="1" si="829"/>
        <v>0</v>
      </c>
      <c r="X2858" s="256">
        <f t="shared" ca="1" si="832"/>
        <v>1</v>
      </c>
      <c r="Y2858" s="336"/>
      <c r="Z2858" s="336"/>
    </row>
    <row r="2859" spans="1:29" s="111" customFormat="1" ht="15.75" hidden="1" x14ac:dyDescent="0.2">
      <c r="A2859" s="288"/>
      <c r="B2859" s="311"/>
      <c r="C2859" s="312"/>
      <c r="D2859" s="313"/>
      <c r="E2859" s="314"/>
      <c r="F2859" s="315"/>
      <c r="G2859" s="380"/>
      <c r="H2859" s="316"/>
      <c r="I2859" s="381"/>
      <c r="J2859" s="317"/>
      <c r="K2859" s="313"/>
      <c r="L2859" s="317"/>
      <c r="M2859" s="315"/>
      <c r="N2859" s="314"/>
      <c r="O2859" s="313"/>
      <c r="P2859" s="318"/>
      <c r="Q2859" s="315"/>
      <c r="R2859" s="319"/>
      <c r="S2859" s="317"/>
      <c r="T2859" s="320"/>
      <c r="U2859" s="321"/>
      <c r="V2859" s="291">
        <f t="shared" ca="1" si="834"/>
        <v>0</v>
      </c>
      <c r="W2859" s="256">
        <f t="shared" ca="1" si="829"/>
        <v>0</v>
      </c>
      <c r="X2859" s="256">
        <f t="shared" ca="1" si="832"/>
        <v>1</v>
      </c>
      <c r="Y2859" s="250"/>
      <c r="Z2859" s="250"/>
    </row>
    <row r="2860" spans="1:29" s="111" customFormat="1" ht="15" hidden="1" x14ac:dyDescent="0.2">
      <c r="A2860" s="288"/>
      <c r="B2860" s="322"/>
      <c r="C2860" s="382"/>
      <c r="D2860" s="324"/>
      <c r="E2860" s="325"/>
      <c r="F2860" s="326"/>
      <c r="G2860" s="324"/>
      <c r="H2860" s="325"/>
      <c r="I2860" s="326"/>
      <c r="J2860" s="317"/>
      <c r="K2860" s="328"/>
      <c r="L2860" s="328"/>
      <c r="M2860" s="328"/>
      <c r="N2860" s="328"/>
      <c r="O2860" s="334"/>
      <c r="P2860" s="328"/>
      <c r="Q2860" s="334"/>
      <c r="R2860" s="333"/>
      <c r="S2860" s="331"/>
      <c r="T2860" s="320"/>
      <c r="U2860" s="335"/>
      <c r="V2860" s="291">
        <f t="shared" ca="1" si="834"/>
        <v>0</v>
      </c>
      <c r="W2860" s="256">
        <f t="shared" ca="1" si="829"/>
        <v>0</v>
      </c>
      <c r="X2860" s="256">
        <f t="shared" ca="1" si="832"/>
        <v>1</v>
      </c>
      <c r="Y2860" s="250"/>
      <c r="Z2860" s="250"/>
    </row>
    <row r="2861" spans="1:29" s="111" customFormat="1" ht="15" hidden="1" x14ac:dyDescent="0.2">
      <c r="A2861" s="288"/>
      <c r="B2861" s="338"/>
      <c r="C2861" s="339"/>
      <c r="D2861" s="340"/>
      <c r="E2861" s="341"/>
      <c r="F2861" s="342"/>
      <c r="G2861" s="340"/>
      <c r="H2861" s="341"/>
      <c r="I2861" s="342"/>
      <c r="J2861" s="343"/>
      <c r="K2861" s="344"/>
      <c r="L2861" s="345"/>
      <c r="M2861" s="346"/>
      <c r="N2861" s="347"/>
      <c r="O2861" s="348"/>
      <c r="P2861" s="345"/>
      <c r="Q2861" s="349"/>
      <c r="R2861" s="350"/>
      <c r="S2861" s="351"/>
      <c r="T2861" s="352"/>
      <c r="U2861" s="353"/>
      <c r="V2861" s="291">
        <f t="shared" ca="1" si="834"/>
        <v>0</v>
      </c>
      <c r="W2861" s="256">
        <f t="shared" ca="1" si="829"/>
        <v>0</v>
      </c>
      <c r="X2861" s="256">
        <f t="shared" ca="1" si="832"/>
        <v>1</v>
      </c>
      <c r="Y2861" s="250"/>
      <c r="Z2861" s="250"/>
    </row>
    <row r="2862" spans="1:29" s="111" customFormat="1" ht="15.75" hidden="1" customHeight="1" x14ac:dyDescent="0.2">
      <c r="A2862" s="288"/>
      <c r="B2862" s="354"/>
      <c r="C2862" s="355"/>
      <c r="D2862" s="1354" t="s">
        <v>492</v>
      </c>
      <c r="E2862" s="1355"/>
      <c r="F2862" s="1355"/>
      <c r="G2862" s="1355"/>
      <c r="H2862" s="1355"/>
      <c r="I2862" s="1356"/>
      <c r="J2862" s="1357">
        <f>VLOOKUP(A2864,'11 - FINANCEIRO'!_xlnm.Print_Area,6,FALSE)</f>
        <v>5620.51</v>
      </c>
      <c r="K2862" s="1358"/>
      <c r="L2862" s="356" t="str">
        <f>VLOOKUP(A2864,'11 - FINANCEIRO'!_xlnm.Print_Area,4,FALSE)</f>
        <v>kg</v>
      </c>
      <c r="M2862" s="1359" t="s">
        <v>493</v>
      </c>
      <c r="N2862" s="1360"/>
      <c r="O2862" s="1360"/>
      <c r="P2862" s="1360"/>
      <c r="Q2862" s="1361"/>
      <c r="R2862" s="357">
        <f>TRUNC(SUM(R2858:R2861),3)</f>
        <v>0</v>
      </c>
      <c r="S2862" s="358" t="str">
        <f>L2862</f>
        <v>kg</v>
      </c>
      <c r="T2862" s="359"/>
      <c r="U2862" s="360"/>
      <c r="V2862" s="291">
        <f t="shared" ca="1" si="834"/>
        <v>0</v>
      </c>
      <c r="W2862" s="256">
        <f t="shared" ca="1" si="829"/>
        <v>2</v>
      </c>
      <c r="X2862" s="256">
        <f t="shared" ca="1" si="832"/>
        <v>1</v>
      </c>
      <c r="Y2862" s="250"/>
      <c r="Z2862" s="250"/>
    </row>
    <row r="2863" spans="1:29" s="293" customFormat="1" ht="15.75" hidden="1" customHeight="1" x14ac:dyDescent="0.2">
      <c r="A2863" s="288"/>
      <c r="B2863" s="354"/>
      <c r="C2863" s="361"/>
      <c r="D2863" s="1362" t="s">
        <v>494</v>
      </c>
      <c r="E2863" s="1363"/>
      <c r="F2863" s="1363"/>
      <c r="G2863" s="1363"/>
      <c r="H2863" s="1363"/>
      <c r="I2863" s="1364"/>
      <c r="J2863" s="1365">
        <f>R2862/J2862</f>
        <v>0</v>
      </c>
      <c r="K2863" s="1366"/>
      <c r="L2863" s="1369"/>
      <c r="M2863" s="1371" t="s">
        <v>495</v>
      </c>
      <c r="N2863" s="1372"/>
      <c r="O2863" s="1372"/>
      <c r="P2863" s="1372"/>
      <c r="Q2863" s="1373"/>
      <c r="R2863" s="362">
        <f>VLOOKUP(A2864,'11 - FINANCEIRO'!_xlnm.Print_Area,8,FALSE)</f>
        <v>0</v>
      </c>
      <c r="S2863" s="363" t="str">
        <f>L2862</f>
        <v>kg</v>
      </c>
      <c r="T2863" s="359"/>
      <c r="U2863" s="360"/>
      <c r="V2863" s="291">
        <f t="shared" ca="1" si="834"/>
        <v>0</v>
      </c>
      <c r="W2863" s="256">
        <f t="shared" ca="1" si="829"/>
        <v>2</v>
      </c>
      <c r="X2863" s="256">
        <f t="shared" ca="1" si="832"/>
        <v>1</v>
      </c>
      <c r="Y2863" s="256"/>
      <c r="Z2863" s="256"/>
      <c r="AA2863" s="292"/>
      <c r="AB2863" s="292"/>
      <c r="AC2863" s="292"/>
    </row>
    <row r="2864" spans="1:29" s="293" customFormat="1" ht="15.75" hidden="1" customHeight="1" x14ac:dyDescent="0.2">
      <c r="A2864" s="288" t="s">
        <v>161</v>
      </c>
      <c r="B2864" s="364"/>
      <c r="C2864" s="365"/>
      <c r="D2864" s="1354"/>
      <c r="E2864" s="1355"/>
      <c r="F2864" s="1355"/>
      <c r="G2864" s="1355"/>
      <c r="H2864" s="1355"/>
      <c r="I2864" s="1356"/>
      <c r="J2864" s="1367"/>
      <c r="K2864" s="1368"/>
      <c r="L2864" s="1370"/>
      <c r="M2864" s="1371" t="s">
        <v>496</v>
      </c>
      <c r="N2864" s="1372"/>
      <c r="O2864" s="1372"/>
      <c r="P2864" s="1372"/>
      <c r="Q2864" s="1373"/>
      <c r="R2864" s="362">
        <f>R2862-R2863</f>
        <v>0</v>
      </c>
      <c r="S2864" s="363" t="str">
        <f>L2862</f>
        <v>kg</v>
      </c>
      <c r="T2864" s="366"/>
      <c r="U2864" s="367"/>
      <c r="V2864" s="291">
        <f t="shared" ca="1" si="834"/>
        <v>0</v>
      </c>
      <c r="W2864" s="256">
        <f t="shared" ca="1" si="829"/>
        <v>2</v>
      </c>
      <c r="X2864" s="256">
        <f t="shared" ca="1" si="832"/>
        <v>1</v>
      </c>
      <c r="Y2864" s="256"/>
      <c r="Z2864" s="256"/>
      <c r="AA2864" s="292"/>
      <c r="AB2864" s="292"/>
      <c r="AC2864" s="292"/>
    </row>
    <row r="2865" spans="1:29" s="111" customFormat="1" ht="15.75" hidden="1" x14ac:dyDescent="0.2">
      <c r="A2865" s="288"/>
      <c r="B2865" s="368"/>
      <c r="C2865" s="365"/>
      <c r="D2865" s="369"/>
      <c r="E2865" s="370"/>
      <c r="F2865" s="369"/>
      <c r="G2865" s="369"/>
      <c r="H2865" s="369"/>
      <c r="I2865" s="369"/>
      <c r="J2865" s="371"/>
      <c r="K2865" s="372"/>
      <c r="L2865" s="373"/>
      <c r="M2865" s="374"/>
      <c r="N2865" s="374"/>
      <c r="O2865" s="374"/>
      <c r="P2865" s="374"/>
      <c r="Q2865" s="374"/>
      <c r="R2865" s="375"/>
      <c r="S2865" s="376"/>
      <c r="T2865" s="377"/>
      <c r="U2865" s="378"/>
      <c r="V2865" s="379">
        <f ca="1">SUM(V2856:V2864)</f>
        <v>0</v>
      </c>
      <c r="W2865" s="256">
        <f t="shared" ca="1" si="829"/>
        <v>1</v>
      </c>
      <c r="X2865" s="256">
        <f t="shared" ca="1" si="832"/>
        <v>0</v>
      </c>
      <c r="Y2865" s="250"/>
      <c r="Z2865" s="250"/>
    </row>
    <row r="2866" spans="1:29" s="293" customFormat="1" ht="15.75" customHeight="1" x14ac:dyDescent="0.25">
      <c r="A2866" s="288"/>
      <c r="B2866" s="1374" t="str">
        <f>VLOOKUP(A2875,'11 - FINANCEIRO'!_xlnm.Print_Area,1,FALSE)</f>
        <v>4.1.10</v>
      </c>
      <c r="C2866" s="1376" t="str">
        <f>VLOOKUP(A2875,'11 - FINANCEIRO'!_xlnm.Print_Area,3,FALSE)</f>
        <v>Guarda Corpo Em Aço Galvanizado De Altura H=1,10M Pintura Com Tinta Esmalte Suvinil, Linha "Contra Ferrugem" Cor Maracujá, Ref.:C026</v>
      </c>
      <c r="D2866" s="1378" t="s">
        <v>477</v>
      </c>
      <c r="E2866" s="1379"/>
      <c r="F2866" s="1379"/>
      <c r="G2866" s="1379"/>
      <c r="H2866" s="1379"/>
      <c r="I2866" s="1380"/>
      <c r="J2866" s="1338" t="s">
        <v>478</v>
      </c>
      <c r="K2866" s="1338" t="s">
        <v>479</v>
      </c>
      <c r="L2866" s="1338" t="s">
        <v>480</v>
      </c>
      <c r="M2866" s="1338" t="s">
        <v>481</v>
      </c>
      <c r="N2866" s="1338" t="s">
        <v>482</v>
      </c>
      <c r="O2866" s="1338" t="s">
        <v>483</v>
      </c>
      <c r="P2866" s="290" t="s">
        <v>484</v>
      </c>
      <c r="Q2866" s="1338" t="s">
        <v>485</v>
      </c>
      <c r="R2866" s="1336" t="s">
        <v>296</v>
      </c>
      <c r="S2866" s="1338" t="s">
        <v>486</v>
      </c>
      <c r="T2866" s="1338" t="s">
        <v>487</v>
      </c>
      <c r="U2866" s="1340" t="s">
        <v>488</v>
      </c>
      <c r="V2866" s="291">
        <f t="shared" ref="V2866:V2875" ca="1" si="835">IF(OFFSET(V2866,1,1)=1,OFFSET(V2866,0,-4),OFFSET(V2866,1,0))</f>
        <v>-77.760000000000005</v>
      </c>
      <c r="W2866" s="256">
        <f t="shared" ca="1" si="829"/>
        <v>2</v>
      </c>
      <c r="X2866" s="256">
        <f t="shared" ca="1" si="832"/>
        <v>1</v>
      </c>
      <c r="Y2866" s="256"/>
      <c r="Z2866" s="256"/>
      <c r="AA2866" s="292"/>
      <c r="AB2866" s="292"/>
      <c r="AC2866" s="292"/>
    </row>
    <row r="2867" spans="1:29" s="337" customFormat="1" ht="15.75" x14ac:dyDescent="0.2">
      <c r="A2867" s="288"/>
      <c r="B2867" s="1375"/>
      <c r="C2867" s="1377" t="e">
        <f>VLOOKUP(LEFT(#REF!,5),'11 - FINANCEIRO'!_xlnm.Print_Area,2,FALSE)</f>
        <v>#REF!</v>
      </c>
      <c r="D2867" s="1342" t="s">
        <v>489</v>
      </c>
      <c r="E2867" s="1343"/>
      <c r="F2867" s="1344"/>
      <c r="G2867" s="1345" t="s">
        <v>490</v>
      </c>
      <c r="H2867" s="1346"/>
      <c r="I2867" s="1347"/>
      <c r="J2867" s="1339"/>
      <c r="K2867" s="1339"/>
      <c r="L2867" s="1339"/>
      <c r="M2867" s="1339"/>
      <c r="N2867" s="1339"/>
      <c r="O2867" s="1339"/>
      <c r="P2867" s="295" t="s">
        <v>491</v>
      </c>
      <c r="Q2867" s="1339"/>
      <c r="R2867" s="1337"/>
      <c r="S2867" s="1339"/>
      <c r="T2867" s="1339"/>
      <c r="U2867" s="1341"/>
      <c r="V2867" s="291">
        <f t="shared" ca="1" si="835"/>
        <v>-77.760000000000005</v>
      </c>
      <c r="W2867" s="256">
        <f t="shared" ca="1" si="829"/>
        <v>2</v>
      </c>
      <c r="X2867" s="256">
        <f t="shared" ca="1" si="832"/>
        <v>1</v>
      </c>
      <c r="Y2867" s="336"/>
      <c r="Z2867" s="336"/>
    </row>
    <row r="2868" spans="1:29" s="337" customFormat="1" ht="15.75" x14ac:dyDescent="0.2">
      <c r="A2868" s="288"/>
      <c r="B2868" s="296"/>
      <c r="C2868" s="297" t="s">
        <v>1295</v>
      </c>
      <c r="D2868" s="298"/>
      <c r="E2868" s="299"/>
      <c r="F2868" s="300"/>
      <c r="G2868" s="301"/>
      <c r="H2868" s="302"/>
      <c r="I2868" s="303"/>
      <c r="J2868" s="304"/>
      <c r="K2868" s="304"/>
      <c r="L2868" s="304"/>
      <c r="M2868" s="304"/>
      <c r="N2868" s="304"/>
      <c r="O2868" s="304"/>
      <c r="P2868" s="306"/>
      <c r="Q2868" s="304"/>
      <c r="R2868" s="307">
        <v>49.2</v>
      </c>
      <c r="S2868" s="304"/>
      <c r="T2868" s="309">
        <v>40</v>
      </c>
      <c r="U2868" s="310"/>
      <c r="V2868" s="291">
        <f t="shared" ca="1" si="835"/>
        <v>-77.760000000000005</v>
      </c>
      <c r="W2868" s="256">
        <f t="shared" ca="1" si="829"/>
        <v>2</v>
      </c>
      <c r="X2868" s="256">
        <f t="shared" ca="1" si="832"/>
        <v>1</v>
      </c>
      <c r="Y2868" s="336"/>
      <c r="Z2868" s="336"/>
    </row>
    <row r="2869" spans="1:29" s="111" customFormat="1" ht="15.75" x14ac:dyDescent="0.2">
      <c r="A2869" s="288"/>
      <c r="B2869" s="311"/>
      <c r="C2869" s="312" t="s">
        <v>1296</v>
      </c>
      <c r="D2869" s="313"/>
      <c r="E2869" s="314"/>
      <c r="F2869" s="315"/>
      <c r="G2869" s="380"/>
      <c r="H2869" s="316"/>
      <c r="I2869" s="381"/>
      <c r="J2869" s="317"/>
      <c r="K2869" s="313"/>
      <c r="L2869" s="317"/>
      <c r="M2869" s="315"/>
      <c r="N2869" s="314"/>
      <c r="O2869" s="313"/>
      <c r="P2869" s="318"/>
      <c r="Q2869" s="315"/>
      <c r="R2869" s="319">
        <f>32.42-3.86</f>
        <v>28.560000000000002</v>
      </c>
      <c r="S2869" s="317"/>
      <c r="T2869" s="320">
        <v>40</v>
      </c>
      <c r="U2869" s="321"/>
      <c r="V2869" s="291">
        <f t="shared" ca="1" si="835"/>
        <v>-77.760000000000005</v>
      </c>
      <c r="W2869" s="256">
        <f t="shared" ca="1" si="829"/>
        <v>2</v>
      </c>
      <c r="X2869" s="256">
        <f t="shared" ca="1" si="832"/>
        <v>1</v>
      </c>
      <c r="Y2869" s="250"/>
      <c r="Z2869" s="250"/>
    </row>
    <row r="2870" spans="1:29" s="111" customFormat="1" ht="15" x14ac:dyDescent="0.2">
      <c r="A2870" s="288"/>
      <c r="B2870" s="322"/>
      <c r="C2870" s="382" t="s">
        <v>1363</v>
      </c>
      <c r="D2870" s="324"/>
      <c r="E2870" s="325"/>
      <c r="F2870" s="326"/>
      <c r="G2870" s="324"/>
      <c r="H2870" s="325"/>
      <c r="I2870" s="326"/>
      <c r="J2870" s="317"/>
      <c r="K2870" s="328"/>
      <c r="L2870" s="328"/>
      <c r="M2870" s="328"/>
      <c r="N2870" s="328"/>
      <c r="O2870" s="334"/>
      <c r="P2870" s="328"/>
      <c r="Q2870" s="334"/>
      <c r="R2870" s="333">
        <v>-49.2</v>
      </c>
      <c r="S2870" s="331"/>
      <c r="T2870" s="320">
        <v>44</v>
      </c>
      <c r="U2870" s="335"/>
      <c r="V2870" s="291">
        <f t="shared" ca="1" si="835"/>
        <v>-77.760000000000005</v>
      </c>
      <c r="W2870" s="256">
        <f t="shared" ref="W2870:W2873" ca="1" si="836">IF(LEFT(_xlfn.FORMULATEXT(V2870),3)="=SO",1,IF(COUNTA(A2870:U2870)=0,0,2))</f>
        <v>2</v>
      </c>
      <c r="X2870" s="256">
        <f t="shared" ref="X2870:X2873" ca="1" si="837">IF(COUNTA(OFFSET(A2869,1,0))-COUNTA(A2869)=-1,0,1)</f>
        <v>1</v>
      </c>
      <c r="Y2870" s="250"/>
      <c r="Z2870" s="250"/>
    </row>
    <row r="2871" spans="1:29" s="111" customFormat="1" ht="15" x14ac:dyDescent="0.2">
      <c r="A2871" s="288"/>
      <c r="B2871" s="494"/>
      <c r="C2871" s="382" t="s">
        <v>1363</v>
      </c>
      <c r="D2871" s="324"/>
      <c r="E2871" s="325"/>
      <c r="F2871" s="326"/>
      <c r="G2871" s="324"/>
      <c r="H2871" s="325"/>
      <c r="I2871" s="326"/>
      <c r="J2871" s="317"/>
      <c r="K2871" s="328"/>
      <c r="L2871" s="328"/>
      <c r="M2871" s="328"/>
      <c r="N2871" s="328"/>
      <c r="O2871" s="334"/>
      <c r="P2871" s="328"/>
      <c r="Q2871" s="334"/>
      <c r="R2871" s="333">
        <v>-28.56</v>
      </c>
      <c r="S2871" s="331"/>
      <c r="T2871" s="320">
        <v>44</v>
      </c>
      <c r="U2871" s="574"/>
      <c r="V2871" s="291">
        <f t="shared" ca="1" si="835"/>
        <v>-77.760000000000005</v>
      </c>
      <c r="W2871" s="256">
        <f t="shared" ca="1" si="836"/>
        <v>2</v>
      </c>
      <c r="X2871" s="256">
        <f t="shared" ca="1" si="837"/>
        <v>1</v>
      </c>
      <c r="Y2871" s="250"/>
      <c r="Z2871" s="250"/>
    </row>
    <row r="2872" spans="1:29" s="111" customFormat="1" ht="15" x14ac:dyDescent="0.2">
      <c r="A2872" s="288"/>
      <c r="B2872" s="338"/>
      <c r="C2872" s="339"/>
      <c r="D2872" s="340"/>
      <c r="E2872" s="341"/>
      <c r="F2872" s="342"/>
      <c r="G2872" s="340"/>
      <c r="H2872" s="341"/>
      <c r="I2872" s="342"/>
      <c r="J2872" s="343"/>
      <c r="K2872" s="344"/>
      <c r="L2872" s="345"/>
      <c r="M2872" s="346"/>
      <c r="N2872" s="347"/>
      <c r="O2872" s="348"/>
      <c r="P2872" s="345"/>
      <c r="Q2872" s="349"/>
      <c r="R2872" s="350"/>
      <c r="S2872" s="351"/>
      <c r="T2872" s="352"/>
      <c r="U2872" s="353"/>
      <c r="V2872" s="291">
        <f t="shared" ca="1" si="835"/>
        <v>-77.760000000000005</v>
      </c>
      <c r="W2872" s="256">
        <f t="shared" ca="1" si="836"/>
        <v>0</v>
      </c>
      <c r="X2872" s="256">
        <f t="shared" ca="1" si="837"/>
        <v>1</v>
      </c>
      <c r="Y2872" s="250"/>
      <c r="Z2872" s="250"/>
    </row>
    <row r="2873" spans="1:29" s="111" customFormat="1" ht="15.75" customHeight="1" x14ac:dyDescent="0.2">
      <c r="A2873" s="288"/>
      <c r="B2873" s="354"/>
      <c r="C2873" s="355"/>
      <c r="D2873" s="1354" t="s">
        <v>492</v>
      </c>
      <c r="E2873" s="1355"/>
      <c r="F2873" s="1355"/>
      <c r="G2873" s="1355"/>
      <c r="H2873" s="1355"/>
      <c r="I2873" s="1356"/>
      <c r="J2873" s="1357">
        <f>VLOOKUP(A2875,'11 - FINANCEIRO'!_xlnm.Print_Area,6,FALSE)</f>
        <v>77.760000000000005</v>
      </c>
      <c r="K2873" s="1358"/>
      <c r="L2873" s="356" t="str">
        <f>VLOOKUP(A2875,'11 - FINANCEIRO'!_xlnm.Print_Area,4,FALSE)</f>
        <v>m</v>
      </c>
      <c r="M2873" s="1359" t="s">
        <v>493</v>
      </c>
      <c r="N2873" s="1360"/>
      <c r="O2873" s="1360"/>
      <c r="P2873" s="1360"/>
      <c r="Q2873" s="1361"/>
      <c r="R2873" s="357">
        <f>TRUNC(SUM(R2868:R2872),3)</f>
        <v>0</v>
      </c>
      <c r="S2873" s="358" t="str">
        <f>L2873</f>
        <v>m</v>
      </c>
      <c r="T2873" s="359"/>
      <c r="U2873" s="360"/>
      <c r="V2873" s="291">
        <f t="shared" ca="1" si="835"/>
        <v>-77.760000000000005</v>
      </c>
      <c r="W2873" s="256">
        <f t="shared" ca="1" si="836"/>
        <v>2</v>
      </c>
      <c r="X2873" s="256">
        <f t="shared" ca="1" si="837"/>
        <v>1</v>
      </c>
      <c r="Y2873" s="250"/>
      <c r="Z2873" s="250"/>
    </row>
    <row r="2874" spans="1:29" s="293" customFormat="1" ht="15.75" customHeight="1" x14ac:dyDescent="0.2">
      <c r="A2874" s="288"/>
      <c r="B2874" s="354"/>
      <c r="C2874" s="361"/>
      <c r="D2874" s="1362" t="s">
        <v>494</v>
      </c>
      <c r="E2874" s="1363"/>
      <c r="F2874" s="1363"/>
      <c r="G2874" s="1363"/>
      <c r="H2874" s="1363"/>
      <c r="I2874" s="1364"/>
      <c r="J2874" s="1365">
        <f>R2873/J2873</f>
        <v>0</v>
      </c>
      <c r="K2874" s="1366"/>
      <c r="L2874" s="1369"/>
      <c r="M2874" s="1371" t="s">
        <v>495</v>
      </c>
      <c r="N2874" s="1372"/>
      <c r="O2874" s="1372"/>
      <c r="P2874" s="1372"/>
      <c r="Q2874" s="1373"/>
      <c r="R2874" s="362">
        <f>VLOOKUP(A2875,'11 - FINANCEIRO'!_xlnm.Print_Area,8,FALSE)</f>
        <v>77.760000000000005</v>
      </c>
      <c r="S2874" s="363" t="str">
        <f>L2873</f>
        <v>m</v>
      </c>
      <c r="T2874" s="359"/>
      <c r="U2874" s="360"/>
      <c r="V2874" s="291">
        <f t="shared" ca="1" si="835"/>
        <v>-77.760000000000005</v>
      </c>
      <c r="W2874" s="256">
        <f t="shared" ca="1" si="829"/>
        <v>2</v>
      </c>
      <c r="X2874" s="256">
        <f t="shared" ca="1" si="832"/>
        <v>1</v>
      </c>
      <c r="Y2874" s="256"/>
      <c r="Z2874" s="256"/>
      <c r="AA2874" s="292"/>
      <c r="AB2874" s="292"/>
      <c r="AC2874" s="292"/>
    </row>
    <row r="2875" spans="1:29" s="293" customFormat="1" ht="15.75" customHeight="1" x14ac:dyDescent="0.2">
      <c r="A2875" s="288" t="s">
        <v>162</v>
      </c>
      <c r="B2875" s="364"/>
      <c r="C2875" s="365"/>
      <c r="D2875" s="1354"/>
      <c r="E2875" s="1355"/>
      <c r="F2875" s="1355"/>
      <c r="G2875" s="1355"/>
      <c r="H2875" s="1355"/>
      <c r="I2875" s="1356"/>
      <c r="J2875" s="1367"/>
      <c r="K2875" s="1368"/>
      <c r="L2875" s="1370"/>
      <c r="M2875" s="1371" t="s">
        <v>496</v>
      </c>
      <c r="N2875" s="1372"/>
      <c r="O2875" s="1372"/>
      <c r="P2875" s="1372"/>
      <c r="Q2875" s="1373"/>
      <c r="R2875" s="362">
        <f>R2873-R2874</f>
        <v>-77.760000000000005</v>
      </c>
      <c r="S2875" s="363" t="str">
        <f>L2873</f>
        <v>m</v>
      </c>
      <c r="T2875" s="366"/>
      <c r="U2875" s="367"/>
      <c r="V2875" s="291">
        <f t="shared" ca="1" si="835"/>
        <v>-77.760000000000005</v>
      </c>
      <c r="W2875" s="256">
        <f t="shared" ca="1" si="829"/>
        <v>2</v>
      </c>
      <c r="X2875" s="256">
        <f t="shared" ca="1" si="832"/>
        <v>1</v>
      </c>
      <c r="Y2875" s="859"/>
      <c r="Z2875" s="256"/>
      <c r="AA2875" s="292"/>
      <c r="AB2875" s="292"/>
      <c r="AC2875" s="292"/>
    </row>
    <row r="2876" spans="1:29" s="111" customFormat="1" ht="15.75" x14ac:dyDescent="0.2">
      <c r="A2876" s="288"/>
      <c r="B2876" s="368"/>
      <c r="C2876" s="365"/>
      <c r="D2876" s="369"/>
      <c r="E2876" s="370"/>
      <c r="F2876" s="369"/>
      <c r="G2876" s="369"/>
      <c r="H2876" s="369"/>
      <c r="I2876" s="369"/>
      <c r="J2876" s="371"/>
      <c r="K2876" s="372"/>
      <c r="L2876" s="373"/>
      <c r="M2876" s="374"/>
      <c r="N2876" s="374"/>
      <c r="O2876" s="374"/>
      <c r="P2876" s="374"/>
      <c r="Q2876" s="374"/>
      <c r="R2876" s="375"/>
      <c r="S2876" s="376"/>
      <c r="T2876" s="377"/>
      <c r="U2876" s="378"/>
      <c r="V2876" s="379">
        <f ca="1">SUM(V2866:V2875)</f>
        <v>-777.6</v>
      </c>
      <c r="W2876" s="256">
        <f t="shared" ca="1" si="829"/>
        <v>1</v>
      </c>
      <c r="X2876" s="256">
        <f t="shared" ca="1" si="832"/>
        <v>0</v>
      </c>
      <c r="Y2876" s="250"/>
      <c r="Z2876" s="250"/>
    </row>
    <row r="2877" spans="1:29" s="293" customFormat="1" ht="15.75" hidden="1" customHeight="1" x14ac:dyDescent="0.25">
      <c r="A2877" s="288"/>
      <c r="B2877" s="1374" t="str">
        <f>VLOOKUP(A2885,'11 - FINANCEIRO'!_xlnm.Print_Area,1,FALSE)</f>
        <v>4.1.11</v>
      </c>
      <c r="C2877" s="1376" t="str">
        <f>VLOOKUP(A2885,'11 - FINANCEIRO'!_xlnm.Print_Area,3,FALSE)</f>
        <v>Demolição Manual De Construções Provisórias - Sem Reaproveitamento, Incluído Transporte E Destinação</v>
      </c>
      <c r="D2877" s="1378" t="s">
        <v>477</v>
      </c>
      <c r="E2877" s="1379"/>
      <c r="F2877" s="1379"/>
      <c r="G2877" s="1379"/>
      <c r="H2877" s="1379"/>
      <c r="I2877" s="1380"/>
      <c r="J2877" s="1338" t="s">
        <v>478</v>
      </c>
      <c r="K2877" s="1338" t="s">
        <v>479</v>
      </c>
      <c r="L2877" s="1338" t="s">
        <v>480</v>
      </c>
      <c r="M2877" s="1338" t="s">
        <v>481</v>
      </c>
      <c r="N2877" s="1338" t="s">
        <v>482</v>
      </c>
      <c r="O2877" s="1338" t="s">
        <v>483</v>
      </c>
      <c r="P2877" s="290" t="s">
        <v>484</v>
      </c>
      <c r="Q2877" s="1338" t="s">
        <v>485</v>
      </c>
      <c r="R2877" s="1336" t="s">
        <v>296</v>
      </c>
      <c r="S2877" s="1338" t="s">
        <v>486</v>
      </c>
      <c r="T2877" s="1338" t="s">
        <v>487</v>
      </c>
      <c r="U2877" s="1340" t="s">
        <v>488</v>
      </c>
      <c r="V2877" s="291">
        <f t="shared" ref="V2877:V2885" ca="1" si="838">IF(OFFSET(V2877,1,1)=1,OFFSET(V2877,0,-4),OFFSET(V2877,1,0))</f>
        <v>0</v>
      </c>
      <c r="W2877" s="256">
        <f t="shared" ca="1" si="829"/>
        <v>2</v>
      </c>
      <c r="X2877" s="256">
        <f t="shared" ca="1" si="832"/>
        <v>1</v>
      </c>
      <c r="Y2877" s="256"/>
      <c r="Z2877" s="256"/>
      <c r="AA2877" s="292"/>
      <c r="AB2877" s="292"/>
      <c r="AC2877" s="292"/>
    </row>
    <row r="2878" spans="1:29" s="337" customFormat="1" ht="15.75" hidden="1" x14ac:dyDescent="0.2">
      <c r="A2878" s="288"/>
      <c r="B2878" s="1375"/>
      <c r="C2878" s="1377" t="e">
        <f>VLOOKUP(LEFT(#REF!,5),'11 - FINANCEIRO'!_xlnm.Print_Area,2,FALSE)</f>
        <v>#REF!</v>
      </c>
      <c r="D2878" s="1342" t="s">
        <v>489</v>
      </c>
      <c r="E2878" s="1343"/>
      <c r="F2878" s="1344"/>
      <c r="G2878" s="1345" t="s">
        <v>490</v>
      </c>
      <c r="H2878" s="1346"/>
      <c r="I2878" s="1347"/>
      <c r="J2878" s="1339"/>
      <c r="K2878" s="1339"/>
      <c r="L2878" s="1339"/>
      <c r="M2878" s="1339"/>
      <c r="N2878" s="1339"/>
      <c r="O2878" s="1339"/>
      <c r="P2878" s="295" t="s">
        <v>491</v>
      </c>
      <c r="Q2878" s="1339"/>
      <c r="R2878" s="1337"/>
      <c r="S2878" s="1339"/>
      <c r="T2878" s="1339"/>
      <c r="U2878" s="1341"/>
      <c r="V2878" s="291">
        <f t="shared" ca="1" si="838"/>
        <v>0</v>
      </c>
      <c r="W2878" s="256">
        <f t="shared" ca="1" si="829"/>
        <v>2</v>
      </c>
      <c r="X2878" s="256">
        <f t="shared" ca="1" si="832"/>
        <v>1</v>
      </c>
      <c r="Y2878" s="336"/>
      <c r="Z2878" s="336"/>
    </row>
    <row r="2879" spans="1:29" s="337" customFormat="1" ht="15.75" hidden="1" x14ac:dyDescent="0.2">
      <c r="A2879" s="288"/>
      <c r="B2879" s="296"/>
      <c r="C2879" s="297"/>
      <c r="D2879" s="298"/>
      <c r="E2879" s="299"/>
      <c r="F2879" s="300"/>
      <c r="G2879" s="301"/>
      <c r="H2879" s="302"/>
      <c r="I2879" s="303"/>
      <c r="J2879" s="304"/>
      <c r="K2879" s="304"/>
      <c r="L2879" s="304"/>
      <c r="M2879" s="304"/>
      <c r="N2879" s="304"/>
      <c r="O2879" s="304"/>
      <c r="P2879" s="306"/>
      <c r="Q2879" s="304"/>
      <c r="R2879" s="307"/>
      <c r="S2879" s="304"/>
      <c r="T2879" s="309"/>
      <c r="U2879" s="310"/>
      <c r="V2879" s="291">
        <f t="shared" ca="1" si="838"/>
        <v>0</v>
      </c>
      <c r="W2879" s="256">
        <f t="shared" ca="1" si="829"/>
        <v>0</v>
      </c>
      <c r="X2879" s="256">
        <f t="shared" ca="1" si="832"/>
        <v>1</v>
      </c>
      <c r="Y2879" s="336"/>
      <c r="Z2879" s="336"/>
    </row>
    <row r="2880" spans="1:29" s="111" customFormat="1" ht="15.75" hidden="1" x14ac:dyDescent="0.2">
      <c r="A2880" s="288"/>
      <c r="B2880" s="311"/>
      <c r="C2880" s="312"/>
      <c r="D2880" s="313"/>
      <c r="E2880" s="314"/>
      <c r="F2880" s="315"/>
      <c r="G2880" s="380"/>
      <c r="H2880" s="316"/>
      <c r="I2880" s="381"/>
      <c r="J2880" s="317"/>
      <c r="K2880" s="313"/>
      <c r="L2880" s="317"/>
      <c r="M2880" s="315"/>
      <c r="N2880" s="314"/>
      <c r="O2880" s="313"/>
      <c r="P2880" s="318"/>
      <c r="Q2880" s="315"/>
      <c r="R2880" s="319"/>
      <c r="S2880" s="317"/>
      <c r="T2880" s="320"/>
      <c r="U2880" s="321"/>
      <c r="V2880" s="291">
        <f t="shared" ca="1" si="838"/>
        <v>0</v>
      </c>
      <c r="W2880" s="256">
        <f t="shared" ca="1" si="829"/>
        <v>0</v>
      </c>
      <c r="X2880" s="256">
        <f t="shared" ca="1" si="832"/>
        <v>1</v>
      </c>
      <c r="Y2880" s="250"/>
      <c r="Z2880" s="250"/>
    </row>
    <row r="2881" spans="1:29" s="111" customFormat="1" ht="15" hidden="1" x14ac:dyDescent="0.2">
      <c r="A2881" s="288"/>
      <c r="B2881" s="322"/>
      <c r="C2881" s="382"/>
      <c r="D2881" s="324"/>
      <c r="E2881" s="325"/>
      <c r="F2881" s="326"/>
      <c r="G2881" s="324"/>
      <c r="H2881" s="325"/>
      <c r="I2881" s="326"/>
      <c r="J2881" s="317"/>
      <c r="K2881" s="328"/>
      <c r="L2881" s="328"/>
      <c r="M2881" s="328"/>
      <c r="N2881" s="328"/>
      <c r="O2881" s="334"/>
      <c r="P2881" s="328"/>
      <c r="Q2881" s="334"/>
      <c r="R2881" s="333"/>
      <c r="S2881" s="331"/>
      <c r="T2881" s="320"/>
      <c r="U2881" s="335"/>
      <c r="V2881" s="291">
        <f t="shared" ca="1" si="838"/>
        <v>0</v>
      </c>
      <c r="W2881" s="256">
        <f t="shared" ca="1" si="829"/>
        <v>0</v>
      </c>
      <c r="X2881" s="256">
        <f t="shared" ca="1" si="832"/>
        <v>1</v>
      </c>
      <c r="Y2881" s="250"/>
      <c r="Z2881" s="250"/>
    </row>
    <row r="2882" spans="1:29" s="111" customFormat="1" ht="15" hidden="1" x14ac:dyDescent="0.2">
      <c r="A2882" s="288"/>
      <c r="B2882" s="338"/>
      <c r="C2882" s="339"/>
      <c r="D2882" s="340"/>
      <c r="E2882" s="341"/>
      <c r="F2882" s="342"/>
      <c r="G2882" s="340"/>
      <c r="H2882" s="341"/>
      <c r="I2882" s="342"/>
      <c r="J2882" s="343"/>
      <c r="K2882" s="344"/>
      <c r="L2882" s="345"/>
      <c r="M2882" s="346"/>
      <c r="N2882" s="347"/>
      <c r="O2882" s="348"/>
      <c r="P2882" s="345"/>
      <c r="Q2882" s="349"/>
      <c r="R2882" s="350"/>
      <c r="S2882" s="351"/>
      <c r="T2882" s="352"/>
      <c r="U2882" s="353"/>
      <c r="V2882" s="291">
        <f t="shared" ca="1" si="838"/>
        <v>0</v>
      </c>
      <c r="W2882" s="256">
        <f t="shared" ca="1" si="829"/>
        <v>0</v>
      </c>
      <c r="X2882" s="256">
        <f t="shared" ca="1" si="832"/>
        <v>1</v>
      </c>
      <c r="Y2882" s="250"/>
      <c r="Z2882" s="250"/>
    </row>
    <row r="2883" spans="1:29" s="111" customFormat="1" ht="15.75" hidden="1" customHeight="1" x14ac:dyDescent="0.2">
      <c r="A2883" s="288"/>
      <c r="B2883" s="354"/>
      <c r="C2883" s="355"/>
      <c r="D2883" s="1354" t="s">
        <v>492</v>
      </c>
      <c r="E2883" s="1355"/>
      <c r="F2883" s="1355"/>
      <c r="G2883" s="1355"/>
      <c r="H2883" s="1355"/>
      <c r="I2883" s="1356"/>
      <c r="J2883" s="1357">
        <f>VLOOKUP(A2885,'11 - FINANCEIRO'!_xlnm.Print_Area,6,FALSE)</f>
        <v>28</v>
      </c>
      <c r="K2883" s="1358"/>
      <c r="L2883" s="356" t="str">
        <f>VLOOKUP(A2885,'11 - FINANCEIRO'!_xlnm.Print_Area,4,FALSE)</f>
        <v>m²</v>
      </c>
      <c r="M2883" s="1359" t="s">
        <v>493</v>
      </c>
      <c r="N2883" s="1360"/>
      <c r="O2883" s="1360"/>
      <c r="P2883" s="1360"/>
      <c r="Q2883" s="1361"/>
      <c r="R2883" s="357">
        <f>TRUNC(SUM(R2879:R2882),3)</f>
        <v>0</v>
      </c>
      <c r="S2883" s="358" t="str">
        <f>L2883</f>
        <v>m²</v>
      </c>
      <c r="T2883" s="359"/>
      <c r="U2883" s="360"/>
      <c r="V2883" s="291">
        <f t="shared" ca="1" si="838"/>
        <v>0</v>
      </c>
      <c r="W2883" s="256">
        <f t="shared" ca="1" si="829"/>
        <v>2</v>
      </c>
      <c r="X2883" s="256">
        <f t="shared" ca="1" si="832"/>
        <v>1</v>
      </c>
      <c r="Y2883" s="250"/>
      <c r="Z2883" s="250"/>
    </row>
    <row r="2884" spans="1:29" s="293" customFormat="1" ht="15.75" hidden="1" customHeight="1" x14ac:dyDescent="0.2">
      <c r="A2884" s="288"/>
      <c r="B2884" s="354"/>
      <c r="C2884" s="361"/>
      <c r="D2884" s="1362" t="s">
        <v>494</v>
      </c>
      <c r="E2884" s="1363"/>
      <c r="F2884" s="1363"/>
      <c r="G2884" s="1363"/>
      <c r="H2884" s="1363"/>
      <c r="I2884" s="1364"/>
      <c r="J2884" s="1365">
        <f>R2883/J2883</f>
        <v>0</v>
      </c>
      <c r="K2884" s="1366"/>
      <c r="L2884" s="1369"/>
      <c r="M2884" s="1371" t="s">
        <v>495</v>
      </c>
      <c r="N2884" s="1372"/>
      <c r="O2884" s="1372"/>
      <c r="P2884" s="1372"/>
      <c r="Q2884" s="1373"/>
      <c r="R2884" s="362">
        <f>VLOOKUP(A2885,'11 - FINANCEIRO'!_xlnm.Print_Area,8,FALSE)</f>
        <v>0</v>
      </c>
      <c r="S2884" s="363" t="str">
        <f>L2883</f>
        <v>m²</v>
      </c>
      <c r="T2884" s="359"/>
      <c r="U2884" s="360"/>
      <c r="V2884" s="291">
        <f t="shared" ca="1" si="838"/>
        <v>0</v>
      </c>
      <c r="W2884" s="256">
        <f t="shared" ca="1" si="829"/>
        <v>2</v>
      </c>
      <c r="X2884" s="256">
        <f t="shared" ca="1" si="832"/>
        <v>1</v>
      </c>
      <c r="Y2884" s="256"/>
      <c r="Z2884" s="256"/>
      <c r="AA2884" s="292"/>
      <c r="AB2884" s="292"/>
      <c r="AC2884" s="292"/>
    </row>
    <row r="2885" spans="1:29" s="293" customFormat="1" ht="15.75" hidden="1" customHeight="1" x14ac:dyDescent="0.2">
      <c r="A2885" s="288" t="s">
        <v>163</v>
      </c>
      <c r="B2885" s="364"/>
      <c r="C2885" s="365"/>
      <c r="D2885" s="1354"/>
      <c r="E2885" s="1355"/>
      <c r="F2885" s="1355"/>
      <c r="G2885" s="1355"/>
      <c r="H2885" s="1355"/>
      <c r="I2885" s="1356"/>
      <c r="J2885" s="1367"/>
      <c r="K2885" s="1368"/>
      <c r="L2885" s="1370"/>
      <c r="M2885" s="1371" t="s">
        <v>496</v>
      </c>
      <c r="N2885" s="1372"/>
      <c r="O2885" s="1372"/>
      <c r="P2885" s="1372"/>
      <c r="Q2885" s="1373"/>
      <c r="R2885" s="362">
        <f>R2883-R2884</f>
        <v>0</v>
      </c>
      <c r="S2885" s="363" t="str">
        <f>L2883</f>
        <v>m²</v>
      </c>
      <c r="T2885" s="366"/>
      <c r="U2885" s="367"/>
      <c r="V2885" s="291">
        <f t="shared" ca="1" si="838"/>
        <v>0</v>
      </c>
      <c r="W2885" s="256">
        <f t="shared" ref="W2885:W2948" ca="1" si="839">IF(LEFT(_xlfn.FORMULATEXT(V2885),3)="=SO",1,IF(COUNTA(A2885:U2885)=0,0,2))</f>
        <v>2</v>
      </c>
      <c r="X2885" s="256">
        <f t="shared" ca="1" si="832"/>
        <v>1</v>
      </c>
      <c r="Y2885" s="256"/>
      <c r="Z2885" s="256"/>
      <c r="AA2885" s="292"/>
      <c r="AB2885" s="292"/>
      <c r="AC2885" s="292"/>
    </row>
    <row r="2886" spans="1:29" s="111" customFormat="1" ht="15.75" hidden="1" x14ac:dyDescent="0.2">
      <c r="A2886" s="288"/>
      <c r="B2886" s="368"/>
      <c r="C2886" s="365"/>
      <c r="D2886" s="369"/>
      <c r="E2886" s="370"/>
      <c r="F2886" s="369"/>
      <c r="G2886" s="369"/>
      <c r="H2886" s="369"/>
      <c r="I2886" s="369"/>
      <c r="J2886" s="371"/>
      <c r="K2886" s="372"/>
      <c r="L2886" s="373"/>
      <c r="M2886" s="374"/>
      <c r="N2886" s="374"/>
      <c r="O2886" s="374"/>
      <c r="P2886" s="374"/>
      <c r="Q2886" s="374"/>
      <c r="R2886" s="375"/>
      <c r="S2886" s="376"/>
      <c r="T2886" s="377"/>
      <c r="U2886" s="378"/>
      <c r="V2886" s="379">
        <f ca="1">SUM(V2877:V2885)</f>
        <v>0</v>
      </c>
      <c r="W2886" s="256">
        <f t="shared" ca="1" si="839"/>
        <v>1</v>
      </c>
      <c r="X2886" s="256">
        <f t="shared" ca="1" si="832"/>
        <v>0</v>
      </c>
      <c r="Y2886" s="250"/>
      <c r="Z2886" s="250"/>
    </row>
    <row r="2887" spans="1:29" s="293" customFormat="1" ht="15.75" hidden="1" customHeight="1" x14ac:dyDescent="0.25">
      <c r="A2887" s="288"/>
      <c r="B2887" s="1374" t="str">
        <f>VLOOKUP(A2895,'11 - FINANCEIRO'!_xlnm.Print_Area,1,FALSE)</f>
        <v>4.1.12</v>
      </c>
      <c r="C2887" s="1376" t="str">
        <f>VLOOKUP(A2895,'11 - FINANCEIRO'!_xlnm.Print_Area,3,FALSE)</f>
        <v>Concreto Para Bombeamento Fck = 30 Mpa - Confecção Em Central Dosadora De 30 M³/H - Areia E Brita Comerciais</v>
      </c>
      <c r="D2887" s="1378" t="s">
        <v>477</v>
      </c>
      <c r="E2887" s="1379"/>
      <c r="F2887" s="1379"/>
      <c r="G2887" s="1379"/>
      <c r="H2887" s="1379"/>
      <c r="I2887" s="1380"/>
      <c r="J2887" s="1338" t="s">
        <v>478</v>
      </c>
      <c r="K2887" s="1338" t="s">
        <v>479</v>
      </c>
      <c r="L2887" s="1338" t="s">
        <v>480</v>
      </c>
      <c r="M2887" s="1338" t="s">
        <v>481</v>
      </c>
      <c r="N2887" s="1338" t="s">
        <v>482</v>
      </c>
      <c r="O2887" s="1338" t="s">
        <v>483</v>
      </c>
      <c r="P2887" s="290" t="s">
        <v>484</v>
      </c>
      <c r="Q2887" s="1338" t="s">
        <v>485</v>
      </c>
      <c r="R2887" s="1336" t="s">
        <v>296</v>
      </c>
      <c r="S2887" s="1338" t="s">
        <v>486</v>
      </c>
      <c r="T2887" s="1338" t="s">
        <v>487</v>
      </c>
      <c r="U2887" s="1340" t="s">
        <v>488</v>
      </c>
      <c r="V2887" s="291">
        <f t="shared" ref="V2887:V2895" ca="1" si="840">IF(OFFSET(V2887,1,1)=1,OFFSET(V2887,0,-4),OFFSET(V2887,1,0))</f>
        <v>0</v>
      </c>
      <c r="W2887" s="256">
        <f t="shared" ca="1" si="839"/>
        <v>2</v>
      </c>
      <c r="X2887" s="256">
        <f t="shared" ca="1" si="832"/>
        <v>1</v>
      </c>
      <c r="Y2887" s="256"/>
      <c r="Z2887" s="256"/>
      <c r="AA2887" s="292"/>
      <c r="AB2887" s="292"/>
      <c r="AC2887" s="292"/>
    </row>
    <row r="2888" spans="1:29" s="337" customFormat="1" ht="15.75" hidden="1" x14ac:dyDescent="0.2">
      <c r="A2888" s="288"/>
      <c r="B2888" s="1375"/>
      <c r="C2888" s="1377" t="e">
        <f>VLOOKUP(LEFT(#REF!,5),'11 - FINANCEIRO'!_xlnm.Print_Area,2,FALSE)</f>
        <v>#REF!</v>
      </c>
      <c r="D2888" s="1342" t="s">
        <v>489</v>
      </c>
      <c r="E2888" s="1343"/>
      <c r="F2888" s="1344"/>
      <c r="G2888" s="1345" t="s">
        <v>490</v>
      </c>
      <c r="H2888" s="1346"/>
      <c r="I2888" s="1347"/>
      <c r="J2888" s="1339"/>
      <c r="K2888" s="1339"/>
      <c r="L2888" s="1339"/>
      <c r="M2888" s="1339"/>
      <c r="N2888" s="1339"/>
      <c r="O2888" s="1339"/>
      <c r="P2888" s="295" t="s">
        <v>491</v>
      </c>
      <c r="Q2888" s="1339"/>
      <c r="R2888" s="1337"/>
      <c r="S2888" s="1339"/>
      <c r="T2888" s="1339"/>
      <c r="U2888" s="1341"/>
      <c r="V2888" s="291">
        <f t="shared" ca="1" si="840"/>
        <v>0</v>
      </c>
      <c r="W2888" s="256">
        <f t="shared" ca="1" si="839"/>
        <v>2</v>
      </c>
      <c r="X2888" s="256">
        <f t="shared" ca="1" si="832"/>
        <v>1</v>
      </c>
      <c r="Y2888" s="336"/>
      <c r="Z2888" s="336"/>
    </row>
    <row r="2889" spans="1:29" s="337" customFormat="1" ht="15.75" hidden="1" x14ac:dyDescent="0.2">
      <c r="A2889" s="288"/>
      <c r="B2889" s="296"/>
      <c r="C2889" s="297"/>
      <c r="D2889" s="298"/>
      <c r="E2889" s="299"/>
      <c r="F2889" s="300"/>
      <c r="G2889" s="301"/>
      <c r="H2889" s="302"/>
      <c r="I2889" s="303"/>
      <c r="J2889" s="304"/>
      <c r="K2889" s="304"/>
      <c r="L2889" s="304"/>
      <c r="M2889" s="304"/>
      <c r="N2889" s="304"/>
      <c r="O2889" s="304"/>
      <c r="P2889" s="306"/>
      <c r="Q2889" s="304"/>
      <c r="R2889" s="307"/>
      <c r="S2889" s="304"/>
      <c r="T2889" s="309"/>
      <c r="U2889" s="310"/>
      <c r="V2889" s="291">
        <f t="shared" ca="1" si="840"/>
        <v>0</v>
      </c>
      <c r="W2889" s="256">
        <f t="shared" ca="1" si="839"/>
        <v>0</v>
      </c>
      <c r="X2889" s="256">
        <f t="shared" ca="1" si="832"/>
        <v>1</v>
      </c>
      <c r="Y2889" s="336"/>
      <c r="Z2889" s="336"/>
    </row>
    <row r="2890" spans="1:29" s="111" customFormat="1" ht="15.75" hidden="1" x14ac:dyDescent="0.2">
      <c r="A2890" s="288"/>
      <c r="B2890" s="311"/>
      <c r="C2890" s="312"/>
      <c r="D2890" s="313"/>
      <c r="E2890" s="314"/>
      <c r="F2890" s="315"/>
      <c r="G2890" s="380"/>
      <c r="H2890" s="316"/>
      <c r="I2890" s="381"/>
      <c r="J2890" s="317"/>
      <c r="K2890" s="313"/>
      <c r="L2890" s="317"/>
      <c r="M2890" s="315"/>
      <c r="N2890" s="314"/>
      <c r="O2890" s="313"/>
      <c r="P2890" s="318"/>
      <c r="Q2890" s="315"/>
      <c r="R2890" s="319"/>
      <c r="S2890" s="317"/>
      <c r="T2890" s="320"/>
      <c r="U2890" s="321"/>
      <c r="V2890" s="291">
        <f t="shared" ca="1" si="840"/>
        <v>0</v>
      </c>
      <c r="W2890" s="256">
        <f t="shared" ca="1" si="839"/>
        <v>0</v>
      </c>
      <c r="X2890" s="256">
        <f t="shared" ca="1" si="832"/>
        <v>1</v>
      </c>
      <c r="Y2890" s="250"/>
      <c r="Z2890" s="250"/>
    </row>
    <row r="2891" spans="1:29" s="111" customFormat="1" ht="15" hidden="1" x14ac:dyDescent="0.2">
      <c r="A2891" s="288"/>
      <c r="B2891" s="322"/>
      <c r="C2891" s="382"/>
      <c r="D2891" s="324"/>
      <c r="E2891" s="325"/>
      <c r="F2891" s="326"/>
      <c r="G2891" s="324"/>
      <c r="H2891" s="325"/>
      <c r="I2891" s="326"/>
      <c r="J2891" s="317"/>
      <c r="K2891" s="328"/>
      <c r="L2891" s="328"/>
      <c r="M2891" s="328"/>
      <c r="N2891" s="328"/>
      <c r="O2891" s="334"/>
      <c r="P2891" s="328"/>
      <c r="Q2891" s="334"/>
      <c r="R2891" s="333"/>
      <c r="S2891" s="331"/>
      <c r="T2891" s="320"/>
      <c r="U2891" s="335"/>
      <c r="V2891" s="291">
        <f t="shared" ca="1" si="840"/>
        <v>0</v>
      </c>
      <c r="W2891" s="256">
        <f t="shared" ca="1" si="839"/>
        <v>0</v>
      </c>
      <c r="X2891" s="256">
        <f t="shared" ca="1" si="832"/>
        <v>1</v>
      </c>
      <c r="Y2891" s="250"/>
      <c r="Z2891" s="250"/>
    </row>
    <row r="2892" spans="1:29" s="111" customFormat="1" ht="15" hidden="1" x14ac:dyDescent="0.2">
      <c r="A2892" s="288"/>
      <c r="B2892" s="338"/>
      <c r="C2892" s="339"/>
      <c r="D2892" s="340"/>
      <c r="E2892" s="341"/>
      <c r="F2892" s="342"/>
      <c r="G2892" s="340"/>
      <c r="H2892" s="341"/>
      <c r="I2892" s="342"/>
      <c r="J2892" s="343"/>
      <c r="K2892" s="344"/>
      <c r="L2892" s="345"/>
      <c r="M2892" s="346"/>
      <c r="N2892" s="347"/>
      <c r="O2892" s="348"/>
      <c r="P2892" s="345"/>
      <c r="Q2892" s="349"/>
      <c r="R2892" s="350"/>
      <c r="S2892" s="351"/>
      <c r="T2892" s="352"/>
      <c r="U2892" s="353"/>
      <c r="V2892" s="291">
        <f t="shared" ca="1" si="840"/>
        <v>0</v>
      </c>
      <c r="W2892" s="256">
        <f t="shared" ca="1" si="839"/>
        <v>0</v>
      </c>
      <c r="X2892" s="256">
        <f t="shared" ca="1" si="832"/>
        <v>1</v>
      </c>
      <c r="Y2892" s="250"/>
      <c r="Z2892" s="250"/>
    </row>
    <row r="2893" spans="1:29" s="111" customFormat="1" ht="15.75" hidden="1" customHeight="1" x14ac:dyDescent="0.2">
      <c r="A2893" s="288"/>
      <c r="B2893" s="354"/>
      <c r="C2893" s="355"/>
      <c r="D2893" s="1354" t="s">
        <v>492</v>
      </c>
      <c r="E2893" s="1355"/>
      <c r="F2893" s="1355"/>
      <c r="G2893" s="1355"/>
      <c r="H2893" s="1355"/>
      <c r="I2893" s="1356"/>
      <c r="J2893" s="1357">
        <f>VLOOKUP(A2895,'11 - FINANCEIRO'!_xlnm.Print_Area,6,FALSE)</f>
        <v>11.5</v>
      </c>
      <c r="K2893" s="1358"/>
      <c r="L2893" s="356" t="str">
        <f>VLOOKUP(A2895,'11 - FINANCEIRO'!_xlnm.Print_Area,4,FALSE)</f>
        <v>m³</v>
      </c>
      <c r="M2893" s="1359" t="s">
        <v>493</v>
      </c>
      <c r="N2893" s="1360"/>
      <c r="O2893" s="1360"/>
      <c r="P2893" s="1360"/>
      <c r="Q2893" s="1361"/>
      <c r="R2893" s="357">
        <f>TRUNC(SUM(R2889:R2892),3)</f>
        <v>0</v>
      </c>
      <c r="S2893" s="358" t="str">
        <f>L2893</f>
        <v>m³</v>
      </c>
      <c r="T2893" s="359"/>
      <c r="U2893" s="360"/>
      <c r="V2893" s="291">
        <f t="shared" ca="1" si="840"/>
        <v>0</v>
      </c>
      <c r="W2893" s="256">
        <f t="shared" ca="1" si="839"/>
        <v>2</v>
      </c>
      <c r="X2893" s="256">
        <f t="shared" ca="1" si="832"/>
        <v>1</v>
      </c>
      <c r="Y2893" s="250"/>
      <c r="Z2893" s="250"/>
    </row>
    <row r="2894" spans="1:29" s="293" customFormat="1" ht="15.75" hidden="1" customHeight="1" x14ac:dyDescent="0.2">
      <c r="A2894" s="288"/>
      <c r="B2894" s="354"/>
      <c r="C2894" s="361"/>
      <c r="D2894" s="1362" t="s">
        <v>494</v>
      </c>
      <c r="E2894" s="1363"/>
      <c r="F2894" s="1363"/>
      <c r="G2894" s="1363"/>
      <c r="H2894" s="1363"/>
      <c r="I2894" s="1364"/>
      <c r="J2894" s="1365">
        <f>R2893/J2893</f>
        <v>0</v>
      </c>
      <c r="K2894" s="1366"/>
      <c r="L2894" s="1369"/>
      <c r="M2894" s="1371" t="s">
        <v>495</v>
      </c>
      <c r="N2894" s="1372"/>
      <c r="O2894" s="1372"/>
      <c r="P2894" s="1372"/>
      <c r="Q2894" s="1373"/>
      <c r="R2894" s="362">
        <f>VLOOKUP(A2895,'11 - FINANCEIRO'!_xlnm.Print_Area,8,FALSE)</f>
        <v>0</v>
      </c>
      <c r="S2894" s="363" t="str">
        <f>L2893</f>
        <v>m³</v>
      </c>
      <c r="T2894" s="359"/>
      <c r="U2894" s="360"/>
      <c r="V2894" s="291">
        <f t="shared" ca="1" si="840"/>
        <v>0</v>
      </c>
      <c r="W2894" s="256">
        <f t="shared" ca="1" si="839"/>
        <v>2</v>
      </c>
      <c r="X2894" s="256">
        <f t="shared" ca="1" si="832"/>
        <v>1</v>
      </c>
      <c r="Y2894" s="256"/>
      <c r="Z2894" s="256"/>
      <c r="AA2894" s="292"/>
      <c r="AB2894" s="292"/>
      <c r="AC2894" s="292"/>
    </row>
    <row r="2895" spans="1:29" s="293" customFormat="1" ht="15.75" hidden="1" customHeight="1" x14ac:dyDescent="0.2">
      <c r="A2895" s="288" t="s">
        <v>164</v>
      </c>
      <c r="B2895" s="364"/>
      <c r="C2895" s="365"/>
      <c r="D2895" s="1354"/>
      <c r="E2895" s="1355"/>
      <c r="F2895" s="1355"/>
      <c r="G2895" s="1355"/>
      <c r="H2895" s="1355"/>
      <c r="I2895" s="1356"/>
      <c r="J2895" s="1367"/>
      <c r="K2895" s="1368"/>
      <c r="L2895" s="1370"/>
      <c r="M2895" s="1371" t="s">
        <v>496</v>
      </c>
      <c r="N2895" s="1372"/>
      <c r="O2895" s="1372"/>
      <c r="P2895" s="1372"/>
      <c r="Q2895" s="1373"/>
      <c r="R2895" s="362">
        <f>R2893-R2894</f>
        <v>0</v>
      </c>
      <c r="S2895" s="363" t="str">
        <f>L2893</f>
        <v>m³</v>
      </c>
      <c r="T2895" s="366"/>
      <c r="U2895" s="367"/>
      <c r="V2895" s="291">
        <f t="shared" ca="1" si="840"/>
        <v>0</v>
      </c>
      <c r="W2895" s="256">
        <f t="shared" ca="1" si="839"/>
        <v>2</v>
      </c>
      <c r="X2895" s="256">
        <f t="shared" ca="1" si="832"/>
        <v>1</v>
      </c>
      <c r="Y2895" s="256"/>
      <c r="Z2895" s="256"/>
      <c r="AA2895" s="292"/>
      <c r="AB2895" s="292"/>
      <c r="AC2895" s="292"/>
    </row>
    <row r="2896" spans="1:29" s="111" customFormat="1" ht="15.75" hidden="1" x14ac:dyDescent="0.2">
      <c r="A2896" s="288"/>
      <c r="B2896" s="368"/>
      <c r="C2896" s="365"/>
      <c r="D2896" s="369"/>
      <c r="E2896" s="370"/>
      <c r="F2896" s="369"/>
      <c r="G2896" s="369"/>
      <c r="H2896" s="369"/>
      <c r="I2896" s="369"/>
      <c r="J2896" s="371"/>
      <c r="K2896" s="372"/>
      <c r="L2896" s="373"/>
      <c r="M2896" s="374"/>
      <c r="N2896" s="374"/>
      <c r="O2896" s="374"/>
      <c r="P2896" s="374"/>
      <c r="Q2896" s="374"/>
      <c r="R2896" s="375"/>
      <c r="S2896" s="376"/>
      <c r="T2896" s="377"/>
      <c r="U2896" s="378"/>
      <c r="V2896" s="379">
        <f ca="1">SUM(V2887:V2895)</f>
        <v>0</v>
      </c>
      <c r="W2896" s="256">
        <f t="shared" ca="1" si="839"/>
        <v>1</v>
      </c>
      <c r="X2896" s="256">
        <f t="shared" ca="1" si="832"/>
        <v>0</v>
      </c>
      <c r="Y2896" s="250"/>
      <c r="Z2896" s="250"/>
    </row>
    <row r="2897" spans="1:29" s="293" customFormat="1" ht="15.75" hidden="1" customHeight="1" x14ac:dyDescent="0.25">
      <c r="A2897" s="288"/>
      <c r="B2897" s="1374" t="str">
        <f>VLOOKUP(A2905,'11 - FINANCEIRO'!_xlnm.Print_Area,1,FALSE)</f>
        <v>4.1.13</v>
      </c>
      <c r="C2897" s="1376" t="str">
        <f>VLOOKUP(A2905,'11 - FINANCEIRO'!_xlnm.Print_Area,3,FALSE)</f>
        <v>Serviço De Bombeamento De Concreto Com Consumo Minimo De 40 M3</v>
      </c>
      <c r="D2897" s="1378" t="s">
        <v>477</v>
      </c>
      <c r="E2897" s="1379"/>
      <c r="F2897" s="1379"/>
      <c r="G2897" s="1379"/>
      <c r="H2897" s="1379"/>
      <c r="I2897" s="1380"/>
      <c r="J2897" s="1338" t="s">
        <v>478</v>
      </c>
      <c r="K2897" s="1338" t="s">
        <v>479</v>
      </c>
      <c r="L2897" s="1338" t="s">
        <v>480</v>
      </c>
      <c r="M2897" s="1338" t="s">
        <v>481</v>
      </c>
      <c r="N2897" s="1338" t="s">
        <v>482</v>
      </c>
      <c r="O2897" s="1338" t="s">
        <v>483</v>
      </c>
      <c r="P2897" s="290" t="s">
        <v>484</v>
      </c>
      <c r="Q2897" s="1338" t="s">
        <v>485</v>
      </c>
      <c r="R2897" s="1336" t="s">
        <v>296</v>
      </c>
      <c r="S2897" s="1338" t="s">
        <v>486</v>
      </c>
      <c r="T2897" s="1338" t="s">
        <v>487</v>
      </c>
      <c r="U2897" s="1340" t="s">
        <v>488</v>
      </c>
      <c r="V2897" s="291">
        <f t="shared" ref="V2897:V2905" ca="1" si="841">IF(OFFSET(V2897,1,1)=1,OFFSET(V2897,0,-4),OFFSET(V2897,1,0))</f>
        <v>0</v>
      </c>
      <c r="W2897" s="256">
        <f t="shared" ca="1" si="839"/>
        <v>2</v>
      </c>
      <c r="X2897" s="256">
        <f t="shared" ca="1" si="832"/>
        <v>1</v>
      </c>
      <c r="Y2897" s="256"/>
      <c r="Z2897" s="256"/>
      <c r="AA2897" s="292"/>
      <c r="AB2897" s="292"/>
      <c r="AC2897" s="292"/>
    </row>
    <row r="2898" spans="1:29" s="337" customFormat="1" ht="15.75" hidden="1" x14ac:dyDescent="0.2">
      <c r="A2898" s="288"/>
      <c r="B2898" s="1375"/>
      <c r="C2898" s="1377" t="e">
        <f>VLOOKUP(LEFT(#REF!,5),'11 - FINANCEIRO'!_xlnm.Print_Area,2,FALSE)</f>
        <v>#REF!</v>
      </c>
      <c r="D2898" s="1342" t="s">
        <v>489</v>
      </c>
      <c r="E2898" s="1343"/>
      <c r="F2898" s="1344"/>
      <c r="G2898" s="1345" t="s">
        <v>490</v>
      </c>
      <c r="H2898" s="1346"/>
      <c r="I2898" s="1347"/>
      <c r="J2898" s="1339"/>
      <c r="K2898" s="1339"/>
      <c r="L2898" s="1339"/>
      <c r="M2898" s="1339"/>
      <c r="N2898" s="1339"/>
      <c r="O2898" s="1339"/>
      <c r="P2898" s="295" t="s">
        <v>491</v>
      </c>
      <c r="Q2898" s="1339"/>
      <c r="R2898" s="1337"/>
      <c r="S2898" s="1339"/>
      <c r="T2898" s="1339"/>
      <c r="U2898" s="1341"/>
      <c r="V2898" s="291">
        <f t="shared" ca="1" si="841"/>
        <v>0</v>
      </c>
      <c r="W2898" s="256">
        <f t="shared" ca="1" si="839"/>
        <v>2</v>
      </c>
      <c r="X2898" s="256">
        <f t="shared" ca="1" si="832"/>
        <v>1</v>
      </c>
      <c r="Y2898" s="336"/>
      <c r="Z2898" s="336"/>
    </row>
    <row r="2899" spans="1:29" s="337" customFormat="1" ht="15.75" hidden="1" x14ac:dyDescent="0.2">
      <c r="A2899" s="288"/>
      <c r="B2899" s="296"/>
      <c r="C2899" s="297"/>
      <c r="D2899" s="298"/>
      <c r="E2899" s="299"/>
      <c r="F2899" s="300"/>
      <c r="G2899" s="301"/>
      <c r="H2899" s="302"/>
      <c r="I2899" s="303"/>
      <c r="J2899" s="304"/>
      <c r="K2899" s="304"/>
      <c r="L2899" s="304"/>
      <c r="M2899" s="304"/>
      <c r="N2899" s="304"/>
      <c r="O2899" s="304"/>
      <c r="P2899" s="306"/>
      <c r="Q2899" s="304"/>
      <c r="R2899" s="307"/>
      <c r="S2899" s="304"/>
      <c r="T2899" s="309"/>
      <c r="U2899" s="310"/>
      <c r="V2899" s="291">
        <f t="shared" ca="1" si="841"/>
        <v>0</v>
      </c>
      <c r="W2899" s="256">
        <f t="shared" ca="1" si="839"/>
        <v>0</v>
      </c>
      <c r="X2899" s="256">
        <f t="shared" ca="1" si="832"/>
        <v>1</v>
      </c>
      <c r="Y2899" s="336"/>
      <c r="Z2899" s="336"/>
    </row>
    <row r="2900" spans="1:29" s="111" customFormat="1" ht="15.75" hidden="1" x14ac:dyDescent="0.2">
      <c r="A2900" s="288"/>
      <c r="B2900" s="311"/>
      <c r="C2900" s="312"/>
      <c r="D2900" s="313"/>
      <c r="E2900" s="314"/>
      <c r="F2900" s="315"/>
      <c r="G2900" s="380"/>
      <c r="H2900" s="316"/>
      <c r="I2900" s="381"/>
      <c r="J2900" s="317"/>
      <c r="K2900" s="313"/>
      <c r="L2900" s="317"/>
      <c r="M2900" s="315"/>
      <c r="N2900" s="314"/>
      <c r="O2900" s="313"/>
      <c r="P2900" s="318"/>
      <c r="Q2900" s="315"/>
      <c r="R2900" s="319"/>
      <c r="S2900" s="317"/>
      <c r="T2900" s="320"/>
      <c r="U2900" s="321"/>
      <c r="V2900" s="291">
        <f t="shared" ca="1" si="841"/>
        <v>0</v>
      </c>
      <c r="W2900" s="256">
        <f t="shared" ca="1" si="839"/>
        <v>0</v>
      </c>
      <c r="X2900" s="256">
        <f t="shared" ca="1" si="832"/>
        <v>1</v>
      </c>
      <c r="Y2900" s="250"/>
      <c r="Z2900" s="250"/>
    </row>
    <row r="2901" spans="1:29" s="111" customFormat="1" ht="15" hidden="1" x14ac:dyDescent="0.2">
      <c r="A2901" s="288"/>
      <c r="B2901" s="322"/>
      <c r="C2901" s="382"/>
      <c r="D2901" s="324"/>
      <c r="E2901" s="325"/>
      <c r="F2901" s="326"/>
      <c r="G2901" s="324"/>
      <c r="H2901" s="325"/>
      <c r="I2901" s="326"/>
      <c r="J2901" s="317"/>
      <c r="K2901" s="328"/>
      <c r="L2901" s="328"/>
      <c r="M2901" s="328"/>
      <c r="N2901" s="328"/>
      <c r="O2901" s="334"/>
      <c r="P2901" s="328"/>
      <c r="Q2901" s="334"/>
      <c r="R2901" s="333"/>
      <c r="S2901" s="331"/>
      <c r="T2901" s="320"/>
      <c r="U2901" s="335"/>
      <c r="V2901" s="291">
        <f t="shared" ca="1" si="841"/>
        <v>0</v>
      </c>
      <c r="W2901" s="256">
        <f t="shared" ca="1" si="839"/>
        <v>0</v>
      </c>
      <c r="X2901" s="256">
        <f t="shared" ca="1" si="832"/>
        <v>1</v>
      </c>
      <c r="Y2901" s="250"/>
      <c r="Z2901" s="250"/>
    </row>
    <row r="2902" spans="1:29" s="111" customFormat="1" ht="15" hidden="1" x14ac:dyDescent="0.2">
      <c r="A2902" s="288"/>
      <c r="B2902" s="338"/>
      <c r="C2902" s="339"/>
      <c r="D2902" s="340"/>
      <c r="E2902" s="341"/>
      <c r="F2902" s="342"/>
      <c r="G2902" s="340"/>
      <c r="H2902" s="341"/>
      <c r="I2902" s="342"/>
      <c r="J2902" s="343"/>
      <c r="K2902" s="344"/>
      <c r="L2902" s="345"/>
      <c r="M2902" s="346"/>
      <c r="N2902" s="347"/>
      <c r="O2902" s="348"/>
      <c r="P2902" s="345"/>
      <c r="Q2902" s="349"/>
      <c r="R2902" s="350"/>
      <c r="S2902" s="351"/>
      <c r="T2902" s="352"/>
      <c r="U2902" s="353"/>
      <c r="V2902" s="291">
        <f t="shared" ca="1" si="841"/>
        <v>0</v>
      </c>
      <c r="W2902" s="256">
        <f t="shared" ca="1" si="839"/>
        <v>0</v>
      </c>
      <c r="X2902" s="256">
        <f t="shared" ca="1" si="832"/>
        <v>1</v>
      </c>
      <c r="Y2902" s="250"/>
      <c r="Z2902" s="250"/>
    </row>
    <row r="2903" spans="1:29" s="111" customFormat="1" ht="15.75" hidden="1" customHeight="1" x14ac:dyDescent="0.2">
      <c r="A2903" s="288"/>
      <c r="B2903" s="354"/>
      <c r="C2903" s="355"/>
      <c r="D2903" s="1354" t="s">
        <v>492</v>
      </c>
      <c r="E2903" s="1355"/>
      <c r="F2903" s="1355"/>
      <c r="G2903" s="1355"/>
      <c r="H2903" s="1355"/>
      <c r="I2903" s="1356"/>
      <c r="J2903" s="1357">
        <f>VLOOKUP(A2905,'11 - FINANCEIRO'!_xlnm.Print_Area,6,FALSE)</f>
        <v>11.5</v>
      </c>
      <c r="K2903" s="1358"/>
      <c r="L2903" s="356" t="str">
        <f>VLOOKUP(A2905,'11 - FINANCEIRO'!_xlnm.Print_Area,4,FALSE)</f>
        <v>m³</v>
      </c>
      <c r="M2903" s="1359" t="s">
        <v>493</v>
      </c>
      <c r="N2903" s="1360"/>
      <c r="O2903" s="1360"/>
      <c r="P2903" s="1360"/>
      <c r="Q2903" s="1361"/>
      <c r="R2903" s="357">
        <f>TRUNC(SUM(R2899:R2902),3)</f>
        <v>0</v>
      </c>
      <c r="S2903" s="358" t="str">
        <f>L2903</f>
        <v>m³</v>
      </c>
      <c r="T2903" s="359"/>
      <c r="U2903" s="360"/>
      <c r="V2903" s="291">
        <f t="shared" ca="1" si="841"/>
        <v>0</v>
      </c>
      <c r="W2903" s="256">
        <f t="shared" ca="1" si="839"/>
        <v>2</v>
      </c>
      <c r="X2903" s="256">
        <f t="shared" ca="1" si="832"/>
        <v>1</v>
      </c>
      <c r="Y2903" s="250"/>
      <c r="Z2903" s="250"/>
    </row>
    <row r="2904" spans="1:29" s="395" customFormat="1" ht="15.75" hidden="1" customHeight="1" x14ac:dyDescent="0.2">
      <c r="A2904" s="276"/>
      <c r="B2904" s="354"/>
      <c r="C2904" s="361"/>
      <c r="D2904" s="1362" t="s">
        <v>494</v>
      </c>
      <c r="E2904" s="1363"/>
      <c r="F2904" s="1363"/>
      <c r="G2904" s="1363"/>
      <c r="H2904" s="1363"/>
      <c r="I2904" s="1364"/>
      <c r="J2904" s="1365">
        <f>R2903/J2903</f>
        <v>0</v>
      </c>
      <c r="K2904" s="1366"/>
      <c r="L2904" s="1369"/>
      <c r="M2904" s="1371" t="s">
        <v>495</v>
      </c>
      <c r="N2904" s="1372"/>
      <c r="O2904" s="1372"/>
      <c r="P2904" s="1372"/>
      <c r="Q2904" s="1373"/>
      <c r="R2904" s="362">
        <f>VLOOKUP(A2905,'11 - FINANCEIRO'!_xlnm.Print_Area,8,FALSE)</f>
        <v>0</v>
      </c>
      <c r="S2904" s="363" t="str">
        <f>L2903</f>
        <v>m³</v>
      </c>
      <c r="T2904" s="359"/>
      <c r="U2904" s="360"/>
      <c r="V2904" s="291">
        <f t="shared" ca="1" si="841"/>
        <v>0</v>
      </c>
      <c r="W2904" s="256">
        <f t="shared" ca="1" si="839"/>
        <v>2</v>
      </c>
      <c r="X2904" s="256">
        <f t="shared" ca="1" si="832"/>
        <v>1</v>
      </c>
    </row>
    <row r="2905" spans="1:29" s="293" customFormat="1" ht="15.75" hidden="1" customHeight="1" x14ac:dyDescent="0.2">
      <c r="A2905" s="288" t="s">
        <v>165</v>
      </c>
      <c r="B2905" s="364"/>
      <c r="C2905" s="365"/>
      <c r="D2905" s="1354"/>
      <c r="E2905" s="1355"/>
      <c r="F2905" s="1355"/>
      <c r="G2905" s="1355"/>
      <c r="H2905" s="1355"/>
      <c r="I2905" s="1356"/>
      <c r="J2905" s="1367"/>
      <c r="K2905" s="1368"/>
      <c r="L2905" s="1370"/>
      <c r="M2905" s="1371" t="s">
        <v>496</v>
      </c>
      <c r="N2905" s="1372"/>
      <c r="O2905" s="1372"/>
      <c r="P2905" s="1372"/>
      <c r="Q2905" s="1373"/>
      <c r="R2905" s="362">
        <f>R2903-R2904</f>
        <v>0</v>
      </c>
      <c r="S2905" s="363" t="str">
        <f>L2903</f>
        <v>m³</v>
      </c>
      <c r="T2905" s="366"/>
      <c r="U2905" s="367"/>
      <c r="V2905" s="291">
        <f t="shared" ca="1" si="841"/>
        <v>0</v>
      </c>
      <c r="W2905" s="256">
        <f t="shared" ca="1" si="839"/>
        <v>2</v>
      </c>
      <c r="X2905" s="256">
        <f t="shared" ca="1" si="832"/>
        <v>1</v>
      </c>
      <c r="Y2905" s="256"/>
      <c r="Z2905" s="256"/>
      <c r="AA2905" s="292"/>
      <c r="AB2905" s="292"/>
      <c r="AC2905" s="292"/>
    </row>
    <row r="2906" spans="1:29" s="111" customFormat="1" ht="15.75" hidden="1" x14ac:dyDescent="0.2">
      <c r="A2906" s="288"/>
      <c r="B2906" s="368"/>
      <c r="C2906" s="365"/>
      <c r="D2906" s="369"/>
      <c r="E2906" s="370"/>
      <c r="F2906" s="369"/>
      <c r="G2906" s="369"/>
      <c r="H2906" s="369"/>
      <c r="I2906" s="369"/>
      <c r="J2906" s="371"/>
      <c r="K2906" s="372"/>
      <c r="L2906" s="373"/>
      <c r="M2906" s="374"/>
      <c r="N2906" s="374"/>
      <c r="O2906" s="374"/>
      <c r="P2906" s="374"/>
      <c r="Q2906" s="374"/>
      <c r="R2906" s="375"/>
      <c r="S2906" s="376"/>
      <c r="T2906" s="377"/>
      <c r="U2906" s="378"/>
      <c r="V2906" s="379">
        <f ca="1">SUM(V2897:V2905)</f>
        <v>0</v>
      </c>
      <c r="W2906" s="256">
        <f t="shared" ca="1" si="839"/>
        <v>1</v>
      </c>
      <c r="X2906" s="256">
        <f t="shared" ca="1" si="832"/>
        <v>0</v>
      </c>
      <c r="Y2906" s="250"/>
      <c r="Z2906" s="250"/>
    </row>
    <row r="2907" spans="1:29" s="293" customFormat="1" ht="15.75" x14ac:dyDescent="0.2">
      <c r="A2907" s="288"/>
      <c r="B2907" s="385" t="str">
        <f>LEFT(A2915,11)</f>
        <v>4.2</v>
      </c>
      <c r="C2907" s="386" t="str">
        <f>VLOOKUP(LEFT(A2915,11),'11 - FINANCEIRO'!_xlnm.Print_Area,2,FALSE)</f>
        <v>Passarela Carlos Larica</v>
      </c>
      <c r="D2907" s="386"/>
      <c r="E2907" s="387"/>
      <c r="F2907" s="386"/>
      <c r="G2907" s="1395"/>
      <c r="H2907" s="1395"/>
      <c r="I2907" s="1395"/>
      <c r="J2907" s="1395"/>
      <c r="K2907" s="1395"/>
      <c r="L2907" s="1395"/>
      <c r="M2907" s="389"/>
      <c r="N2907" s="390"/>
      <c r="O2907" s="389"/>
      <c r="P2907" s="389"/>
      <c r="Q2907" s="389"/>
      <c r="R2907" s="390"/>
      <c r="S2907" s="389"/>
      <c r="T2907" s="389"/>
      <c r="U2907" s="601"/>
      <c r="V2907" s="549">
        <f ca="1">SUM(V2908:V3033)</f>
        <v>481.19999999999976</v>
      </c>
      <c r="W2907" s="256">
        <f t="shared" ca="1" si="839"/>
        <v>1</v>
      </c>
      <c r="X2907" s="256">
        <f t="shared" ca="1" si="832"/>
        <v>1</v>
      </c>
      <c r="Y2907" s="256"/>
      <c r="Z2907" s="256"/>
      <c r="AA2907" s="292"/>
      <c r="AB2907" s="292"/>
      <c r="AC2907" s="292"/>
    </row>
    <row r="2908" spans="1:29" s="293" customFormat="1" ht="15.75" hidden="1" customHeight="1" x14ac:dyDescent="0.25">
      <c r="A2908" s="288"/>
      <c r="B2908" s="1374" t="str">
        <f>VLOOKUP(A2916,'11 - FINANCEIRO'!_xlnm.Print_Area,1,FALSE)</f>
        <v>4.2.1</v>
      </c>
      <c r="C2908" s="1376" t="str">
        <f>VLOOKUP(A2916,'11 - FINANCEIRO'!_xlnm.Print_Area,3,FALSE)</f>
        <v>Preparo E Regularização De Terreno Em Desnível</v>
      </c>
      <c r="D2908" s="1378" t="s">
        <v>477</v>
      </c>
      <c r="E2908" s="1379"/>
      <c r="F2908" s="1379"/>
      <c r="G2908" s="1379"/>
      <c r="H2908" s="1379"/>
      <c r="I2908" s="1380"/>
      <c r="J2908" s="1338" t="s">
        <v>478</v>
      </c>
      <c r="K2908" s="1338" t="s">
        <v>479</v>
      </c>
      <c r="L2908" s="1338" t="s">
        <v>480</v>
      </c>
      <c r="M2908" s="1338" t="s">
        <v>481</v>
      </c>
      <c r="N2908" s="1338" t="s">
        <v>482</v>
      </c>
      <c r="O2908" s="1338" t="s">
        <v>483</v>
      </c>
      <c r="P2908" s="290" t="s">
        <v>484</v>
      </c>
      <c r="Q2908" s="1338" t="s">
        <v>485</v>
      </c>
      <c r="R2908" s="1336" t="s">
        <v>296</v>
      </c>
      <c r="S2908" s="1338" t="s">
        <v>486</v>
      </c>
      <c r="T2908" s="1338" t="s">
        <v>487</v>
      </c>
      <c r="U2908" s="1340" t="s">
        <v>488</v>
      </c>
      <c r="V2908" s="291">
        <f t="shared" ref="V2908:V2916" ca="1" si="842">IF(OFFSET(V2908,1,1)=1,OFFSET(V2908,0,-4),OFFSET(V2908,1,0))</f>
        <v>0</v>
      </c>
      <c r="W2908" s="256">
        <f t="shared" ca="1" si="839"/>
        <v>2</v>
      </c>
      <c r="X2908" s="256">
        <f t="shared" ca="1" si="832"/>
        <v>1</v>
      </c>
      <c r="Y2908" s="256"/>
      <c r="Z2908" s="256"/>
      <c r="AA2908" s="292"/>
      <c r="AB2908" s="292"/>
      <c r="AC2908" s="292"/>
    </row>
    <row r="2909" spans="1:29" s="337" customFormat="1" ht="15.75" hidden="1" x14ac:dyDescent="0.2">
      <c r="A2909" s="288"/>
      <c r="B2909" s="1375"/>
      <c r="C2909" s="1377" t="e">
        <f>VLOOKUP(LEFT(#REF!,5),'11 - FINANCEIRO'!_xlnm.Print_Area,2,FALSE)</f>
        <v>#REF!</v>
      </c>
      <c r="D2909" s="1342" t="s">
        <v>489</v>
      </c>
      <c r="E2909" s="1343"/>
      <c r="F2909" s="1344"/>
      <c r="G2909" s="1345" t="s">
        <v>490</v>
      </c>
      <c r="H2909" s="1346"/>
      <c r="I2909" s="1347"/>
      <c r="J2909" s="1339"/>
      <c r="K2909" s="1339"/>
      <c r="L2909" s="1339"/>
      <c r="M2909" s="1339"/>
      <c r="N2909" s="1339"/>
      <c r="O2909" s="1339"/>
      <c r="P2909" s="295" t="s">
        <v>491</v>
      </c>
      <c r="Q2909" s="1339"/>
      <c r="R2909" s="1337"/>
      <c r="S2909" s="1339"/>
      <c r="T2909" s="1339"/>
      <c r="U2909" s="1341"/>
      <c r="V2909" s="291">
        <f t="shared" ca="1" si="842"/>
        <v>0</v>
      </c>
      <c r="W2909" s="256">
        <f t="shared" ca="1" si="839"/>
        <v>2</v>
      </c>
      <c r="X2909" s="256">
        <f t="shared" ref="X2909:X2972" ca="1" si="843">IF(COUNTA(OFFSET(A2908,1,0))-COUNTA(A2908)=-1,0,1)</f>
        <v>1</v>
      </c>
      <c r="Y2909" s="336"/>
      <c r="Z2909" s="336"/>
    </row>
    <row r="2910" spans="1:29" s="337" customFormat="1" ht="15.75" hidden="1" x14ac:dyDescent="0.2">
      <c r="A2910" s="288"/>
      <c r="B2910" s="296"/>
      <c r="C2910" s="297" t="s">
        <v>1058</v>
      </c>
      <c r="D2910" s="298"/>
      <c r="E2910" s="299"/>
      <c r="F2910" s="300"/>
      <c r="G2910" s="301"/>
      <c r="H2910" s="302"/>
      <c r="I2910" s="303"/>
      <c r="J2910" s="304"/>
      <c r="K2910" s="304"/>
      <c r="L2910" s="304"/>
      <c r="M2910" s="304"/>
      <c r="N2910" s="304"/>
      <c r="O2910" s="304"/>
      <c r="P2910" s="306"/>
      <c r="Q2910" s="304"/>
      <c r="R2910" s="307">
        <v>360</v>
      </c>
      <c r="S2910" s="304"/>
      <c r="T2910" s="309">
        <v>30</v>
      </c>
      <c r="U2910" s="310"/>
      <c r="V2910" s="291">
        <f t="shared" ca="1" si="842"/>
        <v>0</v>
      </c>
      <c r="W2910" s="256">
        <f t="shared" ca="1" si="839"/>
        <v>2</v>
      </c>
      <c r="X2910" s="256">
        <f t="shared" ca="1" si="843"/>
        <v>1</v>
      </c>
      <c r="Y2910" s="336"/>
      <c r="Z2910" s="336"/>
    </row>
    <row r="2911" spans="1:29" s="111" customFormat="1" ht="15.75" hidden="1" x14ac:dyDescent="0.2">
      <c r="A2911" s="288"/>
      <c r="B2911" s="311"/>
      <c r="C2911" s="312"/>
      <c r="D2911" s="313"/>
      <c r="E2911" s="314"/>
      <c r="F2911" s="315"/>
      <c r="G2911" s="380"/>
      <c r="H2911" s="316"/>
      <c r="I2911" s="381"/>
      <c r="J2911" s="317"/>
      <c r="K2911" s="313"/>
      <c r="L2911" s="317"/>
      <c r="M2911" s="315"/>
      <c r="N2911" s="314"/>
      <c r="O2911" s="313"/>
      <c r="P2911" s="318"/>
      <c r="Q2911" s="315"/>
      <c r="R2911" s="319"/>
      <c r="S2911" s="317"/>
      <c r="T2911" s="320"/>
      <c r="U2911" s="321"/>
      <c r="V2911" s="291">
        <f t="shared" ca="1" si="842"/>
        <v>0</v>
      </c>
      <c r="W2911" s="256">
        <f t="shared" ca="1" si="839"/>
        <v>0</v>
      </c>
      <c r="X2911" s="256">
        <f t="shared" ca="1" si="843"/>
        <v>1</v>
      </c>
      <c r="Y2911" s="250"/>
      <c r="Z2911" s="250"/>
    </row>
    <row r="2912" spans="1:29" s="111" customFormat="1" ht="15" hidden="1" x14ac:dyDescent="0.2">
      <c r="A2912" s="288"/>
      <c r="B2912" s="322"/>
      <c r="C2912" s="382"/>
      <c r="D2912" s="324"/>
      <c r="E2912" s="325"/>
      <c r="F2912" s="326"/>
      <c r="G2912" s="324"/>
      <c r="H2912" s="325"/>
      <c r="I2912" s="326"/>
      <c r="J2912" s="317"/>
      <c r="K2912" s="328"/>
      <c r="L2912" s="328"/>
      <c r="M2912" s="328"/>
      <c r="N2912" s="328"/>
      <c r="O2912" s="334"/>
      <c r="P2912" s="328"/>
      <c r="Q2912" s="334"/>
      <c r="R2912" s="333"/>
      <c r="S2912" s="331"/>
      <c r="T2912" s="320"/>
      <c r="U2912" s="335"/>
      <c r="V2912" s="291">
        <f t="shared" ca="1" si="842"/>
        <v>0</v>
      </c>
      <c r="W2912" s="256">
        <f t="shared" ca="1" si="839"/>
        <v>0</v>
      </c>
      <c r="X2912" s="256">
        <f t="shared" ca="1" si="843"/>
        <v>1</v>
      </c>
      <c r="Y2912" s="250"/>
      <c r="Z2912" s="250"/>
    </row>
    <row r="2913" spans="1:29" s="111" customFormat="1" ht="15" hidden="1" x14ac:dyDescent="0.2">
      <c r="A2913" s="288"/>
      <c r="B2913" s="338"/>
      <c r="C2913" s="339"/>
      <c r="D2913" s="340"/>
      <c r="E2913" s="341"/>
      <c r="F2913" s="342"/>
      <c r="G2913" s="340"/>
      <c r="H2913" s="341"/>
      <c r="I2913" s="342"/>
      <c r="J2913" s="343"/>
      <c r="K2913" s="344"/>
      <c r="L2913" s="345"/>
      <c r="M2913" s="346"/>
      <c r="N2913" s="347"/>
      <c r="O2913" s="348"/>
      <c r="P2913" s="345"/>
      <c r="Q2913" s="349"/>
      <c r="R2913" s="350"/>
      <c r="S2913" s="351"/>
      <c r="T2913" s="352"/>
      <c r="U2913" s="353"/>
      <c r="V2913" s="291">
        <f t="shared" ca="1" si="842"/>
        <v>0</v>
      </c>
      <c r="W2913" s="256">
        <f t="shared" ca="1" si="839"/>
        <v>0</v>
      </c>
      <c r="X2913" s="256">
        <f t="shared" ca="1" si="843"/>
        <v>1</v>
      </c>
      <c r="Y2913" s="250"/>
      <c r="Z2913" s="250"/>
    </row>
    <row r="2914" spans="1:29" s="111" customFormat="1" ht="15.75" hidden="1" customHeight="1" x14ac:dyDescent="0.2">
      <c r="A2914" s="288"/>
      <c r="B2914" s="354"/>
      <c r="C2914" s="355"/>
      <c r="D2914" s="1354" t="s">
        <v>492</v>
      </c>
      <c r="E2914" s="1355"/>
      <c r="F2914" s="1355"/>
      <c r="G2914" s="1355"/>
      <c r="H2914" s="1355"/>
      <c r="I2914" s="1356"/>
      <c r="J2914" s="1357">
        <f>VLOOKUP(A2916,'11 - FINANCEIRO'!_xlnm.Print_Area,6,FALSE)</f>
        <v>360</v>
      </c>
      <c r="K2914" s="1358"/>
      <c r="L2914" s="356" t="str">
        <f>VLOOKUP(A2916,'11 - FINANCEIRO'!_xlnm.Print_Area,4,FALSE)</f>
        <v>m²</v>
      </c>
      <c r="M2914" s="1359" t="s">
        <v>493</v>
      </c>
      <c r="N2914" s="1360"/>
      <c r="O2914" s="1360"/>
      <c r="P2914" s="1360"/>
      <c r="Q2914" s="1361"/>
      <c r="R2914" s="357">
        <f>TRUNC(SUM(R2910:R2913),3)</f>
        <v>360</v>
      </c>
      <c r="S2914" s="358" t="str">
        <f>L2914</f>
        <v>m²</v>
      </c>
      <c r="T2914" s="359"/>
      <c r="U2914" s="360"/>
      <c r="V2914" s="291">
        <f t="shared" ca="1" si="842"/>
        <v>0</v>
      </c>
      <c r="W2914" s="256">
        <f t="shared" ca="1" si="839"/>
        <v>2</v>
      </c>
      <c r="X2914" s="256">
        <f t="shared" ca="1" si="843"/>
        <v>1</v>
      </c>
      <c r="Y2914" s="250"/>
      <c r="Z2914" s="250"/>
    </row>
    <row r="2915" spans="1:29" s="293" customFormat="1" ht="15.75" hidden="1" customHeight="1" x14ac:dyDescent="0.2">
      <c r="A2915" s="288" t="s">
        <v>166</v>
      </c>
      <c r="B2915" s="354"/>
      <c r="C2915" s="361"/>
      <c r="D2915" s="1362" t="s">
        <v>494</v>
      </c>
      <c r="E2915" s="1363"/>
      <c r="F2915" s="1363"/>
      <c r="G2915" s="1363"/>
      <c r="H2915" s="1363"/>
      <c r="I2915" s="1364"/>
      <c r="J2915" s="1365">
        <f>R2914/J2914</f>
        <v>1</v>
      </c>
      <c r="K2915" s="1366"/>
      <c r="L2915" s="1369"/>
      <c r="M2915" s="1371" t="s">
        <v>495</v>
      </c>
      <c r="N2915" s="1372"/>
      <c r="O2915" s="1372"/>
      <c r="P2915" s="1372"/>
      <c r="Q2915" s="1373"/>
      <c r="R2915" s="362">
        <f>VLOOKUP(A2916,'11 - FINANCEIRO'!_xlnm.Print_Area,8,FALSE)</f>
        <v>360</v>
      </c>
      <c r="S2915" s="363" t="str">
        <f>L2914</f>
        <v>m²</v>
      </c>
      <c r="T2915" s="359"/>
      <c r="U2915" s="360"/>
      <c r="V2915" s="291">
        <f t="shared" ca="1" si="842"/>
        <v>0</v>
      </c>
      <c r="W2915" s="256">
        <f t="shared" ca="1" si="839"/>
        <v>2</v>
      </c>
      <c r="X2915" s="256">
        <f t="shared" ca="1" si="843"/>
        <v>1</v>
      </c>
      <c r="Y2915" s="256"/>
      <c r="Z2915" s="256"/>
      <c r="AA2915" s="292"/>
      <c r="AB2915" s="292"/>
      <c r="AC2915" s="292"/>
    </row>
    <row r="2916" spans="1:29" s="293" customFormat="1" ht="15.75" hidden="1" customHeight="1" x14ac:dyDescent="0.2">
      <c r="A2916" s="288" t="s">
        <v>167</v>
      </c>
      <c r="B2916" s="364"/>
      <c r="C2916" s="365"/>
      <c r="D2916" s="1354"/>
      <c r="E2916" s="1355"/>
      <c r="F2916" s="1355"/>
      <c r="G2916" s="1355"/>
      <c r="H2916" s="1355"/>
      <c r="I2916" s="1356"/>
      <c r="J2916" s="1367"/>
      <c r="K2916" s="1368"/>
      <c r="L2916" s="1370"/>
      <c r="M2916" s="1371" t="s">
        <v>496</v>
      </c>
      <c r="N2916" s="1372"/>
      <c r="O2916" s="1372"/>
      <c r="P2916" s="1372"/>
      <c r="Q2916" s="1373"/>
      <c r="R2916" s="362">
        <f>R2914-R2915</f>
        <v>0</v>
      </c>
      <c r="S2916" s="363" t="str">
        <f>L2914</f>
        <v>m²</v>
      </c>
      <c r="T2916" s="366"/>
      <c r="U2916" s="367"/>
      <c r="V2916" s="291">
        <f t="shared" ca="1" si="842"/>
        <v>0</v>
      </c>
      <c r="W2916" s="256">
        <f t="shared" ca="1" si="839"/>
        <v>2</v>
      </c>
      <c r="X2916" s="256">
        <f t="shared" ca="1" si="843"/>
        <v>1</v>
      </c>
      <c r="Y2916" s="256"/>
      <c r="Z2916" s="256"/>
      <c r="AA2916" s="292"/>
      <c r="AB2916" s="292"/>
      <c r="AC2916" s="292"/>
    </row>
    <row r="2917" spans="1:29" s="111" customFormat="1" ht="15.75" hidden="1" x14ac:dyDescent="0.2">
      <c r="A2917" s="288"/>
      <c r="B2917" s="368"/>
      <c r="C2917" s="365"/>
      <c r="D2917" s="369"/>
      <c r="E2917" s="370"/>
      <c r="F2917" s="369"/>
      <c r="G2917" s="369"/>
      <c r="H2917" s="369"/>
      <c r="I2917" s="369"/>
      <c r="J2917" s="371"/>
      <c r="K2917" s="372"/>
      <c r="L2917" s="373"/>
      <c r="M2917" s="374"/>
      <c r="N2917" s="374"/>
      <c r="O2917" s="374"/>
      <c r="P2917" s="374"/>
      <c r="Q2917" s="374"/>
      <c r="R2917" s="375"/>
      <c r="S2917" s="376"/>
      <c r="T2917" s="377"/>
      <c r="U2917" s="378"/>
      <c r="V2917" s="379">
        <f ca="1">SUM(V2908:V2916)</f>
        <v>0</v>
      </c>
      <c r="W2917" s="256">
        <f t="shared" ca="1" si="839"/>
        <v>1</v>
      </c>
      <c r="X2917" s="256">
        <f t="shared" ca="1" si="843"/>
        <v>0</v>
      </c>
      <c r="Y2917" s="250"/>
      <c r="Z2917" s="250"/>
    </row>
    <row r="2918" spans="1:29" s="293" customFormat="1" ht="15.75" hidden="1" customHeight="1" x14ac:dyDescent="0.25">
      <c r="A2918" s="288"/>
      <c r="B2918" s="1374" t="str">
        <f>VLOOKUP(A2926,'11 - FINANCEIRO'!_xlnm.Print_Area,1,FALSE)</f>
        <v>4.2.2</v>
      </c>
      <c r="C2918" s="1376" t="str">
        <f>VLOOKUP(A2926,'11 - FINANCEIRO'!_xlnm.Print_Area,3,FALSE)</f>
        <v>Estaca Trilho Tr 68 - Fornecimento E Cravação</v>
      </c>
      <c r="D2918" s="1378" t="s">
        <v>477</v>
      </c>
      <c r="E2918" s="1379"/>
      <c r="F2918" s="1379"/>
      <c r="G2918" s="1379"/>
      <c r="H2918" s="1379"/>
      <c r="I2918" s="1380"/>
      <c r="J2918" s="1338" t="s">
        <v>478</v>
      </c>
      <c r="K2918" s="1338" t="s">
        <v>479</v>
      </c>
      <c r="L2918" s="1338" t="s">
        <v>480</v>
      </c>
      <c r="M2918" s="1338" t="s">
        <v>481</v>
      </c>
      <c r="N2918" s="1338" t="s">
        <v>482</v>
      </c>
      <c r="O2918" s="1338" t="s">
        <v>483</v>
      </c>
      <c r="P2918" s="290" t="s">
        <v>484</v>
      </c>
      <c r="Q2918" s="1338" t="s">
        <v>485</v>
      </c>
      <c r="R2918" s="1336" t="s">
        <v>296</v>
      </c>
      <c r="S2918" s="1338" t="s">
        <v>486</v>
      </c>
      <c r="T2918" s="1338" t="s">
        <v>487</v>
      </c>
      <c r="U2918" s="1340" t="s">
        <v>488</v>
      </c>
      <c r="V2918" s="291">
        <f t="shared" ref="V2918:V2926" ca="1" si="844">IF(OFFSET(V2918,1,1)=1,OFFSET(V2918,0,-4),OFFSET(V2918,1,0))</f>
        <v>0</v>
      </c>
      <c r="W2918" s="256">
        <f t="shared" ca="1" si="839"/>
        <v>2</v>
      </c>
      <c r="X2918" s="256">
        <f t="shared" ca="1" si="843"/>
        <v>1</v>
      </c>
      <c r="Y2918" s="256"/>
      <c r="Z2918" s="256"/>
      <c r="AA2918" s="292"/>
      <c r="AB2918" s="292"/>
      <c r="AC2918" s="292"/>
    </row>
    <row r="2919" spans="1:29" s="337" customFormat="1" ht="15.75" hidden="1" x14ac:dyDescent="0.2">
      <c r="A2919" s="288"/>
      <c r="B2919" s="1375"/>
      <c r="C2919" s="1377" t="e">
        <f>VLOOKUP(LEFT(#REF!,5),'11 - FINANCEIRO'!_xlnm.Print_Area,2,FALSE)</f>
        <v>#REF!</v>
      </c>
      <c r="D2919" s="1342" t="s">
        <v>489</v>
      </c>
      <c r="E2919" s="1343"/>
      <c r="F2919" s="1344"/>
      <c r="G2919" s="1345" t="s">
        <v>490</v>
      </c>
      <c r="H2919" s="1346"/>
      <c r="I2919" s="1347"/>
      <c r="J2919" s="1339"/>
      <c r="K2919" s="1339"/>
      <c r="L2919" s="1339"/>
      <c r="M2919" s="1339"/>
      <c r="N2919" s="1339"/>
      <c r="O2919" s="1339"/>
      <c r="P2919" s="295" t="s">
        <v>491</v>
      </c>
      <c r="Q2919" s="1339"/>
      <c r="R2919" s="1337"/>
      <c r="S2919" s="1339"/>
      <c r="T2919" s="1339"/>
      <c r="U2919" s="1341"/>
      <c r="V2919" s="291">
        <f t="shared" ca="1" si="844"/>
        <v>0</v>
      </c>
      <c r="W2919" s="256">
        <f t="shared" ca="1" si="839"/>
        <v>2</v>
      </c>
      <c r="X2919" s="256">
        <f t="shared" ca="1" si="843"/>
        <v>1</v>
      </c>
      <c r="Y2919" s="336"/>
      <c r="Z2919" s="336"/>
    </row>
    <row r="2920" spans="1:29" s="337" customFormat="1" ht="15.75" hidden="1" x14ac:dyDescent="0.2">
      <c r="A2920" s="288"/>
      <c r="B2920" s="296"/>
      <c r="C2920" s="297"/>
      <c r="D2920" s="298"/>
      <c r="E2920" s="299"/>
      <c r="F2920" s="300"/>
      <c r="G2920" s="301"/>
      <c r="H2920" s="302"/>
      <c r="I2920" s="303"/>
      <c r="J2920" s="304"/>
      <c r="K2920" s="304"/>
      <c r="L2920" s="304"/>
      <c r="M2920" s="304"/>
      <c r="N2920" s="304"/>
      <c r="O2920" s="304"/>
      <c r="P2920" s="306"/>
      <c r="Q2920" s="304"/>
      <c r="R2920" s="307"/>
      <c r="S2920" s="304"/>
      <c r="T2920" s="309"/>
      <c r="U2920" s="310"/>
      <c r="V2920" s="291">
        <f t="shared" ca="1" si="844"/>
        <v>0</v>
      </c>
      <c r="W2920" s="256">
        <f t="shared" ca="1" si="839"/>
        <v>0</v>
      </c>
      <c r="X2920" s="256">
        <f t="shared" ca="1" si="843"/>
        <v>1</v>
      </c>
      <c r="Y2920" s="336"/>
      <c r="Z2920" s="336"/>
    </row>
    <row r="2921" spans="1:29" s="111" customFormat="1" ht="15.75" hidden="1" x14ac:dyDescent="0.2">
      <c r="A2921" s="288"/>
      <c r="B2921" s="311"/>
      <c r="C2921" s="312"/>
      <c r="D2921" s="313"/>
      <c r="E2921" s="314"/>
      <c r="F2921" s="315"/>
      <c r="G2921" s="380"/>
      <c r="H2921" s="316"/>
      <c r="I2921" s="381"/>
      <c r="J2921" s="317"/>
      <c r="K2921" s="313"/>
      <c r="L2921" s="317"/>
      <c r="M2921" s="315"/>
      <c r="N2921" s="314"/>
      <c r="O2921" s="313"/>
      <c r="P2921" s="318"/>
      <c r="Q2921" s="315"/>
      <c r="R2921" s="319"/>
      <c r="S2921" s="317"/>
      <c r="T2921" s="320"/>
      <c r="U2921" s="321"/>
      <c r="V2921" s="291">
        <f t="shared" ca="1" si="844"/>
        <v>0</v>
      </c>
      <c r="W2921" s="256">
        <f t="shared" ca="1" si="839"/>
        <v>0</v>
      </c>
      <c r="X2921" s="256">
        <f t="shared" ca="1" si="843"/>
        <v>1</v>
      </c>
      <c r="Y2921" s="250"/>
      <c r="Z2921" s="250"/>
    </row>
    <row r="2922" spans="1:29" s="111" customFormat="1" ht="15" hidden="1" x14ac:dyDescent="0.2">
      <c r="A2922" s="288"/>
      <c r="B2922" s="322"/>
      <c r="C2922" s="382"/>
      <c r="D2922" s="324"/>
      <c r="E2922" s="325"/>
      <c r="F2922" s="326"/>
      <c r="G2922" s="324"/>
      <c r="H2922" s="325"/>
      <c r="I2922" s="326"/>
      <c r="J2922" s="317"/>
      <c r="K2922" s="328"/>
      <c r="L2922" s="328"/>
      <c r="M2922" s="328"/>
      <c r="N2922" s="328"/>
      <c r="O2922" s="334"/>
      <c r="P2922" s="328"/>
      <c r="Q2922" s="334"/>
      <c r="R2922" s="333"/>
      <c r="S2922" s="331"/>
      <c r="T2922" s="320"/>
      <c r="U2922" s="335"/>
      <c r="V2922" s="291">
        <f t="shared" ca="1" si="844"/>
        <v>0</v>
      </c>
      <c r="W2922" s="256">
        <f t="shared" ca="1" si="839"/>
        <v>0</v>
      </c>
      <c r="X2922" s="256">
        <f t="shared" ca="1" si="843"/>
        <v>1</v>
      </c>
      <c r="Y2922" s="250"/>
      <c r="Z2922" s="250"/>
    </row>
    <row r="2923" spans="1:29" s="111" customFormat="1" ht="15" hidden="1" x14ac:dyDescent="0.2">
      <c r="A2923" s="288"/>
      <c r="B2923" s="338"/>
      <c r="C2923" s="339"/>
      <c r="D2923" s="340"/>
      <c r="E2923" s="341"/>
      <c r="F2923" s="342"/>
      <c r="G2923" s="340"/>
      <c r="H2923" s="341"/>
      <c r="I2923" s="342"/>
      <c r="J2923" s="343"/>
      <c r="K2923" s="344"/>
      <c r="L2923" s="345"/>
      <c r="M2923" s="346"/>
      <c r="N2923" s="347"/>
      <c r="O2923" s="348"/>
      <c r="P2923" s="345"/>
      <c r="Q2923" s="349"/>
      <c r="R2923" s="350"/>
      <c r="S2923" s="351"/>
      <c r="T2923" s="352"/>
      <c r="U2923" s="353"/>
      <c r="V2923" s="291">
        <f t="shared" ca="1" si="844"/>
        <v>0</v>
      </c>
      <c r="W2923" s="256">
        <f t="shared" ca="1" si="839"/>
        <v>0</v>
      </c>
      <c r="X2923" s="256">
        <f t="shared" ca="1" si="843"/>
        <v>1</v>
      </c>
      <c r="Y2923" s="250"/>
      <c r="Z2923" s="250"/>
    </row>
    <row r="2924" spans="1:29" s="111" customFormat="1" ht="15.75" hidden="1" customHeight="1" x14ac:dyDescent="0.2">
      <c r="A2924" s="288"/>
      <c r="B2924" s="354"/>
      <c r="C2924" s="355"/>
      <c r="D2924" s="1354" t="s">
        <v>492</v>
      </c>
      <c r="E2924" s="1355"/>
      <c r="F2924" s="1355"/>
      <c r="G2924" s="1355"/>
      <c r="H2924" s="1355"/>
      <c r="I2924" s="1356"/>
      <c r="J2924" s="1357">
        <f>VLOOKUP(A2926,'11 - FINANCEIRO'!_xlnm.Print_Area,6,FALSE)</f>
        <v>160</v>
      </c>
      <c r="K2924" s="1358"/>
      <c r="L2924" s="356" t="str">
        <f>VLOOKUP(A2926,'11 - FINANCEIRO'!_xlnm.Print_Area,4,FALSE)</f>
        <v>m</v>
      </c>
      <c r="M2924" s="1359" t="s">
        <v>493</v>
      </c>
      <c r="N2924" s="1360"/>
      <c r="O2924" s="1360"/>
      <c r="P2924" s="1360"/>
      <c r="Q2924" s="1361"/>
      <c r="R2924" s="357">
        <f>TRUNC(SUM(R2920:R2923),3)</f>
        <v>0</v>
      </c>
      <c r="S2924" s="358" t="str">
        <f>L2924</f>
        <v>m</v>
      </c>
      <c r="T2924" s="359"/>
      <c r="U2924" s="360"/>
      <c r="V2924" s="291">
        <f t="shared" ca="1" si="844"/>
        <v>0</v>
      </c>
      <c r="W2924" s="256">
        <f t="shared" ca="1" si="839"/>
        <v>2</v>
      </c>
      <c r="X2924" s="256">
        <f t="shared" ca="1" si="843"/>
        <v>1</v>
      </c>
      <c r="Y2924" s="250"/>
      <c r="Z2924" s="250"/>
    </row>
    <row r="2925" spans="1:29" s="293" customFormat="1" ht="15.75" hidden="1" customHeight="1" x14ac:dyDescent="0.2">
      <c r="A2925" s="288"/>
      <c r="B2925" s="354"/>
      <c r="C2925" s="361"/>
      <c r="D2925" s="1362" t="s">
        <v>494</v>
      </c>
      <c r="E2925" s="1363"/>
      <c r="F2925" s="1363"/>
      <c r="G2925" s="1363"/>
      <c r="H2925" s="1363"/>
      <c r="I2925" s="1364"/>
      <c r="J2925" s="1365">
        <f>R2924/J2924</f>
        <v>0</v>
      </c>
      <c r="K2925" s="1366"/>
      <c r="L2925" s="1369"/>
      <c r="M2925" s="1371" t="s">
        <v>495</v>
      </c>
      <c r="N2925" s="1372"/>
      <c r="O2925" s="1372"/>
      <c r="P2925" s="1372"/>
      <c r="Q2925" s="1373"/>
      <c r="R2925" s="362">
        <f>VLOOKUP(A2926,'11 - FINANCEIRO'!_xlnm.Print_Area,8,FALSE)</f>
        <v>0</v>
      </c>
      <c r="S2925" s="363" t="str">
        <f>L2924</f>
        <v>m</v>
      </c>
      <c r="T2925" s="359"/>
      <c r="U2925" s="360"/>
      <c r="V2925" s="291">
        <f t="shared" ca="1" si="844"/>
        <v>0</v>
      </c>
      <c r="W2925" s="256">
        <f t="shared" ca="1" si="839"/>
        <v>2</v>
      </c>
      <c r="X2925" s="256">
        <f t="shared" ca="1" si="843"/>
        <v>1</v>
      </c>
      <c r="Y2925" s="256"/>
      <c r="Z2925" s="256"/>
      <c r="AA2925" s="292"/>
      <c r="AB2925" s="292"/>
      <c r="AC2925" s="292"/>
    </row>
    <row r="2926" spans="1:29" s="293" customFormat="1" ht="15.75" hidden="1" customHeight="1" x14ac:dyDescent="0.2">
      <c r="A2926" s="288" t="s">
        <v>168</v>
      </c>
      <c r="B2926" s="364"/>
      <c r="C2926" s="365"/>
      <c r="D2926" s="1354"/>
      <c r="E2926" s="1355"/>
      <c r="F2926" s="1355"/>
      <c r="G2926" s="1355"/>
      <c r="H2926" s="1355"/>
      <c r="I2926" s="1356"/>
      <c r="J2926" s="1367"/>
      <c r="K2926" s="1368"/>
      <c r="L2926" s="1370"/>
      <c r="M2926" s="1371" t="s">
        <v>496</v>
      </c>
      <c r="N2926" s="1372"/>
      <c r="O2926" s="1372"/>
      <c r="P2926" s="1372"/>
      <c r="Q2926" s="1373"/>
      <c r="R2926" s="362">
        <f>R2924-R2925</f>
        <v>0</v>
      </c>
      <c r="S2926" s="363" t="str">
        <f>L2924</f>
        <v>m</v>
      </c>
      <c r="T2926" s="366"/>
      <c r="U2926" s="367"/>
      <c r="V2926" s="291">
        <f t="shared" ca="1" si="844"/>
        <v>0</v>
      </c>
      <c r="W2926" s="256">
        <f t="shared" ca="1" si="839"/>
        <v>2</v>
      </c>
      <c r="X2926" s="256">
        <f t="shared" ca="1" si="843"/>
        <v>1</v>
      </c>
      <c r="Y2926" s="256"/>
      <c r="Z2926" s="256"/>
      <c r="AA2926" s="292"/>
      <c r="AB2926" s="292"/>
      <c r="AC2926" s="292"/>
    </row>
    <row r="2927" spans="1:29" s="111" customFormat="1" ht="15.75" hidden="1" x14ac:dyDescent="0.2">
      <c r="A2927" s="288"/>
      <c r="B2927" s="368"/>
      <c r="C2927" s="365"/>
      <c r="D2927" s="369"/>
      <c r="E2927" s="370"/>
      <c r="F2927" s="369"/>
      <c r="G2927" s="369"/>
      <c r="H2927" s="369"/>
      <c r="I2927" s="369"/>
      <c r="J2927" s="371"/>
      <c r="K2927" s="372"/>
      <c r="L2927" s="373"/>
      <c r="M2927" s="374"/>
      <c r="N2927" s="374"/>
      <c r="O2927" s="374"/>
      <c r="P2927" s="374"/>
      <c r="Q2927" s="374"/>
      <c r="R2927" s="375"/>
      <c r="S2927" s="376"/>
      <c r="T2927" s="377"/>
      <c r="U2927" s="378"/>
      <c r="V2927" s="379">
        <f ca="1">SUM(V2918:V2926)</f>
        <v>0</v>
      </c>
      <c r="W2927" s="256">
        <f t="shared" ca="1" si="839"/>
        <v>1</v>
      </c>
      <c r="X2927" s="256">
        <f t="shared" ca="1" si="843"/>
        <v>0</v>
      </c>
      <c r="Y2927" s="250"/>
      <c r="Z2927" s="250"/>
    </row>
    <row r="2928" spans="1:29" s="293" customFormat="1" ht="15.75" hidden="1" customHeight="1" x14ac:dyDescent="0.25">
      <c r="A2928" s="288"/>
      <c r="B2928" s="1374" t="str">
        <f>VLOOKUP(A2936,'11 - FINANCEIRO'!_xlnm.Print_Area,1,FALSE)</f>
        <v>4.2.3</v>
      </c>
      <c r="C2928" s="1376" t="str">
        <f>VLOOKUP(A2936,'11 - FINANCEIRO'!_xlnm.Print_Area,3,FALSE)</f>
        <v>Arrasamento De Estacas Trilho Tr 68</v>
      </c>
      <c r="D2928" s="1378" t="s">
        <v>477</v>
      </c>
      <c r="E2928" s="1379"/>
      <c r="F2928" s="1379"/>
      <c r="G2928" s="1379"/>
      <c r="H2928" s="1379"/>
      <c r="I2928" s="1380"/>
      <c r="J2928" s="1338" t="s">
        <v>478</v>
      </c>
      <c r="K2928" s="1338" t="s">
        <v>479</v>
      </c>
      <c r="L2928" s="1338" t="s">
        <v>480</v>
      </c>
      <c r="M2928" s="1338" t="s">
        <v>481</v>
      </c>
      <c r="N2928" s="1338" t="s">
        <v>482</v>
      </c>
      <c r="O2928" s="1338" t="s">
        <v>483</v>
      </c>
      <c r="P2928" s="290" t="s">
        <v>484</v>
      </c>
      <c r="Q2928" s="1338" t="s">
        <v>485</v>
      </c>
      <c r="R2928" s="1336" t="s">
        <v>296</v>
      </c>
      <c r="S2928" s="1338" t="s">
        <v>486</v>
      </c>
      <c r="T2928" s="1338" t="s">
        <v>487</v>
      </c>
      <c r="U2928" s="1340" t="s">
        <v>488</v>
      </c>
      <c r="V2928" s="291">
        <f t="shared" ref="V2928:V2936" ca="1" si="845">IF(OFFSET(V2928,1,1)=1,OFFSET(V2928,0,-4),OFFSET(V2928,1,0))</f>
        <v>0</v>
      </c>
      <c r="W2928" s="256">
        <f t="shared" ca="1" si="839"/>
        <v>2</v>
      </c>
      <c r="X2928" s="256">
        <f t="shared" ca="1" si="843"/>
        <v>1</v>
      </c>
      <c r="Y2928" s="256"/>
      <c r="Z2928" s="256"/>
      <c r="AA2928" s="292"/>
      <c r="AB2928" s="292"/>
      <c r="AC2928" s="292"/>
    </row>
    <row r="2929" spans="1:29" s="337" customFormat="1" ht="15.75" hidden="1" x14ac:dyDescent="0.2">
      <c r="A2929" s="288"/>
      <c r="B2929" s="1375"/>
      <c r="C2929" s="1377" t="e">
        <f>VLOOKUP(LEFT(#REF!,5),'11 - FINANCEIRO'!_xlnm.Print_Area,2,FALSE)</f>
        <v>#REF!</v>
      </c>
      <c r="D2929" s="1342" t="s">
        <v>489</v>
      </c>
      <c r="E2929" s="1343"/>
      <c r="F2929" s="1344"/>
      <c r="G2929" s="1345" t="s">
        <v>490</v>
      </c>
      <c r="H2929" s="1346"/>
      <c r="I2929" s="1347"/>
      <c r="J2929" s="1339"/>
      <c r="K2929" s="1339"/>
      <c r="L2929" s="1339"/>
      <c r="M2929" s="1339"/>
      <c r="N2929" s="1339"/>
      <c r="O2929" s="1339"/>
      <c r="P2929" s="295" t="s">
        <v>491</v>
      </c>
      <c r="Q2929" s="1339"/>
      <c r="R2929" s="1337"/>
      <c r="S2929" s="1339"/>
      <c r="T2929" s="1339"/>
      <c r="U2929" s="1341"/>
      <c r="V2929" s="291">
        <f t="shared" ca="1" si="845"/>
        <v>0</v>
      </c>
      <c r="W2929" s="256">
        <f t="shared" ca="1" si="839"/>
        <v>2</v>
      </c>
      <c r="X2929" s="256">
        <f t="shared" ca="1" si="843"/>
        <v>1</v>
      </c>
      <c r="Y2929" s="336"/>
      <c r="Z2929" s="336"/>
    </row>
    <row r="2930" spans="1:29" s="337" customFormat="1" ht="15.75" hidden="1" x14ac:dyDescent="0.2">
      <c r="A2930" s="288"/>
      <c r="B2930" s="296"/>
      <c r="C2930" s="297"/>
      <c r="D2930" s="298"/>
      <c r="E2930" s="299"/>
      <c r="F2930" s="300"/>
      <c r="G2930" s="301"/>
      <c r="H2930" s="302"/>
      <c r="I2930" s="303"/>
      <c r="J2930" s="304"/>
      <c r="K2930" s="304"/>
      <c r="L2930" s="304"/>
      <c r="M2930" s="304"/>
      <c r="N2930" s="304"/>
      <c r="O2930" s="304"/>
      <c r="P2930" s="306"/>
      <c r="Q2930" s="304"/>
      <c r="R2930" s="307"/>
      <c r="S2930" s="304"/>
      <c r="T2930" s="309"/>
      <c r="U2930" s="310"/>
      <c r="V2930" s="291">
        <f t="shared" ca="1" si="845"/>
        <v>0</v>
      </c>
      <c r="W2930" s="256">
        <f t="shared" ca="1" si="839"/>
        <v>0</v>
      </c>
      <c r="X2930" s="256">
        <f t="shared" ca="1" si="843"/>
        <v>1</v>
      </c>
      <c r="Y2930" s="336"/>
      <c r="Z2930" s="336"/>
    </row>
    <row r="2931" spans="1:29" s="111" customFormat="1" ht="15.75" hidden="1" x14ac:dyDescent="0.2">
      <c r="A2931" s="288"/>
      <c r="B2931" s="311"/>
      <c r="C2931" s="312"/>
      <c r="D2931" s="313"/>
      <c r="E2931" s="314"/>
      <c r="F2931" s="315"/>
      <c r="G2931" s="380"/>
      <c r="H2931" s="316"/>
      <c r="I2931" s="381"/>
      <c r="J2931" s="317"/>
      <c r="K2931" s="313"/>
      <c r="L2931" s="317"/>
      <c r="M2931" s="315"/>
      <c r="N2931" s="314"/>
      <c r="O2931" s="313"/>
      <c r="P2931" s="318"/>
      <c r="Q2931" s="315"/>
      <c r="R2931" s="319"/>
      <c r="S2931" s="317"/>
      <c r="T2931" s="320"/>
      <c r="U2931" s="321"/>
      <c r="V2931" s="291">
        <f t="shared" ca="1" si="845"/>
        <v>0</v>
      </c>
      <c r="W2931" s="256">
        <f t="shared" ca="1" si="839"/>
        <v>0</v>
      </c>
      <c r="X2931" s="256">
        <f t="shared" ca="1" si="843"/>
        <v>1</v>
      </c>
      <c r="Y2931" s="250"/>
      <c r="Z2931" s="250"/>
    </row>
    <row r="2932" spans="1:29" s="111" customFormat="1" ht="15" hidden="1" x14ac:dyDescent="0.2">
      <c r="A2932" s="288"/>
      <c r="B2932" s="322"/>
      <c r="C2932" s="382"/>
      <c r="D2932" s="324"/>
      <c r="E2932" s="325"/>
      <c r="F2932" s="326"/>
      <c r="G2932" s="324"/>
      <c r="H2932" s="325"/>
      <c r="I2932" s="326"/>
      <c r="J2932" s="317"/>
      <c r="K2932" s="328"/>
      <c r="L2932" s="328"/>
      <c r="M2932" s="328"/>
      <c r="N2932" s="328"/>
      <c r="O2932" s="334"/>
      <c r="P2932" s="328"/>
      <c r="Q2932" s="334"/>
      <c r="R2932" s="333"/>
      <c r="S2932" s="331"/>
      <c r="T2932" s="320"/>
      <c r="U2932" s="335"/>
      <c r="V2932" s="291">
        <f t="shared" ca="1" si="845"/>
        <v>0</v>
      </c>
      <c r="W2932" s="256">
        <f t="shared" ca="1" si="839"/>
        <v>0</v>
      </c>
      <c r="X2932" s="256">
        <f t="shared" ca="1" si="843"/>
        <v>1</v>
      </c>
      <c r="Y2932" s="250"/>
      <c r="Z2932" s="250"/>
    </row>
    <row r="2933" spans="1:29" s="111" customFormat="1" ht="15" hidden="1" x14ac:dyDescent="0.2">
      <c r="A2933" s="288"/>
      <c r="B2933" s="338"/>
      <c r="C2933" s="339"/>
      <c r="D2933" s="340"/>
      <c r="E2933" s="341"/>
      <c r="F2933" s="342"/>
      <c r="G2933" s="340"/>
      <c r="H2933" s="341"/>
      <c r="I2933" s="342"/>
      <c r="J2933" s="343"/>
      <c r="K2933" s="344"/>
      <c r="L2933" s="345"/>
      <c r="M2933" s="346"/>
      <c r="N2933" s="347"/>
      <c r="O2933" s="348"/>
      <c r="P2933" s="345"/>
      <c r="Q2933" s="349"/>
      <c r="R2933" s="350"/>
      <c r="S2933" s="351"/>
      <c r="T2933" s="352"/>
      <c r="U2933" s="353"/>
      <c r="V2933" s="291">
        <f t="shared" ca="1" si="845"/>
        <v>0</v>
      </c>
      <c r="W2933" s="256">
        <f t="shared" ca="1" si="839"/>
        <v>0</v>
      </c>
      <c r="X2933" s="256">
        <f t="shared" ca="1" si="843"/>
        <v>1</v>
      </c>
      <c r="Y2933" s="250"/>
      <c r="Z2933" s="250"/>
    </row>
    <row r="2934" spans="1:29" s="111" customFormat="1" ht="15.75" hidden="1" customHeight="1" x14ac:dyDescent="0.2">
      <c r="A2934" s="288"/>
      <c r="B2934" s="354"/>
      <c r="C2934" s="355"/>
      <c r="D2934" s="1354" t="s">
        <v>492</v>
      </c>
      <c r="E2934" s="1355"/>
      <c r="F2934" s="1355"/>
      <c r="G2934" s="1355"/>
      <c r="H2934" s="1355"/>
      <c r="I2934" s="1356"/>
      <c r="J2934" s="1357">
        <f>VLOOKUP(A2936,'11 - FINANCEIRO'!_xlnm.Print_Area,6,FALSE)</f>
        <v>8</v>
      </c>
      <c r="K2934" s="1358"/>
      <c r="L2934" s="356" t="str">
        <f>VLOOKUP(A2936,'11 - FINANCEIRO'!_xlnm.Print_Area,4,FALSE)</f>
        <v>un</v>
      </c>
      <c r="M2934" s="1359" t="s">
        <v>493</v>
      </c>
      <c r="N2934" s="1360"/>
      <c r="O2934" s="1360"/>
      <c r="P2934" s="1360"/>
      <c r="Q2934" s="1361"/>
      <c r="R2934" s="357">
        <f>TRUNC(SUM(R2930:R2933),3)</f>
        <v>0</v>
      </c>
      <c r="S2934" s="358" t="str">
        <f>L2934</f>
        <v>un</v>
      </c>
      <c r="T2934" s="359"/>
      <c r="U2934" s="360"/>
      <c r="V2934" s="291">
        <f t="shared" ca="1" si="845"/>
        <v>0</v>
      </c>
      <c r="W2934" s="256">
        <f t="shared" ca="1" si="839"/>
        <v>2</v>
      </c>
      <c r="X2934" s="256">
        <f t="shared" ca="1" si="843"/>
        <v>1</v>
      </c>
      <c r="Y2934" s="250"/>
      <c r="Z2934" s="250"/>
    </row>
    <row r="2935" spans="1:29" s="293" customFormat="1" ht="15.75" hidden="1" customHeight="1" x14ac:dyDescent="0.2">
      <c r="A2935" s="288"/>
      <c r="B2935" s="354"/>
      <c r="C2935" s="361"/>
      <c r="D2935" s="1362" t="s">
        <v>494</v>
      </c>
      <c r="E2935" s="1363"/>
      <c r="F2935" s="1363"/>
      <c r="G2935" s="1363"/>
      <c r="H2935" s="1363"/>
      <c r="I2935" s="1364"/>
      <c r="J2935" s="1365">
        <f>R2934/J2934</f>
        <v>0</v>
      </c>
      <c r="K2935" s="1366"/>
      <c r="L2935" s="1369"/>
      <c r="M2935" s="1371" t="s">
        <v>495</v>
      </c>
      <c r="N2935" s="1372"/>
      <c r="O2935" s="1372"/>
      <c r="P2935" s="1372"/>
      <c r="Q2935" s="1373"/>
      <c r="R2935" s="362">
        <f>VLOOKUP(A2936,'11 - FINANCEIRO'!_xlnm.Print_Area,8,FALSE)</f>
        <v>0</v>
      </c>
      <c r="S2935" s="363" t="str">
        <f>L2934</f>
        <v>un</v>
      </c>
      <c r="T2935" s="359"/>
      <c r="U2935" s="360"/>
      <c r="V2935" s="291">
        <f t="shared" ca="1" si="845"/>
        <v>0</v>
      </c>
      <c r="W2935" s="256">
        <f t="shared" ca="1" si="839"/>
        <v>2</v>
      </c>
      <c r="X2935" s="256">
        <f t="shared" ca="1" si="843"/>
        <v>1</v>
      </c>
      <c r="Y2935" s="256"/>
      <c r="Z2935" s="256"/>
      <c r="AA2935" s="292"/>
      <c r="AB2935" s="292"/>
      <c r="AC2935" s="292"/>
    </row>
    <row r="2936" spans="1:29" s="293" customFormat="1" ht="15.75" hidden="1" customHeight="1" x14ac:dyDescent="0.2">
      <c r="A2936" s="288" t="s">
        <v>169</v>
      </c>
      <c r="B2936" s="364"/>
      <c r="C2936" s="365"/>
      <c r="D2936" s="1354"/>
      <c r="E2936" s="1355"/>
      <c r="F2936" s="1355"/>
      <c r="G2936" s="1355"/>
      <c r="H2936" s="1355"/>
      <c r="I2936" s="1356"/>
      <c r="J2936" s="1367"/>
      <c r="K2936" s="1368"/>
      <c r="L2936" s="1370"/>
      <c r="M2936" s="1371" t="s">
        <v>496</v>
      </c>
      <c r="N2936" s="1372"/>
      <c r="O2936" s="1372"/>
      <c r="P2936" s="1372"/>
      <c r="Q2936" s="1373"/>
      <c r="R2936" s="362">
        <f>R2934-R2935</f>
        <v>0</v>
      </c>
      <c r="S2936" s="363" t="str">
        <f>L2934</f>
        <v>un</v>
      </c>
      <c r="T2936" s="366"/>
      <c r="U2936" s="367"/>
      <c r="V2936" s="291">
        <f t="shared" ca="1" si="845"/>
        <v>0</v>
      </c>
      <c r="W2936" s="256">
        <f t="shared" ca="1" si="839"/>
        <v>2</v>
      </c>
      <c r="X2936" s="256">
        <f t="shared" ca="1" si="843"/>
        <v>1</v>
      </c>
      <c r="Y2936" s="256"/>
      <c r="Z2936" s="256"/>
      <c r="AA2936" s="292"/>
      <c r="AB2936" s="292"/>
      <c r="AC2936" s="292"/>
    </row>
    <row r="2937" spans="1:29" s="111" customFormat="1" ht="15.75" hidden="1" x14ac:dyDescent="0.2">
      <c r="A2937" s="288"/>
      <c r="B2937" s="368"/>
      <c r="C2937" s="365"/>
      <c r="D2937" s="369"/>
      <c r="E2937" s="370"/>
      <c r="F2937" s="369"/>
      <c r="G2937" s="369"/>
      <c r="H2937" s="369"/>
      <c r="I2937" s="369"/>
      <c r="J2937" s="371"/>
      <c r="K2937" s="372"/>
      <c r="L2937" s="373"/>
      <c r="M2937" s="374"/>
      <c r="N2937" s="374"/>
      <c r="O2937" s="374"/>
      <c r="P2937" s="374"/>
      <c r="Q2937" s="374"/>
      <c r="R2937" s="375"/>
      <c r="S2937" s="376"/>
      <c r="T2937" s="377"/>
      <c r="U2937" s="378"/>
      <c r="V2937" s="379">
        <f ca="1">SUM(V2928:V2936)</f>
        <v>0</v>
      </c>
      <c r="W2937" s="256">
        <f t="shared" ca="1" si="839"/>
        <v>1</v>
      </c>
      <c r="X2937" s="256">
        <f t="shared" ca="1" si="843"/>
        <v>0</v>
      </c>
      <c r="Y2937" s="250"/>
      <c r="Z2937" s="250"/>
    </row>
    <row r="2938" spans="1:29" s="293" customFormat="1" ht="15.75" hidden="1" customHeight="1" x14ac:dyDescent="0.25">
      <c r="A2938" s="288"/>
      <c r="B2938" s="1374" t="str">
        <f>VLOOKUP(A2946,'11 - FINANCEIRO'!_xlnm.Print_Area,1,FALSE)</f>
        <v>4.2.4</v>
      </c>
      <c r="C2938" s="1376" t="str">
        <f>VLOOKUP(A2946,'11 - FINANCEIRO'!_xlnm.Print_Area,3,FALSE)</f>
        <v>Lastro De Concreto Magro, Aplicado Em Blocos De Coroamento Ou Sapatas, Espessura De 5 Cm. Af_08/2017</v>
      </c>
      <c r="D2938" s="1378" t="s">
        <v>477</v>
      </c>
      <c r="E2938" s="1379"/>
      <c r="F2938" s="1379"/>
      <c r="G2938" s="1379"/>
      <c r="H2938" s="1379"/>
      <c r="I2938" s="1380"/>
      <c r="J2938" s="1338" t="s">
        <v>478</v>
      </c>
      <c r="K2938" s="1338" t="s">
        <v>479</v>
      </c>
      <c r="L2938" s="1338" t="s">
        <v>480</v>
      </c>
      <c r="M2938" s="1338" t="s">
        <v>481</v>
      </c>
      <c r="N2938" s="1338" t="s">
        <v>482</v>
      </c>
      <c r="O2938" s="1338" t="s">
        <v>483</v>
      </c>
      <c r="P2938" s="290" t="s">
        <v>484</v>
      </c>
      <c r="Q2938" s="1338" t="s">
        <v>485</v>
      </c>
      <c r="R2938" s="1336" t="s">
        <v>296</v>
      </c>
      <c r="S2938" s="1338" t="s">
        <v>486</v>
      </c>
      <c r="T2938" s="1338" t="s">
        <v>487</v>
      </c>
      <c r="U2938" s="1340" t="s">
        <v>488</v>
      </c>
      <c r="V2938" s="291">
        <f t="shared" ref="V2938:V2946" ca="1" si="846">IF(OFFSET(V2938,1,1)=1,OFFSET(V2938,0,-4),OFFSET(V2938,1,0))</f>
        <v>0</v>
      </c>
      <c r="W2938" s="256">
        <f t="shared" ca="1" si="839"/>
        <v>2</v>
      </c>
      <c r="X2938" s="256">
        <f t="shared" ca="1" si="843"/>
        <v>1</v>
      </c>
      <c r="Y2938" s="256"/>
      <c r="Z2938" s="256"/>
      <c r="AA2938" s="292"/>
      <c r="AB2938" s="292"/>
      <c r="AC2938" s="292"/>
    </row>
    <row r="2939" spans="1:29" s="337" customFormat="1" ht="15.75" hidden="1" x14ac:dyDescent="0.2">
      <c r="A2939" s="288"/>
      <c r="B2939" s="1375"/>
      <c r="C2939" s="1377" t="e">
        <f>VLOOKUP(LEFT(#REF!,5),'11 - FINANCEIRO'!_xlnm.Print_Area,2,FALSE)</f>
        <v>#REF!</v>
      </c>
      <c r="D2939" s="1342" t="s">
        <v>489</v>
      </c>
      <c r="E2939" s="1343"/>
      <c r="F2939" s="1344"/>
      <c r="G2939" s="1345" t="s">
        <v>490</v>
      </c>
      <c r="H2939" s="1346"/>
      <c r="I2939" s="1347"/>
      <c r="J2939" s="1339"/>
      <c r="K2939" s="1339"/>
      <c r="L2939" s="1339"/>
      <c r="M2939" s="1339"/>
      <c r="N2939" s="1339"/>
      <c r="O2939" s="1339"/>
      <c r="P2939" s="295" t="s">
        <v>491</v>
      </c>
      <c r="Q2939" s="1339"/>
      <c r="R2939" s="1337"/>
      <c r="S2939" s="1339"/>
      <c r="T2939" s="1339"/>
      <c r="U2939" s="1341"/>
      <c r="V2939" s="291">
        <f t="shared" ca="1" si="846"/>
        <v>0</v>
      </c>
      <c r="W2939" s="256">
        <f t="shared" ca="1" si="839"/>
        <v>2</v>
      </c>
      <c r="X2939" s="256">
        <f t="shared" ca="1" si="843"/>
        <v>1</v>
      </c>
      <c r="Y2939" s="336"/>
      <c r="Z2939" s="336"/>
    </row>
    <row r="2940" spans="1:29" s="337" customFormat="1" ht="15.75" hidden="1" x14ac:dyDescent="0.2">
      <c r="A2940" s="288"/>
      <c r="B2940" s="296"/>
      <c r="C2940" s="297"/>
      <c r="D2940" s="298"/>
      <c r="E2940" s="299"/>
      <c r="F2940" s="300"/>
      <c r="G2940" s="301"/>
      <c r="H2940" s="302"/>
      <c r="I2940" s="303"/>
      <c r="J2940" s="304"/>
      <c r="K2940" s="304"/>
      <c r="L2940" s="304"/>
      <c r="M2940" s="304"/>
      <c r="N2940" s="304"/>
      <c r="O2940" s="304"/>
      <c r="P2940" s="306"/>
      <c r="Q2940" s="304"/>
      <c r="R2940" s="307"/>
      <c r="S2940" s="304"/>
      <c r="T2940" s="309"/>
      <c r="U2940" s="310"/>
      <c r="V2940" s="291">
        <f t="shared" ca="1" si="846"/>
        <v>0</v>
      </c>
      <c r="W2940" s="256">
        <f t="shared" ca="1" si="839"/>
        <v>0</v>
      </c>
      <c r="X2940" s="256">
        <f t="shared" ca="1" si="843"/>
        <v>1</v>
      </c>
      <c r="Y2940" s="336"/>
      <c r="Z2940" s="336"/>
    </row>
    <row r="2941" spans="1:29" s="111" customFormat="1" ht="15.75" hidden="1" x14ac:dyDescent="0.2">
      <c r="A2941" s="288"/>
      <c r="B2941" s="311"/>
      <c r="C2941" s="312" t="s">
        <v>1059</v>
      </c>
      <c r="D2941" s="313"/>
      <c r="E2941" s="314"/>
      <c r="F2941" s="315"/>
      <c r="G2941" s="380"/>
      <c r="H2941" s="316"/>
      <c r="I2941" s="381"/>
      <c r="J2941" s="317"/>
      <c r="K2941" s="313">
        <f>1.2+1.2+9+9</f>
        <v>20.399999999999999</v>
      </c>
      <c r="L2941" s="317">
        <v>0.05</v>
      </c>
      <c r="M2941" s="315"/>
      <c r="N2941" s="314">
        <f>K2941*L2941</f>
        <v>1.02</v>
      </c>
      <c r="O2941" s="313"/>
      <c r="P2941" s="318"/>
      <c r="Q2941" s="315">
        <v>2</v>
      </c>
      <c r="R2941" s="319">
        <f>N2941*Q2941</f>
        <v>2.04</v>
      </c>
      <c r="S2941" s="317"/>
      <c r="T2941" s="320">
        <v>30</v>
      </c>
      <c r="U2941" s="321"/>
      <c r="V2941" s="291">
        <f t="shared" ca="1" si="846"/>
        <v>0</v>
      </c>
      <c r="W2941" s="256">
        <f t="shared" ca="1" si="839"/>
        <v>2</v>
      </c>
      <c r="X2941" s="256">
        <f t="shared" ref="X2941:X2942" ca="1" si="847">IF(COUNTA(OFFSET(A2940,1,0))-COUNTA(A2940)=-1,0,1)</f>
        <v>1</v>
      </c>
      <c r="Y2941" s="250"/>
      <c r="Z2941" s="250"/>
    </row>
    <row r="2942" spans="1:29" s="111" customFormat="1" ht="15" hidden="1" x14ac:dyDescent="0.2">
      <c r="A2942" s="288"/>
      <c r="B2942" s="322"/>
      <c r="C2942" s="382" t="s">
        <v>1060</v>
      </c>
      <c r="D2942" s="324"/>
      <c r="E2942" s="325"/>
      <c r="F2942" s="326"/>
      <c r="G2942" s="324"/>
      <c r="H2942" s="325"/>
      <c r="I2942" s="326"/>
      <c r="J2942" s="317"/>
      <c r="K2942" s="313">
        <f>1.2+1.2+10+10</f>
        <v>22.4</v>
      </c>
      <c r="L2942" s="317">
        <v>0.05</v>
      </c>
      <c r="M2942" s="328"/>
      <c r="N2942" s="314">
        <f>K2942*L2942</f>
        <v>1.1199999999999999</v>
      </c>
      <c r="O2942" s="334"/>
      <c r="P2942" s="328"/>
      <c r="Q2942" s="315">
        <v>2</v>
      </c>
      <c r="R2942" s="333">
        <f>N2942*Q2942</f>
        <v>2.2399999999999998</v>
      </c>
      <c r="S2942" s="331"/>
      <c r="T2942" s="320">
        <v>30</v>
      </c>
      <c r="U2942" s="335"/>
      <c r="V2942" s="291">
        <f t="shared" ca="1" si="846"/>
        <v>0</v>
      </c>
      <c r="W2942" s="256">
        <f t="shared" ca="1" si="839"/>
        <v>2</v>
      </c>
      <c r="X2942" s="256">
        <f t="shared" ca="1" si="847"/>
        <v>1</v>
      </c>
      <c r="Y2942" s="250"/>
      <c r="Z2942" s="250"/>
    </row>
    <row r="2943" spans="1:29" s="111" customFormat="1" ht="15" hidden="1" x14ac:dyDescent="0.2">
      <c r="A2943" s="288"/>
      <c r="B2943" s="338"/>
      <c r="C2943" s="339"/>
      <c r="D2943" s="340"/>
      <c r="E2943" s="341"/>
      <c r="F2943" s="342"/>
      <c r="G2943" s="340"/>
      <c r="H2943" s="341"/>
      <c r="I2943" s="342"/>
      <c r="J2943" s="343"/>
      <c r="K2943" s="344"/>
      <c r="L2943" s="345"/>
      <c r="M2943" s="346"/>
      <c r="N2943" s="347"/>
      <c r="O2943" s="348"/>
      <c r="P2943" s="345"/>
      <c r="Q2943" s="349"/>
      <c r="R2943" s="350"/>
      <c r="S2943" s="351"/>
      <c r="T2943" s="352"/>
      <c r="U2943" s="353"/>
      <c r="V2943" s="291">
        <f t="shared" ca="1" si="846"/>
        <v>0</v>
      </c>
      <c r="W2943" s="256">
        <f t="shared" ca="1" si="839"/>
        <v>0</v>
      </c>
      <c r="X2943" s="256">
        <f t="shared" ca="1" si="843"/>
        <v>1</v>
      </c>
      <c r="Y2943" s="250"/>
      <c r="Z2943" s="250"/>
    </row>
    <row r="2944" spans="1:29" s="111" customFormat="1" ht="15.75" hidden="1" customHeight="1" x14ac:dyDescent="0.2">
      <c r="A2944" s="288"/>
      <c r="B2944" s="354"/>
      <c r="C2944" s="355"/>
      <c r="D2944" s="1354" t="s">
        <v>492</v>
      </c>
      <c r="E2944" s="1355"/>
      <c r="F2944" s="1355"/>
      <c r="G2944" s="1355"/>
      <c r="H2944" s="1355"/>
      <c r="I2944" s="1356"/>
      <c r="J2944" s="1357">
        <f>VLOOKUP(A2946,'11 - FINANCEIRO'!_xlnm.Print_Area,6,FALSE)</f>
        <v>3.5</v>
      </c>
      <c r="K2944" s="1358"/>
      <c r="L2944" s="356" t="str">
        <f>VLOOKUP(A2946,'11 - FINANCEIRO'!_xlnm.Print_Area,4,FALSE)</f>
        <v>m²</v>
      </c>
      <c r="M2944" s="1359" t="s">
        <v>493</v>
      </c>
      <c r="N2944" s="1360"/>
      <c r="O2944" s="1360"/>
      <c r="P2944" s="1360"/>
      <c r="Q2944" s="1361"/>
      <c r="R2944" s="357">
        <f>TRUNC(SUM(R2940:R2943),3)</f>
        <v>4.28</v>
      </c>
      <c r="S2944" s="358" t="str">
        <f>L2944</f>
        <v>m²</v>
      </c>
      <c r="T2944" s="359"/>
      <c r="U2944" s="360"/>
      <c r="V2944" s="291">
        <f t="shared" ca="1" si="846"/>
        <v>0</v>
      </c>
      <c r="W2944" s="256">
        <f t="shared" ca="1" si="839"/>
        <v>2</v>
      </c>
      <c r="X2944" s="256">
        <f t="shared" ca="1" si="843"/>
        <v>1</v>
      </c>
      <c r="Y2944" s="250"/>
      <c r="Z2944" s="250"/>
    </row>
    <row r="2945" spans="1:29" s="293" customFormat="1" ht="15.75" hidden="1" customHeight="1" x14ac:dyDescent="0.2">
      <c r="A2945" s="288"/>
      <c r="B2945" s="354"/>
      <c r="C2945" s="361"/>
      <c r="D2945" s="1362" t="s">
        <v>494</v>
      </c>
      <c r="E2945" s="1363"/>
      <c r="F2945" s="1363"/>
      <c r="G2945" s="1363"/>
      <c r="H2945" s="1363"/>
      <c r="I2945" s="1364"/>
      <c r="J2945" s="1365">
        <f>IF(R2944&gt;J2944,1,R2944/J2944)</f>
        <v>1</v>
      </c>
      <c r="K2945" s="1366"/>
      <c r="L2945" s="1369"/>
      <c r="M2945" s="1371" t="s">
        <v>495</v>
      </c>
      <c r="N2945" s="1372"/>
      <c r="O2945" s="1372"/>
      <c r="P2945" s="1372"/>
      <c r="Q2945" s="1373"/>
      <c r="R2945" s="362">
        <f>VLOOKUP(A2946,'11 - FINANCEIRO'!_xlnm.Print_Area,8,FALSE)</f>
        <v>3.5</v>
      </c>
      <c r="S2945" s="363" t="str">
        <f>L2944</f>
        <v>m²</v>
      </c>
      <c r="T2945" s="858"/>
      <c r="U2945" s="360"/>
      <c r="V2945" s="291">
        <f t="shared" ca="1" si="846"/>
        <v>0</v>
      </c>
      <c r="W2945" s="256">
        <f t="shared" ca="1" si="839"/>
        <v>2</v>
      </c>
      <c r="X2945" s="256">
        <f t="shared" ca="1" si="843"/>
        <v>1</v>
      </c>
      <c r="Y2945" s="256"/>
      <c r="Z2945" s="256"/>
      <c r="AA2945" s="292"/>
      <c r="AB2945" s="292"/>
      <c r="AC2945" s="292"/>
    </row>
    <row r="2946" spans="1:29" s="293" customFormat="1" ht="15.75" hidden="1" customHeight="1" x14ac:dyDescent="0.2">
      <c r="A2946" s="288" t="s">
        <v>170</v>
      </c>
      <c r="B2946" s="364"/>
      <c r="C2946" s="365"/>
      <c r="D2946" s="1354"/>
      <c r="E2946" s="1355"/>
      <c r="F2946" s="1355"/>
      <c r="G2946" s="1355"/>
      <c r="H2946" s="1355"/>
      <c r="I2946" s="1356"/>
      <c r="J2946" s="1367"/>
      <c r="K2946" s="1368"/>
      <c r="L2946" s="1370"/>
      <c r="M2946" s="1371" t="s">
        <v>496</v>
      </c>
      <c r="N2946" s="1372"/>
      <c r="O2946" s="1372"/>
      <c r="P2946" s="1372"/>
      <c r="Q2946" s="1373"/>
      <c r="R2946" s="362">
        <v>0</v>
      </c>
      <c r="S2946" s="363" t="str">
        <f>L2944</f>
        <v>m²</v>
      </c>
      <c r="T2946" s="366"/>
      <c r="U2946" s="367"/>
      <c r="V2946" s="291">
        <f t="shared" ca="1" si="846"/>
        <v>0</v>
      </c>
      <c r="W2946" s="256">
        <f t="shared" ca="1" si="839"/>
        <v>2</v>
      </c>
      <c r="X2946" s="256">
        <f t="shared" ca="1" si="843"/>
        <v>1</v>
      </c>
      <c r="Y2946" s="256"/>
      <c r="Z2946" s="256"/>
      <c r="AA2946" s="292"/>
      <c r="AB2946" s="292"/>
      <c r="AC2946" s="292"/>
    </row>
    <row r="2947" spans="1:29" s="111" customFormat="1" ht="15.75" hidden="1" x14ac:dyDescent="0.2">
      <c r="A2947" s="288"/>
      <c r="B2947" s="368"/>
      <c r="C2947" s="365"/>
      <c r="D2947" s="369"/>
      <c r="E2947" s="370"/>
      <c r="F2947" s="369"/>
      <c r="G2947" s="369"/>
      <c r="H2947" s="369"/>
      <c r="I2947" s="369"/>
      <c r="J2947" s="371"/>
      <c r="K2947" s="372"/>
      <c r="L2947" s="373"/>
      <c r="M2947" s="374"/>
      <c r="N2947" s="374"/>
      <c r="O2947" s="374"/>
      <c r="P2947" s="374"/>
      <c r="Q2947" s="374"/>
      <c r="R2947" s="375"/>
      <c r="S2947" s="376"/>
      <c r="T2947" s="377"/>
      <c r="U2947" s="378"/>
      <c r="V2947" s="379">
        <f ca="1">SUM(V2938:V2946)</f>
        <v>0</v>
      </c>
      <c r="W2947" s="256">
        <f t="shared" ca="1" si="839"/>
        <v>1</v>
      </c>
      <c r="X2947" s="256">
        <f t="shared" ca="1" si="843"/>
        <v>0</v>
      </c>
      <c r="Y2947" s="250"/>
      <c r="Z2947" s="250"/>
    </row>
    <row r="2948" spans="1:29" s="293" customFormat="1" ht="15.75" hidden="1" customHeight="1" x14ac:dyDescent="0.25">
      <c r="A2948" s="288"/>
      <c r="B2948" s="1374" t="str">
        <f>VLOOKUP(A2956,'11 - FINANCEIRO'!_xlnm.Print_Area,1,FALSE)</f>
        <v>4.2.5</v>
      </c>
      <c r="C2948" s="1376" t="str">
        <f>VLOOKUP(A2956,'11 - FINANCEIRO'!_xlnm.Print_Area,3,FALSE)</f>
        <v>Fabricação, Montagem E Desmontagem De Fôrma Para Bloco De Coroamento, Em Chapa De Madeira Compensada Resinada, E=17 Mm, 2 Utilizações. Af_06/2017</v>
      </c>
      <c r="D2948" s="1378" t="s">
        <v>477</v>
      </c>
      <c r="E2948" s="1379"/>
      <c r="F2948" s="1379"/>
      <c r="G2948" s="1379"/>
      <c r="H2948" s="1379"/>
      <c r="I2948" s="1380"/>
      <c r="J2948" s="1338" t="s">
        <v>478</v>
      </c>
      <c r="K2948" s="1338" t="s">
        <v>479</v>
      </c>
      <c r="L2948" s="1338" t="s">
        <v>480</v>
      </c>
      <c r="M2948" s="1338" t="s">
        <v>481</v>
      </c>
      <c r="N2948" s="1338" t="s">
        <v>482</v>
      </c>
      <c r="O2948" s="1338" t="s">
        <v>483</v>
      </c>
      <c r="P2948" s="290" t="s">
        <v>484</v>
      </c>
      <c r="Q2948" s="1338" t="s">
        <v>485</v>
      </c>
      <c r="R2948" s="1336" t="s">
        <v>296</v>
      </c>
      <c r="S2948" s="1338" t="s">
        <v>486</v>
      </c>
      <c r="T2948" s="1338" t="s">
        <v>487</v>
      </c>
      <c r="U2948" s="1340" t="s">
        <v>488</v>
      </c>
      <c r="V2948" s="291">
        <f t="shared" ref="V2948:V2956" ca="1" si="848">IF(OFFSET(V2948,1,1)=1,OFFSET(V2948,0,-4),OFFSET(V2948,1,0))</f>
        <v>0</v>
      </c>
      <c r="W2948" s="256">
        <f t="shared" ca="1" si="839"/>
        <v>2</v>
      </c>
      <c r="X2948" s="256">
        <f t="shared" ca="1" si="843"/>
        <v>1</v>
      </c>
      <c r="Y2948" s="256"/>
      <c r="Z2948" s="256"/>
      <c r="AA2948" s="292"/>
      <c r="AB2948" s="292"/>
      <c r="AC2948" s="292"/>
    </row>
    <row r="2949" spans="1:29" s="337" customFormat="1" ht="15.75" hidden="1" x14ac:dyDescent="0.2">
      <c r="A2949" s="288"/>
      <c r="B2949" s="1375"/>
      <c r="C2949" s="1377" t="e">
        <f>VLOOKUP(LEFT(#REF!,5),'11 - FINANCEIRO'!_xlnm.Print_Area,2,FALSE)</f>
        <v>#REF!</v>
      </c>
      <c r="D2949" s="1342" t="s">
        <v>489</v>
      </c>
      <c r="E2949" s="1343"/>
      <c r="F2949" s="1344"/>
      <c r="G2949" s="1345" t="s">
        <v>490</v>
      </c>
      <c r="H2949" s="1346"/>
      <c r="I2949" s="1347"/>
      <c r="J2949" s="1339"/>
      <c r="K2949" s="1339"/>
      <c r="L2949" s="1339"/>
      <c r="M2949" s="1339"/>
      <c r="N2949" s="1339"/>
      <c r="O2949" s="1339"/>
      <c r="P2949" s="295" t="s">
        <v>491</v>
      </c>
      <c r="Q2949" s="1339"/>
      <c r="R2949" s="1337"/>
      <c r="S2949" s="1339"/>
      <c r="T2949" s="1339"/>
      <c r="U2949" s="1341"/>
      <c r="V2949" s="291">
        <f t="shared" ca="1" si="848"/>
        <v>0</v>
      </c>
      <c r="W2949" s="256">
        <f t="shared" ref="W2949:W3017" ca="1" si="849">IF(LEFT(_xlfn.FORMULATEXT(V2949),3)="=SO",1,IF(COUNTA(A2949:U2949)=0,0,2))</f>
        <v>2</v>
      </c>
      <c r="X2949" s="256">
        <f t="shared" ca="1" si="843"/>
        <v>1</v>
      </c>
      <c r="Y2949" s="336"/>
      <c r="Z2949" s="336"/>
    </row>
    <row r="2950" spans="1:29" s="337" customFormat="1" ht="15.75" hidden="1" x14ac:dyDescent="0.2">
      <c r="A2950" s="288"/>
      <c r="B2950" s="296"/>
      <c r="C2950" s="297" t="s">
        <v>1058</v>
      </c>
      <c r="D2950" s="298"/>
      <c r="E2950" s="299"/>
      <c r="F2950" s="300"/>
      <c r="G2950" s="301"/>
      <c r="H2950" s="302"/>
      <c r="I2950" s="303"/>
      <c r="J2950" s="304"/>
      <c r="K2950" s="304"/>
      <c r="L2950" s="304"/>
      <c r="M2950" s="304"/>
      <c r="N2950" s="304"/>
      <c r="O2950" s="304"/>
      <c r="P2950" s="306"/>
      <c r="Q2950" s="304"/>
      <c r="R2950" s="307"/>
      <c r="S2950" s="304"/>
      <c r="T2950" s="309"/>
      <c r="U2950" s="310"/>
      <c r="V2950" s="291">
        <f t="shared" ca="1" si="848"/>
        <v>0</v>
      </c>
      <c r="W2950" s="256">
        <f t="shared" ca="1" si="849"/>
        <v>2</v>
      </c>
      <c r="X2950" s="256">
        <f t="shared" ca="1" si="843"/>
        <v>1</v>
      </c>
      <c r="Y2950" s="336"/>
      <c r="Z2950" s="336"/>
    </row>
    <row r="2951" spans="1:29" s="111" customFormat="1" ht="15.75" hidden="1" x14ac:dyDescent="0.2">
      <c r="A2951" s="288"/>
      <c r="B2951" s="311"/>
      <c r="C2951" s="312" t="s">
        <v>1059</v>
      </c>
      <c r="D2951" s="313"/>
      <c r="E2951" s="314"/>
      <c r="F2951" s="315"/>
      <c r="G2951" s="380"/>
      <c r="H2951" s="316"/>
      <c r="I2951" s="381"/>
      <c r="J2951" s="317"/>
      <c r="K2951" s="313">
        <f>1.2+1.2+9+9</f>
        <v>20.399999999999999</v>
      </c>
      <c r="L2951" s="317">
        <v>0.25</v>
      </c>
      <c r="M2951" s="315"/>
      <c r="N2951" s="314">
        <f>K2951*L2951</f>
        <v>5.0999999999999996</v>
      </c>
      <c r="O2951" s="313"/>
      <c r="P2951" s="318"/>
      <c r="Q2951" s="315">
        <v>2</v>
      </c>
      <c r="R2951" s="319">
        <f>N2951*Q2951</f>
        <v>10.199999999999999</v>
      </c>
      <c r="S2951" s="317"/>
      <c r="T2951" s="320">
        <v>30</v>
      </c>
      <c r="U2951" s="321"/>
      <c r="V2951" s="291">
        <f t="shared" ca="1" si="848"/>
        <v>0</v>
      </c>
      <c r="W2951" s="256">
        <f t="shared" ca="1" si="849"/>
        <v>2</v>
      </c>
      <c r="X2951" s="256">
        <f t="shared" ca="1" si="843"/>
        <v>1</v>
      </c>
      <c r="Y2951" s="250"/>
      <c r="Z2951" s="250"/>
    </row>
    <row r="2952" spans="1:29" s="111" customFormat="1" ht="15" hidden="1" x14ac:dyDescent="0.2">
      <c r="A2952" s="288"/>
      <c r="B2952" s="322"/>
      <c r="C2952" s="382" t="s">
        <v>1060</v>
      </c>
      <c r="D2952" s="324"/>
      <c r="E2952" s="325"/>
      <c r="F2952" s="326"/>
      <c r="G2952" s="324"/>
      <c r="H2952" s="325"/>
      <c r="I2952" s="326"/>
      <c r="J2952" s="317"/>
      <c r="K2952" s="313">
        <f>1.2+1.2+10+10</f>
        <v>22.4</v>
      </c>
      <c r="L2952" s="317">
        <v>0.2</v>
      </c>
      <c r="M2952" s="328"/>
      <c r="N2952" s="314">
        <f>K2952*L2952</f>
        <v>4.4799999999999995</v>
      </c>
      <c r="O2952" s="334"/>
      <c r="P2952" s="328"/>
      <c r="Q2952" s="315">
        <v>2</v>
      </c>
      <c r="R2952" s="333">
        <f>N2952*Q2952</f>
        <v>8.9599999999999991</v>
      </c>
      <c r="S2952" s="331"/>
      <c r="T2952" s="320">
        <v>30</v>
      </c>
      <c r="U2952" s="335"/>
      <c r="V2952" s="291">
        <f t="shared" ca="1" si="848"/>
        <v>0</v>
      </c>
      <c r="W2952" s="256">
        <f t="shared" ca="1" si="849"/>
        <v>2</v>
      </c>
      <c r="X2952" s="256">
        <f t="shared" ca="1" si="843"/>
        <v>1</v>
      </c>
      <c r="Y2952" s="250"/>
      <c r="Z2952" s="250"/>
    </row>
    <row r="2953" spans="1:29" s="111" customFormat="1" ht="15" hidden="1" x14ac:dyDescent="0.2">
      <c r="A2953" s="288"/>
      <c r="B2953" s="338"/>
      <c r="C2953" s="339"/>
      <c r="D2953" s="340"/>
      <c r="E2953" s="341"/>
      <c r="F2953" s="342"/>
      <c r="G2953" s="340"/>
      <c r="H2953" s="341"/>
      <c r="I2953" s="342"/>
      <c r="J2953" s="343"/>
      <c r="K2953" s="344"/>
      <c r="L2953" s="345"/>
      <c r="M2953" s="346"/>
      <c r="N2953" s="347"/>
      <c r="O2953" s="348"/>
      <c r="P2953" s="345"/>
      <c r="Q2953" s="349"/>
      <c r="R2953" s="350"/>
      <c r="S2953" s="351"/>
      <c r="T2953" s="352"/>
      <c r="U2953" s="353"/>
      <c r="V2953" s="291">
        <f t="shared" ca="1" si="848"/>
        <v>0</v>
      </c>
      <c r="W2953" s="256">
        <f t="shared" ca="1" si="849"/>
        <v>0</v>
      </c>
      <c r="X2953" s="256">
        <f t="shared" ca="1" si="843"/>
        <v>1</v>
      </c>
      <c r="Y2953" s="250"/>
      <c r="Z2953" s="250"/>
    </row>
    <row r="2954" spans="1:29" s="111" customFormat="1" ht="15.75" hidden="1" customHeight="1" x14ac:dyDescent="0.2">
      <c r="A2954" s="288"/>
      <c r="B2954" s="354"/>
      <c r="C2954" s="355"/>
      <c r="D2954" s="1354" t="s">
        <v>492</v>
      </c>
      <c r="E2954" s="1355"/>
      <c r="F2954" s="1355"/>
      <c r="G2954" s="1355"/>
      <c r="H2954" s="1355"/>
      <c r="I2954" s="1356"/>
      <c r="J2954" s="1357">
        <f>VLOOKUP(A2956,'11 - FINANCEIRO'!_xlnm.Print_Area,6,FALSE)</f>
        <v>33</v>
      </c>
      <c r="K2954" s="1358"/>
      <c r="L2954" s="356" t="str">
        <f>VLOOKUP(A2956,'11 - FINANCEIRO'!_xlnm.Print_Area,4,FALSE)</f>
        <v>m²</v>
      </c>
      <c r="M2954" s="1359" t="s">
        <v>493</v>
      </c>
      <c r="N2954" s="1360"/>
      <c r="O2954" s="1360"/>
      <c r="P2954" s="1360"/>
      <c r="Q2954" s="1361"/>
      <c r="R2954" s="357">
        <f>TRUNC(SUM(R2950:R2953),3)</f>
        <v>19.16</v>
      </c>
      <c r="S2954" s="358" t="str">
        <f>L2954</f>
        <v>m²</v>
      </c>
      <c r="T2954" s="359"/>
      <c r="U2954" s="360"/>
      <c r="V2954" s="291">
        <f t="shared" ca="1" si="848"/>
        <v>0</v>
      </c>
      <c r="W2954" s="256">
        <f t="shared" ca="1" si="849"/>
        <v>2</v>
      </c>
      <c r="X2954" s="256">
        <f t="shared" ca="1" si="843"/>
        <v>1</v>
      </c>
      <c r="Y2954" s="250"/>
      <c r="Z2954" s="250"/>
    </row>
    <row r="2955" spans="1:29" s="293" customFormat="1" ht="15.75" hidden="1" customHeight="1" x14ac:dyDescent="0.2">
      <c r="A2955" s="288"/>
      <c r="B2955" s="354"/>
      <c r="C2955" s="361"/>
      <c r="D2955" s="1362" t="s">
        <v>494</v>
      </c>
      <c r="E2955" s="1363"/>
      <c r="F2955" s="1363"/>
      <c r="G2955" s="1363"/>
      <c r="H2955" s="1363"/>
      <c r="I2955" s="1364"/>
      <c r="J2955" s="1365">
        <f>R2954/J2954</f>
        <v>0.58060606060606057</v>
      </c>
      <c r="K2955" s="1366"/>
      <c r="L2955" s="1369"/>
      <c r="M2955" s="1371" t="s">
        <v>495</v>
      </c>
      <c r="N2955" s="1372"/>
      <c r="O2955" s="1372"/>
      <c r="P2955" s="1372"/>
      <c r="Q2955" s="1373"/>
      <c r="R2955" s="362">
        <f>VLOOKUP(A2956,'11 - FINANCEIRO'!_xlnm.Print_Area,8,FALSE)</f>
        <v>19.16</v>
      </c>
      <c r="S2955" s="363" t="str">
        <f>L2954</f>
        <v>m²</v>
      </c>
      <c r="T2955" s="359"/>
      <c r="U2955" s="360"/>
      <c r="V2955" s="291">
        <f t="shared" ca="1" si="848"/>
        <v>0</v>
      </c>
      <c r="W2955" s="256">
        <f t="shared" ca="1" si="849"/>
        <v>2</v>
      </c>
      <c r="X2955" s="256">
        <f t="shared" ca="1" si="843"/>
        <v>1</v>
      </c>
      <c r="Y2955" s="256"/>
      <c r="Z2955" s="256"/>
      <c r="AA2955" s="292"/>
      <c r="AB2955" s="292"/>
      <c r="AC2955" s="292"/>
    </row>
    <row r="2956" spans="1:29" s="293" customFormat="1" ht="15.75" hidden="1" customHeight="1" x14ac:dyDescent="0.2">
      <c r="A2956" s="288" t="s">
        <v>171</v>
      </c>
      <c r="B2956" s="364"/>
      <c r="C2956" s="365"/>
      <c r="D2956" s="1354"/>
      <c r="E2956" s="1355"/>
      <c r="F2956" s="1355"/>
      <c r="G2956" s="1355"/>
      <c r="H2956" s="1355"/>
      <c r="I2956" s="1356"/>
      <c r="J2956" s="1367"/>
      <c r="K2956" s="1368"/>
      <c r="L2956" s="1370"/>
      <c r="M2956" s="1371" t="s">
        <v>496</v>
      </c>
      <c r="N2956" s="1372"/>
      <c r="O2956" s="1372"/>
      <c r="P2956" s="1372"/>
      <c r="Q2956" s="1373"/>
      <c r="R2956" s="362">
        <f>R2954-R2955</f>
        <v>0</v>
      </c>
      <c r="S2956" s="363" t="str">
        <f>L2954</f>
        <v>m²</v>
      </c>
      <c r="T2956" s="366"/>
      <c r="U2956" s="367"/>
      <c r="V2956" s="291">
        <f t="shared" ca="1" si="848"/>
        <v>0</v>
      </c>
      <c r="W2956" s="256">
        <f t="shared" ca="1" si="849"/>
        <v>2</v>
      </c>
      <c r="X2956" s="256">
        <f t="shared" ca="1" si="843"/>
        <v>1</v>
      </c>
      <c r="Y2956" s="256"/>
      <c r="Z2956" s="256"/>
      <c r="AA2956" s="292"/>
      <c r="AB2956" s="292"/>
      <c r="AC2956" s="292"/>
    </row>
    <row r="2957" spans="1:29" s="111" customFormat="1" ht="15.75" hidden="1" x14ac:dyDescent="0.2">
      <c r="A2957" s="288"/>
      <c r="B2957" s="368"/>
      <c r="C2957" s="365"/>
      <c r="D2957" s="369"/>
      <c r="E2957" s="370"/>
      <c r="F2957" s="369"/>
      <c r="G2957" s="369"/>
      <c r="H2957" s="369"/>
      <c r="I2957" s="369"/>
      <c r="J2957" s="371"/>
      <c r="K2957" s="372"/>
      <c r="L2957" s="373"/>
      <c r="M2957" s="374"/>
      <c r="N2957" s="374"/>
      <c r="O2957" s="374"/>
      <c r="P2957" s="374"/>
      <c r="Q2957" s="374"/>
      <c r="R2957" s="375"/>
      <c r="S2957" s="376"/>
      <c r="T2957" s="377"/>
      <c r="U2957" s="378"/>
      <c r="V2957" s="379">
        <f ca="1">SUM(V2948:V2956)</f>
        <v>0</v>
      </c>
      <c r="W2957" s="256">
        <f t="shared" ca="1" si="849"/>
        <v>1</v>
      </c>
      <c r="X2957" s="256">
        <f t="shared" ca="1" si="843"/>
        <v>0</v>
      </c>
      <c r="Y2957" s="250"/>
      <c r="Z2957" s="250"/>
    </row>
    <row r="2958" spans="1:29" s="293" customFormat="1" ht="15.75" hidden="1" customHeight="1" x14ac:dyDescent="0.25">
      <c r="A2958" s="288"/>
      <c r="B2958" s="1374" t="str">
        <f>VLOOKUP(A2966,'11 - FINANCEIRO'!_xlnm.Print_Area,1,FALSE)</f>
        <v>4.2.6</v>
      </c>
      <c r="C2958" s="1376" t="str">
        <f>VLOOKUP(A2966,'11 - FINANCEIRO'!_xlnm.Print_Area,3,FALSE)</f>
        <v>Armação Em Aço Ca-50 - Fornecimento, Preparo E Colocação</v>
      </c>
      <c r="D2958" s="1378" t="s">
        <v>477</v>
      </c>
      <c r="E2958" s="1379"/>
      <c r="F2958" s="1379"/>
      <c r="G2958" s="1379"/>
      <c r="H2958" s="1379"/>
      <c r="I2958" s="1380"/>
      <c r="J2958" s="1338" t="s">
        <v>478</v>
      </c>
      <c r="K2958" s="1338" t="s">
        <v>479</v>
      </c>
      <c r="L2958" s="1338" t="s">
        <v>480</v>
      </c>
      <c r="M2958" s="1338" t="s">
        <v>481</v>
      </c>
      <c r="N2958" s="1338" t="s">
        <v>482</v>
      </c>
      <c r="O2958" s="1338" t="s">
        <v>483</v>
      </c>
      <c r="P2958" s="290" t="s">
        <v>484</v>
      </c>
      <c r="Q2958" s="1338" t="s">
        <v>485</v>
      </c>
      <c r="R2958" s="1336" t="s">
        <v>296</v>
      </c>
      <c r="S2958" s="1338" t="s">
        <v>486</v>
      </c>
      <c r="T2958" s="1338" t="s">
        <v>487</v>
      </c>
      <c r="U2958" s="1340" t="s">
        <v>488</v>
      </c>
      <c r="V2958" s="291">
        <f t="shared" ref="V2958:V2966" ca="1" si="850">IF(OFFSET(V2958,1,1)=1,OFFSET(V2958,0,-4),OFFSET(V2958,1,0))</f>
        <v>0</v>
      </c>
      <c r="W2958" s="256">
        <f t="shared" ca="1" si="849"/>
        <v>2</v>
      </c>
      <c r="X2958" s="256">
        <f t="shared" ca="1" si="843"/>
        <v>1</v>
      </c>
      <c r="Y2958" s="256"/>
      <c r="Z2958" s="256"/>
      <c r="AA2958" s="292"/>
      <c r="AB2958" s="292"/>
      <c r="AC2958" s="292"/>
    </row>
    <row r="2959" spans="1:29" s="337" customFormat="1" ht="15.75" hidden="1" x14ac:dyDescent="0.2">
      <c r="A2959" s="288"/>
      <c r="B2959" s="1375"/>
      <c r="C2959" s="1377" t="e">
        <f>VLOOKUP(LEFT(#REF!,5),'11 - FINANCEIRO'!_xlnm.Print_Area,2,FALSE)</f>
        <v>#REF!</v>
      </c>
      <c r="D2959" s="1342" t="s">
        <v>489</v>
      </c>
      <c r="E2959" s="1343"/>
      <c r="F2959" s="1344"/>
      <c r="G2959" s="1345" t="s">
        <v>490</v>
      </c>
      <c r="H2959" s="1346"/>
      <c r="I2959" s="1347"/>
      <c r="J2959" s="1339"/>
      <c r="K2959" s="1339"/>
      <c r="L2959" s="1339"/>
      <c r="M2959" s="1339"/>
      <c r="N2959" s="1339"/>
      <c r="O2959" s="1339"/>
      <c r="P2959" s="295" t="s">
        <v>491</v>
      </c>
      <c r="Q2959" s="1339"/>
      <c r="R2959" s="1337"/>
      <c r="S2959" s="1339"/>
      <c r="T2959" s="1339"/>
      <c r="U2959" s="1341"/>
      <c r="V2959" s="291">
        <f t="shared" ca="1" si="850"/>
        <v>0</v>
      </c>
      <c r="W2959" s="256">
        <f t="shared" ca="1" si="849"/>
        <v>2</v>
      </c>
      <c r="X2959" s="256">
        <f t="shared" ca="1" si="843"/>
        <v>1</v>
      </c>
      <c r="Y2959" s="336"/>
      <c r="Z2959" s="336"/>
    </row>
    <row r="2960" spans="1:29" s="337" customFormat="1" ht="15.75" hidden="1" x14ac:dyDescent="0.2">
      <c r="A2960" s="288"/>
      <c r="B2960" s="296"/>
      <c r="C2960" s="297" t="s">
        <v>1058</v>
      </c>
      <c r="D2960" s="298"/>
      <c r="E2960" s="299"/>
      <c r="F2960" s="300"/>
      <c r="G2960" s="301"/>
      <c r="H2960" s="302"/>
      <c r="I2960" s="303"/>
      <c r="J2960" s="304"/>
      <c r="K2960" s="304"/>
      <c r="L2960" s="304"/>
      <c r="M2960" s="304"/>
      <c r="N2960" s="304"/>
      <c r="O2960" s="304"/>
      <c r="P2960" s="306"/>
      <c r="Q2960" s="304"/>
      <c r="R2960" s="307">
        <v>99</v>
      </c>
      <c r="S2960" s="304"/>
      <c r="T2960" s="309">
        <v>30</v>
      </c>
      <c r="U2960" s="310"/>
      <c r="V2960" s="291">
        <f t="shared" ca="1" si="850"/>
        <v>0</v>
      </c>
      <c r="W2960" s="256">
        <f t="shared" ca="1" si="849"/>
        <v>2</v>
      </c>
      <c r="X2960" s="256">
        <f t="shared" ca="1" si="843"/>
        <v>1</v>
      </c>
      <c r="Y2960" s="336"/>
      <c r="Z2960" s="336"/>
    </row>
    <row r="2961" spans="1:29" s="111" customFormat="1" ht="15.75" hidden="1" x14ac:dyDescent="0.2">
      <c r="A2961" s="288"/>
      <c r="B2961" s="311"/>
      <c r="C2961" s="312"/>
      <c r="D2961" s="313"/>
      <c r="E2961" s="314"/>
      <c r="F2961" s="315"/>
      <c r="G2961" s="380"/>
      <c r="H2961" s="316"/>
      <c r="I2961" s="381"/>
      <c r="J2961" s="317"/>
      <c r="K2961" s="313"/>
      <c r="L2961" s="317"/>
      <c r="M2961" s="315"/>
      <c r="N2961" s="314"/>
      <c r="O2961" s="313"/>
      <c r="P2961" s="318"/>
      <c r="Q2961" s="315"/>
      <c r="R2961" s="319"/>
      <c r="S2961" s="317"/>
      <c r="T2961" s="320"/>
      <c r="U2961" s="321"/>
      <c r="V2961" s="291">
        <f t="shared" ca="1" si="850"/>
        <v>0</v>
      </c>
      <c r="W2961" s="256">
        <f t="shared" ca="1" si="849"/>
        <v>0</v>
      </c>
      <c r="X2961" s="256">
        <f t="shared" ca="1" si="843"/>
        <v>1</v>
      </c>
      <c r="Y2961" s="250"/>
      <c r="Z2961" s="250"/>
    </row>
    <row r="2962" spans="1:29" s="111" customFormat="1" ht="15" hidden="1" x14ac:dyDescent="0.2">
      <c r="A2962" s="288"/>
      <c r="B2962" s="322"/>
      <c r="C2962" s="382"/>
      <c r="D2962" s="324"/>
      <c r="E2962" s="325"/>
      <c r="F2962" s="326"/>
      <c r="G2962" s="324"/>
      <c r="H2962" s="325"/>
      <c r="I2962" s="326"/>
      <c r="J2962" s="317"/>
      <c r="K2962" s="328"/>
      <c r="L2962" s="328"/>
      <c r="M2962" s="328"/>
      <c r="N2962" s="328"/>
      <c r="O2962" s="334"/>
      <c r="P2962" s="328"/>
      <c r="Q2962" s="334"/>
      <c r="R2962" s="333"/>
      <c r="S2962" s="331"/>
      <c r="T2962" s="320"/>
      <c r="U2962" s="335"/>
      <c r="V2962" s="291">
        <f t="shared" ca="1" si="850"/>
        <v>0</v>
      </c>
      <c r="W2962" s="256">
        <f t="shared" ca="1" si="849"/>
        <v>0</v>
      </c>
      <c r="X2962" s="256">
        <f t="shared" ca="1" si="843"/>
        <v>1</v>
      </c>
      <c r="Y2962" s="250"/>
      <c r="Z2962" s="250"/>
    </row>
    <row r="2963" spans="1:29" s="111" customFormat="1" ht="15" hidden="1" x14ac:dyDescent="0.2">
      <c r="A2963" s="288"/>
      <c r="B2963" s="338"/>
      <c r="C2963" s="339"/>
      <c r="D2963" s="340"/>
      <c r="E2963" s="341"/>
      <c r="F2963" s="342"/>
      <c r="G2963" s="340"/>
      <c r="H2963" s="341"/>
      <c r="I2963" s="342"/>
      <c r="J2963" s="343"/>
      <c r="K2963" s="344"/>
      <c r="L2963" s="345"/>
      <c r="M2963" s="346"/>
      <c r="N2963" s="347"/>
      <c r="O2963" s="348"/>
      <c r="P2963" s="345"/>
      <c r="Q2963" s="349"/>
      <c r="R2963" s="350"/>
      <c r="S2963" s="351"/>
      <c r="T2963" s="352"/>
      <c r="U2963" s="353"/>
      <c r="V2963" s="291">
        <f t="shared" ca="1" si="850"/>
        <v>0</v>
      </c>
      <c r="W2963" s="256">
        <f t="shared" ca="1" si="849"/>
        <v>0</v>
      </c>
      <c r="X2963" s="256">
        <f t="shared" ca="1" si="843"/>
        <v>1</v>
      </c>
      <c r="Y2963" s="250"/>
      <c r="Z2963" s="250"/>
    </row>
    <row r="2964" spans="1:29" s="111" customFormat="1" ht="15.75" hidden="1" customHeight="1" x14ac:dyDescent="0.2">
      <c r="A2964" s="288"/>
      <c r="B2964" s="354"/>
      <c r="C2964" s="355"/>
      <c r="D2964" s="1354" t="s">
        <v>492</v>
      </c>
      <c r="E2964" s="1355"/>
      <c r="F2964" s="1355"/>
      <c r="G2964" s="1355"/>
      <c r="H2964" s="1355"/>
      <c r="I2964" s="1356"/>
      <c r="J2964" s="1357">
        <f>VLOOKUP(A2966,'11 - FINANCEIRO'!_xlnm.Print_Area,6,FALSE)</f>
        <v>99</v>
      </c>
      <c r="K2964" s="1358"/>
      <c r="L2964" s="356" t="str">
        <f>VLOOKUP(A2966,'11 - FINANCEIRO'!_xlnm.Print_Area,4,FALSE)</f>
        <v>kg</v>
      </c>
      <c r="M2964" s="1359" t="s">
        <v>493</v>
      </c>
      <c r="N2964" s="1360"/>
      <c r="O2964" s="1360"/>
      <c r="P2964" s="1360"/>
      <c r="Q2964" s="1361"/>
      <c r="R2964" s="357">
        <f>TRUNC(SUM(R2960:R2963),3)</f>
        <v>99</v>
      </c>
      <c r="S2964" s="358" t="str">
        <f>L2964</f>
        <v>kg</v>
      </c>
      <c r="T2964" s="359"/>
      <c r="U2964" s="360"/>
      <c r="V2964" s="291">
        <f t="shared" ca="1" si="850"/>
        <v>0</v>
      </c>
      <c r="W2964" s="256">
        <f t="shared" ca="1" si="849"/>
        <v>2</v>
      </c>
      <c r="X2964" s="256">
        <f t="shared" ca="1" si="843"/>
        <v>1</v>
      </c>
      <c r="Y2964" s="250"/>
      <c r="Z2964" s="250"/>
    </row>
    <row r="2965" spans="1:29" s="293" customFormat="1" ht="15.75" hidden="1" customHeight="1" x14ac:dyDescent="0.2">
      <c r="A2965" s="288"/>
      <c r="B2965" s="354"/>
      <c r="C2965" s="361"/>
      <c r="D2965" s="1362" t="s">
        <v>494</v>
      </c>
      <c r="E2965" s="1363"/>
      <c r="F2965" s="1363"/>
      <c r="G2965" s="1363"/>
      <c r="H2965" s="1363"/>
      <c r="I2965" s="1364"/>
      <c r="J2965" s="1365">
        <f>R2964/J2964</f>
        <v>1</v>
      </c>
      <c r="K2965" s="1366"/>
      <c r="L2965" s="1369"/>
      <c r="M2965" s="1371" t="s">
        <v>495</v>
      </c>
      <c r="N2965" s="1372"/>
      <c r="O2965" s="1372"/>
      <c r="P2965" s="1372"/>
      <c r="Q2965" s="1373"/>
      <c r="R2965" s="362">
        <f>VLOOKUP(A2966,'11 - FINANCEIRO'!_xlnm.Print_Area,8,FALSE)</f>
        <v>99</v>
      </c>
      <c r="S2965" s="363" t="str">
        <f>L2964</f>
        <v>kg</v>
      </c>
      <c r="T2965" s="359"/>
      <c r="U2965" s="360"/>
      <c r="V2965" s="291">
        <f t="shared" ca="1" si="850"/>
        <v>0</v>
      </c>
      <c r="W2965" s="256">
        <f t="shared" ca="1" si="849"/>
        <v>2</v>
      </c>
      <c r="X2965" s="256">
        <f t="shared" ca="1" si="843"/>
        <v>1</v>
      </c>
      <c r="Y2965" s="256"/>
      <c r="Z2965" s="256"/>
      <c r="AA2965" s="292"/>
      <c r="AB2965" s="292"/>
      <c r="AC2965" s="292"/>
    </row>
    <row r="2966" spans="1:29" s="293" customFormat="1" ht="15.75" hidden="1" customHeight="1" x14ac:dyDescent="0.2">
      <c r="A2966" s="288" t="s">
        <v>172</v>
      </c>
      <c r="B2966" s="364"/>
      <c r="C2966" s="365"/>
      <c r="D2966" s="1354"/>
      <c r="E2966" s="1355"/>
      <c r="F2966" s="1355"/>
      <c r="G2966" s="1355"/>
      <c r="H2966" s="1355"/>
      <c r="I2966" s="1356"/>
      <c r="J2966" s="1367"/>
      <c r="K2966" s="1368"/>
      <c r="L2966" s="1370"/>
      <c r="M2966" s="1371" t="s">
        <v>496</v>
      </c>
      <c r="N2966" s="1372"/>
      <c r="O2966" s="1372"/>
      <c r="P2966" s="1372"/>
      <c r="Q2966" s="1373"/>
      <c r="R2966" s="362">
        <f>R2964-R2965</f>
        <v>0</v>
      </c>
      <c r="S2966" s="363" t="str">
        <f>L2964</f>
        <v>kg</v>
      </c>
      <c r="T2966" s="366"/>
      <c r="U2966" s="367"/>
      <c r="V2966" s="291">
        <f t="shared" ca="1" si="850"/>
        <v>0</v>
      </c>
      <c r="W2966" s="256">
        <f t="shared" ca="1" si="849"/>
        <v>2</v>
      </c>
      <c r="X2966" s="256">
        <f t="shared" ca="1" si="843"/>
        <v>1</v>
      </c>
      <c r="Y2966" s="256"/>
      <c r="Z2966" s="256"/>
      <c r="AA2966" s="292"/>
      <c r="AB2966" s="292"/>
      <c r="AC2966" s="292"/>
    </row>
    <row r="2967" spans="1:29" s="111" customFormat="1" ht="15.75" hidden="1" x14ac:dyDescent="0.2">
      <c r="A2967" s="288"/>
      <c r="B2967" s="368"/>
      <c r="C2967" s="365"/>
      <c r="D2967" s="369"/>
      <c r="E2967" s="370"/>
      <c r="F2967" s="369"/>
      <c r="G2967" s="369"/>
      <c r="H2967" s="369"/>
      <c r="I2967" s="369"/>
      <c r="J2967" s="371"/>
      <c r="K2967" s="372"/>
      <c r="L2967" s="373"/>
      <c r="M2967" s="374"/>
      <c r="N2967" s="374"/>
      <c r="O2967" s="374"/>
      <c r="P2967" s="374"/>
      <c r="Q2967" s="374"/>
      <c r="R2967" s="375"/>
      <c r="S2967" s="376"/>
      <c r="T2967" s="377"/>
      <c r="U2967" s="378"/>
      <c r="V2967" s="379">
        <f ca="1">SUM(V2958:V2966)</f>
        <v>0</v>
      </c>
      <c r="W2967" s="256">
        <f t="shared" ca="1" si="849"/>
        <v>1</v>
      </c>
      <c r="X2967" s="256">
        <f t="shared" ca="1" si="843"/>
        <v>0</v>
      </c>
      <c r="Y2967" s="250"/>
      <c r="Z2967" s="250"/>
    </row>
    <row r="2968" spans="1:29" s="293" customFormat="1" ht="15.75" hidden="1" customHeight="1" x14ac:dyDescent="0.25">
      <c r="A2968" s="288"/>
      <c r="B2968" s="1374" t="str">
        <f>VLOOKUP(A2976,'11 - FINANCEIRO'!_xlnm.Print_Area,1,FALSE)</f>
        <v>4.2.7</v>
      </c>
      <c r="C2968" s="1376" t="str">
        <f>VLOOKUP(A2976,'11 - FINANCEIRO'!_xlnm.Print_Area,3,FALSE)</f>
        <v>Chumbador Tipo Espera Em Aço Ca-25 Para Fixação De Estrutura Metálica Em Concreto - Fornecimento E Instalação</v>
      </c>
      <c r="D2968" s="1378" t="s">
        <v>477</v>
      </c>
      <c r="E2968" s="1379"/>
      <c r="F2968" s="1379"/>
      <c r="G2968" s="1379"/>
      <c r="H2968" s="1379"/>
      <c r="I2968" s="1380"/>
      <c r="J2968" s="1338" t="s">
        <v>478</v>
      </c>
      <c r="K2968" s="1338" t="s">
        <v>479</v>
      </c>
      <c r="L2968" s="1338" t="s">
        <v>480</v>
      </c>
      <c r="M2968" s="1338" t="s">
        <v>481</v>
      </c>
      <c r="N2968" s="1338" t="s">
        <v>482</v>
      </c>
      <c r="O2968" s="1338" t="s">
        <v>483</v>
      </c>
      <c r="P2968" s="290" t="s">
        <v>484</v>
      </c>
      <c r="Q2968" s="1338" t="s">
        <v>485</v>
      </c>
      <c r="R2968" s="1336" t="s">
        <v>296</v>
      </c>
      <c r="S2968" s="1338" t="s">
        <v>486</v>
      </c>
      <c r="T2968" s="1338" t="s">
        <v>487</v>
      </c>
      <c r="U2968" s="1340" t="s">
        <v>488</v>
      </c>
      <c r="V2968" s="291">
        <f t="shared" ref="V2968:V2976" ca="1" si="851">IF(OFFSET(V2968,1,1)=1,OFFSET(V2968,0,-4),OFFSET(V2968,1,0))</f>
        <v>0</v>
      </c>
      <c r="W2968" s="256">
        <f t="shared" ca="1" si="849"/>
        <v>2</v>
      </c>
      <c r="X2968" s="256">
        <f t="shared" ca="1" si="843"/>
        <v>1</v>
      </c>
      <c r="Y2968" s="256"/>
      <c r="Z2968" s="256"/>
      <c r="AA2968" s="292"/>
      <c r="AB2968" s="292"/>
      <c r="AC2968" s="292"/>
    </row>
    <row r="2969" spans="1:29" s="337" customFormat="1" ht="15.75" hidden="1" x14ac:dyDescent="0.2">
      <c r="A2969" s="288"/>
      <c r="B2969" s="1375"/>
      <c r="C2969" s="1377" t="e">
        <f>VLOOKUP(LEFT(#REF!,5),'11 - FINANCEIRO'!_xlnm.Print_Area,2,FALSE)</f>
        <v>#REF!</v>
      </c>
      <c r="D2969" s="1342" t="s">
        <v>489</v>
      </c>
      <c r="E2969" s="1343"/>
      <c r="F2969" s="1344"/>
      <c r="G2969" s="1345" t="s">
        <v>490</v>
      </c>
      <c r="H2969" s="1346"/>
      <c r="I2969" s="1347"/>
      <c r="J2969" s="1339"/>
      <c r="K2969" s="1339"/>
      <c r="L2969" s="1339"/>
      <c r="M2969" s="1339"/>
      <c r="N2969" s="1339"/>
      <c r="O2969" s="1339"/>
      <c r="P2969" s="295" t="s">
        <v>491</v>
      </c>
      <c r="Q2969" s="1339"/>
      <c r="R2969" s="1337"/>
      <c r="S2969" s="1339"/>
      <c r="T2969" s="1339"/>
      <c r="U2969" s="1341"/>
      <c r="V2969" s="291">
        <f t="shared" ca="1" si="851"/>
        <v>0</v>
      </c>
      <c r="W2969" s="256">
        <f t="shared" ca="1" si="849"/>
        <v>2</v>
      </c>
      <c r="X2969" s="256">
        <f t="shared" ca="1" si="843"/>
        <v>1</v>
      </c>
      <c r="Y2969" s="336"/>
      <c r="Z2969" s="336"/>
    </row>
    <row r="2970" spans="1:29" s="337" customFormat="1" ht="15.75" hidden="1" x14ac:dyDescent="0.2">
      <c r="A2970" s="288"/>
      <c r="B2970" s="296"/>
      <c r="C2970" s="297" t="s">
        <v>996</v>
      </c>
      <c r="D2970" s="298"/>
      <c r="E2970" s="299"/>
      <c r="F2970" s="300"/>
      <c r="G2970" s="301"/>
      <c r="H2970" s="302"/>
      <c r="I2970" s="303"/>
      <c r="J2970" s="304"/>
      <c r="K2970" s="304"/>
      <c r="L2970" s="304"/>
      <c r="M2970" s="304"/>
      <c r="N2970" s="304"/>
      <c r="O2970" s="304"/>
      <c r="P2970" s="306"/>
      <c r="Q2970" s="304"/>
      <c r="R2970" s="307">
        <v>6.4</v>
      </c>
      <c r="S2970" s="304" t="s">
        <v>328</v>
      </c>
      <c r="T2970" s="309"/>
      <c r="U2970" s="310"/>
      <c r="V2970" s="291">
        <f t="shared" ca="1" si="851"/>
        <v>0</v>
      </c>
      <c r="W2970" s="256">
        <f t="shared" ca="1" si="849"/>
        <v>2</v>
      </c>
      <c r="X2970" s="256">
        <f t="shared" ca="1" si="843"/>
        <v>1</v>
      </c>
      <c r="Y2970" s="336"/>
      <c r="Z2970" s="336"/>
    </row>
    <row r="2971" spans="1:29" s="111" customFormat="1" ht="15.75" hidden="1" x14ac:dyDescent="0.2">
      <c r="A2971" s="288"/>
      <c r="B2971" s="311"/>
      <c r="C2971" s="312" t="s">
        <v>996</v>
      </c>
      <c r="D2971" s="313"/>
      <c r="E2971" s="314"/>
      <c r="F2971" s="315"/>
      <c r="G2971" s="380"/>
      <c r="H2971" s="316"/>
      <c r="I2971" s="381"/>
      <c r="J2971" s="317"/>
      <c r="K2971" s="313"/>
      <c r="L2971" s="317"/>
      <c r="M2971" s="315"/>
      <c r="N2971" s="314"/>
      <c r="O2971" s="313"/>
      <c r="P2971" s="318"/>
      <c r="Q2971" s="315"/>
      <c r="R2971" s="319">
        <v>6.4</v>
      </c>
      <c r="S2971" s="317" t="s">
        <v>328</v>
      </c>
      <c r="T2971" s="320"/>
      <c r="U2971" s="321"/>
      <c r="V2971" s="291">
        <f t="shared" ca="1" si="851"/>
        <v>0</v>
      </c>
      <c r="W2971" s="256">
        <f t="shared" ca="1" si="849"/>
        <v>2</v>
      </c>
      <c r="X2971" s="256">
        <f t="shared" ca="1" si="843"/>
        <v>1</v>
      </c>
      <c r="Y2971" s="250"/>
      <c r="Z2971" s="250"/>
    </row>
    <row r="2972" spans="1:29" s="111" customFormat="1" ht="15" hidden="1" x14ac:dyDescent="0.2">
      <c r="A2972" s="288"/>
      <c r="B2972" s="322"/>
      <c r="C2972" s="382"/>
      <c r="D2972" s="324"/>
      <c r="E2972" s="325"/>
      <c r="F2972" s="326"/>
      <c r="G2972" s="324"/>
      <c r="H2972" s="325"/>
      <c r="I2972" s="326"/>
      <c r="J2972" s="317"/>
      <c r="K2972" s="328"/>
      <c r="L2972" s="328"/>
      <c r="M2972" s="328"/>
      <c r="N2972" s="328"/>
      <c r="O2972" s="334"/>
      <c r="P2972" s="328"/>
      <c r="Q2972" s="334"/>
      <c r="R2972" s="333"/>
      <c r="S2972" s="331"/>
      <c r="T2972" s="320"/>
      <c r="U2972" s="335"/>
      <c r="V2972" s="291">
        <f t="shared" ca="1" si="851"/>
        <v>0</v>
      </c>
      <c r="W2972" s="256">
        <f t="shared" ca="1" si="849"/>
        <v>0</v>
      </c>
      <c r="X2972" s="256">
        <f t="shared" ca="1" si="843"/>
        <v>1</v>
      </c>
      <c r="Y2972" s="250"/>
      <c r="Z2972" s="250"/>
    </row>
    <row r="2973" spans="1:29" s="111" customFormat="1" ht="15" hidden="1" x14ac:dyDescent="0.2">
      <c r="A2973" s="288"/>
      <c r="B2973" s="338"/>
      <c r="C2973" s="339"/>
      <c r="D2973" s="340"/>
      <c r="E2973" s="341"/>
      <c r="F2973" s="342"/>
      <c r="G2973" s="340"/>
      <c r="H2973" s="341"/>
      <c r="I2973" s="342"/>
      <c r="J2973" s="343"/>
      <c r="K2973" s="344"/>
      <c r="L2973" s="345"/>
      <c r="M2973" s="346"/>
      <c r="N2973" s="347"/>
      <c r="O2973" s="348"/>
      <c r="P2973" s="345"/>
      <c r="Q2973" s="349"/>
      <c r="R2973" s="350"/>
      <c r="S2973" s="351"/>
      <c r="T2973" s="352"/>
      <c r="U2973" s="353"/>
      <c r="V2973" s="291">
        <f t="shared" ca="1" si="851"/>
        <v>0</v>
      </c>
      <c r="W2973" s="256">
        <f t="shared" ca="1" si="849"/>
        <v>0</v>
      </c>
      <c r="X2973" s="256">
        <f t="shared" ref="X2973:X3042" ca="1" si="852">IF(COUNTA(OFFSET(A2972,1,0))-COUNTA(A2972)=-1,0,1)</f>
        <v>1</v>
      </c>
      <c r="Y2973" s="250"/>
      <c r="Z2973" s="250"/>
    </row>
    <row r="2974" spans="1:29" s="111" customFormat="1" ht="15.75" hidden="1" customHeight="1" x14ac:dyDescent="0.2">
      <c r="A2974" s="288"/>
      <c r="B2974" s="354"/>
      <c r="C2974" s="355"/>
      <c r="D2974" s="1354" t="s">
        <v>492</v>
      </c>
      <c r="E2974" s="1355"/>
      <c r="F2974" s="1355"/>
      <c r="G2974" s="1355"/>
      <c r="H2974" s="1355"/>
      <c r="I2974" s="1356"/>
      <c r="J2974" s="1357">
        <f>VLOOKUP(A2976,'11 - FINANCEIRO'!_xlnm.Print_Area,6,FALSE)</f>
        <v>12.8</v>
      </c>
      <c r="K2974" s="1358"/>
      <c r="L2974" s="356" t="str">
        <f>VLOOKUP(A2976,'11 - FINANCEIRO'!_xlnm.Print_Area,4,FALSE)</f>
        <v>kg</v>
      </c>
      <c r="M2974" s="1359" t="s">
        <v>493</v>
      </c>
      <c r="N2974" s="1360"/>
      <c r="O2974" s="1360"/>
      <c r="P2974" s="1360"/>
      <c r="Q2974" s="1361"/>
      <c r="R2974" s="357">
        <f>TRUNC(SUM(R2970:R2973),3)</f>
        <v>12.8</v>
      </c>
      <c r="S2974" s="358" t="str">
        <f>L2974</f>
        <v>kg</v>
      </c>
      <c r="T2974" s="359"/>
      <c r="U2974" s="360"/>
      <c r="V2974" s="291">
        <f t="shared" ca="1" si="851"/>
        <v>0</v>
      </c>
      <c r="W2974" s="256">
        <f t="shared" ca="1" si="849"/>
        <v>2</v>
      </c>
      <c r="X2974" s="256">
        <f t="shared" ca="1" si="852"/>
        <v>1</v>
      </c>
      <c r="Y2974" s="250"/>
      <c r="Z2974" s="250"/>
    </row>
    <row r="2975" spans="1:29" s="293" customFormat="1" ht="15.75" hidden="1" customHeight="1" x14ac:dyDescent="0.2">
      <c r="A2975" s="288"/>
      <c r="B2975" s="354"/>
      <c r="C2975" s="361"/>
      <c r="D2975" s="1362" t="s">
        <v>494</v>
      </c>
      <c r="E2975" s="1363"/>
      <c r="F2975" s="1363"/>
      <c r="G2975" s="1363"/>
      <c r="H2975" s="1363"/>
      <c r="I2975" s="1364"/>
      <c r="J2975" s="1365">
        <f>R2974/J2974</f>
        <v>1</v>
      </c>
      <c r="K2975" s="1366"/>
      <c r="L2975" s="1369"/>
      <c r="M2975" s="1371" t="s">
        <v>495</v>
      </c>
      <c r="N2975" s="1372"/>
      <c r="O2975" s="1372"/>
      <c r="P2975" s="1372"/>
      <c r="Q2975" s="1373"/>
      <c r="R2975" s="362">
        <f>VLOOKUP(A2976,'11 - FINANCEIRO'!_xlnm.Print_Area,8,FALSE)</f>
        <v>12.8</v>
      </c>
      <c r="S2975" s="363" t="str">
        <f>L2974</f>
        <v>kg</v>
      </c>
      <c r="T2975" s="359"/>
      <c r="U2975" s="360"/>
      <c r="V2975" s="291">
        <f t="shared" ca="1" si="851"/>
        <v>0</v>
      </c>
      <c r="W2975" s="256">
        <f t="shared" ca="1" si="849"/>
        <v>2</v>
      </c>
      <c r="X2975" s="256">
        <f t="shared" ca="1" si="852"/>
        <v>1</v>
      </c>
      <c r="Y2975" s="256"/>
      <c r="Z2975" s="256"/>
      <c r="AA2975" s="292"/>
      <c r="AB2975" s="292"/>
      <c r="AC2975" s="292"/>
    </row>
    <row r="2976" spans="1:29" s="293" customFormat="1" ht="15.75" hidden="1" customHeight="1" x14ac:dyDescent="0.2">
      <c r="A2976" s="288" t="s">
        <v>173</v>
      </c>
      <c r="B2976" s="364"/>
      <c r="C2976" s="365"/>
      <c r="D2976" s="1354"/>
      <c r="E2976" s="1355"/>
      <c r="F2976" s="1355"/>
      <c r="G2976" s="1355"/>
      <c r="H2976" s="1355"/>
      <c r="I2976" s="1356"/>
      <c r="J2976" s="1367"/>
      <c r="K2976" s="1368"/>
      <c r="L2976" s="1370"/>
      <c r="M2976" s="1371" t="s">
        <v>496</v>
      </c>
      <c r="N2976" s="1372"/>
      <c r="O2976" s="1372"/>
      <c r="P2976" s="1372"/>
      <c r="Q2976" s="1373"/>
      <c r="R2976" s="362">
        <f>R2974-R2975</f>
        <v>0</v>
      </c>
      <c r="S2976" s="363" t="str">
        <f>L2974</f>
        <v>kg</v>
      </c>
      <c r="T2976" s="366"/>
      <c r="U2976" s="367"/>
      <c r="V2976" s="291">
        <f t="shared" ca="1" si="851"/>
        <v>0</v>
      </c>
      <c r="W2976" s="256">
        <f t="shared" ca="1" si="849"/>
        <v>2</v>
      </c>
      <c r="X2976" s="256">
        <f t="shared" ca="1" si="852"/>
        <v>1</v>
      </c>
      <c r="Y2976" s="256"/>
      <c r="Z2976" s="256"/>
      <c r="AA2976" s="292"/>
      <c r="AB2976" s="292"/>
      <c r="AC2976" s="292"/>
    </row>
    <row r="2977" spans="1:29" s="111" customFormat="1" ht="15.75" hidden="1" x14ac:dyDescent="0.2">
      <c r="A2977" s="288"/>
      <c r="B2977" s="368"/>
      <c r="C2977" s="365"/>
      <c r="D2977" s="369"/>
      <c r="E2977" s="370"/>
      <c r="F2977" s="369"/>
      <c r="G2977" s="369"/>
      <c r="H2977" s="369"/>
      <c r="I2977" s="369"/>
      <c r="J2977" s="371"/>
      <c r="K2977" s="372"/>
      <c r="L2977" s="373"/>
      <c r="M2977" s="374"/>
      <c r="N2977" s="374"/>
      <c r="O2977" s="374"/>
      <c r="P2977" s="374"/>
      <c r="Q2977" s="374"/>
      <c r="R2977" s="375"/>
      <c r="S2977" s="376"/>
      <c r="T2977" s="377"/>
      <c r="U2977" s="378"/>
      <c r="V2977" s="379">
        <f ca="1">SUM(V2968:V2976)</f>
        <v>0</v>
      </c>
      <c r="W2977" s="256">
        <f t="shared" ca="1" si="849"/>
        <v>1</v>
      </c>
      <c r="X2977" s="256">
        <f t="shared" ca="1" si="852"/>
        <v>0</v>
      </c>
      <c r="Y2977" s="250"/>
      <c r="Z2977" s="250"/>
    </row>
    <row r="2978" spans="1:29" s="293" customFormat="1" ht="15.75" hidden="1" customHeight="1" x14ac:dyDescent="0.25">
      <c r="A2978" s="288"/>
      <c r="B2978" s="1374" t="str">
        <f>VLOOKUP(A2986,'11 - FINANCEIRO'!_xlnm.Print_Area,1,FALSE)</f>
        <v>4.2.8</v>
      </c>
      <c r="C2978" s="1376" t="str">
        <f>VLOOKUP(A2986,'11 - FINANCEIRO'!_xlnm.Print_Area,3,FALSE)</f>
        <v>Viga Metálica Em Perfil Laminado Ou Soldado Em Aço Estrutural, Com Conexões Soldadas, Inclusos Mão De Obra, Transporte E Içamento Utilizando Guindaste - Fornecimento E Instalação. Af_01/2020_P</v>
      </c>
      <c r="D2978" s="1378" t="s">
        <v>477</v>
      </c>
      <c r="E2978" s="1379"/>
      <c r="F2978" s="1379"/>
      <c r="G2978" s="1379"/>
      <c r="H2978" s="1379"/>
      <c r="I2978" s="1380"/>
      <c r="J2978" s="1338" t="s">
        <v>478</v>
      </c>
      <c r="K2978" s="1338" t="s">
        <v>479</v>
      </c>
      <c r="L2978" s="1338" t="s">
        <v>480</v>
      </c>
      <c r="M2978" s="1338" t="s">
        <v>481</v>
      </c>
      <c r="N2978" s="1338" t="s">
        <v>482</v>
      </c>
      <c r="O2978" s="1338" t="s">
        <v>483</v>
      </c>
      <c r="P2978" s="290" t="s">
        <v>484</v>
      </c>
      <c r="Q2978" s="1338" t="s">
        <v>485</v>
      </c>
      <c r="R2978" s="1336" t="s">
        <v>296</v>
      </c>
      <c r="S2978" s="1338" t="s">
        <v>486</v>
      </c>
      <c r="T2978" s="1338" t="s">
        <v>487</v>
      </c>
      <c r="U2978" s="1340" t="s">
        <v>488</v>
      </c>
      <c r="V2978" s="291">
        <f t="shared" ref="V2978:V2986" ca="1" si="853">IF(OFFSET(V2978,1,1)=1,OFFSET(V2978,0,-4),OFFSET(V2978,1,0))</f>
        <v>0</v>
      </c>
      <c r="W2978" s="256">
        <f t="shared" ca="1" si="849"/>
        <v>2</v>
      </c>
      <c r="X2978" s="256">
        <f t="shared" ca="1" si="852"/>
        <v>1</v>
      </c>
      <c r="Y2978" s="256"/>
      <c r="Z2978" s="256"/>
      <c r="AA2978" s="292"/>
      <c r="AB2978" s="292"/>
      <c r="AC2978" s="292"/>
    </row>
    <row r="2979" spans="1:29" s="337" customFormat="1" ht="15.75" hidden="1" x14ac:dyDescent="0.2">
      <c r="A2979" s="288"/>
      <c r="B2979" s="1375"/>
      <c r="C2979" s="1377" t="e">
        <f>VLOOKUP(LEFT(#REF!,5),'11 - FINANCEIRO'!_xlnm.Print_Area,2,FALSE)</f>
        <v>#REF!</v>
      </c>
      <c r="D2979" s="1342" t="s">
        <v>489</v>
      </c>
      <c r="E2979" s="1343"/>
      <c r="F2979" s="1344"/>
      <c r="G2979" s="1345" t="s">
        <v>490</v>
      </c>
      <c r="H2979" s="1346"/>
      <c r="I2979" s="1347"/>
      <c r="J2979" s="1339"/>
      <c r="K2979" s="1339"/>
      <c r="L2979" s="1339"/>
      <c r="M2979" s="1339"/>
      <c r="N2979" s="1339"/>
      <c r="O2979" s="1339"/>
      <c r="P2979" s="295" t="s">
        <v>491</v>
      </c>
      <c r="Q2979" s="1339"/>
      <c r="R2979" s="1337"/>
      <c r="S2979" s="1339"/>
      <c r="T2979" s="1339"/>
      <c r="U2979" s="1341"/>
      <c r="V2979" s="291">
        <f t="shared" ca="1" si="853"/>
        <v>0</v>
      </c>
      <c r="W2979" s="256">
        <f t="shared" ca="1" si="849"/>
        <v>2</v>
      </c>
      <c r="X2979" s="256">
        <f t="shared" ca="1" si="852"/>
        <v>1</v>
      </c>
      <c r="Y2979" s="336"/>
      <c r="Z2979" s="336"/>
    </row>
    <row r="2980" spans="1:29" s="337" customFormat="1" ht="15.75" hidden="1" x14ac:dyDescent="0.2">
      <c r="A2980" s="288"/>
      <c r="B2980" s="296"/>
      <c r="C2980" s="297" t="s">
        <v>1034</v>
      </c>
      <c r="D2980" s="298"/>
      <c r="E2980" s="299"/>
      <c r="F2980" s="300"/>
      <c r="G2980" s="301"/>
      <c r="H2980" s="302"/>
      <c r="I2980" s="303"/>
      <c r="J2980" s="304"/>
      <c r="K2980" s="304"/>
      <c r="L2980" s="304"/>
      <c r="M2980" s="304"/>
      <c r="N2980" s="304"/>
      <c r="O2980" s="304"/>
      <c r="P2980" s="306"/>
      <c r="Q2980" s="304"/>
      <c r="R2980" s="307">
        <v>3285.64</v>
      </c>
      <c r="S2980" s="304" t="s">
        <v>328</v>
      </c>
      <c r="T2980" s="309"/>
      <c r="U2980" s="310"/>
      <c r="V2980" s="291">
        <f t="shared" ca="1" si="853"/>
        <v>0</v>
      </c>
      <c r="W2980" s="256">
        <f t="shared" ca="1" si="849"/>
        <v>2</v>
      </c>
      <c r="X2980" s="256">
        <f t="shared" ca="1" si="852"/>
        <v>1</v>
      </c>
      <c r="Y2980" s="336"/>
      <c r="Z2980" s="336"/>
    </row>
    <row r="2981" spans="1:29" s="111" customFormat="1" ht="15.75" hidden="1" x14ac:dyDescent="0.2">
      <c r="A2981" s="288"/>
      <c r="B2981" s="311"/>
      <c r="C2981" s="312"/>
      <c r="D2981" s="313"/>
      <c r="E2981" s="314"/>
      <c r="F2981" s="315"/>
      <c r="G2981" s="380"/>
      <c r="H2981" s="316"/>
      <c r="I2981" s="381"/>
      <c r="J2981" s="317"/>
      <c r="K2981" s="313"/>
      <c r="L2981" s="317"/>
      <c r="M2981" s="315"/>
      <c r="N2981" s="314"/>
      <c r="O2981" s="313"/>
      <c r="P2981" s="318"/>
      <c r="Q2981" s="315"/>
      <c r="R2981" s="319"/>
      <c r="S2981" s="317"/>
      <c r="T2981" s="320"/>
      <c r="U2981" s="321"/>
      <c r="V2981" s="291">
        <f t="shared" ca="1" si="853"/>
        <v>0</v>
      </c>
      <c r="W2981" s="256">
        <f t="shared" ca="1" si="849"/>
        <v>0</v>
      </c>
      <c r="X2981" s="256">
        <f t="shared" ca="1" si="852"/>
        <v>1</v>
      </c>
      <c r="Y2981" s="250"/>
      <c r="Z2981" s="250"/>
    </row>
    <row r="2982" spans="1:29" s="111" customFormat="1" ht="15" hidden="1" x14ac:dyDescent="0.2">
      <c r="A2982" s="288"/>
      <c r="B2982" s="322"/>
      <c r="C2982" s="382"/>
      <c r="D2982" s="324"/>
      <c r="E2982" s="325"/>
      <c r="F2982" s="326"/>
      <c r="G2982" s="324"/>
      <c r="H2982" s="325"/>
      <c r="I2982" s="326"/>
      <c r="J2982" s="317"/>
      <c r="K2982" s="328"/>
      <c r="L2982" s="328"/>
      <c r="M2982" s="328"/>
      <c r="N2982" s="328"/>
      <c r="O2982" s="334"/>
      <c r="P2982" s="328"/>
      <c r="Q2982" s="334"/>
      <c r="R2982" s="333"/>
      <c r="S2982" s="331"/>
      <c r="T2982" s="320"/>
      <c r="U2982" s="335"/>
      <c r="V2982" s="291">
        <f t="shared" ca="1" si="853"/>
        <v>0</v>
      </c>
      <c r="W2982" s="256">
        <f t="shared" ca="1" si="849"/>
        <v>0</v>
      </c>
      <c r="X2982" s="256">
        <f t="shared" ca="1" si="852"/>
        <v>1</v>
      </c>
      <c r="Y2982" s="250"/>
      <c r="Z2982" s="250"/>
    </row>
    <row r="2983" spans="1:29" s="111" customFormat="1" ht="15" hidden="1" x14ac:dyDescent="0.2">
      <c r="A2983" s="288"/>
      <c r="B2983" s="338"/>
      <c r="C2983" s="339"/>
      <c r="D2983" s="340"/>
      <c r="E2983" s="341"/>
      <c r="F2983" s="342"/>
      <c r="G2983" s="340"/>
      <c r="H2983" s="341"/>
      <c r="I2983" s="342"/>
      <c r="J2983" s="343"/>
      <c r="K2983" s="344"/>
      <c r="L2983" s="345"/>
      <c r="M2983" s="346"/>
      <c r="N2983" s="347"/>
      <c r="O2983" s="348"/>
      <c r="P2983" s="345"/>
      <c r="Q2983" s="349"/>
      <c r="R2983" s="350"/>
      <c r="S2983" s="351"/>
      <c r="T2983" s="352"/>
      <c r="U2983" s="353"/>
      <c r="V2983" s="291">
        <f t="shared" ca="1" si="853"/>
        <v>0</v>
      </c>
      <c r="W2983" s="256">
        <f t="shared" ca="1" si="849"/>
        <v>0</v>
      </c>
      <c r="X2983" s="256">
        <f t="shared" ca="1" si="852"/>
        <v>1</v>
      </c>
      <c r="Y2983" s="250"/>
      <c r="Z2983" s="250"/>
    </row>
    <row r="2984" spans="1:29" s="111" customFormat="1" ht="15.75" hidden="1" customHeight="1" x14ac:dyDescent="0.2">
      <c r="A2984" s="288"/>
      <c r="B2984" s="354"/>
      <c r="C2984" s="355"/>
      <c r="D2984" s="1354" t="s">
        <v>492</v>
      </c>
      <c r="E2984" s="1355"/>
      <c r="F2984" s="1355"/>
      <c r="G2984" s="1355"/>
      <c r="H2984" s="1355"/>
      <c r="I2984" s="1356"/>
      <c r="J2984" s="1357">
        <f>VLOOKUP(A2986,'11 - FINANCEIRO'!_xlnm.Print_Area,6,FALSE)</f>
        <v>3285.64</v>
      </c>
      <c r="K2984" s="1358"/>
      <c r="L2984" s="356" t="str">
        <f>VLOOKUP(A2986,'11 - FINANCEIRO'!_xlnm.Print_Area,4,FALSE)</f>
        <v>kg</v>
      </c>
      <c r="M2984" s="1359" t="s">
        <v>493</v>
      </c>
      <c r="N2984" s="1360"/>
      <c r="O2984" s="1360"/>
      <c r="P2984" s="1360"/>
      <c r="Q2984" s="1361"/>
      <c r="R2984" s="357">
        <f>TRUNC(SUM(R2980:R2983),3)</f>
        <v>3285.64</v>
      </c>
      <c r="S2984" s="358" t="str">
        <f>L2984</f>
        <v>kg</v>
      </c>
      <c r="T2984" s="359"/>
      <c r="U2984" s="360"/>
      <c r="V2984" s="291">
        <f t="shared" ca="1" si="853"/>
        <v>0</v>
      </c>
      <c r="W2984" s="256">
        <f t="shared" ca="1" si="849"/>
        <v>2</v>
      </c>
      <c r="X2984" s="256">
        <f t="shared" ca="1" si="852"/>
        <v>1</v>
      </c>
      <c r="Y2984" s="250"/>
      <c r="Z2984" s="250"/>
    </row>
    <row r="2985" spans="1:29" s="293" customFormat="1" ht="15.75" hidden="1" customHeight="1" x14ac:dyDescent="0.2">
      <c r="A2985" s="288"/>
      <c r="B2985" s="354"/>
      <c r="C2985" s="361"/>
      <c r="D2985" s="1362" t="s">
        <v>494</v>
      </c>
      <c r="E2985" s="1363"/>
      <c r="F2985" s="1363"/>
      <c r="G2985" s="1363"/>
      <c r="H2985" s="1363"/>
      <c r="I2985" s="1364"/>
      <c r="J2985" s="1365">
        <f>R2984/J2984</f>
        <v>1</v>
      </c>
      <c r="K2985" s="1366"/>
      <c r="L2985" s="1369"/>
      <c r="M2985" s="1371" t="s">
        <v>495</v>
      </c>
      <c r="N2985" s="1372"/>
      <c r="O2985" s="1372"/>
      <c r="P2985" s="1372"/>
      <c r="Q2985" s="1373"/>
      <c r="R2985" s="362">
        <f>VLOOKUP(A2986,'11 - FINANCEIRO'!_xlnm.Print_Area,8,FALSE)</f>
        <v>3285.64</v>
      </c>
      <c r="S2985" s="363" t="str">
        <f>L2984</f>
        <v>kg</v>
      </c>
      <c r="T2985" s="359"/>
      <c r="U2985" s="360"/>
      <c r="V2985" s="291">
        <f t="shared" ca="1" si="853"/>
        <v>0</v>
      </c>
      <c r="W2985" s="256">
        <f t="shared" ca="1" si="849"/>
        <v>2</v>
      </c>
      <c r="X2985" s="256">
        <f t="shared" ca="1" si="852"/>
        <v>1</v>
      </c>
      <c r="Y2985" s="256"/>
      <c r="Z2985" s="256"/>
      <c r="AA2985" s="292"/>
      <c r="AB2985" s="292"/>
      <c r="AC2985" s="292"/>
    </row>
    <row r="2986" spans="1:29" s="293" customFormat="1" ht="15.75" hidden="1" customHeight="1" x14ac:dyDescent="0.2">
      <c r="A2986" s="288" t="s">
        <v>174</v>
      </c>
      <c r="B2986" s="364"/>
      <c r="C2986" s="365"/>
      <c r="D2986" s="1354"/>
      <c r="E2986" s="1355"/>
      <c r="F2986" s="1355"/>
      <c r="G2986" s="1355"/>
      <c r="H2986" s="1355"/>
      <c r="I2986" s="1356"/>
      <c r="J2986" s="1367"/>
      <c r="K2986" s="1368"/>
      <c r="L2986" s="1370"/>
      <c r="M2986" s="1371" t="s">
        <v>496</v>
      </c>
      <c r="N2986" s="1372"/>
      <c r="O2986" s="1372"/>
      <c r="P2986" s="1372"/>
      <c r="Q2986" s="1373"/>
      <c r="R2986" s="362">
        <f>R2984-R2985</f>
        <v>0</v>
      </c>
      <c r="S2986" s="363" t="str">
        <f>L2984</f>
        <v>kg</v>
      </c>
      <c r="T2986" s="366"/>
      <c r="U2986" s="367"/>
      <c r="V2986" s="291">
        <f t="shared" ca="1" si="853"/>
        <v>0</v>
      </c>
      <c r="W2986" s="256">
        <f t="shared" ca="1" si="849"/>
        <v>2</v>
      </c>
      <c r="X2986" s="256">
        <f t="shared" ca="1" si="852"/>
        <v>1</v>
      </c>
      <c r="Y2986" s="256"/>
      <c r="Z2986" s="256"/>
      <c r="AA2986" s="292"/>
      <c r="AB2986" s="292"/>
      <c r="AC2986" s="292"/>
    </row>
    <row r="2987" spans="1:29" s="111" customFormat="1" ht="15.75" hidden="1" x14ac:dyDescent="0.2">
      <c r="A2987" s="288"/>
      <c r="B2987" s="368"/>
      <c r="C2987" s="365"/>
      <c r="D2987" s="369"/>
      <c r="E2987" s="370"/>
      <c r="F2987" s="369"/>
      <c r="G2987" s="369"/>
      <c r="H2987" s="369"/>
      <c r="I2987" s="369"/>
      <c r="J2987" s="371"/>
      <c r="K2987" s="372"/>
      <c r="L2987" s="373"/>
      <c r="M2987" s="374"/>
      <c r="N2987" s="374"/>
      <c r="O2987" s="374"/>
      <c r="P2987" s="374"/>
      <c r="Q2987" s="374"/>
      <c r="R2987" s="375"/>
      <c r="S2987" s="376"/>
      <c r="T2987" s="377"/>
      <c r="U2987" s="378"/>
      <c r="V2987" s="379">
        <f ca="1">SUM(V2978:V2986)</f>
        <v>0</v>
      </c>
      <c r="W2987" s="256">
        <f t="shared" ca="1" si="849"/>
        <v>1</v>
      </c>
      <c r="X2987" s="256">
        <f t="shared" ca="1" si="852"/>
        <v>0</v>
      </c>
      <c r="Y2987" s="250"/>
      <c r="Z2987" s="250"/>
    </row>
    <row r="2988" spans="1:29" s="293" customFormat="1" ht="15.75" customHeight="1" x14ac:dyDescent="0.25">
      <c r="A2988" s="288"/>
      <c r="B2988" s="1374" t="str">
        <f>VLOOKUP(A3002,'11 - FINANCEIRO'!_xlnm.Print_Area,1,FALSE)</f>
        <v>4.2.9</v>
      </c>
      <c r="C2988" s="1376" t="str">
        <f>VLOOKUP(A3002,'11 - FINANCEIRO'!_xlnm.Print_Area,3,FALSE)</f>
        <v>Guarda Corpo Em Aço Galvanizado De Altura H=1,10M Pintura Com Tinta Esmalte Suvinil, Linha "Contra Ferrugem" Cor Maracujá, Ref.:C026</v>
      </c>
      <c r="D2988" s="1378" t="s">
        <v>477</v>
      </c>
      <c r="E2988" s="1379"/>
      <c r="F2988" s="1379"/>
      <c r="G2988" s="1379"/>
      <c r="H2988" s="1379"/>
      <c r="I2988" s="1380"/>
      <c r="J2988" s="1338" t="s">
        <v>478</v>
      </c>
      <c r="K2988" s="1338" t="s">
        <v>479</v>
      </c>
      <c r="L2988" s="1338" t="s">
        <v>480</v>
      </c>
      <c r="M2988" s="1338" t="s">
        <v>481</v>
      </c>
      <c r="N2988" s="1338" t="s">
        <v>482</v>
      </c>
      <c r="O2988" s="1338" t="s">
        <v>483</v>
      </c>
      <c r="P2988" s="290" t="s">
        <v>484</v>
      </c>
      <c r="Q2988" s="1338" t="s">
        <v>485</v>
      </c>
      <c r="R2988" s="1336" t="s">
        <v>296</v>
      </c>
      <c r="S2988" s="1338" t="s">
        <v>486</v>
      </c>
      <c r="T2988" s="1338" t="s">
        <v>487</v>
      </c>
      <c r="U2988" s="1340" t="s">
        <v>488</v>
      </c>
      <c r="V2988" s="291">
        <f t="shared" ref="V2988:V3002" ca="1" si="854">IF(OFFSET(V2988,1,1)=1,OFFSET(V2988,0,-4),OFFSET(V2988,1,0))</f>
        <v>16.039999999999992</v>
      </c>
      <c r="W2988" s="256">
        <f t="shared" ca="1" si="849"/>
        <v>2</v>
      </c>
      <c r="X2988" s="256">
        <f t="shared" ca="1" si="852"/>
        <v>1</v>
      </c>
      <c r="Y2988" s="256"/>
      <c r="Z2988" s="256"/>
      <c r="AA2988" s="292"/>
      <c r="AB2988" s="292"/>
      <c r="AC2988" s="292"/>
    </row>
    <row r="2989" spans="1:29" s="337" customFormat="1" ht="15.75" x14ac:dyDescent="0.2">
      <c r="A2989" s="288"/>
      <c r="B2989" s="1375"/>
      <c r="C2989" s="1377" t="e">
        <f>VLOOKUP(LEFT(#REF!,5),'11 - FINANCEIRO'!_xlnm.Print_Area,2,FALSE)</f>
        <v>#REF!</v>
      </c>
      <c r="D2989" s="1342" t="s">
        <v>489</v>
      </c>
      <c r="E2989" s="1343"/>
      <c r="F2989" s="1344"/>
      <c r="G2989" s="1345" t="s">
        <v>490</v>
      </c>
      <c r="H2989" s="1346"/>
      <c r="I2989" s="1347"/>
      <c r="J2989" s="1339"/>
      <c r="K2989" s="1339"/>
      <c r="L2989" s="1339"/>
      <c r="M2989" s="1339"/>
      <c r="N2989" s="1339"/>
      <c r="O2989" s="1339"/>
      <c r="P2989" s="295" t="s">
        <v>491</v>
      </c>
      <c r="Q2989" s="1339"/>
      <c r="R2989" s="1337"/>
      <c r="S2989" s="1339"/>
      <c r="T2989" s="1339"/>
      <c r="U2989" s="1341"/>
      <c r="V2989" s="291">
        <f t="shared" ca="1" si="854"/>
        <v>16.039999999999992</v>
      </c>
      <c r="W2989" s="256">
        <f t="shared" ca="1" si="849"/>
        <v>2</v>
      </c>
      <c r="X2989" s="256">
        <f t="shared" ca="1" si="852"/>
        <v>1</v>
      </c>
      <c r="Y2989" s="336"/>
      <c r="Z2989" s="336"/>
    </row>
    <row r="2990" spans="1:29" s="337" customFormat="1" ht="15.75" customHeight="1" x14ac:dyDescent="0.2">
      <c r="A2990" s="288"/>
      <c r="B2990" s="296"/>
      <c r="C2990" s="952" t="s">
        <v>1119</v>
      </c>
      <c r="D2990" s="953"/>
      <c r="E2990" s="954"/>
      <c r="F2990" s="955"/>
      <c r="G2990" s="956"/>
      <c r="H2990" s="957"/>
      <c r="I2990" s="958"/>
      <c r="J2990" s="959"/>
      <c r="K2990" s="959">
        <v>13.7</v>
      </c>
      <c r="L2990" s="959"/>
      <c r="M2990" s="959"/>
      <c r="N2990" s="959"/>
      <c r="O2990" s="959"/>
      <c r="P2990" s="960"/>
      <c r="Q2990" s="959">
        <v>2</v>
      </c>
      <c r="R2990" s="961">
        <f t="shared" ref="R2990:R2994" si="855">K2990*Q2990</f>
        <v>27.4</v>
      </c>
      <c r="S2990" s="959"/>
      <c r="T2990" s="962">
        <v>33</v>
      </c>
      <c r="U2990" s="335"/>
      <c r="V2990" s="291">
        <f t="shared" ca="1" si="854"/>
        <v>16.039999999999992</v>
      </c>
      <c r="W2990" s="256">
        <f t="shared" ca="1" si="849"/>
        <v>2</v>
      </c>
      <c r="X2990" s="256">
        <f t="shared" ca="1" si="852"/>
        <v>1</v>
      </c>
      <c r="Y2990" s="336"/>
      <c r="Z2990" s="336"/>
    </row>
    <row r="2991" spans="1:29" s="111" customFormat="1" ht="15.75" x14ac:dyDescent="0.2">
      <c r="A2991" s="288"/>
      <c r="B2991" s="311"/>
      <c r="C2991" s="963" t="s">
        <v>1120</v>
      </c>
      <c r="D2991" s="945"/>
      <c r="E2991" s="964"/>
      <c r="F2991" s="947"/>
      <c r="G2991" s="965"/>
      <c r="H2991" s="934"/>
      <c r="I2991" s="966"/>
      <c r="J2991" s="949"/>
      <c r="K2991" s="945">
        <v>10.199999999999999</v>
      </c>
      <c r="L2991" s="949"/>
      <c r="M2991" s="947"/>
      <c r="N2991" s="964"/>
      <c r="O2991" s="945"/>
      <c r="P2991" s="946"/>
      <c r="Q2991" s="947">
        <v>2</v>
      </c>
      <c r="R2991" s="948">
        <f t="shared" si="855"/>
        <v>20.399999999999999</v>
      </c>
      <c r="S2991" s="949"/>
      <c r="T2991" s="950">
        <v>33</v>
      </c>
      <c r="U2991" s="335"/>
      <c r="V2991" s="291">
        <f t="shared" ca="1" si="854"/>
        <v>16.039999999999992</v>
      </c>
      <c r="W2991" s="256">
        <f t="shared" ca="1" si="849"/>
        <v>2</v>
      </c>
      <c r="X2991" s="256">
        <f t="shared" ca="1" si="852"/>
        <v>1</v>
      </c>
      <c r="Y2991" s="250"/>
      <c r="Z2991" s="250"/>
    </row>
    <row r="2992" spans="1:29" s="111" customFormat="1" ht="15" customHeight="1" x14ac:dyDescent="0.2">
      <c r="A2992" s="288"/>
      <c r="B2992" s="322"/>
      <c r="C2992" s="940" t="s">
        <v>1121</v>
      </c>
      <c r="D2992" s="967"/>
      <c r="E2992" s="968"/>
      <c r="F2992" s="969"/>
      <c r="G2992" s="967"/>
      <c r="H2992" s="968"/>
      <c r="I2992" s="969"/>
      <c r="J2992" s="949"/>
      <c r="K2992" s="945">
        <v>1.2</v>
      </c>
      <c r="L2992" s="328"/>
      <c r="M2992" s="328"/>
      <c r="N2992" s="328"/>
      <c r="O2992" s="334"/>
      <c r="P2992" s="328"/>
      <c r="Q2992" s="947">
        <v>2</v>
      </c>
      <c r="R2992" s="333">
        <f t="shared" si="855"/>
        <v>2.4</v>
      </c>
      <c r="S2992" s="331"/>
      <c r="T2992" s="950">
        <v>33</v>
      </c>
      <c r="U2992" s="335"/>
      <c r="V2992" s="291">
        <f t="shared" ca="1" si="854"/>
        <v>16.039999999999992</v>
      </c>
      <c r="W2992" s="256">
        <f t="shared" ca="1" si="849"/>
        <v>2</v>
      </c>
      <c r="X2992" s="256">
        <f t="shared" ca="1" si="852"/>
        <v>1</v>
      </c>
      <c r="Y2992" s="250"/>
      <c r="Z2992" s="250"/>
    </row>
    <row r="2993" spans="1:29" s="111" customFormat="1" ht="15.75" x14ac:dyDescent="0.2">
      <c r="A2993" s="288"/>
      <c r="B2993" s="311"/>
      <c r="C2993" s="963" t="s">
        <v>1122</v>
      </c>
      <c r="D2993" s="945"/>
      <c r="E2993" s="964"/>
      <c r="F2993" s="947"/>
      <c r="G2993" s="965"/>
      <c r="H2993" s="934"/>
      <c r="I2993" s="966"/>
      <c r="J2993" s="949"/>
      <c r="K2993" s="945">
        <v>1.6</v>
      </c>
      <c r="L2993" s="949"/>
      <c r="M2993" s="947"/>
      <c r="N2993" s="964"/>
      <c r="O2993" s="945"/>
      <c r="P2993" s="946"/>
      <c r="Q2993" s="947">
        <v>1</v>
      </c>
      <c r="R2993" s="948">
        <f t="shared" si="855"/>
        <v>1.6</v>
      </c>
      <c r="S2993" s="949"/>
      <c r="T2993" s="950">
        <v>33</v>
      </c>
      <c r="U2993" s="335"/>
      <c r="V2993" s="291">
        <f t="shared" ca="1" si="854"/>
        <v>16.039999999999992</v>
      </c>
      <c r="W2993" s="256">
        <f t="shared" ref="W2993:W2996" ca="1" si="856">IF(LEFT(_xlfn.FORMULATEXT(V2993),3)="=SO",1,IF(COUNTA(A2993:U2993)=0,0,2))</f>
        <v>2</v>
      </c>
      <c r="X2993" s="256">
        <f t="shared" ref="X2993:X2996" ca="1" si="857">IF(COUNTA(OFFSET(A2992,1,0))-COUNTA(A2992)=-1,0,1)</f>
        <v>1</v>
      </c>
      <c r="Y2993" s="250"/>
      <c r="Z2993" s="250"/>
    </row>
    <row r="2994" spans="1:29" s="111" customFormat="1" ht="15" customHeight="1" x14ac:dyDescent="0.2">
      <c r="A2994" s="288"/>
      <c r="B2994" s="322"/>
      <c r="C2994" s="963" t="s">
        <v>1123</v>
      </c>
      <c r="D2994" s="967"/>
      <c r="E2994" s="968"/>
      <c r="F2994" s="969"/>
      <c r="G2994" s="967"/>
      <c r="H2994" s="968"/>
      <c r="I2994" s="969"/>
      <c r="J2994" s="949"/>
      <c r="K2994" s="945">
        <v>10.6</v>
      </c>
      <c r="L2994" s="328"/>
      <c r="M2994" s="328"/>
      <c r="N2994" s="328"/>
      <c r="O2994" s="334"/>
      <c r="P2994" s="328"/>
      <c r="Q2994" s="947">
        <v>2</v>
      </c>
      <c r="R2994" s="333">
        <f t="shared" si="855"/>
        <v>21.2</v>
      </c>
      <c r="S2994" s="331"/>
      <c r="T2994" s="950">
        <v>33</v>
      </c>
      <c r="U2994" s="335"/>
      <c r="V2994" s="291">
        <f t="shared" ca="1" si="854"/>
        <v>16.039999999999992</v>
      </c>
      <c r="W2994" s="256">
        <f t="shared" ca="1" si="856"/>
        <v>2</v>
      </c>
      <c r="X2994" s="256">
        <f t="shared" ca="1" si="857"/>
        <v>1</v>
      </c>
      <c r="Y2994" s="250"/>
      <c r="Z2994" s="250"/>
    </row>
    <row r="2995" spans="1:29" s="111" customFormat="1" ht="15.75" x14ac:dyDescent="0.2">
      <c r="A2995" s="288"/>
      <c r="B2995" s="311"/>
      <c r="C2995" s="940" t="s">
        <v>1124</v>
      </c>
      <c r="D2995" s="945"/>
      <c r="E2995" s="964"/>
      <c r="F2995" s="947"/>
      <c r="G2995" s="965"/>
      <c r="H2995" s="934"/>
      <c r="I2995" s="966"/>
      <c r="J2995" s="949"/>
      <c r="K2995" s="945">
        <v>1.2</v>
      </c>
      <c r="L2995" s="949"/>
      <c r="M2995" s="947"/>
      <c r="N2995" s="964"/>
      <c r="O2995" s="945"/>
      <c r="P2995" s="946"/>
      <c r="Q2995" s="947">
        <v>2</v>
      </c>
      <c r="R2995" s="948">
        <v>3.4</v>
      </c>
      <c r="S2995" s="949"/>
      <c r="T2995" s="950">
        <v>44</v>
      </c>
      <c r="U2995" s="335" t="s">
        <v>1273</v>
      </c>
      <c r="V2995" s="291">
        <f t="shared" ca="1" si="854"/>
        <v>16.039999999999992</v>
      </c>
      <c r="W2995" s="256">
        <f t="shared" ca="1" si="856"/>
        <v>2</v>
      </c>
      <c r="X2995" s="256">
        <f t="shared" ca="1" si="857"/>
        <v>1</v>
      </c>
      <c r="Y2995" s="250"/>
      <c r="Z2995" s="250"/>
    </row>
    <row r="2996" spans="1:29" s="111" customFormat="1" ht="15" x14ac:dyDescent="0.2">
      <c r="A2996" s="288"/>
      <c r="B2996" s="322"/>
      <c r="C2996" s="312" t="s">
        <v>1125</v>
      </c>
      <c r="D2996" s="324"/>
      <c r="E2996" s="325"/>
      <c r="F2996" s="326"/>
      <c r="G2996" s="324"/>
      <c r="H2996" s="325"/>
      <c r="I2996" s="326"/>
      <c r="J2996" s="317"/>
      <c r="K2996" s="313" t="s">
        <v>10</v>
      </c>
      <c r="L2996" s="328"/>
      <c r="M2996" s="328"/>
      <c r="N2996" s="328"/>
      <c r="O2996" s="334"/>
      <c r="P2996" s="328"/>
      <c r="Q2996" s="334">
        <v>2</v>
      </c>
      <c r="R2996" s="333">
        <v>2.2000000000000002</v>
      </c>
      <c r="S2996" s="331"/>
      <c r="T2996" s="320">
        <v>44</v>
      </c>
      <c r="U2996" s="335"/>
      <c r="V2996" s="291">
        <f t="shared" ca="1" si="854"/>
        <v>16.039999999999992</v>
      </c>
      <c r="W2996" s="256">
        <f t="shared" ca="1" si="856"/>
        <v>2</v>
      </c>
      <c r="X2996" s="256">
        <f t="shared" ca="1" si="857"/>
        <v>1</v>
      </c>
      <c r="Y2996" s="250"/>
      <c r="Z2996" s="250"/>
    </row>
    <row r="2997" spans="1:29" s="111" customFormat="1" ht="15.75" x14ac:dyDescent="0.2">
      <c r="A2997" s="288"/>
      <c r="B2997" s="311"/>
      <c r="C2997" s="312"/>
      <c r="D2997" s="313"/>
      <c r="E2997" s="314"/>
      <c r="F2997" s="315"/>
      <c r="G2997" s="380"/>
      <c r="H2997" s="316"/>
      <c r="I2997" s="381"/>
      <c r="J2997" s="317"/>
      <c r="K2997" s="313"/>
      <c r="L2997" s="317"/>
      <c r="M2997" s="315"/>
      <c r="N2997" s="314"/>
      <c r="O2997" s="313"/>
      <c r="P2997" s="318"/>
      <c r="Q2997" s="315"/>
      <c r="R2997" s="319"/>
      <c r="S2997" s="317"/>
      <c r="T2997" s="320"/>
      <c r="U2997" s="321"/>
      <c r="V2997" s="291">
        <f t="shared" ca="1" si="854"/>
        <v>16.039999999999992</v>
      </c>
      <c r="W2997" s="256">
        <f t="shared" ref="W2997:W2998" ca="1" si="858">IF(LEFT(_xlfn.FORMULATEXT(V2997),3)="=SO",1,IF(COUNTA(A2997:U2997)=0,0,2))</f>
        <v>0</v>
      </c>
      <c r="X2997" s="256">
        <f t="shared" ref="X2997:X2998" ca="1" si="859">IF(COUNTA(OFFSET(A2996,1,0))-COUNTA(A2996)=-1,0,1)</f>
        <v>1</v>
      </c>
      <c r="Y2997" s="250"/>
      <c r="Z2997" s="250"/>
    </row>
    <row r="2998" spans="1:29" s="111" customFormat="1" ht="15" x14ac:dyDescent="0.2">
      <c r="A2998" s="288"/>
      <c r="B2998" s="322"/>
      <c r="C2998" s="382"/>
      <c r="D2998" s="324"/>
      <c r="E2998" s="325"/>
      <c r="F2998" s="326"/>
      <c r="G2998" s="324"/>
      <c r="H2998" s="325"/>
      <c r="I2998" s="326"/>
      <c r="J2998" s="317"/>
      <c r="K2998" s="328"/>
      <c r="L2998" s="328"/>
      <c r="M2998" s="328"/>
      <c r="N2998" s="328"/>
      <c r="O2998" s="334"/>
      <c r="P2998" s="328"/>
      <c r="Q2998" s="334"/>
      <c r="R2998" s="333"/>
      <c r="S2998" s="331"/>
      <c r="T2998" s="320"/>
      <c r="U2998" s="335"/>
      <c r="V2998" s="291">
        <f t="shared" ca="1" si="854"/>
        <v>16.039999999999992</v>
      </c>
      <c r="W2998" s="256">
        <f t="shared" ca="1" si="858"/>
        <v>0</v>
      </c>
      <c r="X2998" s="256">
        <f t="shared" ca="1" si="859"/>
        <v>1</v>
      </c>
      <c r="Y2998" s="250"/>
      <c r="Z2998" s="250"/>
    </row>
    <row r="2999" spans="1:29" s="111" customFormat="1" ht="15" x14ac:dyDescent="0.2">
      <c r="A2999" s="288"/>
      <c r="B2999" s="338"/>
      <c r="C2999" s="339"/>
      <c r="D2999" s="340"/>
      <c r="E2999" s="341"/>
      <c r="F2999" s="342"/>
      <c r="G2999" s="340"/>
      <c r="H2999" s="341"/>
      <c r="I2999" s="342"/>
      <c r="J2999" s="343"/>
      <c r="K2999" s="344"/>
      <c r="L2999" s="345"/>
      <c r="M2999" s="346"/>
      <c r="N2999" s="347"/>
      <c r="O2999" s="348"/>
      <c r="P2999" s="345"/>
      <c r="Q2999" s="349"/>
      <c r="R2999" s="350"/>
      <c r="S2999" s="351"/>
      <c r="T2999" s="352"/>
      <c r="U2999" s="353"/>
      <c r="V2999" s="291">
        <f t="shared" ca="1" si="854"/>
        <v>16.039999999999992</v>
      </c>
      <c r="W2999" s="256">
        <f t="shared" ca="1" si="849"/>
        <v>0</v>
      </c>
      <c r="X2999" s="256">
        <f ca="1">IF(COUNTA(OFFSET(A2992,1,0))-COUNTA(A2992)=-1,0,1)</f>
        <v>1</v>
      </c>
      <c r="Y2999" s="250"/>
      <c r="Z2999" s="250"/>
    </row>
    <row r="3000" spans="1:29" s="111" customFormat="1" ht="15.75" customHeight="1" x14ac:dyDescent="0.2">
      <c r="A3000" s="288"/>
      <c r="B3000" s="354"/>
      <c r="C3000" s="355"/>
      <c r="D3000" s="1354" t="s">
        <v>492</v>
      </c>
      <c r="E3000" s="1355"/>
      <c r="F3000" s="1355"/>
      <c r="G3000" s="1355"/>
      <c r="H3000" s="1355"/>
      <c r="I3000" s="1356"/>
      <c r="J3000" s="1357">
        <f>VLOOKUP(A3002,'11 - FINANCEIRO'!_xlnm.Print_Area,6,FALSE)</f>
        <v>78.599999999999994</v>
      </c>
      <c r="K3000" s="1358"/>
      <c r="L3000" s="356" t="str">
        <f>VLOOKUP(A3002,'11 - FINANCEIRO'!_xlnm.Print_Area,4,FALSE)</f>
        <v>m</v>
      </c>
      <c r="M3000" s="1359" t="s">
        <v>493</v>
      </c>
      <c r="N3000" s="1360"/>
      <c r="O3000" s="1360"/>
      <c r="P3000" s="1360"/>
      <c r="Q3000" s="1361"/>
      <c r="R3000" s="357">
        <f>TRUNC(SUM(R2990:R2999),3)</f>
        <v>78.599999999999994</v>
      </c>
      <c r="S3000" s="358" t="str">
        <f>L3000</f>
        <v>m</v>
      </c>
      <c r="T3000" s="359"/>
      <c r="U3000" s="360"/>
      <c r="V3000" s="291">
        <f t="shared" ca="1" si="854"/>
        <v>16.039999999999992</v>
      </c>
      <c r="W3000" s="256">
        <f t="shared" ca="1" si="849"/>
        <v>2</v>
      </c>
      <c r="X3000" s="256">
        <f t="shared" ca="1" si="852"/>
        <v>1</v>
      </c>
      <c r="Y3000" s="250"/>
      <c r="Z3000" s="250"/>
    </row>
    <row r="3001" spans="1:29" s="293" customFormat="1" ht="15.75" customHeight="1" x14ac:dyDescent="0.2">
      <c r="A3001" s="288"/>
      <c r="B3001" s="354"/>
      <c r="C3001" s="361"/>
      <c r="D3001" s="1362" t="s">
        <v>494</v>
      </c>
      <c r="E3001" s="1363"/>
      <c r="F3001" s="1363"/>
      <c r="G3001" s="1363"/>
      <c r="H3001" s="1363"/>
      <c r="I3001" s="1364"/>
      <c r="J3001" s="1365">
        <f>R3000/J3000</f>
        <v>1</v>
      </c>
      <c r="K3001" s="1366"/>
      <c r="L3001" s="1369"/>
      <c r="M3001" s="1371" t="s">
        <v>495</v>
      </c>
      <c r="N3001" s="1372"/>
      <c r="O3001" s="1372"/>
      <c r="P3001" s="1372"/>
      <c r="Q3001" s="1373"/>
      <c r="R3001" s="362">
        <f>VLOOKUP(A3002,'11 - FINANCEIRO'!_xlnm.Print_Area,8,FALSE)</f>
        <v>62.56</v>
      </c>
      <c r="S3001" s="363" t="str">
        <f>L3000</f>
        <v>m</v>
      </c>
      <c r="T3001" s="359"/>
      <c r="U3001" s="829"/>
      <c r="V3001" s="291">
        <f t="shared" ca="1" si="854"/>
        <v>16.039999999999992</v>
      </c>
      <c r="W3001" s="256">
        <f t="shared" ca="1" si="849"/>
        <v>2</v>
      </c>
      <c r="X3001" s="256">
        <f t="shared" ca="1" si="852"/>
        <v>1</v>
      </c>
      <c r="Y3001" s="256"/>
      <c r="Z3001" s="256"/>
      <c r="AA3001" s="292"/>
      <c r="AB3001" s="292"/>
      <c r="AC3001" s="292"/>
    </row>
    <row r="3002" spans="1:29" s="293" customFormat="1" ht="15.75" customHeight="1" x14ac:dyDescent="0.2">
      <c r="A3002" s="288" t="s">
        <v>175</v>
      </c>
      <c r="B3002" s="364"/>
      <c r="C3002" s="365"/>
      <c r="D3002" s="1354"/>
      <c r="E3002" s="1355"/>
      <c r="F3002" s="1355"/>
      <c r="G3002" s="1355"/>
      <c r="H3002" s="1355"/>
      <c r="I3002" s="1356"/>
      <c r="J3002" s="1367"/>
      <c r="K3002" s="1368"/>
      <c r="L3002" s="1370"/>
      <c r="M3002" s="1371" t="s">
        <v>496</v>
      </c>
      <c r="N3002" s="1372"/>
      <c r="O3002" s="1372"/>
      <c r="P3002" s="1372"/>
      <c r="Q3002" s="1373"/>
      <c r="R3002" s="362">
        <f>R3000-R3001</f>
        <v>16.039999999999992</v>
      </c>
      <c r="S3002" s="363" t="str">
        <f>L3000</f>
        <v>m</v>
      </c>
      <c r="T3002" s="366"/>
      <c r="U3002" s="367"/>
      <c r="V3002" s="291">
        <f t="shared" ca="1" si="854"/>
        <v>16.039999999999992</v>
      </c>
      <c r="W3002" s="256">
        <f t="shared" ca="1" si="849"/>
        <v>2</v>
      </c>
      <c r="X3002" s="256">
        <f t="shared" ca="1" si="852"/>
        <v>1</v>
      </c>
      <c r="Y3002" s="256"/>
      <c r="Z3002" s="256"/>
      <c r="AA3002" s="292"/>
      <c r="AB3002" s="292"/>
      <c r="AC3002" s="292"/>
    </row>
    <row r="3003" spans="1:29" s="111" customFormat="1" ht="15.75" x14ac:dyDescent="0.2">
      <c r="A3003" s="288"/>
      <c r="B3003" s="368"/>
      <c r="C3003" s="365"/>
      <c r="D3003" s="369"/>
      <c r="E3003" s="370"/>
      <c r="F3003" s="369"/>
      <c r="G3003" s="369"/>
      <c r="H3003" s="369"/>
      <c r="I3003" s="369"/>
      <c r="J3003" s="371"/>
      <c r="K3003" s="372"/>
      <c r="L3003" s="373"/>
      <c r="M3003" s="374"/>
      <c r="N3003" s="374"/>
      <c r="O3003" s="374"/>
      <c r="P3003" s="374"/>
      <c r="Q3003" s="374"/>
      <c r="R3003" s="375"/>
      <c r="S3003" s="376"/>
      <c r="T3003" s="377"/>
      <c r="U3003" s="378"/>
      <c r="V3003" s="379">
        <f ca="1">SUM(V2988:V3002)</f>
        <v>240.59999999999988</v>
      </c>
      <c r="W3003" s="256">
        <f t="shared" ca="1" si="849"/>
        <v>1</v>
      </c>
      <c r="X3003" s="256">
        <f t="shared" ca="1" si="852"/>
        <v>0</v>
      </c>
      <c r="Y3003" s="250"/>
      <c r="Z3003" s="250"/>
    </row>
    <row r="3004" spans="1:29" s="293" customFormat="1" ht="15.75" hidden="1" customHeight="1" x14ac:dyDescent="0.25">
      <c r="A3004" s="288"/>
      <c r="B3004" s="1374" t="str">
        <f>VLOOKUP(A3012,'11 - FINANCEIRO'!_xlnm.Print_Area,1,FALSE)</f>
        <v>4.2.10</v>
      </c>
      <c r="C3004" s="1376" t="str">
        <f>VLOOKUP(A3012,'11 - FINANCEIRO'!_xlnm.Print_Area,3,FALSE)</f>
        <v>Demolição Manual De Construções Provisórias - Sem Reaproveitamento, Incluído Transporte E Destinação</v>
      </c>
      <c r="D3004" s="1378" t="s">
        <v>477</v>
      </c>
      <c r="E3004" s="1379"/>
      <c r="F3004" s="1379"/>
      <c r="G3004" s="1379"/>
      <c r="H3004" s="1379"/>
      <c r="I3004" s="1380"/>
      <c r="J3004" s="1338" t="s">
        <v>478</v>
      </c>
      <c r="K3004" s="1338" t="s">
        <v>479</v>
      </c>
      <c r="L3004" s="1338" t="s">
        <v>480</v>
      </c>
      <c r="M3004" s="1338" t="s">
        <v>481</v>
      </c>
      <c r="N3004" s="1338" t="s">
        <v>482</v>
      </c>
      <c r="O3004" s="1338" t="s">
        <v>483</v>
      </c>
      <c r="P3004" s="290" t="s">
        <v>484</v>
      </c>
      <c r="Q3004" s="1338" t="s">
        <v>485</v>
      </c>
      <c r="R3004" s="1336" t="s">
        <v>296</v>
      </c>
      <c r="S3004" s="1338" t="s">
        <v>486</v>
      </c>
      <c r="T3004" s="1338" t="s">
        <v>487</v>
      </c>
      <c r="U3004" s="1340" t="s">
        <v>488</v>
      </c>
      <c r="V3004" s="291">
        <f t="shared" ref="V3004:V3012" ca="1" si="860">IF(OFFSET(V3004,1,1)=1,OFFSET(V3004,0,-4),OFFSET(V3004,1,0))</f>
        <v>0</v>
      </c>
      <c r="W3004" s="256">
        <f t="shared" ca="1" si="849"/>
        <v>2</v>
      </c>
      <c r="X3004" s="256">
        <f t="shared" ca="1" si="852"/>
        <v>1</v>
      </c>
      <c r="Y3004" s="256"/>
      <c r="Z3004" s="256"/>
      <c r="AA3004" s="292"/>
      <c r="AB3004" s="292"/>
      <c r="AC3004" s="292"/>
    </row>
    <row r="3005" spans="1:29" s="337" customFormat="1" ht="15.75" hidden="1" x14ac:dyDescent="0.2">
      <c r="A3005" s="288"/>
      <c r="B3005" s="1375"/>
      <c r="C3005" s="1377" t="e">
        <f>VLOOKUP(LEFT(#REF!,5),'11 - FINANCEIRO'!_xlnm.Print_Area,2,FALSE)</f>
        <v>#REF!</v>
      </c>
      <c r="D3005" s="1342" t="s">
        <v>489</v>
      </c>
      <c r="E3005" s="1343"/>
      <c r="F3005" s="1344"/>
      <c r="G3005" s="1345" t="s">
        <v>490</v>
      </c>
      <c r="H3005" s="1346"/>
      <c r="I3005" s="1347"/>
      <c r="J3005" s="1339"/>
      <c r="K3005" s="1339"/>
      <c r="L3005" s="1339"/>
      <c r="M3005" s="1339"/>
      <c r="N3005" s="1339"/>
      <c r="O3005" s="1339"/>
      <c r="P3005" s="295" t="s">
        <v>491</v>
      </c>
      <c r="Q3005" s="1339"/>
      <c r="R3005" s="1337"/>
      <c r="S3005" s="1339"/>
      <c r="T3005" s="1339"/>
      <c r="U3005" s="1341"/>
      <c r="V3005" s="291">
        <f t="shared" ca="1" si="860"/>
        <v>0</v>
      </c>
      <c r="W3005" s="256">
        <f t="shared" ca="1" si="849"/>
        <v>2</v>
      </c>
      <c r="X3005" s="256">
        <f t="shared" ca="1" si="852"/>
        <v>1</v>
      </c>
      <c r="Y3005" s="336"/>
      <c r="Z3005" s="336"/>
    </row>
    <row r="3006" spans="1:29" s="337" customFormat="1" ht="15.75" hidden="1" x14ac:dyDescent="0.2">
      <c r="A3006" s="288"/>
      <c r="B3006" s="296"/>
      <c r="C3006" s="297" t="s">
        <v>1056</v>
      </c>
      <c r="D3006" s="298"/>
      <c r="E3006" s="299"/>
      <c r="F3006" s="300"/>
      <c r="G3006" s="301"/>
      <c r="H3006" s="302"/>
      <c r="I3006" s="303"/>
      <c r="J3006" s="304"/>
      <c r="K3006" s="304"/>
      <c r="L3006" s="304"/>
      <c r="M3006" s="304"/>
      <c r="N3006" s="304"/>
      <c r="O3006" s="304"/>
      <c r="P3006" s="306"/>
      <c r="Q3006" s="304"/>
      <c r="R3006" s="307">
        <v>2.8</v>
      </c>
      <c r="S3006" s="304"/>
      <c r="T3006" s="309">
        <v>30</v>
      </c>
      <c r="U3006" s="310"/>
      <c r="V3006" s="291">
        <f t="shared" ca="1" si="860"/>
        <v>0</v>
      </c>
      <c r="W3006" s="256">
        <f t="shared" ca="1" si="849"/>
        <v>2</v>
      </c>
      <c r="X3006" s="256">
        <f t="shared" ca="1" si="852"/>
        <v>1</v>
      </c>
      <c r="Y3006" s="336"/>
      <c r="Z3006" s="336"/>
    </row>
    <row r="3007" spans="1:29" s="111" customFormat="1" ht="15.75" hidden="1" x14ac:dyDescent="0.2">
      <c r="A3007" s="288"/>
      <c r="B3007" s="311"/>
      <c r="C3007" s="312"/>
      <c r="D3007" s="313"/>
      <c r="E3007" s="314"/>
      <c r="F3007" s="315"/>
      <c r="G3007" s="380"/>
      <c r="H3007" s="316"/>
      <c r="I3007" s="381"/>
      <c r="J3007" s="317"/>
      <c r="K3007" s="313"/>
      <c r="L3007" s="317"/>
      <c r="M3007" s="315"/>
      <c r="N3007" s="314"/>
      <c r="O3007" s="313"/>
      <c r="P3007" s="318"/>
      <c r="Q3007" s="315"/>
      <c r="R3007" s="319"/>
      <c r="S3007" s="317"/>
      <c r="T3007" s="320"/>
      <c r="U3007" s="321"/>
      <c r="V3007" s="291">
        <f t="shared" ca="1" si="860"/>
        <v>0</v>
      </c>
      <c r="W3007" s="256">
        <f t="shared" ca="1" si="849"/>
        <v>0</v>
      </c>
      <c r="X3007" s="256">
        <f t="shared" ca="1" si="852"/>
        <v>1</v>
      </c>
      <c r="Y3007" s="250"/>
      <c r="Z3007" s="250"/>
    </row>
    <row r="3008" spans="1:29" s="111" customFormat="1" ht="15" hidden="1" x14ac:dyDescent="0.2">
      <c r="A3008" s="288"/>
      <c r="B3008" s="322"/>
      <c r="C3008" s="382"/>
      <c r="D3008" s="324"/>
      <c r="E3008" s="325"/>
      <c r="F3008" s="326"/>
      <c r="G3008" s="324"/>
      <c r="H3008" s="325"/>
      <c r="I3008" s="326"/>
      <c r="J3008" s="317"/>
      <c r="K3008" s="328"/>
      <c r="L3008" s="328"/>
      <c r="M3008" s="328"/>
      <c r="N3008" s="328"/>
      <c r="O3008" s="334"/>
      <c r="P3008" s="328"/>
      <c r="Q3008" s="334"/>
      <c r="R3008" s="333"/>
      <c r="S3008" s="331"/>
      <c r="T3008" s="320"/>
      <c r="U3008" s="335"/>
      <c r="V3008" s="291">
        <f t="shared" ca="1" si="860"/>
        <v>0</v>
      </c>
      <c r="W3008" s="256">
        <f t="shared" ca="1" si="849"/>
        <v>0</v>
      </c>
      <c r="X3008" s="256">
        <f t="shared" ca="1" si="852"/>
        <v>1</v>
      </c>
      <c r="Y3008" s="250"/>
      <c r="Z3008" s="250"/>
    </row>
    <row r="3009" spans="1:29" s="111" customFormat="1" ht="15" hidden="1" x14ac:dyDescent="0.2">
      <c r="A3009" s="288"/>
      <c r="B3009" s="338"/>
      <c r="C3009" s="339"/>
      <c r="D3009" s="340"/>
      <c r="E3009" s="341"/>
      <c r="F3009" s="342"/>
      <c r="G3009" s="340"/>
      <c r="H3009" s="341"/>
      <c r="I3009" s="342"/>
      <c r="J3009" s="343"/>
      <c r="K3009" s="344"/>
      <c r="L3009" s="345"/>
      <c r="M3009" s="346"/>
      <c r="N3009" s="347"/>
      <c r="O3009" s="348"/>
      <c r="P3009" s="345"/>
      <c r="Q3009" s="349"/>
      <c r="R3009" s="350"/>
      <c r="S3009" s="351"/>
      <c r="T3009" s="352"/>
      <c r="U3009" s="353"/>
      <c r="V3009" s="291">
        <f t="shared" ca="1" si="860"/>
        <v>0</v>
      </c>
      <c r="W3009" s="256">
        <f t="shared" ca="1" si="849"/>
        <v>0</v>
      </c>
      <c r="X3009" s="256">
        <f t="shared" ca="1" si="852"/>
        <v>1</v>
      </c>
      <c r="Y3009" s="250"/>
      <c r="Z3009" s="250"/>
    </row>
    <row r="3010" spans="1:29" s="111" customFormat="1" ht="15.75" hidden="1" customHeight="1" x14ac:dyDescent="0.2">
      <c r="A3010" s="288"/>
      <c r="B3010" s="354"/>
      <c r="C3010" s="355"/>
      <c r="D3010" s="1354" t="s">
        <v>492</v>
      </c>
      <c r="E3010" s="1355"/>
      <c r="F3010" s="1355"/>
      <c r="G3010" s="1355"/>
      <c r="H3010" s="1355"/>
      <c r="I3010" s="1356"/>
      <c r="J3010" s="1357">
        <f>VLOOKUP(A3012,'11 - FINANCEIRO'!_xlnm.Print_Area,6,FALSE)</f>
        <v>28</v>
      </c>
      <c r="K3010" s="1358"/>
      <c r="L3010" s="356" t="str">
        <f>VLOOKUP(A3012,'11 - FINANCEIRO'!_xlnm.Print_Area,4,FALSE)</f>
        <v>m²</v>
      </c>
      <c r="M3010" s="1359" t="s">
        <v>493</v>
      </c>
      <c r="N3010" s="1360"/>
      <c r="O3010" s="1360"/>
      <c r="P3010" s="1360"/>
      <c r="Q3010" s="1361"/>
      <c r="R3010" s="357">
        <f>TRUNC(SUM(R3006:R3009),3)</f>
        <v>2.8</v>
      </c>
      <c r="S3010" s="358" t="str">
        <f>L3010</f>
        <v>m²</v>
      </c>
      <c r="T3010" s="359"/>
      <c r="U3010" s="360"/>
      <c r="V3010" s="291">
        <f t="shared" ca="1" si="860"/>
        <v>0</v>
      </c>
      <c r="W3010" s="256">
        <f t="shared" ca="1" si="849"/>
        <v>2</v>
      </c>
      <c r="X3010" s="256">
        <f t="shared" ca="1" si="852"/>
        <v>1</v>
      </c>
      <c r="Y3010" s="250"/>
      <c r="Z3010" s="250"/>
    </row>
    <row r="3011" spans="1:29" s="293" customFormat="1" ht="15.75" hidden="1" customHeight="1" x14ac:dyDescent="0.2">
      <c r="A3011" s="288"/>
      <c r="B3011" s="354"/>
      <c r="C3011" s="361"/>
      <c r="D3011" s="1362" t="s">
        <v>494</v>
      </c>
      <c r="E3011" s="1363"/>
      <c r="F3011" s="1363"/>
      <c r="G3011" s="1363"/>
      <c r="H3011" s="1363"/>
      <c r="I3011" s="1364"/>
      <c r="J3011" s="1365">
        <f>R3010/J3010</f>
        <v>9.9999999999999992E-2</v>
      </c>
      <c r="K3011" s="1366"/>
      <c r="L3011" s="1369"/>
      <c r="M3011" s="1371" t="s">
        <v>495</v>
      </c>
      <c r="N3011" s="1372"/>
      <c r="O3011" s="1372"/>
      <c r="P3011" s="1372"/>
      <c r="Q3011" s="1373"/>
      <c r="R3011" s="362">
        <f>VLOOKUP(A3012,'11 - FINANCEIRO'!_xlnm.Print_Area,8,FALSE)</f>
        <v>2.8</v>
      </c>
      <c r="S3011" s="363" t="str">
        <f>L3010</f>
        <v>m²</v>
      </c>
      <c r="T3011" s="359"/>
      <c r="U3011" s="360"/>
      <c r="V3011" s="291">
        <f t="shared" ca="1" si="860"/>
        <v>0</v>
      </c>
      <c r="W3011" s="256">
        <f t="shared" ca="1" si="849"/>
        <v>2</v>
      </c>
      <c r="X3011" s="256">
        <f t="shared" ca="1" si="852"/>
        <v>1</v>
      </c>
      <c r="Y3011" s="256"/>
      <c r="Z3011" s="256"/>
      <c r="AA3011" s="292"/>
      <c r="AB3011" s="292"/>
      <c r="AC3011" s="292"/>
    </row>
    <row r="3012" spans="1:29" s="293" customFormat="1" ht="15.75" hidden="1" customHeight="1" x14ac:dyDescent="0.2">
      <c r="A3012" s="288" t="s">
        <v>176</v>
      </c>
      <c r="B3012" s="364"/>
      <c r="C3012" s="365"/>
      <c r="D3012" s="1354"/>
      <c r="E3012" s="1355"/>
      <c r="F3012" s="1355"/>
      <c r="G3012" s="1355"/>
      <c r="H3012" s="1355"/>
      <c r="I3012" s="1356"/>
      <c r="J3012" s="1367"/>
      <c r="K3012" s="1368"/>
      <c r="L3012" s="1370"/>
      <c r="M3012" s="1371" t="s">
        <v>496</v>
      </c>
      <c r="N3012" s="1372"/>
      <c r="O3012" s="1372"/>
      <c r="P3012" s="1372"/>
      <c r="Q3012" s="1373"/>
      <c r="R3012" s="362">
        <f>R3010-R3011</f>
        <v>0</v>
      </c>
      <c r="S3012" s="363" t="str">
        <f>L3010</f>
        <v>m²</v>
      </c>
      <c r="T3012" s="366"/>
      <c r="U3012" s="367"/>
      <c r="V3012" s="291">
        <f t="shared" ca="1" si="860"/>
        <v>0</v>
      </c>
      <c r="W3012" s="256">
        <f t="shared" ca="1" si="849"/>
        <v>2</v>
      </c>
      <c r="X3012" s="256">
        <f t="shared" ca="1" si="852"/>
        <v>1</v>
      </c>
      <c r="Y3012" s="256"/>
      <c r="Z3012" s="256"/>
      <c r="AA3012" s="292"/>
      <c r="AB3012" s="292"/>
      <c r="AC3012" s="292"/>
    </row>
    <row r="3013" spans="1:29" s="111" customFormat="1" ht="15.75" hidden="1" x14ac:dyDescent="0.2">
      <c r="A3013" s="288"/>
      <c r="B3013" s="368"/>
      <c r="C3013" s="365"/>
      <c r="D3013" s="369"/>
      <c r="E3013" s="370"/>
      <c r="F3013" s="369"/>
      <c r="G3013" s="369"/>
      <c r="H3013" s="369"/>
      <c r="I3013" s="369"/>
      <c r="J3013" s="371"/>
      <c r="K3013" s="372"/>
      <c r="L3013" s="373"/>
      <c r="M3013" s="374"/>
      <c r="N3013" s="374"/>
      <c r="O3013" s="374"/>
      <c r="P3013" s="374"/>
      <c r="Q3013" s="374"/>
      <c r="R3013" s="375"/>
      <c r="S3013" s="376"/>
      <c r="T3013" s="377"/>
      <c r="U3013" s="378"/>
      <c r="V3013" s="379">
        <f ca="1">SUM(V3004:V3012)</f>
        <v>0</v>
      </c>
      <c r="W3013" s="256">
        <f t="shared" ca="1" si="849"/>
        <v>1</v>
      </c>
      <c r="X3013" s="256">
        <f t="shared" ca="1" si="852"/>
        <v>0</v>
      </c>
      <c r="Y3013" s="250"/>
      <c r="Z3013" s="250"/>
    </row>
    <row r="3014" spans="1:29" s="293" customFormat="1" ht="15.75" hidden="1" customHeight="1" x14ac:dyDescent="0.25">
      <c r="A3014" s="288"/>
      <c r="B3014" s="1374" t="str">
        <f>VLOOKUP(A3022,'11 - FINANCEIRO'!_xlnm.Print_Area,1,FALSE)</f>
        <v>4.2.11</v>
      </c>
      <c r="C3014" s="1376" t="str">
        <f>VLOOKUP(A3022,'11 - FINANCEIRO'!_xlnm.Print_Area,3,FALSE)</f>
        <v>Concreto Para Bombeamento Fck = 30 Mpa - Confecção Em Central Dosadora De 30 M³/H - Areia E Brita Comerciais</v>
      </c>
      <c r="D3014" s="1378" t="s">
        <v>477</v>
      </c>
      <c r="E3014" s="1379"/>
      <c r="F3014" s="1379"/>
      <c r="G3014" s="1379"/>
      <c r="H3014" s="1379"/>
      <c r="I3014" s="1380"/>
      <c r="J3014" s="1338" t="s">
        <v>478</v>
      </c>
      <c r="K3014" s="1338" t="s">
        <v>479</v>
      </c>
      <c r="L3014" s="1338" t="s">
        <v>480</v>
      </c>
      <c r="M3014" s="1338" t="s">
        <v>481</v>
      </c>
      <c r="N3014" s="1338" t="s">
        <v>482</v>
      </c>
      <c r="O3014" s="1338" t="s">
        <v>483</v>
      </c>
      <c r="P3014" s="290" t="s">
        <v>484</v>
      </c>
      <c r="Q3014" s="1338" t="s">
        <v>485</v>
      </c>
      <c r="R3014" s="1336" t="s">
        <v>296</v>
      </c>
      <c r="S3014" s="1338" t="s">
        <v>486</v>
      </c>
      <c r="T3014" s="1338" t="s">
        <v>487</v>
      </c>
      <c r="U3014" s="1340" t="s">
        <v>488</v>
      </c>
      <c r="V3014" s="291">
        <f t="shared" ref="V3014:V3022" ca="1" si="861">IF(OFFSET(V3014,1,1)=1,OFFSET(V3014,0,-4),OFFSET(V3014,1,0))</f>
        <v>0</v>
      </c>
      <c r="W3014" s="256">
        <f t="shared" ca="1" si="849"/>
        <v>2</v>
      </c>
      <c r="X3014" s="256">
        <f t="shared" ca="1" si="852"/>
        <v>1</v>
      </c>
      <c r="Y3014" s="256"/>
      <c r="Z3014" s="256"/>
      <c r="AA3014" s="292"/>
      <c r="AB3014" s="292"/>
      <c r="AC3014" s="292"/>
    </row>
    <row r="3015" spans="1:29" s="337" customFormat="1" ht="15.75" hidden="1" x14ac:dyDescent="0.2">
      <c r="A3015" s="288"/>
      <c r="B3015" s="1375"/>
      <c r="C3015" s="1377" t="e">
        <f>VLOOKUP(LEFT(#REF!,5),'11 - FINANCEIRO'!_xlnm.Print_Area,2,FALSE)</f>
        <v>#REF!</v>
      </c>
      <c r="D3015" s="1342" t="s">
        <v>489</v>
      </c>
      <c r="E3015" s="1343"/>
      <c r="F3015" s="1344"/>
      <c r="G3015" s="1345" t="s">
        <v>490</v>
      </c>
      <c r="H3015" s="1346"/>
      <c r="I3015" s="1347"/>
      <c r="J3015" s="1339"/>
      <c r="K3015" s="1339"/>
      <c r="L3015" s="1339"/>
      <c r="M3015" s="1339"/>
      <c r="N3015" s="1339"/>
      <c r="O3015" s="1339"/>
      <c r="P3015" s="295" t="s">
        <v>491</v>
      </c>
      <c r="Q3015" s="1339"/>
      <c r="R3015" s="1337"/>
      <c r="S3015" s="1339"/>
      <c r="T3015" s="1339"/>
      <c r="U3015" s="1341"/>
      <c r="V3015" s="291">
        <f t="shared" ca="1" si="861"/>
        <v>0</v>
      </c>
      <c r="W3015" s="256">
        <f t="shared" ca="1" si="849"/>
        <v>2</v>
      </c>
      <c r="X3015" s="256">
        <f t="shared" ca="1" si="852"/>
        <v>1</v>
      </c>
      <c r="Y3015" s="336"/>
      <c r="Z3015" s="336"/>
    </row>
    <row r="3016" spans="1:29" s="337" customFormat="1" ht="15.75" hidden="1" x14ac:dyDescent="0.2">
      <c r="A3016" s="288"/>
      <c r="B3016" s="296"/>
      <c r="C3016" s="297" t="s">
        <v>1066</v>
      </c>
      <c r="D3016" s="298"/>
      <c r="E3016" s="299"/>
      <c r="F3016" s="300"/>
      <c r="G3016" s="301"/>
      <c r="H3016" s="302"/>
      <c r="I3016" s="303"/>
      <c r="J3016" s="304"/>
      <c r="K3016" s="304">
        <v>20.399999999999999</v>
      </c>
      <c r="L3016" s="304">
        <v>1.2</v>
      </c>
      <c r="M3016" s="304">
        <v>0.1</v>
      </c>
      <c r="N3016" s="304"/>
      <c r="O3016" s="589">
        <f>K3016*L3016*M3016</f>
        <v>2.448</v>
      </c>
      <c r="P3016" s="306"/>
      <c r="Q3016" s="304">
        <v>2</v>
      </c>
      <c r="R3016" s="307">
        <f>O3016*Q3016</f>
        <v>4.8959999999999999</v>
      </c>
      <c r="S3016" s="304"/>
      <c r="T3016" s="309">
        <v>30</v>
      </c>
      <c r="U3016" s="310"/>
      <c r="V3016" s="291">
        <f t="shared" ca="1" si="861"/>
        <v>0</v>
      </c>
      <c r="W3016" s="256">
        <f t="shared" ca="1" si="849"/>
        <v>2</v>
      </c>
      <c r="X3016" s="256">
        <f t="shared" ca="1" si="852"/>
        <v>1</v>
      </c>
      <c r="Y3016" s="336"/>
      <c r="Z3016" s="336"/>
    </row>
    <row r="3017" spans="1:29" s="111" customFormat="1" ht="15.75" hidden="1" x14ac:dyDescent="0.2">
      <c r="A3017" s="288"/>
      <c r="B3017" s="311"/>
      <c r="C3017" s="426" t="s">
        <v>1067</v>
      </c>
      <c r="D3017" s="313"/>
      <c r="E3017" s="314"/>
      <c r="F3017" s="315"/>
      <c r="G3017" s="380"/>
      <c r="H3017" s="316"/>
      <c r="I3017" s="381"/>
      <c r="J3017" s="317"/>
      <c r="K3017" s="313">
        <v>22.4</v>
      </c>
      <c r="L3017" s="317">
        <v>1.2</v>
      </c>
      <c r="M3017" s="315">
        <v>7.0000000000000007E-2</v>
      </c>
      <c r="N3017" s="314"/>
      <c r="O3017" s="317">
        <f>K3017*L3017*M3017</f>
        <v>1.8816000000000002</v>
      </c>
      <c r="P3017" s="318"/>
      <c r="Q3017" s="315">
        <v>2</v>
      </c>
      <c r="R3017" s="524">
        <f>O3017*Q3017</f>
        <v>3.7632000000000003</v>
      </c>
      <c r="S3017" s="317"/>
      <c r="T3017" s="320">
        <v>30</v>
      </c>
      <c r="U3017" s="321"/>
      <c r="V3017" s="291">
        <f t="shared" ca="1" si="861"/>
        <v>0</v>
      </c>
      <c r="W3017" s="256">
        <f t="shared" ca="1" si="849"/>
        <v>2</v>
      </c>
      <c r="X3017" s="256">
        <f t="shared" ca="1" si="852"/>
        <v>1</v>
      </c>
      <c r="Y3017" s="250"/>
      <c r="Z3017" s="250"/>
    </row>
    <row r="3018" spans="1:29" s="111" customFormat="1" ht="15" hidden="1" x14ac:dyDescent="0.2">
      <c r="A3018" s="288"/>
      <c r="B3018" s="322"/>
      <c r="C3018" s="382" t="s">
        <v>1068</v>
      </c>
      <c r="D3018" s="324"/>
      <c r="E3018" s="325"/>
      <c r="F3018" s="326"/>
      <c r="G3018" s="324"/>
      <c r="H3018" s="325"/>
      <c r="I3018" s="326"/>
      <c r="J3018" s="317"/>
      <c r="K3018" s="313">
        <v>0.75</v>
      </c>
      <c r="L3018" s="317">
        <v>1.2</v>
      </c>
      <c r="M3018" s="315">
        <v>1</v>
      </c>
      <c r="N3018" s="328"/>
      <c r="O3018" s="317">
        <f>K3018*L3018*M3018</f>
        <v>0.89999999999999991</v>
      </c>
      <c r="P3018" s="328"/>
      <c r="Q3018" s="315">
        <v>2</v>
      </c>
      <c r="R3018" s="333">
        <f>O3018*Q3018</f>
        <v>1.7999999999999998</v>
      </c>
      <c r="S3018" s="331"/>
      <c r="T3018" s="320"/>
      <c r="U3018" s="335"/>
      <c r="V3018" s="291">
        <f t="shared" ca="1" si="861"/>
        <v>0</v>
      </c>
      <c r="W3018" s="256">
        <f t="shared" ref="W3018" ca="1" si="862">IF(LEFT(_xlfn.FORMULATEXT(V3018),3)="=SO",1,IF(COUNTA(A3018:U3018)=0,0,2))</f>
        <v>2</v>
      </c>
      <c r="X3018" s="256">
        <f t="shared" ref="X3018" ca="1" si="863">IF(COUNTA(OFFSET(A3017,1,0))-COUNTA(A3017)=-1,0,1)</f>
        <v>1</v>
      </c>
      <c r="Y3018" s="250"/>
      <c r="Z3018" s="250"/>
    </row>
    <row r="3019" spans="1:29" s="111" customFormat="1" ht="15" hidden="1" x14ac:dyDescent="0.2">
      <c r="A3019" s="288"/>
      <c r="B3019" s="338"/>
      <c r="C3019" s="339"/>
      <c r="D3019" s="340"/>
      <c r="E3019" s="341"/>
      <c r="F3019" s="342"/>
      <c r="G3019" s="340"/>
      <c r="H3019" s="341"/>
      <c r="I3019" s="342"/>
      <c r="J3019" s="343"/>
      <c r="K3019" s="344"/>
      <c r="L3019" s="345"/>
      <c r="M3019" s="346"/>
      <c r="N3019" s="347"/>
      <c r="O3019" s="348"/>
      <c r="P3019" s="345"/>
      <c r="Q3019" s="349"/>
      <c r="R3019" s="350"/>
      <c r="S3019" s="351"/>
      <c r="T3019" s="352"/>
      <c r="U3019" s="353"/>
      <c r="V3019" s="291">
        <f t="shared" ca="1" si="861"/>
        <v>0</v>
      </c>
      <c r="W3019" s="256">
        <f t="shared" ref="W3019:W3086" ca="1" si="864">IF(LEFT(_xlfn.FORMULATEXT(V3019),3)="=SO",1,IF(COUNTA(A3019:U3019)=0,0,2))</f>
        <v>0</v>
      </c>
      <c r="X3019" s="256">
        <f ca="1">IF(COUNTA(OFFSET(#REF!,1,0))-COUNTA(#REF!)=-1,0,1)</f>
        <v>1</v>
      </c>
      <c r="Y3019" s="250"/>
      <c r="Z3019" s="250"/>
    </row>
    <row r="3020" spans="1:29" s="111" customFormat="1" ht="15.75" hidden="1" customHeight="1" x14ac:dyDescent="0.2">
      <c r="A3020" s="288"/>
      <c r="B3020" s="354"/>
      <c r="C3020" s="355"/>
      <c r="D3020" s="1354" t="s">
        <v>492</v>
      </c>
      <c r="E3020" s="1355"/>
      <c r="F3020" s="1355"/>
      <c r="G3020" s="1355"/>
      <c r="H3020" s="1355"/>
      <c r="I3020" s="1356"/>
      <c r="J3020" s="1357">
        <f>VLOOKUP(A3022,'11 - FINANCEIRO'!_xlnm.Print_Area,6,FALSE)</f>
        <v>10.5</v>
      </c>
      <c r="K3020" s="1358"/>
      <c r="L3020" s="356" t="str">
        <f>VLOOKUP(A3022,'11 - FINANCEIRO'!_xlnm.Print_Area,4,FALSE)</f>
        <v>m³</v>
      </c>
      <c r="M3020" s="1359" t="s">
        <v>493</v>
      </c>
      <c r="N3020" s="1360"/>
      <c r="O3020" s="1360"/>
      <c r="P3020" s="1360"/>
      <c r="Q3020" s="1361"/>
      <c r="R3020" s="357">
        <f>TRUNC(SUM(R3016:R3019),3)</f>
        <v>10.459</v>
      </c>
      <c r="S3020" s="358" t="str">
        <f>L3020</f>
        <v>m³</v>
      </c>
      <c r="T3020" s="359"/>
      <c r="U3020" s="360"/>
      <c r="V3020" s="291">
        <f t="shared" ca="1" si="861"/>
        <v>0</v>
      </c>
      <c r="W3020" s="256">
        <f t="shared" ca="1" si="864"/>
        <v>2</v>
      </c>
      <c r="X3020" s="256">
        <f t="shared" ca="1" si="852"/>
        <v>1</v>
      </c>
      <c r="Y3020" s="250"/>
      <c r="Z3020" s="250"/>
    </row>
    <row r="3021" spans="1:29" s="293" customFormat="1" ht="15.75" hidden="1" customHeight="1" x14ac:dyDescent="0.2">
      <c r="A3021" s="288"/>
      <c r="B3021" s="354"/>
      <c r="C3021" s="361"/>
      <c r="D3021" s="1362" t="s">
        <v>494</v>
      </c>
      <c r="E3021" s="1363"/>
      <c r="F3021" s="1363"/>
      <c r="G3021" s="1363"/>
      <c r="H3021" s="1363"/>
      <c r="I3021" s="1364"/>
      <c r="J3021" s="1365">
        <f>R3020/J3020</f>
        <v>0.99609523809523803</v>
      </c>
      <c r="K3021" s="1366"/>
      <c r="L3021" s="1369"/>
      <c r="M3021" s="1371" t="s">
        <v>495</v>
      </c>
      <c r="N3021" s="1372"/>
      <c r="O3021" s="1372"/>
      <c r="P3021" s="1372"/>
      <c r="Q3021" s="1373"/>
      <c r="R3021" s="362">
        <f>VLOOKUP(A3022,'11 - FINANCEIRO'!_xlnm.Print_Area,8,FALSE)</f>
        <v>10.459</v>
      </c>
      <c r="S3021" s="363" t="str">
        <f>L3020</f>
        <v>m³</v>
      </c>
      <c r="T3021" s="359"/>
      <c r="U3021" s="360"/>
      <c r="V3021" s="291">
        <f t="shared" ca="1" si="861"/>
        <v>0</v>
      </c>
      <c r="W3021" s="256">
        <f t="shared" ca="1" si="864"/>
        <v>2</v>
      </c>
      <c r="X3021" s="256">
        <f t="shared" ca="1" si="852"/>
        <v>1</v>
      </c>
      <c r="Y3021" s="256"/>
      <c r="Z3021" s="256"/>
      <c r="AA3021" s="292"/>
      <c r="AB3021" s="292"/>
      <c r="AC3021" s="292"/>
    </row>
    <row r="3022" spans="1:29" s="293" customFormat="1" ht="15.75" hidden="1" customHeight="1" x14ac:dyDescent="0.2">
      <c r="A3022" s="288" t="s">
        <v>177</v>
      </c>
      <c r="B3022" s="364"/>
      <c r="C3022" s="365"/>
      <c r="D3022" s="1354"/>
      <c r="E3022" s="1355"/>
      <c r="F3022" s="1355"/>
      <c r="G3022" s="1355"/>
      <c r="H3022" s="1355"/>
      <c r="I3022" s="1356"/>
      <c r="J3022" s="1367"/>
      <c r="K3022" s="1368"/>
      <c r="L3022" s="1370"/>
      <c r="M3022" s="1371" t="s">
        <v>496</v>
      </c>
      <c r="N3022" s="1372"/>
      <c r="O3022" s="1372"/>
      <c r="P3022" s="1372"/>
      <c r="Q3022" s="1373"/>
      <c r="R3022" s="362">
        <f>R3020-R3021</f>
        <v>0</v>
      </c>
      <c r="S3022" s="363" t="str">
        <f>L3020</f>
        <v>m³</v>
      </c>
      <c r="T3022" s="366"/>
      <c r="U3022" s="367"/>
      <c r="V3022" s="291">
        <f t="shared" ca="1" si="861"/>
        <v>0</v>
      </c>
      <c r="W3022" s="256">
        <f t="shared" ca="1" si="864"/>
        <v>2</v>
      </c>
      <c r="X3022" s="256">
        <f t="shared" ca="1" si="852"/>
        <v>1</v>
      </c>
      <c r="Y3022" s="256"/>
      <c r="Z3022" s="256"/>
      <c r="AA3022" s="292"/>
      <c r="AB3022" s="292"/>
      <c r="AC3022" s="292"/>
    </row>
    <row r="3023" spans="1:29" s="111" customFormat="1" ht="15.75" hidden="1" x14ac:dyDescent="0.2">
      <c r="A3023" s="288"/>
      <c r="B3023" s="368"/>
      <c r="C3023" s="365"/>
      <c r="D3023" s="369"/>
      <c r="E3023" s="370"/>
      <c r="F3023" s="369"/>
      <c r="G3023" s="369"/>
      <c r="H3023" s="369"/>
      <c r="I3023" s="369"/>
      <c r="J3023" s="371"/>
      <c r="K3023" s="372"/>
      <c r="L3023" s="373"/>
      <c r="M3023" s="374"/>
      <c r="N3023" s="374"/>
      <c r="O3023" s="374"/>
      <c r="P3023" s="374"/>
      <c r="Q3023" s="374"/>
      <c r="R3023" s="375"/>
      <c r="S3023" s="376"/>
      <c r="T3023" s="377"/>
      <c r="U3023" s="378"/>
      <c r="V3023" s="379">
        <f ca="1">SUM(V3014:V3022)</f>
        <v>0</v>
      </c>
      <c r="W3023" s="256">
        <f t="shared" ca="1" si="864"/>
        <v>1</v>
      </c>
      <c r="X3023" s="256">
        <f t="shared" ca="1" si="852"/>
        <v>0</v>
      </c>
      <c r="Y3023" s="250"/>
      <c r="Z3023" s="250"/>
    </row>
    <row r="3024" spans="1:29" s="293" customFormat="1" ht="15.75" hidden="1" customHeight="1" x14ac:dyDescent="0.25">
      <c r="A3024" s="288"/>
      <c r="B3024" s="1374" t="str">
        <f>VLOOKUP(A3032,'11 - FINANCEIRO'!_xlnm.Print_Area,1,FALSE)</f>
        <v>4.2.12</v>
      </c>
      <c r="C3024" s="1376" t="str">
        <f>VLOOKUP(A3032,'11 - FINANCEIRO'!_xlnm.Print_Area,3,FALSE)</f>
        <v>Servico De Bombeamento De Concreto Com Consumo Minimo De 40 M3</v>
      </c>
      <c r="D3024" s="1378" t="s">
        <v>477</v>
      </c>
      <c r="E3024" s="1379"/>
      <c r="F3024" s="1379"/>
      <c r="G3024" s="1379"/>
      <c r="H3024" s="1379"/>
      <c r="I3024" s="1380"/>
      <c r="J3024" s="1338" t="s">
        <v>478</v>
      </c>
      <c r="K3024" s="1338" t="s">
        <v>479</v>
      </c>
      <c r="L3024" s="1338" t="s">
        <v>480</v>
      </c>
      <c r="M3024" s="1338" t="s">
        <v>481</v>
      </c>
      <c r="N3024" s="1338" t="s">
        <v>482</v>
      </c>
      <c r="O3024" s="1338" t="s">
        <v>483</v>
      </c>
      <c r="P3024" s="290" t="s">
        <v>484</v>
      </c>
      <c r="Q3024" s="1338" t="s">
        <v>485</v>
      </c>
      <c r="R3024" s="1336" t="s">
        <v>296</v>
      </c>
      <c r="S3024" s="1338" t="s">
        <v>486</v>
      </c>
      <c r="T3024" s="1338" t="s">
        <v>487</v>
      </c>
      <c r="U3024" s="1340" t="s">
        <v>488</v>
      </c>
      <c r="V3024" s="291">
        <f t="shared" ref="V3024:V3032" ca="1" si="865">IF(OFFSET(V3024,1,1)=1,OFFSET(V3024,0,-4),OFFSET(V3024,1,0))</f>
        <v>0</v>
      </c>
      <c r="W3024" s="256">
        <f t="shared" ca="1" si="864"/>
        <v>2</v>
      </c>
      <c r="X3024" s="256">
        <f t="shared" ca="1" si="852"/>
        <v>1</v>
      </c>
      <c r="Y3024" s="256"/>
      <c r="Z3024" s="256"/>
      <c r="AA3024" s="292"/>
      <c r="AB3024" s="292"/>
      <c r="AC3024" s="292"/>
    </row>
    <row r="3025" spans="1:29" s="337" customFormat="1" ht="15.75" hidden="1" x14ac:dyDescent="0.2">
      <c r="A3025" s="288"/>
      <c r="B3025" s="1375"/>
      <c r="C3025" s="1377" t="e">
        <f>VLOOKUP(LEFT(#REF!,5),'11 - FINANCEIRO'!_xlnm.Print_Area,2,FALSE)</f>
        <v>#REF!</v>
      </c>
      <c r="D3025" s="1342" t="s">
        <v>489</v>
      </c>
      <c r="E3025" s="1343"/>
      <c r="F3025" s="1344"/>
      <c r="G3025" s="1345" t="s">
        <v>490</v>
      </c>
      <c r="H3025" s="1346"/>
      <c r="I3025" s="1347"/>
      <c r="J3025" s="1339"/>
      <c r="K3025" s="1339"/>
      <c r="L3025" s="1339"/>
      <c r="M3025" s="1339"/>
      <c r="N3025" s="1339"/>
      <c r="O3025" s="1339"/>
      <c r="P3025" s="295" t="s">
        <v>491</v>
      </c>
      <c r="Q3025" s="1339"/>
      <c r="R3025" s="1337"/>
      <c r="S3025" s="1339"/>
      <c r="T3025" s="1339"/>
      <c r="U3025" s="1341"/>
      <c r="V3025" s="291">
        <f t="shared" ca="1" si="865"/>
        <v>0</v>
      </c>
      <c r="W3025" s="256">
        <f t="shared" ca="1" si="864"/>
        <v>2</v>
      </c>
      <c r="X3025" s="256">
        <f t="shared" ca="1" si="852"/>
        <v>1</v>
      </c>
      <c r="Y3025" s="336"/>
      <c r="Z3025" s="336"/>
    </row>
    <row r="3026" spans="1:29" s="337" customFormat="1" ht="15.75" hidden="1" x14ac:dyDescent="0.2">
      <c r="A3026" s="288"/>
      <c r="B3026" s="296"/>
      <c r="C3026" s="582" t="s">
        <v>1066</v>
      </c>
      <c r="D3026" s="298"/>
      <c r="E3026" s="299"/>
      <c r="F3026" s="300"/>
      <c r="G3026" s="301"/>
      <c r="H3026" s="302"/>
      <c r="I3026" s="303"/>
      <c r="J3026" s="304"/>
      <c r="K3026" s="304">
        <v>20.399999999999999</v>
      </c>
      <c r="L3026" s="304">
        <v>1.2</v>
      </c>
      <c r="M3026" s="304">
        <v>0.1</v>
      </c>
      <c r="N3026" s="304"/>
      <c r="O3026" s="304">
        <f>K3026*L3026*M3026</f>
        <v>2.448</v>
      </c>
      <c r="P3026" s="306"/>
      <c r="Q3026" s="304">
        <v>2</v>
      </c>
      <c r="R3026" s="307">
        <f>O3026*Q3026</f>
        <v>4.8959999999999999</v>
      </c>
      <c r="S3026" s="304"/>
      <c r="T3026" s="309">
        <v>30</v>
      </c>
      <c r="U3026" s="310"/>
      <c r="V3026" s="291">
        <f t="shared" ca="1" si="865"/>
        <v>0</v>
      </c>
      <c r="W3026" s="256">
        <f t="shared" ca="1" si="864"/>
        <v>2</v>
      </c>
      <c r="X3026" s="256">
        <f t="shared" ref="X3026:X3027" ca="1" si="866">IF(COUNTA(OFFSET(A3025,1,0))-COUNTA(A3025)=-1,0,1)</f>
        <v>1</v>
      </c>
      <c r="Y3026" s="336"/>
      <c r="Z3026" s="336"/>
    </row>
    <row r="3027" spans="1:29" s="111" customFormat="1" ht="15.75" hidden="1" x14ac:dyDescent="0.2">
      <c r="A3027" s="288"/>
      <c r="B3027" s="311"/>
      <c r="C3027" s="312" t="s">
        <v>1067</v>
      </c>
      <c r="D3027" s="313"/>
      <c r="E3027" s="314"/>
      <c r="F3027" s="315"/>
      <c r="G3027" s="380"/>
      <c r="H3027" s="316"/>
      <c r="I3027" s="381"/>
      <c r="J3027" s="317"/>
      <c r="K3027" s="313">
        <v>22.4</v>
      </c>
      <c r="L3027" s="317">
        <v>1.2</v>
      </c>
      <c r="M3027" s="315">
        <v>7.0000000000000007E-2</v>
      </c>
      <c r="N3027" s="314"/>
      <c r="O3027" s="304">
        <f>K3027*L3027*M3027</f>
        <v>1.8816000000000002</v>
      </c>
      <c r="P3027" s="318"/>
      <c r="Q3027" s="315">
        <v>2</v>
      </c>
      <c r="R3027" s="307">
        <f>O3027*Q3027</f>
        <v>3.7632000000000003</v>
      </c>
      <c r="S3027" s="317"/>
      <c r="T3027" s="320">
        <v>30</v>
      </c>
      <c r="U3027" s="321"/>
      <c r="V3027" s="291">
        <f t="shared" ca="1" si="865"/>
        <v>0</v>
      </c>
      <c r="W3027" s="256">
        <f t="shared" ca="1" si="864"/>
        <v>2</v>
      </c>
      <c r="X3027" s="256">
        <f t="shared" ca="1" si="866"/>
        <v>1</v>
      </c>
      <c r="Y3027" s="250"/>
      <c r="Z3027" s="250"/>
    </row>
    <row r="3028" spans="1:29" s="111" customFormat="1" ht="15" hidden="1" x14ac:dyDescent="0.2">
      <c r="A3028" s="288"/>
      <c r="B3028" s="322"/>
      <c r="C3028" s="382" t="s">
        <v>1068</v>
      </c>
      <c r="D3028" s="324"/>
      <c r="E3028" s="325"/>
      <c r="F3028" s="326"/>
      <c r="G3028" s="324"/>
      <c r="H3028" s="325"/>
      <c r="I3028" s="326"/>
      <c r="J3028" s="317"/>
      <c r="K3028" s="313">
        <v>0.75</v>
      </c>
      <c r="L3028" s="317">
        <v>1.2</v>
      </c>
      <c r="M3028" s="315">
        <v>1</v>
      </c>
      <c r="N3028" s="328"/>
      <c r="O3028" s="317">
        <f>K3028*L3028*M3028</f>
        <v>0.89999999999999991</v>
      </c>
      <c r="P3028" s="328"/>
      <c r="Q3028" s="315">
        <v>2</v>
      </c>
      <c r="R3028" s="333">
        <f>O3028*Q3028</f>
        <v>1.7999999999999998</v>
      </c>
      <c r="S3028" s="331"/>
      <c r="T3028" s="320"/>
      <c r="U3028" s="335"/>
      <c r="V3028" s="291">
        <f t="shared" ca="1" si="865"/>
        <v>0</v>
      </c>
      <c r="W3028" s="256">
        <f t="shared" ca="1" si="864"/>
        <v>2</v>
      </c>
      <c r="X3028" s="256">
        <f t="shared" ca="1" si="852"/>
        <v>1</v>
      </c>
      <c r="Y3028" s="250"/>
      <c r="Z3028" s="250"/>
    </row>
    <row r="3029" spans="1:29" s="111" customFormat="1" ht="15" hidden="1" x14ac:dyDescent="0.2">
      <c r="A3029" s="288"/>
      <c r="B3029" s="338"/>
      <c r="C3029" s="339"/>
      <c r="D3029" s="340"/>
      <c r="E3029" s="341"/>
      <c r="F3029" s="342"/>
      <c r="G3029" s="340"/>
      <c r="H3029" s="341"/>
      <c r="I3029" s="342"/>
      <c r="J3029" s="343"/>
      <c r="K3029" s="344"/>
      <c r="L3029" s="345"/>
      <c r="M3029" s="346"/>
      <c r="N3029" s="347"/>
      <c r="O3029" s="348"/>
      <c r="P3029" s="345"/>
      <c r="Q3029" s="349"/>
      <c r="R3029" s="350"/>
      <c r="S3029" s="351"/>
      <c r="T3029" s="352"/>
      <c r="U3029" s="353"/>
      <c r="V3029" s="291">
        <f t="shared" ca="1" si="865"/>
        <v>0</v>
      </c>
      <c r="W3029" s="256">
        <f t="shared" ca="1" si="864"/>
        <v>0</v>
      </c>
      <c r="X3029" s="256">
        <f t="shared" ca="1" si="852"/>
        <v>1</v>
      </c>
      <c r="Y3029" s="250"/>
      <c r="Z3029" s="250"/>
    </row>
    <row r="3030" spans="1:29" s="111" customFormat="1" ht="15.75" hidden="1" customHeight="1" x14ac:dyDescent="0.2">
      <c r="A3030" s="288"/>
      <c r="B3030" s="354"/>
      <c r="C3030" s="355"/>
      <c r="D3030" s="1354" t="s">
        <v>492</v>
      </c>
      <c r="E3030" s="1355"/>
      <c r="F3030" s="1355"/>
      <c r="G3030" s="1355"/>
      <c r="H3030" s="1355"/>
      <c r="I3030" s="1356"/>
      <c r="J3030" s="1357">
        <f>VLOOKUP(A3032,'11 - FINANCEIRO'!_xlnm.Print_Area,6,FALSE)</f>
        <v>10.5</v>
      </c>
      <c r="K3030" s="1358"/>
      <c r="L3030" s="356" t="str">
        <f>VLOOKUP(A3032,'11 - FINANCEIRO'!_xlnm.Print_Area,4,FALSE)</f>
        <v>m³</v>
      </c>
      <c r="M3030" s="1359" t="s">
        <v>493</v>
      </c>
      <c r="N3030" s="1360"/>
      <c r="O3030" s="1360"/>
      <c r="P3030" s="1360"/>
      <c r="Q3030" s="1361"/>
      <c r="R3030" s="357">
        <f>TRUNC(SUM(R3026:R3029),3)</f>
        <v>10.459</v>
      </c>
      <c r="S3030" s="358" t="str">
        <f>L3030</f>
        <v>m³</v>
      </c>
      <c r="T3030" s="359"/>
      <c r="U3030" s="360"/>
      <c r="V3030" s="291">
        <f t="shared" ca="1" si="865"/>
        <v>0</v>
      </c>
      <c r="W3030" s="256">
        <f t="shared" ca="1" si="864"/>
        <v>2</v>
      </c>
      <c r="X3030" s="256">
        <f t="shared" ca="1" si="852"/>
        <v>1</v>
      </c>
      <c r="Y3030" s="250"/>
      <c r="Z3030" s="250"/>
    </row>
    <row r="3031" spans="1:29" s="395" customFormat="1" ht="15.75" hidden="1" customHeight="1" x14ac:dyDescent="0.2">
      <c r="A3031" s="276"/>
      <c r="B3031" s="354"/>
      <c r="C3031" s="361"/>
      <c r="D3031" s="1362" t="s">
        <v>494</v>
      </c>
      <c r="E3031" s="1363"/>
      <c r="F3031" s="1363"/>
      <c r="G3031" s="1363"/>
      <c r="H3031" s="1363"/>
      <c r="I3031" s="1364"/>
      <c r="J3031" s="1365">
        <f>R3030/J3030</f>
        <v>0.99609523809523803</v>
      </c>
      <c r="K3031" s="1366"/>
      <c r="L3031" s="1369"/>
      <c r="M3031" s="1371" t="s">
        <v>495</v>
      </c>
      <c r="N3031" s="1372"/>
      <c r="O3031" s="1372"/>
      <c r="P3031" s="1372"/>
      <c r="Q3031" s="1373"/>
      <c r="R3031" s="362">
        <f>VLOOKUP(A3032,'11 - FINANCEIRO'!_xlnm.Print_Area,8,FALSE)</f>
        <v>10.459</v>
      </c>
      <c r="S3031" s="363" t="str">
        <f>L3030</f>
        <v>m³</v>
      </c>
      <c r="T3031" s="359"/>
      <c r="U3031" s="360"/>
      <c r="V3031" s="291">
        <f t="shared" ca="1" si="865"/>
        <v>0</v>
      </c>
      <c r="W3031" s="256">
        <f t="shared" ca="1" si="864"/>
        <v>2</v>
      </c>
      <c r="X3031" s="256">
        <f t="shared" ca="1" si="852"/>
        <v>1</v>
      </c>
    </row>
    <row r="3032" spans="1:29" s="293" customFormat="1" ht="15.75" hidden="1" customHeight="1" x14ac:dyDescent="0.2">
      <c r="A3032" s="288" t="s">
        <v>178</v>
      </c>
      <c r="B3032" s="364"/>
      <c r="C3032" s="365"/>
      <c r="D3032" s="1354"/>
      <c r="E3032" s="1355"/>
      <c r="F3032" s="1355"/>
      <c r="G3032" s="1355"/>
      <c r="H3032" s="1355"/>
      <c r="I3032" s="1356"/>
      <c r="J3032" s="1367"/>
      <c r="K3032" s="1368"/>
      <c r="L3032" s="1370"/>
      <c r="M3032" s="1371" t="s">
        <v>496</v>
      </c>
      <c r="N3032" s="1372"/>
      <c r="O3032" s="1372"/>
      <c r="P3032" s="1372"/>
      <c r="Q3032" s="1373"/>
      <c r="R3032" s="362">
        <f>R3030-R3031</f>
        <v>0</v>
      </c>
      <c r="S3032" s="363" t="str">
        <f>L3030</f>
        <v>m³</v>
      </c>
      <c r="T3032" s="366"/>
      <c r="U3032" s="367"/>
      <c r="V3032" s="291">
        <f t="shared" ca="1" si="865"/>
        <v>0</v>
      </c>
      <c r="W3032" s="256">
        <f t="shared" ca="1" si="864"/>
        <v>2</v>
      </c>
      <c r="X3032" s="256">
        <f t="shared" ca="1" si="852"/>
        <v>1</v>
      </c>
      <c r="Y3032" s="256"/>
      <c r="Z3032" s="256"/>
      <c r="AA3032" s="292"/>
      <c r="AB3032" s="292"/>
      <c r="AC3032" s="292"/>
    </row>
    <row r="3033" spans="1:29" s="111" customFormat="1" ht="15.75" hidden="1" x14ac:dyDescent="0.2">
      <c r="A3033" s="288"/>
      <c r="B3033" s="368"/>
      <c r="C3033" s="365"/>
      <c r="D3033" s="369"/>
      <c r="E3033" s="370"/>
      <c r="F3033" s="369"/>
      <c r="G3033" s="369"/>
      <c r="H3033" s="369"/>
      <c r="I3033" s="369"/>
      <c r="J3033" s="371"/>
      <c r="K3033" s="372"/>
      <c r="L3033" s="373"/>
      <c r="M3033" s="374"/>
      <c r="N3033" s="374"/>
      <c r="O3033" s="374"/>
      <c r="P3033" s="374"/>
      <c r="Q3033" s="374"/>
      <c r="R3033" s="375"/>
      <c r="S3033" s="376"/>
      <c r="T3033" s="377"/>
      <c r="U3033" s="378"/>
      <c r="V3033" s="379">
        <f ca="1">SUM(V3024:V3032)</f>
        <v>0</v>
      </c>
      <c r="W3033" s="256">
        <f t="shared" ca="1" si="864"/>
        <v>1</v>
      </c>
      <c r="X3033" s="256">
        <f t="shared" ca="1" si="852"/>
        <v>0</v>
      </c>
      <c r="Y3033" s="250"/>
      <c r="Z3033" s="250"/>
    </row>
    <row r="3034" spans="1:29" s="293" customFormat="1" ht="15.75" x14ac:dyDescent="0.2">
      <c r="A3034" s="288"/>
      <c r="B3034" s="385" t="str">
        <f>LEFT(A3042,11)</f>
        <v>4.3</v>
      </c>
      <c r="C3034" s="386" t="str">
        <f>VLOOKUP(LEFT(A3042,11),'11 - FINANCEIRO'!_xlnm.Print_Area,2,FALSE)</f>
        <v>Passarela João Cipreste Filho</v>
      </c>
      <c r="D3034" s="386"/>
      <c r="E3034" s="387"/>
      <c r="F3034" s="386"/>
      <c r="G3034" s="1395"/>
      <c r="H3034" s="1395"/>
      <c r="I3034" s="1395"/>
      <c r="J3034" s="1395"/>
      <c r="K3034" s="1395"/>
      <c r="L3034" s="1395"/>
      <c r="M3034" s="389"/>
      <c r="N3034" s="390"/>
      <c r="O3034" s="389"/>
      <c r="P3034" s="389"/>
      <c r="Q3034" s="389"/>
      <c r="R3034" s="390"/>
      <c r="S3034" s="389"/>
      <c r="T3034" s="389"/>
      <c r="U3034" s="601"/>
      <c r="V3034" s="549">
        <f ca="1">SUM(V3035:V3158)</f>
        <v>215.81999999999991</v>
      </c>
      <c r="W3034" s="256">
        <f t="shared" ca="1" si="864"/>
        <v>1</v>
      </c>
      <c r="X3034" s="256">
        <f t="shared" ca="1" si="852"/>
        <v>1</v>
      </c>
      <c r="Y3034" s="256"/>
      <c r="Z3034" s="256"/>
      <c r="AA3034" s="292"/>
      <c r="AB3034" s="292"/>
      <c r="AC3034" s="292"/>
    </row>
    <row r="3035" spans="1:29" s="293" customFormat="1" ht="15.75" hidden="1" customHeight="1" x14ac:dyDescent="0.25">
      <c r="A3035" s="288"/>
      <c r="B3035" s="1374" t="str">
        <f>VLOOKUP(A3043,'11 - FINANCEIRO'!_xlnm.Print_Area,1,FALSE)</f>
        <v>4.3.1</v>
      </c>
      <c r="C3035" s="1376" t="str">
        <f>VLOOKUP(A3043,'11 - FINANCEIRO'!_xlnm.Print_Area,3,FALSE)</f>
        <v>Preparo E Regularização De Terreno Em Desnível</v>
      </c>
      <c r="D3035" s="1378" t="s">
        <v>477</v>
      </c>
      <c r="E3035" s="1379"/>
      <c r="F3035" s="1379"/>
      <c r="G3035" s="1379"/>
      <c r="H3035" s="1379"/>
      <c r="I3035" s="1380"/>
      <c r="J3035" s="1338" t="s">
        <v>478</v>
      </c>
      <c r="K3035" s="1338" t="s">
        <v>479</v>
      </c>
      <c r="L3035" s="1338" t="s">
        <v>480</v>
      </c>
      <c r="M3035" s="1338" t="s">
        <v>481</v>
      </c>
      <c r="N3035" s="1338" t="s">
        <v>482</v>
      </c>
      <c r="O3035" s="1338" t="s">
        <v>483</v>
      </c>
      <c r="P3035" s="290" t="s">
        <v>484</v>
      </c>
      <c r="Q3035" s="1338" t="s">
        <v>485</v>
      </c>
      <c r="R3035" s="1336" t="s">
        <v>296</v>
      </c>
      <c r="S3035" s="1338" t="s">
        <v>486</v>
      </c>
      <c r="T3035" s="1338" t="s">
        <v>487</v>
      </c>
      <c r="U3035" s="1340" t="s">
        <v>488</v>
      </c>
      <c r="V3035" s="291">
        <f t="shared" ref="V3035:V3043" ca="1" si="867">IF(OFFSET(V3035,1,1)=1,OFFSET(V3035,0,-4),OFFSET(V3035,1,0))</f>
        <v>0</v>
      </c>
      <c r="W3035" s="256">
        <f t="shared" ca="1" si="864"/>
        <v>2</v>
      </c>
      <c r="X3035" s="256">
        <f t="shared" ca="1" si="852"/>
        <v>1</v>
      </c>
      <c r="Y3035" s="256"/>
      <c r="Z3035" s="256"/>
      <c r="AA3035" s="292"/>
      <c r="AB3035" s="292"/>
      <c r="AC3035" s="292"/>
    </row>
    <row r="3036" spans="1:29" s="337" customFormat="1" ht="15.75" hidden="1" x14ac:dyDescent="0.2">
      <c r="A3036" s="288"/>
      <c r="B3036" s="1375"/>
      <c r="C3036" s="1377" t="e">
        <f>VLOOKUP(LEFT(#REF!,5),'11 - FINANCEIRO'!_xlnm.Print_Area,2,FALSE)</f>
        <v>#REF!</v>
      </c>
      <c r="D3036" s="1342" t="s">
        <v>489</v>
      </c>
      <c r="E3036" s="1343"/>
      <c r="F3036" s="1344"/>
      <c r="G3036" s="1345" t="s">
        <v>490</v>
      </c>
      <c r="H3036" s="1346"/>
      <c r="I3036" s="1347"/>
      <c r="J3036" s="1339"/>
      <c r="K3036" s="1339"/>
      <c r="L3036" s="1339"/>
      <c r="M3036" s="1339"/>
      <c r="N3036" s="1339"/>
      <c r="O3036" s="1339"/>
      <c r="P3036" s="295" t="s">
        <v>491</v>
      </c>
      <c r="Q3036" s="1339"/>
      <c r="R3036" s="1337"/>
      <c r="S3036" s="1339"/>
      <c r="T3036" s="1339"/>
      <c r="U3036" s="1341"/>
      <c r="V3036" s="291">
        <f t="shared" ca="1" si="867"/>
        <v>0</v>
      </c>
      <c r="W3036" s="256">
        <f t="shared" ca="1" si="864"/>
        <v>2</v>
      </c>
      <c r="X3036" s="256">
        <f t="shared" ca="1" si="852"/>
        <v>1</v>
      </c>
      <c r="Y3036" s="336"/>
      <c r="Z3036" s="336"/>
    </row>
    <row r="3037" spans="1:29" s="337" customFormat="1" ht="15.75" hidden="1" x14ac:dyDescent="0.2">
      <c r="A3037" s="288"/>
      <c r="B3037" s="296"/>
      <c r="C3037" s="297" t="s">
        <v>947</v>
      </c>
      <c r="D3037" s="417">
        <v>22</v>
      </c>
      <c r="E3037" s="314" t="s">
        <v>518</v>
      </c>
      <c r="F3037" s="418">
        <v>6</v>
      </c>
      <c r="G3037" s="417">
        <v>22</v>
      </c>
      <c r="H3037" s="314" t="s">
        <v>518</v>
      </c>
      <c r="I3037" s="418">
        <v>6</v>
      </c>
      <c r="J3037" s="304"/>
      <c r="K3037" s="416">
        <v>22</v>
      </c>
      <c r="L3037" s="416">
        <v>10.8</v>
      </c>
      <c r="M3037" s="304"/>
      <c r="N3037" s="747">
        <f>L3037*K3037</f>
        <v>237.60000000000002</v>
      </c>
      <c r="O3037" s="304"/>
      <c r="P3037" s="306"/>
      <c r="Q3037" s="304"/>
      <c r="R3037" s="831">
        <f>N3037</f>
        <v>237.60000000000002</v>
      </c>
      <c r="S3037" s="317" t="s">
        <v>308</v>
      </c>
      <c r="T3037" s="309">
        <v>24</v>
      </c>
      <c r="U3037" s="310"/>
      <c r="V3037" s="291">
        <f t="shared" ca="1" si="867"/>
        <v>0</v>
      </c>
      <c r="W3037" s="256">
        <f t="shared" ca="1" si="864"/>
        <v>2</v>
      </c>
      <c r="X3037" s="256">
        <f t="shared" ca="1" si="852"/>
        <v>1</v>
      </c>
      <c r="Y3037" s="336"/>
      <c r="Z3037" s="336"/>
    </row>
    <row r="3038" spans="1:29" s="111" customFormat="1" ht="15" hidden="1" x14ac:dyDescent="0.2">
      <c r="A3038" s="288"/>
      <c r="B3038" s="322"/>
      <c r="C3038" s="382" t="s">
        <v>948</v>
      </c>
      <c r="D3038" s="417">
        <v>22</v>
      </c>
      <c r="E3038" s="314" t="s">
        <v>518</v>
      </c>
      <c r="F3038" s="418">
        <v>6</v>
      </c>
      <c r="G3038" s="417">
        <v>22</v>
      </c>
      <c r="H3038" s="314" t="s">
        <v>518</v>
      </c>
      <c r="I3038" s="418">
        <v>6</v>
      </c>
      <c r="J3038" s="317"/>
      <c r="K3038" s="421">
        <f>8+14</f>
        <v>22</v>
      </c>
      <c r="L3038" s="433">
        <v>5.5</v>
      </c>
      <c r="M3038" s="315"/>
      <c r="N3038" s="832">
        <f>L3038*K3038</f>
        <v>121</v>
      </c>
      <c r="O3038" s="334"/>
      <c r="P3038" s="328"/>
      <c r="Q3038" s="334"/>
      <c r="R3038" s="833">
        <f>N3038</f>
        <v>121</v>
      </c>
      <c r="S3038" s="331" t="s">
        <v>308</v>
      </c>
      <c r="T3038" s="320">
        <v>24</v>
      </c>
      <c r="U3038" s="335"/>
      <c r="V3038" s="291">
        <f t="shared" ca="1" si="867"/>
        <v>0</v>
      </c>
      <c r="W3038" s="256">
        <f t="shared" ca="1" si="864"/>
        <v>2</v>
      </c>
      <c r="X3038" s="256">
        <f ca="1">IF(COUNTA(OFFSET(#REF!,1,0))-COUNTA(#REF!)=-1,0,1)</f>
        <v>1</v>
      </c>
      <c r="Y3038" s="250"/>
      <c r="Z3038" s="250"/>
    </row>
    <row r="3039" spans="1:29" s="111" customFormat="1" ht="15" hidden="1" x14ac:dyDescent="0.2">
      <c r="A3039" s="288"/>
      <c r="B3039" s="494"/>
      <c r="C3039" s="550"/>
      <c r="D3039" s="819"/>
      <c r="E3039" s="820"/>
      <c r="F3039" s="822"/>
      <c r="G3039" s="819"/>
      <c r="H3039" s="820"/>
      <c r="I3039" s="822"/>
      <c r="J3039" s="560"/>
      <c r="K3039" s="500"/>
      <c r="L3039" s="508"/>
      <c r="M3039" s="752"/>
      <c r="N3039" s="834"/>
      <c r="O3039" s="505"/>
      <c r="P3039" s="501"/>
      <c r="Q3039" s="739"/>
      <c r="R3039" s="835"/>
      <c r="S3039" s="505"/>
      <c r="T3039" s="506"/>
      <c r="U3039" s="574"/>
      <c r="V3039" s="291"/>
      <c r="W3039" s="256"/>
      <c r="X3039" s="256"/>
      <c r="Y3039" s="250"/>
      <c r="Z3039" s="250"/>
    </row>
    <row r="3040" spans="1:29" s="111" customFormat="1" ht="15" hidden="1" x14ac:dyDescent="0.2">
      <c r="A3040" s="288"/>
      <c r="B3040" s="338"/>
      <c r="C3040" s="339"/>
      <c r="D3040" s="340"/>
      <c r="E3040" s="341"/>
      <c r="F3040" s="342"/>
      <c r="G3040" s="340"/>
      <c r="H3040" s="341"/>
      <c r="I3040" s="342"/>
      <c r="J3040" s="343"/>
      <c r="K3040" s="344"/>
      <c r="L3040" s="345"/>
      <c r="M3040" s="346"/>
      <c r="N3040" s="347"/>
      <c r="O3040" s="348"/>
      <c r="P3040" s="345"/>
      <c r="Q3040" s="349"/>
      <c r="R3040" s="350"/>
      <c r="S3040" s="351"/>
      <c r="T3040" s="352"/>
      <c r="U3040" s="353"/>
      <c r="V3040" s="291">
        <f t="shared" ca="1" si="867"/>
        <v>0</v>
      </c>
      <c r="W3040" s="256">
        <f t="shared" ca="1" si="864"/>
        <v>0</v>
      </c>
      <c r="X3040" s="256">
        <f ca="1">IF(COUNTA(OFFSET(A3038,1,0))-COUNTA(A3038)=-1,0,1)</f>
        <v>1</v>
      </c>
      <c r="Y3040" s="250"/>
      <c r="Z3040" s="250"/>
    </row>
    <row r="3041" spans="1:29" s="111" customFormat="1" ht="15.75" hidden="1" customHeight="1" x14ac:dyDescent="0.2">
      <c r="A3041" s="288"/>
      <c r="B3041" s="354"/>
      <c r="C3041" s="355"/>
      <c r="D3041" s="1354" t="s">
        <v>492</v>
      </c>
      <c r="E3041" s="1355"/>
      <c r="F3041" s="1355"/>
      <c r="G3041" s="1355"/>
      <c r="H3041" s="1355"/>
      <c r="I3041" s="1356"/>
      <c r="J3041" s="1357">
        <f>VLOOKUP(A3043,'11 - FINANCEIRO'!_xlnm.Print_Area,6,FALSE)</f>
        <v>360</v>
      </c>
      <c r="K3041" s="1358"/>
      <c r="L3041" s="356" t="str">
        <f>VLOOKUP(A3043,'11 - FINANCEIRO'!_xlnm.Print_Area,4,FALSE)</f>
        <v>m²</v>
      </c>
      <c r="M3041" s="1359" t="s">
        <v>493</v>
      </c>
      <c r="N3041" s="1360"/>
      <c r="O3041" s="1360"/>
      <c r="P3041" s="1360"/>
      <c r="Q3041" s="1361"/>
      <c r="R3041" s="357">
        <f>TRUNC(SUM(R3037:R3040),3)</f>
        <v>358.6</v>
      </c>
      <c r="S3041" s="358" t="str">
        <f>L3041</f>
        <v>m²</v>
      </c>
      <c r="T3041" s="359"/>
      <c r="U3041" s="360"/>
      <c r="V3041" s="291">
        <f t="shared" ca="1" si="867"/>
        <v>0</v>
      </c>
      <c r="W3041" s="256">
        <f t="shared" ca="1" si="864"/>
        <v>2</v>
      </c>
      <c r="X3041" s="256">
        <f t="shared" ca="1" si="852"/>
        <v>1</v>
      </c>
      <c r="Y3041" s="250"/>
      <c r="Z3041" s="250"/>
    </row>
    <row r="3042" spans="1:29" s="293" customFormat="1" ht="15.75" hidden="1" customHeight="1" x14ac:dyDescent="0.2">
      <c r="A3042" s="288" t="s">
        <v>179</v>
      </c>
      <c r="B3042" s="354"/>
      <c r="C3042" s="361"/>
      <c r="D3042" s="1362" t="s">
        <v>494</v>
      </c>
      <c r="E3042" s="1363"/>
      <c r="F3042" s="1363"/>
      <c r="G3042" s="1363"/>
      <c r="H3042" s="1363"/>
      <c r="I3042" s="1364"/>
      <c r="J3042" s="1365">
        <f>R3041/J3041</f>
        <v>0.99611111111111117</v>
      </c>
      <c r="K3042" s="1366"/>
      <c r="L3042" s="1369"/>
      <c r="M3042" s="1371" t="s">
        <v>495</v>
      </c>
      <c r="N3042" s="1372"/>
      <c r="O3042" s="1372"/>
      <c r="P3042" s="1372"/>
      <c r="Q3042" s="1373"/>
      <c r="R3042" s="362">
        <f>VLOOKUP(A3043,'11 - FINANCEIRO'!_xlnm.Print_Area,8,FALSE)</f>
        <v>358.6</v>
      </c>
      <c r="S3042" s="363" t="str">
        <f>L3041</f>
        <v>m²</v>
      </c>
      <c r="T3042" s="359"/>
      <c r="U3042" s="360"/>
      <c r="V3042" s="291">
        <f t="shared" ca="1" si="867"/>
        <v>0</v>
      </c>
      <c r="W3042" s="256">
        <f t="shared" ca="1" si="864"/>
        <v>2</v>
      </c>
      <c r="X3042" s="256">
        <f t="shared" ca="1" si="852"/>
        <v>1</v>
      </c>
      <c r="Y3042" s="256"/>
      <c r="Z3042" s="256"/>
      <c r="AA3042" s="292"/>
      <c r="AB3042" s="292"/>
      <c r="AC3042" s="292"/>
    </row>
    <row r="3043" spans="1:29" s="293" customFormat="1" ht="15.75" hidden="1" customHeight="1" x14ac:dyDescent="0.2">
      <c r="A3043" s="288" t="s">
        <v>180</v>
      </c>
      <c r="B3043" s="364"/>
      <c r="C3043" s="365"/>
      <c r="D3043" s="1354"/>
      <c r="E3043" s="1355"/>
      <c r="F3043" s="1355"/>
      <c r="G3043" s="1355"/>
      <c r="H3043" s="1355"/>
      <c r="I3043" s="1356"/>
      <c r="J3043" s="1367"/>
      <c r="K3043" s="1368"/>
      <c r="L3043" s="1370"/>
      <c r="M3043" s="1371" t="s">
        <v>496</v>
      </c>
      <c r="N3043" s="1372"/>
      <c r="O3043" s="1372"/>
      <c r="P3043" s="1372"/>
      <c r="Q3043" s="1373"/>
      <c r="R3043" s="362">
        <f>R3041-R3042</f>
        <v>0</v>
      </c>
      <c r="S3043" s="363" t="str">
        <f>L3041</f>
        <v>m²</v>
      </c>
      <c r="T3043" s="366"/>
      <c r="U3043" s="367"/>
      <c r="V3043" s="291">
        <f t="shared" ca="1" si="867"/>
        <v>0</v>
      </c>
      <c r="W3043" s="256">
        <f t="shared" ca="1" si="864"/>
        <v>2</v>
      </c>
      <c r="X3043" s="256">
        <f t="shared" ref="X3043:X3110" ca="1" si="868">IF(COUNTA(OFFSET(A3042,1,0))-COUNTA(A3042)=-1,0,1)</f>
        <v>1</v>
      </c>
      <c r="Y3043" s="256"/>
      <c r="Z3043" s="256"/>
      <c r="AA3043" s="292"/>
      <c r="AB3043" s="292"/>
      <c r="AC3043" s="292"/>
    </row>
    <row r="3044" spans="1:29" s="111" customFormat="1" ht="15.75" hidden="1" x14ac:dyDescent="0.2">
      <c r="A3044" s="288"/>
      <c r="B3044" s="368"/>
      <c r="C3044" s="365"/>
      <c r="D3044" s="369"/>
      <c r="E3044" s="370"/>
      <c r="F3044" s="369"/>
      <c r="G3044" s="369"/>
      <c r="H3044" s="369"/>
      <c r="I3044" s="369"/>
      <c r="J3044" s="371"/>
      <c r="K3044" s="372"/>
      <c r="L3044" s="373"/>
      <c r="M3044" s="374"/>
      <c r="N3044" s="374"/>
      <c r="O3044" s="374"/>
      <c r="P3044" s="374"/>
      <c r="Q3044" s="374"/>
      <c r="R3044" s="375"/>
      <c r="S3044" s="376"/>
      <c r="T3044" s="377"/>
      <c r="U3044" s="378"/>
      <c r="V3044" s="379">
        <f ca="1">SUM(V3035:V3043)</f>
        <v>0</v>
      </c>
      <c r="W3044" s="256">
        <f t="shared" ca="1" si="864"/>
        <v>1</v>
      </c>
      <c r="X3044" s="256">
        <f t="shared" ca="1" si="868"/>
        <v>0</v>
      </c>
      <c r="Y3044" s="250"/>
      <c r="Z3044" s="250"/>
    </row>
    <row r="3045" spans="1:29" s="293" customFormat="1" ht="15.75" hidden="1" customHeight="1" x14ac:dyDescent="0.25">
      <c r="A3045" s="288"/>
      <c r="B3045" s="1374" t="str">
        <f>VLOOKUP(A3053,'11 - FINANCEIRO'!_xlnm.Print_Area,1,FALSE)</f>
        <v>4.3.2</v>
      </c>
      <c r="C3045" s="1376" t="str">
        <f>VLOOKUP(A3053,'11 - FINANCEIRO'!_xlnm.Print_Area,3,FALSE)</f>
        <v>Estaca Trilho Tr 68 - Fornecimento E Cravação</v>
      </c>
      <c r="D3045" s="1378" t="s">
        <v>477</v>
      </c>
      <c r="E3045" s="1379"/>
      <c r="F3045" s="1379"/>
      <c r="G3045" s="1379"/>
      <c r="H3045" s="1379"/>
      <c r="I3045" s="1380"/>
      <c r="J3045" s="1338" t="s">
        <v>478</v>
      </c>
      <c r="K3045" s="1338" t="s">
        <v>479</v>
      </c>
      <c r="L3045" s="1338" t="s">
        <v>480</v>
      </c>
      <c r="M3045" s="1338" t="s">
        <v>481</v>
      </c>
      <c r="N3045" s="1338" t="s">
        <v>482</v>
      </c>
      <c r="O3045" s="1338" t="s">
        <v>483</v>
      </c>
      <c r="P3045" s="290" t="s">
        <v>484</v>
      </c>
      <c r="Q3045" s="1338" t="s">
        <v>485</v>
      </c>
      <c r="R3045" s="1336" t="s">
        <v>296</v>
      </c>
      <c r="S3045" s="1338" t="s">
        <v>486</v>
      </c>
      <c r="T3045" s="1338" t="s">
        <v>487</v>
      </c>
      <c r="U3045" s="1340" t="s">
        <v>488</v>
      </c>
      <c r="V3045" s="291">
        <f t="shared" ref="V3045:V3053" ca="1" si="869">IF(OFFSET(V3045,1,1)=1,OFFSET(V3045,0,-4),OFFSET(V3045,1,0))</f>
        <v>0</v>
      </c>
      <c r="W3045" s="256">
        <f t="shared" ca="1" si="864"/>
        <v>2</v>
      </c>
      <c r="X3045" s="256">
        <f t="shared" ca="1" si="868"/>
        <v>1</v>
      </c>
      <c r="Y3045" s="256"/>
      <c r="Z3045" s="256"/>
      <c r="AA3045" s="292"/>
      <c r="AB3045" s="292"/>
      <c r="AC3045" s="292"/>
    </row>
    <row r="3046" spans="1:29" s="337" customFormat="1" ht="15.75" hidden="1" x14ac:dyDescent="0.2">
      <c r="A3046" s="288"/>
      <c r="B3046" s="1375"/>
      <c r="C3046" s="1377" t="e">
        <f>VLOOKUP(LEFT(#REF!,5),'11 - FINANCEIRO'!_xlnm.Print_Area,2,FALSE)</f>
        <v>#REF!</v>
      </c>
      <c r="D3046" s="1342" t="s">
        <v>489</v>
      </c>
      <c r="E3046" s="1343"/>
      <c r="F3046" s="1344"/>
      <c r="G3046" s="1345" t="s">
        <v>490</v>
      </c>
      <c r="H3046" s="1346"/>
      <c r="I3046" s="1347"/>
      <c r="J3046" s="1339"/>
      <c r="K3046" s="1339"/>
      <c r="L3046" s="1339"/>
      <c r="M3046" s="1339"/>
      <c r="N3046" s="1339"/>
      <c r="O3046" s="1339"/>
      <c r="P3046" s="295" t="s">
        <v>491</v>
      </c>
      <c r="Q3046" s="1339"/>
      <c r="R3046" s="1337"/>
      <c r="S3046" s="1339"/>
      <c r="T3046" s="1339"/>
      <c r="U3046" s="1341"/>
      <c r="V3046" s="291">
        <f t="shared" ca="1" si="869"/>
        <v>0</v>
      </c>
      <c r="W3046" s="256">
        <f t="shared" ca="1" si="864"/>
        <v>2</v>
      </c>
      <c r="X3046" s="256">
        <f t="shared" ca="1" si="868"/>
        <v>1</v>
      </c>
      <c r="Y3046" s="336"/>
      <c r="Z3046" s="336"/>
    </row>
    <row r="3047" spans="1:29" s="337" customFormat="1" ht="15.75" hidden="1" x14ac:dyDescent="0.2">
      <c r="A3047" s="288"/>
      <c r="B3047" s="296"/>
      <c r="C3047" s="297"/>
      <c r="D3047" s="298"/>
      <c r="E3047" s="299"/>
      <c r="F3047" s="300"/>
      <c r="G3047" s="301"/>
      <c r="H3047" s="302"/>
      <c r="I3047" s="303"/>
      <c r="J3047" s="304"/>
      <c r="K3047" s="304"/>
      <c r="L3047" s="304"/>
      <c r="M3047" s="304"/>
      <c r="N3047" s="304"/>
      <c r="O3047" s="304"/>
      <c r="P3047" s="306"/>
      <c r="Q3047" s="304"/>
      <c r="R3047" s="307"/>
      <c r="S3047" s="304"/>
      <c r="T3047" s="309"/>
      <c r="U3047" s="310"/>
      <c r="V3047" s="291">
        <f t="shared" ca="1" si="869"/>
        <v>0</v>
      </c>
      <c r="W3047" s="256">
        <f t="shared" ca="1" si="864"/>
        <v>0</v>
      </c>
      <c r="X3047" s="256">
        <f t="shared" ca="1" si="868"/>
        <v>1</v>
      </c>
      <c r="Y3047" s="336"/>
      <c r="Z3047" s="336"/>
    </row>
    <row r="3048" spans="1:29" s="111" customFormat="1" ht="15.75" hidden="1" x14ac:dyDescent="0.2">
      <c r="A3048" s="288"/>
      <c r="B3048" s="311"/>
      <c r="C3048" s="312"/>
      <c r="D3048" s="313"/>
      <c r="E3048" s="314"/>
      <c r="F3048" s="315"/>
      <c r="G3048" s="380"/>
      <c r="H3048" s="316"/>
      <c r="I3048" s="381"/>
      <c r="J3048" s="317"/>
      <c r="K3048" s="313"/>
      <c r="L3048" s="317"/>
      <c r="M3048" s="315"/>
      <c r="N3048" s="314"/>
      <c r="O3048" s="313"/>
      <c r="P3048" s="318"/>
      <c r="Q3048" s="315"/>
      <c r="R3048" s="319"/>
      <c r="S3048" s="317"/>
      <c r="T3048" s="320"/>
      <c r="U3048" s="321"/>
      <c r="V3048" s="291">
        <f t="shared" ca="1" si="869"/>
        <v>0</v>
      </c>
      <c r="W3048" s="256">
        <f t="shared" ca="1" si="864"/>
        <v>0</v>
      </c>
      <c r="X3048" s="256">
        <f t="shared" ca="1" si="868"/>
        <v>1</v>
      </c>
      <c r="Y3048" s="250"/>
      <c r="Z3048" s="250"/>
    </row>
    <row r="3049" spans="1:29" s="111" customFormat="1" ht="15" hidden="1" x14ac:dyDescent="0.2">
      <c r="A3049" s="288"/>
      <c r="B3049" s="322"/>
      <c r="C3049" s="382"/>
      <c r="D3049" s="324"/>
      <c r="E3049" s="325"/>
      <c r="F3049" s="326"/>
      <c r="G3049" s="324"/>
      <c r="H3049" s="325"/>
      <c r="I3049" s="326"/>
      <c r="J3049" s="317"/>
      <c r="K3049" s="328"/>
      <c r="L3049" s="328"/>
      <c r="M3049" s="328"/>
      <c r="N3049" s="328"/>
      <c r="O3049" s="334"/>
      <c r="P3049" s="328"/>
      <c r="Q3049" s="334"/>
      <c r="R3049" s="333"/>
      <c r="S3049" s="331"/>
      <c r="T3049" s="320"/>
      <c r="U3049" s="335"/>
      <c r="V3049" s="291">
        <f t="shared" ca="1" si="869"/>
        <v>0</v>
      </c>
      <c r="W3049" s="256">
        <f t="shared" ca="1" si="864"/>
        <v>0</v>
      </c>
      <c r="X3049" s="256">
        <f t="shared" ca="1" si="868"/>
        <v>1</v>
      </c>
      <c r="Y3049" s="250"/>
      <c r="Z3049" s="250"/>
    </row>
    <row r="3050" spans="1:29" s="111" customFormat="1" ht="15" hidden="1" x14ac:dyDescent="0.2">
      <c r="A3050" s="288"/>
      <c r="B3050" s="338"/>
      <c r="C3050" s="339"/>
      <c r="D3050" s="340"/>
      <c r="E3050" s="341"/>
      <c r="F3050" s="342"/>
      <c r="G3050" s="340"/>
      <c r="H3050" s="341"/>
      <c r="I3050" s="342"/>
      <c r="J3050" s="343"/>
      <c r="K3050" s="344"/>
      <c r="L3050" s="345"/>
      <c r="M3050" s="346"/>
      <c r="N3050" s="347"/>
      <c r="O3050" s="348"/>
      <c r="P3050" s="345"/>
      <c r="Q3050" s="349"/>
      <c r="R3050" s="350"/>
      <c r="S3050" s="351"/>
      <c r="T3050" s="352"/>
      <c r="U3050" s="353"/>
      <c r="V3050" s="291">
        <f t="shared" ca="1" si="869"/>
        <v>0</v>
      </c>
      <c r="W3050" s="256">
        <f t="shared" ca="1" si="864"/>
        <v>0</v>
      </c>
      <c r="X3050" s="256">
        <f t="shared" ca="1" si="868"/>
        <v>1</v>
      </c>
      <c r="Y3050" s="250"/>
      <c r="Z3050" s="250"/>
    </row>
    <row r="3051" spans="1:29" s="111" customFormat="1" ht="15.75" hidden="1" customHeight="1" x14ac:dyDescent="0.2">
      <c r="A3051" s="288"/>
      <c r="B3051" s="354"/>
      <c r="C3051" s="355"/>
      <c r="D3051" s="1354" t="s">
        <v>492</v>
      </c>
      <c r="E3051" s="1355"/>
      <c r="F3051" s="1355"/>
      <c r="G3051" s="1355"/>
      <c r="H3051" s="1355"/>
      <c r="I3051" s="1356"/>
      <c r="J3051" s="1357">
        <f>VLOOKUP(A3053,'11 - FINANCEIRO'!_xlnm.Print_Area,6,FALSE)</f>
        <v>88</v>
      </c>
      <c r="K3051" s="1358"/>
      <c r="L3051" s="356" t="str">
        <f>VLOOKUP(A3053,'11 - FINANCEIRO'!_xlnm.Print_Area,4,FALSE)</f>
        <v>m</v>
      </c>
      <c r="M3051" s="1359" t="s">
        <v>493</v>
      </c>
      <c r="N3051" s="1360"/>
      <c r="O3051" s="1360"/>
      <c r="P3051" s="1360"/>
      <c r="Q3051" s="1361"/>
      <c r="R3051" s="357">
        <f>TRUNC(SUM(R3047:R3050),3)</f>
        <v>0</v>
      </c>
      <c r="S3051" s="358" t="str">
        <f>L3051</f>
        <v>m</v>
      </c>
      <c r="T3051" s="359"/>
      <c r="U3051" s="360"/>
      <c r="V3051" s="291">
        <f t="shared" ca="1" si="869"/>
        <v>0</v>
      </c>
      <c r="W3051" s="256">
        <f t="shared" ca="1" si="864"/>
        <v>2</v>
      </c>
      <c r="X3051" s="256">
        <f t="shared" ca="1" si="868"/>
        <v>1</v>
      </c>
      <c r="Y3051" s="250"/>
      <c r="Z3051" s="250"/>
    </row>
    <row r="3052" spans="1:29" s="293" customFormat="1" ht="15.75" hidden="1" customHeight="1" x14ac:dyDescent="0.2">
      <c r="A3052" s="288"/>
      <c r="B3052" s="354"/>
      <c r="C3052" s="361"/>
      <c r="D3052" s="1362" t="s">
        <v>494</v>
      </c>
      <c r="E3052" s="1363"/>
      <c r="F3052" s="1363"/>
      <c r="G3052" s="1363"/>
      <c r="H3052" s="1363"/>
      <c r="I3052" s="1364"/>
      <c r="J3052" s="1365">
        <f>R3051/J3051</f>
        <v>0</v>
      </c>
      <c r="K3052" s="1366"/>
      <c r="L3052" s="1369"/>
      <c r="M3052" s="1371" t="s">
        <v>495</v>
      </c>
      <c r="N3052" s="1372"/>
      <c r="O3052" s="1372"/>
      <c r="P3052" s="1372"/>
      <c r="Q3052" s="1373"/>
      <c r="R3052" s="362">
        <f>VLOOKUP(A3053,'11 - FINANCEIRO'!_xlnm.Print_Area,8,FALSE)</f>
        <v>0</v>
      </c>
      <c r="S3052" s="363" t="str">
        <f>L3051</f>
        <v>m</v>
      </c>
      <c r="T3052" s="359"/>
      <c r="U3052" s="360"/>
      <c r="V3052" s="291">
        <f t="shared" ca="1" si="869"/>
        <v>0</v>
      </c>
      <c r="W3052" s="256">
        <f t="shared" ca="1" si="864"/>
        <v>2</v>
      </c>
      <c r="X3052" s="256">
        <f t="shared" ca="1" si="868"/>
        <v>1</v>
      </c>
      <c r="Y3052" s="256"/>
      <c r="Z3052" s="256"/>
      <c r="AA3052" s="292"/>
      <c r="AB3052" s="292"/>
      <c r="AC3052" s="292"/>
    </row>
    <row r="3053" spans="1:29" s="293" customFormat="1" ht="15.75" hidden="1" customHeight="1" x14ac:dyDescent="0.2">
      <c r="A3053" s="288" t="s">
        <v>181</v>
      </c>
      <c r="B3053" s="364"/>
      <c r="C3053" s="365"/>
      <c r="D3053" s="1354"/>
      <c r="E3053" s="1355"/>
      <c r="F3053" s="1355"/>
      <c r="G3053" s="1355"/>
      <c r="H3053" s="1355"/>
      <c r="I3053" s="1356"/>
      <c r="J3053" s="1367"/>
      <c r="K3053" s="1368"/>
      <c r="L3053" s="1370"/>
      <c r="M3053" s="1371" t="s">
        <v>496</v>
      </c>
      <c r="N3053" s="1372"/>
      <c r="O3053" s="1372"/>
      <c r="P3053" s="1372"/>
      <c r="Q3053" s="1373"/>
      <c r="R3053" s="362">
        <f>R3051-R3052</f>
        <v>0</v>
      </c>
      <c r="S3053" s="363" t="str">
        <f>L3051</f>
        <v>m</v>
      </c>
      <c r="T3053" s="366"/>
      <c r="U3053" s="367"/>
      <c r="V3053" s="291">
        <f t="shared" ca="1" si="869"/>
        <v>0</v>
      </c>
      <c r="W3053" s="256">
        <f t="shared" ca="1" si="864"/>
        <v>2</v>
      </c>
      <c r="X3053" s="256">
        <f t="shared" ca="1" si="868"/>
        <v>1</v>
      </c>
      <c r="Y3053" s="256"/>
      <c r="Z3053" s="256"/>
      <c r="AA3053" s="292"/>
      <c r="AB3053" s="292"/>
      <c r="AC3053" s="292"/>
    </row>
    <row r="3054" spans="1:29" s="111" customFormat="1" ht="15.75" hidden="1" x14ac:dyDescent="0.2">
      <c r="A3054" s="288"/>
      <c r="B3054" s="368"/>
      <c r="C3054" s="365"/>
      <c r="D3054" s="369"/>
      <c r="E3054" s="370"/>
      <c r="F3054" s="369"/>
      <c r="G3054" s="369"/>
      <c r="H3054" s="369"/>
      <c r="I3054" s="369"/>
      <c r="J3054" s="371"/>
      <c r="K3054" s="372"/>
      <c r="L3054" s="373"/>
      <c r="M3054" s="374"/>
      <c r="N3054" s="374"/>
      <c r="O3054" s="374"/>
      <c r="P3054" s="374"/>
      <c r="Q3054" s="374"/>
      <c r="R3054" s="375"/>
      <c r="S3054" s="376"/>
      <c r="T3054" s="377"/>
      <c r="U3054" s="378"/>
      <c r="V3054" s="379">
        <f ca="1">SUM(V3045:V3053)</f>
        <v>0</v>
      </c>
      <c r="W3054" s="256">
        <f t="shared" ca="1" si="864"/>
        <v>1</v>
      </c>
      <c r="X3054" s="256">
        <f t="shared" ca="1" si="868"/>
        <v>0</v>
      </c>
      <c r="Y3054" s="250"/>
      <c r="Z3054" s="250"/>
    </row>
    <row r="3055" spans="1:29" s="293" customFormat="1" ht="15.75" hidden="1" customHeight="1" x14ac:dyDescent="0.25">
      <c r="A3055" s="288"/>
      <c r="B3055" s="1374" t="str">
        <f>VLOOKUP(A3063,'11 - FINANCEIRO'!_xlnm.Print_Area,1,FALSE)</f>
        <v>4.3.3</v>
      </c>
      <c r="C3055" s="1376" t="str">
        <f>VLOOKUP(A3063,'11 - FINANCEIRO'!_xlnm.Print_Area,3,FALSE)</f>
        <v>Arrasamento De Estacas Trilho Tr 68</v>
      </c>
      <c r="D3055" s="1378" t="s">
        <v>477</v>
      </c>
      <c r="E3055" s="1379"/>
      <c r="F3055" s="1379"/>
      <c r="G3055" s="1379"/>
      <c r="H3055" s="1379"/>
      <c r="I3055" s="1380"/>
      <c r="J3055" s="1338" t="s">
        <v>478</v>
      </c>
      <c r="K3055" s="1338" t="s">
        <v>479</v>
      </c>
      <c r="L3055" s="1338" t="s">
        <v>480</v>
      </c>
      <c r="M3055" s="1338" t="s">
        <v>481</v>
      </c>
      <c r="N3055" s="1338" t="s">
        <v>482</v>
      </c>
      <c r="O3055" s="1338" t="s">
        <v>483</v>
      </c>
      <c r="P3055" s="290" t="s">
        <v>484</v>
      </c>
      <c r="Q3055" s="1338" t="s">
        <v>485</v>
      </c>
      <c r="R3055" s="1336" t="s">
        <v>296</v>
      </c>
      <c r="S3055" s="1338" t="s">
        <v>486</v>
      </c>
      <c r="T3055" s="1338" t="s">
        <v>487</v>
      </c>
      <c r="U3055" s="1340" t="s">
        <v>488</v>
      </c>
      <c r="V3055" s="291">
        <f t="shared" ref="V3055:V3063" ca="1" si="870">IF(OFFSET(V3055,1,1)=1,OFFSET(V3055,0,-4),OFFSET(V3055,1,0))</f>
        <v>0</v>
      </c>
      <c r="W3055" s="256">
        <f t="shared" ca="1" si="864"/>
        <v>2</v>
      </c>
      <c r="X3055" s="256">
        <f t="shared" ca="1" si="868"/>
        <v>1</v>
      </c>
      <c r="Y3055" s="256"/>
      <c r="Z3055" s="256"/>
      <c r="AA3055" s="292"/>
      <c r="AB3055" s="292"/>
      <c r="AC3055" s="292"/>
    </row>
    <row r="3056" spans="1:29" s="337" customFormat="1" ht="15.75" hidden="1" x14ac:dyDescent="0.2">
      <c r="A3056" s="288"/>
      <c r="B3056" s="1375"/>
      <c r="C3056" s="1377" t="e">
        <f>VLOOKUP(LEFT(#REF!,5),'11 - FINANCEIRO'!_xlnm.Print_Area,2,FALSE)</f>
        <v>#REF!</v>
      </c>
      <c r="D3056" s="1342" t="s">
        <v>489</v>
      </c>
      <c r="E3056" s="1343"/>
      <c r="F3056" s="1344"/>
      <c r="G3056" s="1345" t="s">
        <v>490</v>
      </c>
      <c r="H3056" s="1346"/>
      <c r="I3056" s="1347"/>
      <c r="J3056" s="1339"/>
      <c r="K3056" s="1339"/>
      <c r="L3056" s="1339"/>
      <c r="M3056" s="1339"/>
      <c r="N3056" s="1339"/>
      <c r="O3056" s="1339"/>
      <c r="P3056" s="295" t="s">
        <v>491</v>
      </c>
      <c r="Q3056" s="1339"/>
      <c r="R3056" s="1337"/>
      <c r="S3056" s="1339"/>
      <c r="T3056" s="1339"/>
      <c r="U3056" s="1341"/>
      <c r="V3056" s="291">
        <f t="shared" ca="1" si="870"/>
        <v>0</v>
      </c>
      <c r="W3056" s="256">
        <f t="shared" ca="1" si="864"/>
        <v>2</v>
      </c>
      <c r="X3056" s="256">
        <f t="shared" ca="1" si="868"/>
        <v>1</v>
      </c>
      <c r="Y3056" s="336"/>
      <c r="Z3056" s="336"/>
    </row>
    <row r="3057" spans="1:29" s="337" customFormat="1" ht="15.75" hidden="1" x14ac:dyDescent="0.2">
      <c r="A3057" s="288"/>
      <c r="B3057" s="296"/>
      <c r="C3057" s="297"/>
      <c r="D3057" s="298"/>
      <c r="E3057" s="299"/>
      <c r="F3057" s="300"/>
      <c r="G3057" s="301"/>
      <c r="H3057" s="302"/>
      <c r="I3057" s="303"/>
      <c r="J3057" s="304"/>
      <c r="K3057" s="304"/>
      <c r="L3057" s="304"/>
      <c r="M3057" s="304"/>
      <c r="N3057" s="304"/>
      <c r="O3057" s="304"/>
      <c r="P3057" s="306"/>
      <c r="Q3057" s="304"/>
      <c r="R3057" s="307"/>
      <c r="S3057" s="304"/>
      <c r="T3057" s="309"/>
      <c r="U3057" s="310"/>
      <c r="V3057" s="291">
        <f t="shared" ca="1" si="870"/>
        <v>0</v>
      </c>
      <c r="W3057" s="256">
        <f t="shared" ca="1" si="864"/>
        <v>0</v>
      </c>
      <c r="X3057" s="256">
        <f t="shared" ca="1" si="868"/>
        <v>1</v>
      </c>
      <c r="Y3057" s="336"/>
      <c r="Z3057" s="336"/>
    </row>
    <row r="3058" spans="1:29" s="111" customFormat="1" ht="15.75" hidden="1" x14ac:dyDescent="0.2">
      <c r="A3058" s="288"/>
      <c r="B3058" s="311"/>
      <c r="C3058" s="312"/>
      <c r="D3058" s="313"/>
      <c r="E3058" s="314"/>
      <c r="F3058" s="315"/>
      <c r="G3058" s="380"/>
      <c r="H3058" s="316"/>
      <c r="I3058" s="381"/>
      <c r="J3058" s="317"/>
      <c r="K3058" s="313"/>
      <c r="L3058" s="317"/>
      <c r="M3058" s="315"/>
      <c r="N3058" s="314"/>
      <c r="O3058" s="313"/>
      <c r="P3058" s="318"/>
      <c r="Q3058" s="315"/>
      <c r="R3058" s="319"/>
      <c r="S3058" s="317"/>
      <c r="T3058" s="320"/>
      <c r="U3058" s="321"/>
      <c r="V3058" s="291">
        <f t="shared" ca="1" si="870"/>
        <v>0</v>
      </c>
      <c r="W3058" s="256">
        <f t="shared" ca="1" si="864"/>
        <v>0</v>
      </c>
      <c r="X3058" s="256">
        <f t="shared" ca="1" si="868"/>
        <v>1</v>
      </c>
      <c r="Y3058" s="250"/>
      <c r="Z3058" s="250"/>
    </row>
    <row r="3059" spans="1:29" s="111" customFormat="1" ht="15" hidden="1" x14ac:dyDescent="0.2">
      <c r="A3059" s="288"/>
      <c r="B3059" s="322"/>
      <c r="C3059" s="382"/>
      <c r="D3059" s="324"/>
      <c r="E3059" s="325"/>
      <c r="F3059" s="326"/>
      <c r="G3059" s="324"/>
      <c r="H3059" s="325"/>
      <c r="I3059" s="326"/>
      <c r="J3059" s="317"/>
      <c r="K3059" s="328"/>
      <c r="L3059" s="328"/>
      <c r="M3059" s="328"/>
      <c r="N3059" s="328"/>
      <c r="O3059" s="334"/>
      <c r="P3059" s="328"/>
      <c r="Q3059" s="334"/>
      <c r="R3059" s="333"/>
      <c r="S3059" s="331"/>
      <c r="T3059" s="320"/>
      <c r="U3059" s="335"/>
      <c r="V3059" s="291">
        <f t="shared" ca="1" si="870"/>
        <v>0</v>
      </c>
      <c r="W3059" s="256">
        <f t="shared" ca="1" si="864"/>
        <v>0</v>
      </c>
      <c r="X3059" s="256">
        <f t="shared" ca="1" si="868"/>
        <v>1</v>
      </c>
      <c r="Y3059" s="250"/>
      <c r="Z3059" s="250"/>
    </row>
    <row r="3060" spans="1:29" s="111" customFormat="1" ht="15" hidden="1" x14ac:dyDescent="0.2">
      <c r="A3060" s="288"/>
      <c r="B3060" s="338"/>
      <c r="C3060" s="339"/>
      <c r="D3060" s="340"/>
      <c r="E3060" s="341"/>
      <c r="F3060" s="342"/>
      <c r="G3060" s="340"/>
      <c r="H3060" s="341"/>
      <c r="I3060" s="342"/>
      <c r="J3060" s="343"/>
      <c r="K3060" s="344"/>
      <c r="L3060" s="345"/>
      <c r="M3060" s="346"/>
      <c r="N3060" s="347"/>
      <c r="O3060" s="348"/>
      <c r="P3060" s="345"/>
      <c r="Q3060" s="349"/>
      <c r="R3060" s="350"/>
      <c r="S3060" s="351"/>
      <c r="T3060" s="352"/>
      <c r="U3060" s="353"/>
      <c r="V3060" s="291">
        <f t="shared" ca="1" si="870"/>
        <v>0</v>
      </c>
      <c r="W3060" s="256">
        <f t="shared" ca="1" si="864"/>
        <v>0</v>
      </c>
      <c r="X3060" s="256">
        <f t="shared" ca="1" si="868"/>
        <v>1</v>
      </c>
      <c r="Y3060" s="250"/>
      <c r="Z3060" s="250"/>
    </row>
    <row r="3061" spans="1:29" s="111" customFormat="1" ht="15.75" hidden="1" customHeight="1" x14ac:dyDescent="0.2">
      <c r="A3061" s="288"/>
      <c r="B3061" s="354"/>
      <c r="C3061" s="355"/>
      <c r="D3061" s="1354" t="s">
        <v>492</v>
      </c>
      <c r="E3061" s="1355"/>
      <c r="F3061" s="1355"/>
      <c r="G3061" s="1355"/>
      <c r="H3061" s="1355"/>
      <c r="I3061" s="1356"/>
      <c r="J3061" s="1357">
        <f>VLOOKUP(A3063,'11 - FINANCEIRO'!_xlnm.Print_Area,6,FALSE)</f>
        <v>8</v>
      </c>
      <c r="K3061" s="1358"/>
      <c r="L3061" s="356" t="str">
        <f>VLOOKUP(A3063,'11 - FINANCEIRO'!_xlnm.Print_Area,4,FALSE)</f>
        <v>un</v>
      </c>
      <c r="M3061" s="1359" t="s">
        <v>493</v>
      </c>
      <c r="N3061" s="1360"/>
      <c r="O3061" s="1360"/>
      <c r="P3061" s="1360"/>
      <c r="Q3061" s="1361"/>
      <c r="R3061" s="357">
        <f>TRUNC(SUM(R3057:R3060),3)</f>
        <v>0</v>
      </c>
      <c r="S3061" s="358" t="str">
        <f>L3061</f>
        <v>un</v>
      </c>
      <c r="T3061" s="359"/>
      <c r="U3061" s="360"/>
      <c r="V3061" s="291">
        <f t="shared" ca="1" si="870"/>
        <v>0</v>
      </c>
      <c r="W3061" s="256">
        <f t="shared" ca="1" si="864"/>
        <v>2</v>
      </c>
      <c r="X3061" s="256">
        <f t="shared" ca="1" si="868"/>
        <v>1</v>
      </c>
      <c r="Y3061" s="250"/>
      <c r="Z3061" s="250"/>
    </row>
    <row r="3062" spans="1:29" s="293" customFormat="1" ht="15.75" hidden="1" customHeight="1" x14ac:dyDescent="0.2">
      <c r="A3062" s="288"/>
      <c r="B3062" s="354"/>
      <c r="C3062" s="361"/>
      <c r="D3062" s="1362" t="s">
        <v>494</v>
      </c>
      <c r="E3062" s="1363"/>
      <c r="F3062" s="1363"/>
      <c r="G3062" s="1363"/>
      <c r="H3062" s="1363"/>
      <c r="I3062" s="1364"/>
      <c r="J3062" s="1365">
        <f>R3061/J3061</f>
        <v>0</v>
      </c>
      <c r="K3062" s="1366"/>
      <c r="L3062" s="1369"/>
      <c r="M3062" s="1371" t="s">
        <v>495</v>
      </c>
      <c r="N3062" s="1372"/>
      <c r="O3062" s="1372"/>
      <c r="P3062" s="1372"/>
      <c r="Q3062" s="1373"/>
      <c r="R3062" s="362">
        <f>VLOOKUP(A3063,'11 - FINANCEIRO'!_xlnm.Print_Area,8,FALSE)</f>
        <v>0</v>
      </c>
      <c r="S3062" s="363" t="str">
        <f>L3061</f>
        <v>un</v>
      </c>
      <c r="T3062" s="359"/>
      <c r="U3062" s="360"/>
      <c r="V3062" s="291">
        <f t="shared" ca="1" si="870"/>
        <v>0</v>
      </c>
      <c r="W3062" s="256">
        <f t="shared" ca="1" si="864"/>
        <v>2</v>
      </c>
      <c r="X3062" s="256">
        <f t="shared" ca="1" si="868"/>
        <v>1</v>
      </c>
      <c r="Y3062" s="256"/>
      <c r="Z3062" s="256"/>
      <c r="AA3062" s="292"/>
      <c r="AB3062" s="292"/>
      <c r="AC3062" s="292"/>
    </row>
    <row r="3063" spans="1:29" s="293" customFormat="1" ht="15.75" hidden="1" customHeight="1" x14ac:dyDescent="0.2">
      <c r="A3063" s="288" t="s">
        <v>182</v>
      </c>
      <c r="B3063" s="364"/>
      <c r="C3063" s="365"/>
      <c r="D3063" s="1354"/>
      <c r="E3063" s="1355"/>
      <c r="F3063" s="1355"/>
      <c r="G3063" s="1355"/>
      <c r="H3063" s="1355"/>
      <c r="I3063" s="1356"/>
      <c r="J3063" s="1367"/>
      <c r="K3063" s="1368"/>
      <c r="L3063" s="1370"/>
      <c r="M3063" s="1371" t="s">
        <v>496</v>
      </c>
      <c r="N3063" s="1372"/>
      <c r="O3063" s="1372"/>
      <c r="P3063" s="1372"/>
      <c r="Q3063" s="1373"/>
      <c r="R3063" s="362">
        <f>R3061-R3062</f>
        <v>0</v>
      </c>
      <c r="S3063" s="363" t="str">
        <f>L3061</f>
        <v>un</v>
      </c>
      <c r="T3063" s="366"/>
      <c r="U3063" s="367"/>
      <c r="V3063" s="291">
        <f t="shared" ca="1" si="870"/>
        <v>0</v>
      </c>
      <c r="W3063" s="256">
        <f t="shared" ca="1" si="864"/>
        <v>2</v>
      </c>
      <c r="X3063" s="256">
        <f t="shared" ca="1" si="868"/>
        <v>1</v>
      </c>
      <c r="Y3063" s="256"/>
      <c r="Z3063" s="256"/>
      <c r="AA3063" s="292"/>
      <c r="AB3063" s="292"/>
      <c r="AC3063" s="292"/>
    </row>
    <row r="3064" spans="1:29" s="111" customFormat="1" ht="15.75" hidden="1" x14ac:dyDescent="0.2">
      <c r="A3064" s="288"/>
      <c r="B3064" s="368"/>
      <c r="C3064" s="365"/>
      <c r="D3064" s="369"/>
      <c r="E3064" s="370"/>
      <c r="F3064" s="369"/>
      <c r="G3064" s="369"/>
      <c r="H3064" s="369"/>
      <c r="I3064" s="369"/>
      <c r="J3064" s="371"/>
      <c r="K3064" s="372"/>
      <c r="L3064" s="373"/>
      <c r="M3064" s="374"/>
      <c r="N3064" s="374"/>
      <c r="O3064" s="374"/>
      <c r="P3064" s="374"/>
      <c r="Q3064" s="374"/>
      <c r="R3064" s="375"/>
      <c r="S3064" s="376"/>
      <c r="T3064" s="377"/>
      <c r="U3064" s="378"/>
      <c r="V3064" s="379">
        <f ca="1">SUM(V3055:V3063)</f>
        <v>0</v>
      </c>
      <c r="W3064" s="256">
        <f t="shared" ca="1" si="864"/>
        <v>1</v>
      </c>
      <c r="X3064" s="256">
        <f t="shared" ca="1" si="868"/>
        <v>0</v>
      </c>
      <c r="Y3064" s="250"/>
      <c r="Z3064" s="250"/>
    </row>
    <row r="3065" spans="1:29" s="293" customFormat="1" ht="15.75" hidden="1" customHeight="1" x14ac:dyDescent="0.25">
      <c r="A3065" s="288"/>
      <c r="B3065" s="1374" t="str">
        <f>VLOOKUP(A3075,'11 - FINANCEIRO'!_xlnm.Print_Area,1,FALSE)</f>
        <v>4.3.4</v>
      </c>
      <c r="C3065" s="1376" t="str">
        <f>VLOOKUP(A3075,'11 - FINANCEIRO'!_xlnm.Print_Area,3,FALSE)</f>
        <v>Lastro De Concreto Magro, Aplicado Em Blocos De Coroamento Ou Sapatas, Espessura De 5 Cm. Af_08/2017</v>
      </c>
      <c r="D3065" s="1378" t="s">
        <v>477</v>
      </c>
      <c r="E3065" s="1379"/>
      <c r="F3065" s="1379"/>
      <c r="G3065" s="1379"/>
      <c r="H3065" s="1379"/>
      <c r="I3065" s="1380"/>
      <c r="J3065" s="1338" t="s">
        <v>478</v>
      </c>
      <c r="K3065" s="1338" t="s">
        <v>479</v>
      </c>
      <c r="L3065" s="1338" t="s">
        <v>480</v>
      </c>
      <c r="M3065" s="1338" t="s">
        <v>481</v>
      </c>
      <c r="N3065" s="1338" t="s">
        <v>482</v>
      </c>
      <c r="O3065" s="1338" t="s">
        <v>483</v>
      </c>
      <c r="P3065" s="290" t="s">
        <v>484</v>
      </c>
      <c r="Q3065" s="1338" t="s">
        <v>485</v>
      </c>
      <c r="R3065" s="1336" t="s">
        <v>296</v>
      </c>
      <c r="S3065" s="1338" t="s">
        <v>486</v>
      </c>
      <c r="T3065" s="1338" t="s">
        <v>487</v>
      </c>
      <c r="U3065" s="1340" t="s">
        <v>488</v>
      </c>
      <c r="V3065" s="291">
        <f t="shared" ref="V3065:V3075" ca="1" si="871">IF(OFFSET(V3065,1,1)=1,OFFSET(V3065,0,-4),OFFSET(V3065,1,0))</f>
        <v>0</v>
      </c>
      <c r="W3065" s="256">
        <f t="shared" ca="1" si="864"/>
        <v>2</v>
      </c>
      <c r="X3065" s="256">
        <f t="shared" ca="1" si="868"/>
        <v>1</v>
      </c>
      <c r="Y3065" s="256"/>
      <c r="Z3065" s="256"/>
      <c r="AA3065" s="292"/>
      <c r="AB3065" s="292"/>
      <c r="AC3065" s="292"/>
    </row>
    <row r="3066" spans="1:29" s="337" customFormat="1" ht="15.75" hidden="1" x14ac:dyDescent="0.2">
      <c r="A3066" s="288"/>
      <c r="B3066" s="1375"/>
      <c r="C3066" s="1377" t="e">
        <f>VLOOKUP(LEFT(#REF!,5),'11 - FINANCEIRO'!_xlnm.Print_Area,2,FALSE)</f>
        <v>#REF!</v>
      </c>
      <c r="D3066" s="1342" t="s">
        <v>489</v>
      </c>
      <c r="E3066" s="1343"/>
      <c r="F3066" s="1344"/>
      <c r="G3066" s="1345" t="s">
        <v>490</v>
      </c>
      <c r="H3066" s="1346"/>
      <c r="I3066" s="1347"/>
      <c r="J3066" s="1339"/>
      <c r="K3066" s="1339"/>
      <c r="L3066" s="1339"/>
      <c r="M3066" s="1339"/>
      <c r="N3066" s="1339"/>
      <c r="O3066" s="1339"/>
      <c r="P3066" s="295" t="s">
        <v>491</v>
      </c>
      <c r="Q3066" s="1339"/>
      <c r="R3066" s="1337"/>
      <c r="S3066" s="1339"/>
      <c r="T3066" s="1339"/>
      <c r="U3066" s="1341"/>
      <c r="V3066" s="291">
        <f t="shared" ca="1" si="871"/>
        <v>0</v>
      </c>
      <c r="W3066" s="256">
        <f t="shared" ca="1" si="864"/>
        <v>2</v>
      </c>
      <c r="X3066" s="256">
        <f t="shared" ca="1" si="868"/>
        <v>1</v>
      </c>
      <c r="Y3066" s="336"/>
      <c r="Z3066" s="336"/>
    </row>
    <row r="3067" spans="1:29" s="337" customFormat="1" ht="15.75" hidden="1" x14ac:dyDescent="0.2">
      <c r="A3067" s="288"/>
      <c r="B3067" s="296"/>
      <c r="C3067" s="582" t="s">
        <v>992</v>
      </c>
      <c r="D3067" s="298"/>
      <c r="E3067" s="299"/>
      <c r="F3067" s="300"/>
      <c r="G3067" s="301"/>
      <c r="H3067" s="302"/>
      <c r="I3067" s="303"/>
      <c r="J3067" s="304" t="s">
        <v>621</v>
      </c>
      <c r="K3067" s="589">
        <v>28.4</v>
      </c>
      <c r="L3067" s="589">
        <v>0.2</v>
      </c>
      <c r="M3067" s="589">
        <v>0.05</v>
      </c>
      <c r="N3067" s="589">
        <f>K3067*L3067</f>
        <v>5.68</v>
      </c>
      <c r="O3067" s="589">
        <f>K3067*L3067*M3067</f>
        <v>0.28399999999999997</v>
      </c>
      <c r="P3067" s="306"/>
      <c r="Q3067" s="304"/>
      <c r="R3067" s="307">
        <f>O3067</f>
        <v>0.28399999999999997</v>
      </c>
      <c r="S3067" s="304" t="s">
        <v>308</v>
      </c>
      <c r="T3067" s="309">
        <v>25</v>
      </c>
      <c r="U3067" s="310"/>
      <c r="V3067" s="291">
        <f t="shared" ca="1" si="871"/>
        <v>0</v>
      </c>
      <c r="W3067" s="256">
        <f t="shared" ca="1" si="864"/>
        <v>2</v>
      </c>
      <c r="X3067" s="256">
        <f t="shared" ca="1" si="868"/>
        <v>1</v>
      </c>
      <c r="Y3067" s="336"/>
      <c r="Z3067" s="336"/>
    </row>
    <row r="3068" spans="1:29" s="111" customFormat="1" ht="15.75" hidden="1" x14ac:dyDescent="0.2">
      <c r="A3068" s="288"/>
      <c r="B3068" s="311"/>
      <c r="C3068" s="312" t="s">
        <v>992</v>
      </c>
      <c r="D3068" s="313"/>
      <c r="E3068" s="314"/>
      <c r="F3068" s="315"/>
      <c r="G3068" s="380"/>
      <c r="H3068" s="316"/>
      <c r="I3068" s="381"/>
      <c r="J3068" s="317" t="s">
        <v>620</v>
      </c>
      <c r="K3068" s="317">
        <v>28.4</v>
      </c>
      <c r="L3068" s="317">
        <v>0.2</v>
      </c>
      <c r="M3068" s="317">
        <v>0.05</v>
      </c>
      <c r="N3068" s="317">
        <f>K3068*L3068</f>
        <v>5.68</v>
      </c>
      <c r="O3068" s="317">
        <f>K3068*L3068*M3068</f>
        <v>0.28399999999999997</v>
      </c>
      <c r="P3068" s="318"/>
      <c r="Q3068" s="315"/>
      <c r="R3068" s="319">
        <f>O3068</f>
        <v>0.28399999999999997</v>
      </c>
      <c r="S3068" s="317" t="s">
        <v>308</v>
      </c>
      <c r="T3068" s="320">
        <v>25</v>
      </c>
      <c r="U3068" s="321"/>
      <c r="V3068" s="291">
        <f t="shared" ca="1" si="871"/>
        <v>0</v>
      </c>
      <c r="W3068" s="256">
        <f t="shared" ca="1" si="864"/>
        <v>2</v>
      </c>
      <c r="X3068" s="256">
        <f t="shared" ca="1" si="868"/>
        <v>1</v>
      </c>
      <c r="Y3068" s="250"/>
      <c r="Z3068" s="250"/>
    </row>
    <row r="3069" spans="1:29" s="111" customFormat="1" ht="15.75" hidden="1" x14ac:dyDescent="0.2">
      <c r="A3069" s="288"/>
      <c r="B3069" s="311"/>
      <c r="C3069" s="312" t="s">
        <v>993</v>
      </c>
      <c r="D3069" s="313"/>
      <c r="E3069" s="314"/>
      <c r="F3069" s="315"/>
      <c r="G3069" s="380"/>
      <c r="H3069" s="316"/>
      <c r="I3069" s="381"/>
      <c r="J3069" s="317" t="s">
        <v>621</v>
      </c>
      <c r="K3069" s="427">
        <v>28.4</v>
      </c>
      <c r="L3069" s="427">
        <v>1.2</v>
      </c>
      <c r="M3069" s="427">
        <v>0.05</v>
      </c>
      <c r="N3069" s="427">
        <f>K3069*L3069</f>
        <v>34.08</v>
      </c>
      <c r="O3069" s="427">
        <f>K3069*L3069*M3069</f>
        <v>1.704</v>
      </c>
      <c r="P3069" s="318"/>
      <c r="Q3069" s="315"/>
      <c r="R3069" s="319">
        <f>O3069</f>
        <v>1.704</v>
      </c>
      <c r="S3069" s="313" t="s">
        <v>308</v>
      </c>
      <c r="T3069" s="320">
        <v>25</v>
      </c>
      <c r="U3069" s="321"/>
      <c r="V3069" s="291">
        <f t="shared" ca="1" si="871"/>
        <v>0</v>
      </c>
      <c r="W3069" s="256">
        <f t="shared" ref="W3069:W3071" ca="1" si="872">IF(LEFT(_xlfn.FORMULATEXT(V3069),3)="=SO",1,IF(COUNTA(A3069:U3069)=0,0,2))</f>
        <v>2</v>
      </c>
      <c r="X3069" s="256">
        <f t="shared" ref="X3069:X3071" ca="1" si="873">IF(COUNTA(OFFSET(A3068,1,0))-COUNTA(A3068)=-1,0,1)</f>
        <v>1</v>
      </c>
      <c r="Y3069" s="250"/>
      <c r="Z3069" s="250"/>
    </row>
    <row r="3070" spans="1:29" s="111" customFormat="1" ht="15.75" hidden="1" x14ac:dyDescent="0.2">
      <c r="A3070" s="288"/>
      <c r="B3070" s="311"/>
      <c r="C3070" s="312" t="s">
        <v>993</v>
      </c>
      <c r="D3070" s="313"/>
      <c r="E3070" s="314"/>
      <c r="F3070" s="315"/>
      <c r="G3070" s="380"/>
      <c r="H3070" s="316"/>
      <c r="I3070" s="381"/>
      <c r="J3070" s="317" t="s">
        <v>620</v>
      </c>
      <c r="K3070" s="427">
        <v>28.4</v>
      </c>
      <c r="L3070" s="427">
        <v>1.2</v>
      </c>
      <c r="M3070" s="427">
        <v>0.05</v>
      </c>
      <c r="N3070" s="427">
        <f>K3070*L3070</f>
        <v>34.08</v>
      </c>
      <c r="O3070" s="427">
        <f>K3070*L3070*M3070</f>
        <v>1.704</v>
      </c>
      <c r="P3070" s="318"/>
      <c r="Q3070" s="315"/>
      <c r="R3070" s="319">
        <f>O3070-0.476</f>
        <v>1.228</v>
      </c>
      <c r="S3070" s="313" t="s">
        <v>308</v>
      </c>
      <c r="T3070" s="320">
        <v>25</v>
      </c>
      <c r="U3070" s="321"/>
      <c r="V3070" s="291">
        <f t="shared" ca="1" si="871"/>
        <v>0</v>
      </c>
      <c r="W3070" s="256">
        <f t="shared" ca="1" si="872"/>
        <v>2</v>
      </c>
      <c r="X3070" s="256">
        <f t="shared" ca="1" si="873"/>
        <v>1</v>
      </c>
      <c r="Y3070" s="250"/>
      <c r="Z3070" s="250"/>
    </row>
    <row r="3071" spans="1:29" s="111" customFormat="1" ht="15" hidden="1" x14ac:dyDescent="0.2">
      <c r="A3071" s="288"/>
      <c r="B3071" s="322"/>
      <c r="C3071" s="382"/>
      <c r="D3071" s="324"/>
      <c r="E3071" s="325"/>
      <c r="F3071" s="326"/>
      <c r="G3071" s="324"/>
      <c r="H3071" s="325"/>
      <c r="I3071" s="326"/>
      <c r="J3071" s="317"/>
      <c r="K3071" s="328"/>
      <c r="L3071" s="328"/>
      <c r="M3071" s="328"/>
      <c r="N3071" s="328"/>
      <c r="O3071" s="334"/>
      <c r="P3071" s="328"/>
      <c r="Q3071" s="334"/>
      <c r="R3071" s="333"/>
      <c r="S3071" s="331"/>
      <c r="T3071" s="320">
        <v>25</v>
      </c>
      <c r="U3071" s="335"/>
      <c r="V3071" s="291">
        <f t="shared" ca="1" si="871"/>
        <v>0</v>
      </c>
      <c r="W3071" s="256">
        <f t="shared" ca="1" si="872"/>
        <v>2</v>
      </c>
      <c r="X3071" s="256">
        <f t="shared" ca="1" si="873"/>
        <v>1</v>
      </c>
      <c r="Y3071" s="250"/>
      <c r="Z3071" s="250"/>
    </row>
    <row r="3072" spans="1:29" s="111" customFormat="1" ht="15" hidden="1" x14ac:dyDescent="0.2">
      <c r="A3072" s="288"/>
      <c r="B3072" s="338"/>
      <c r="C3072" s="339"/>
      <c r="D3072" s="340"/>
      <c r="E3072" s="341"/>
      <c r="F3072" s="342"/>
      <c r="G3072" s="340"/>
      <c r="H3072" s="341"/>
      <c r="I3072" s="342"/>
      <c r="J3072" s="343"/>
      <c r="K3072" s="344"/>
      <c r="L3072" s="345"/>
      <c r="M3072" s="346"/>
      <c r="N3072" s="347"/>
      <c r="O3072" s="348"/>
      <c r="P3072" s="345"/>
      <c r="Q3072" s="349"/>
      <c r="R3072" s="350"/>
      <c r="S3072" s="351"/>
      <c r="T3072" s="352"/>
      <c r="U3072" s="353"/>
      <c r="V3072" s="291">
        <f t="shared" ca="1" si="871"/>
        <v>0</v>
      </c>
      <c r="W3072" s="256">
        <f t="shared" ca="1" si="864"/>
        <v>0</v>
      </c>
      <c r="X3072" s="256">
        <f t="shared" ca="1" si="868"/>
        <v>1</v>
      </c>
      <c r="Y3072" s="250"/>
      <c r="Z3072" s="250"/>
    </row>
    <row r="3073" spans="1:29" s="111" customFormat="1" ht="15.75" hidden="1" customHeight="1" x14ac:dyDescent="0.2">
      <c r="A3073" s="288"/>
      <c r="B3073" s="354"/>
      <c r="C3073" s="355"/>
      <c r="D3073" s="1354" t="s">
        <v>492</v>
      </c>
      <c r="E3073" s="1355"/>
      <c r="F3073" s="1355"/>
      <c r="G3073" s="1355"/>
      <c r="H3073" s="1355"/>
      <c r="I3073" s="1356"/>
      <c r="J3073" s="1357">
        <f>VLOOKUP(A3075,'11 - FINANCEIRO'!_xlnm.Print_Area,6,FALSE)</f>
        <v>3.5</v>
      </c>
      <c r="K3073" s="1358"/>
      <c r="L3073" s="356" t="str">
        <f>VLOOKUP(A3075,'11 - FINANCEIRO'!_xlnm.Print_Area,4,FALSE)</f>
        <v>m²</v>
      </c>
      <c r="M3073" s="1359" t="s">
        <v>493</v>
      </c>
      <c r="N3073" s="1360"/>
      <c r="O3073" s="1360"/>
      <c r="P3073" s="1360"/>
      <c r="Q3073" s="1361"/>
      <c r="R3073" s="357">
        <f>TRUNC(SUM(R3067:R3072),3)</f>
        <v>3.5</v>
      </c>
      <c r="S3073" s="358" t="str">
        <f>L3073</f>
        <v>m²</v>
      </c>
      <c r="T3073" s="359"/>
      <c r="U3073" s="360"/>
      <c r="V3073" s="291">
        <f t="shared" ca="1" si="871"/>
        <v>0</v>
      </c>
      <c r="W3073" s="256">
        <f t="shared" ca="1" si="864"/>
        <v>2</v>
      </c>
      <c r="X3073" s="256">
        <f t="shared" ca="1" si="868"/>
        <v>1</v>
      </c>
      <c r="Y3073" s="250"/>
      <c r="Z3073" s="250"/>
    </row>
    <row r="3074" spans="1:29" s="293" customFormat="1" ht="15.75" hidden="1" customHeight="1" x14ac:dyDescent="0.2">
      <c r="A3074" s="288"/>
      <c r="B3074" s="354"/>
      <c r="C3074" s="361"/>
      <c r="D3074" s="1362" t="s">
        <v>494</v>
      </c>
      <c r="E3074" s="1363"/>
      <c r="F3074" s="1363"/>
      <c r="G3074" s="1363"/>
      <c r="H3074" s="1363"/>
      <c r="I3074" s="1364"/>
      <c r="J3074" s="1365">
        <f>R3073/J3073</f>
        <v>1</v>
      </c>
      <c r="K3074" s="1366"/>
      <c r="L3074" s="1369"/>
      <c r="M3074" s="1371" t="s">
        <v>495</v>
      </c>
      <c r="N3074" s="1372"/>
      <c r="O3074" s="1372"/>
      <c r="P3074" s="1372"/>
      <c r="Q3074" s="1373"/>
      <c r="R3074" s="362">
        <f>VLOOKUP(A3075,'11 - FINANCEIRO'!_xlnm.Print_Area,8,FALSE)</f>
        <v>3.5</v>
      </c>
      <c r="S3074" s="363" t="str">
        <f>L3073</f>
        <v>m²</v>
      </c>
      <c r="T3074" s="359"/>
      <c r="U3074" s="360"/>
      <c r="V3074" s="291">
        <f t="shared" ca="1" si="871"/>
        <v>0</v>
      </c>
      <c r="W3074" s="256">
        <f t="shared" ca="1" si="864"/>
        <v>2</v>
      </c>
      <c r="X3074" s="256">
        <f t="shared" ca="1" si="868"/>
        <v>1</v>
      </c>
      <c r="Y3074" s="256"/>
      <c r="Z3074" s="256"/>
      <c r="AA3074" s="292"/>
      <c r="AB3074" s="292"/>
      <c r="AC3074" s="292"/>
    </row>
    <row r="3075" spans="1:29" s="293" customFormat="1" ht="15.75" hidden="1" customHeight="1" x14ac:dyDescent="0.2">
      <c r="A3075" s="288" t="s">
        <v>183</v>
      </c>
      <c r="B3075" s="364"/>
      <c r="C3075" s="365"/>
      <c r="D3075" s="1354"/>
      <c r="E3075" s="1355"/>
      <c r="F3075" s="1355"/>
      <c r="G3075" s="1355"/>
      <c r="H3075" s="1355"/>
      <c r="I3075" s="1356"/>
      <c r="J3075" s="1367"/>
      <c r="K3075" s="1368"/>
      <c r="L3075" s="1370"/>
      <c r="M3075" s="1371" t="s">
        <v>496</v>
      </c>
      <c r="N3075" s="1372"/>
      <c r="O3075" s="1372"/>
      <c r="P3075" s="1372"/>
      <c r="Q3075" s="1373"/>
      <c r="R3075" s="362">
        <f>R3073-R3074</f>
        <v>0</v>
      </c>
      <c r="S3075" s="363" t="str">
        <f>L3073</f>
        <v>m²</v>
      </c>
      <c r="T3075" s="366"/>
      <c r="U3075" s="367"/>
      <c r="V3075" s="291">
        <f t="shared" ca="1" si="871"/>
        <v>0</v>
      </c>
      <c r="W3075" s="256">
        <f t="shared" ca="1" si="864"/>
        <v>2</v>
      </c>
      <c r="X3075" s="256">
        <f t="shared" ca="1" si="868"/>
        <v>1</v>
      </c>
      <c r="Y3075" s="256"/>
      <c r="Z3075" s="256"/>
      <c r="AA3075" s="292"/>
      <c r="AB3075" s="292"/>
      <c r="AC3075" s="292"/>
    </row>
    <row r="3076" spans="1:29" s="111" customFormat="1" ht="15.75" hidden="1" x14ac:dyDescent="0.2">
      <c r="A3076" s="288"/>
      <c r="B3076" s="368"/>
      <c r="C3076" s="365"/>
      <c r="D3076" s="369"/>
      <c r="E3076" s="370"/>
      <c r="F3076" s="369"/>
      <c r="G3076" s="369"/>
      <c r="H3076" s="369"/>
      <c r="I3076" s="369"/>
      <c r="J3076" s="371"/>
      <c r="K3076" s="372"/>
      <c r="L3076" s="373"/>
      <c r="M3076" s="374"/>
      <c r="N3076" s="374"/>
      <c r="O3076" s="374"/>
      <c r="P3076" s="374"/>
      <c r="Q3076" s="374"/>
      <c r="R3076" s="375"/>
      <c r="S3076" s="376"/>
      <c r="T3076" s="377"/>
      <c r="U3076" s="378"/>
      <c r="V3076" s="379">
        <f ca="1">SUM(V3065:V3075)</f>
        <v>0</v>
      </c>
      <c r="W3076" s="256">
        <f t="shared" ca="1" si="864"/>
        <v>1</v>
      </c>
      <c r="X3076" s="256">
        <f t="shared" ca="1" si="868"/>
        <v>0</v>
      </c>
      <c r="Y3076" s="250"/>
      <c r="Z3076" s="250"/>
    </row>
    <row r="3077" spans="1:29" s="293" customFormat="1" ht="15.75" hidden="1" customHeight="1" x14ac:dyDescent="0.25">
      <c r="A3077" s="288"/>
      <c r="B3077" s="1374" t="str">
        <f>VLOOKUP(A3087,'11 - FINANCEIRO'!_xlnm.Print_Area,1,FALSE)</f>
        <v>4.3.5</v>
      </c>
      <c r="C3077" s="1376" t="str">
        <f>VLOOKUP(A3087,'11 - FINANCEIRO'!_xlnm.Print_Area,3,FALSE)</f>
        <v>Fabricação, Montagem E Desmontagem De Fôrma Para Bloco De Coroamento, Em Chapa De Madeira Compensada Resinada, E=17 Mm, 2 Utilizações. Af_06/2017</v>
      </c>
      <c r="D3077" s="1378" t="s">
        <v>477</v>
      </c>
      <c r="E3077" s="1379"/>
      <c r="F3077" s="1379"/>
      <c r="G3077" s="1379"/>
      <c r="H3077" s="1379"/>
      <c r="I3077" s="1380"/>
      <c r="J3077" s="1338" t="s">
        <v>478</v>
      </c>
      <c r="K3077" s="1338" t="s">
        <v>479</v>
      </c>
      <c r="L3077" s="1338" t="s">
        <v>480</v>
      </c>
      <c r="M3077" s="1338" t="s">
        <v>481</v>
      </c>
      <c r="N3077" s="1338" t="s">
        <v>482</v>
      </c>
      <c r="O3077" s="1338" t="s">
        <v>483</v>
      </c>
      <c r="P3077" s="290" t="s">
        <v>484</v>
      </c>
      <c r="Q3077" s="1338" t="s">
        <v>485</v>
      </c>
      <c r="R3077" s="1336" t="s">
        <v>296</v>
      </c>
      <c r="S3077" s="1338" t="s">
        <v>486</v>
      </c>
      <c r="T3077" s="1338" t="s">
        <v>487</v>
      </c>
      <c r="U3077" s="1340" t="s">
        <v>488</v>
      </c>
      <c r="V3077" s="291">
        <f t="shared" ref="V3077:V3087" ca="1" si="874">IF(OFFSET(V3077,1,1)=1,OFFSET(V3077,0,-4),OFFSET(V3077,1,0))</f>
        <v>0</v>
      </c>
      <c r="W3077" s="256">
        <f t="shared" ca="1" si="864"/>
        <v>2</v>
      </c>
      <c r="X3077" s="256">
        <f t="shared" ca="1" si="868"/>
        <v>1</v>
      </c>
      <c r="Y3077" s="256"/>
      <c r="Z3077" s="256"/>
      <c r="AA3077" s="292"/>
      <c r="AB3077" s="292"/>
      <c r="AC3077" s="292"/>
    </row>
    <row r="3078" spans="1:29" s="337" customFormat="1" ht="15.75" hidden="1" x14ac:dyDescent="0.2">
      <c r="A3078" s="288"/>
      <c r="B3078" s="1375"/>
      <c r="C3078" s="1377" t="e">
        <f>VLOOKUP(LEFT(#REF!,5),'11 - FINANCEIRO'!_xlnm.Print_Area,2,FALSE)</f>
        <v>#REF!</v>
      </c>
      <c r="D3078" s="1342" t="s">
        <v>489</v>
      </c>
      <c r="E3078" s="1343"/>
      <c r="F3078" s="1344"/>
      <c r="G3078" s="1345" t="s">
        <v>490</v>
      </c>
      <c r="H3078" s="1346"/>
      <c r="I3078" s="1347"/>
      <c r="J3078" s="1339"/>
      <c r="K3078" s="1339"/>
      <c r="L3078" s="1339"/>
      <c r="M3078" s="1339"/>
      <c r="N3078" s="1339"/>
      <c r="O3078" s="1339"/>
      <c r="P3078" s="295" t="s">
        <v>491</v>
      </c>
      <c r="Q3078" s="1339"/>
      <c r="R3078" s="1337"/>
      <c r="S3078" s="1339"/>
      <c r="T3078" s="1339"/>
      <c r="U3078" s="1341"/>
      <c r="V3078" s="291">
        <f t="shared" ca="1" si="874"/>
        <v>0</v>
      </c>
      <c r="W3078" s="256">
        <f t="shared" ca="1" si="864"/>
        <v>2</v>
      </c>
      <c r="X3078" s="256">
        <f t="shared" ca="1" si="868"/>
        <v>1</v>
      </c>
      <c r="Y3078" s="336"/>
      <c r="Z3078" s="336"/>
    </row>
    <row r="3079" spans="1:29" s="337" customFormat="1" ht="15.75" hidden="1" x14ac:dyDescent="0.2">
      <c r="A3079" s="288"/>
      <c r="B3079" s="296"/>
      <c r="C3079" s="582" t="s">
        <v>994</v>
      </c>
      <c r="D3079" s="298"/>
      <c r="E3079" s="299"/>
      <c r="F3079" s="300"/>
      <c r="G3079" s="301"/>
      <c r="H3079" s="302"/>
      <c r="I3079" s="303"/>
      <c r="J3079" s="304" t="s">
        <v>621</v>
      </c>
      <c r="K3079" s="304">
        <v>28.4</v>
      </c>
      <c r="L3079" s="304"/>
      <c r="M3079" s="304">
        <v>0.3</v>
      </c>
      <c r="N3079" s="304">
        <f>K3079*M3079</f>
        <v>8.52</v>
      </c>
      <c r="O3079" s="304"/>
      <c r="P3079" s="306"/>
      <c r="Q3079" s="304"/>
      <c r="R3079" s="307">
        <f>N3079</f>
        <v>8.52</v>
      </c>
      <c r="S3079" s="304" t="s">
        <v>308</v>
      </c>
      <c r="T3079" s="309">
        <v>25</v>
      </c>
      <c r="U3079" s="310"/>
      <c r="V3079" s="291">
        <f t="shared" ca="1" si="874"/>
        <v>0</v>
      </c>
      <c r="W3079" s="256">
        <f t="shared" ca="1" si="864"/>
        <v>2</v>
      </c>
      <c r="X3079" s="256">
        <f t="shared" ca="1" si="868"/>
        <v>1</v>
      </c>
      <c r="Y3079" s="336"/>
      <c r="Z3079" s="336"/>
    </row>
    <row r="3080" spans="1:29" s="111" customFormat="1" ht="15.75" hidden="1" x14ac:dyDescent="0.2">
      <c r="A3080" s="288"/>
      <c r="B3080" s="311"/>
      <c r="C3080" s="312" t="s">
        <v>995</v>
      </c>
      <c r="D3080" s="313"/>
      <c r="E3080" s="314"/>
      <c r="F3080" s="315"/>
      <c r="G3080" s="380"/>
      <c r="H3080" s="316"/>
      <c r="I3080" s="381"/>
      <c r="J3080" s="317" t="s">
        <v>620</v>
      </c>
      <c r="K3080" s="313">
        <v>26.8</v>
      </c>
      <c r="L3080" s="317"/>
      <c r="M3080" s="315">
        <v>0.3</v>
      </c>
      <c r="N3080" s="314">
        <f>K3080*M3080</f>
        <v>8.0399999999999991</v>
      </c>
      <c r="O3080" s="313"/>
      <c r="P3080" s="318"/>
      <c r="Q3080" s="315"/>
      <c r="R3080" s="319">
        <f>N3080</f>
        <v>8.0399999999999991</v>
      </c>
      <c r="S3080" s="317" t="s">
        <v>308</v>
      </c>
      <c r="T3080" s="320">
        <v>25</v>
      </c>
      <c r="U3080" s="321"/>
      <c r="V3080" s="291">
        <f t="shared" ca="1" si="874"/>
        <v>0</v>
      </c>
      <c r="W3080" s="256">
        <f t="shared" ca="1" si="864"/>
        <v>2</v>
      </c>
      <c r="X3080" s="256">
        <f t="shared" ca="1" si="868"/>
        <v>1</v>
      </c>
      <c r="Y3080" s="250"/>
      <c r="Z3080" s="250"/>
    </row>
    <row r="3081" spans="1:29" s="111" customFormat="1" ht="15.75" hidden="1" x14ac:dyDescent="0.2">
      <c r="A3081" s="288"/>
      <c r="B3081" s="311"/>
      <c r="C3081" s="312" t="s">
        <v>994</v>
      </c>
      <c r="D3081" s="313"/>
      <c r="E3081" s="314"/>
      <c r="F3081" s="315"/>
      <c r="G3081" s="380"/>
      <c r="H3081" s="316"/>
      <c r="I3081" s="381"/>
      <c r="J3081" s="317" t="s">
        <v>621</v>
      </c>
      <c r="K3081" s="313">
        <v>28.4</v>
      </c>
      <c r="L3081" s="317"/>
      <c r="M3081" s="315">
        <v>0.3</v>
      </c>
      <c r="N3081" s="314">
        <f>K3081*M3081</f>
        <v>8.52</v>
      </c>
      <c r="O3081" s="313"/>
      <c r="P3081" s="318"/>
      <c r="Q3081" s="315"/>
      <c r="R3081" s="319">
        <f>N3081</f>
        <v>8.52</v>
      </c>
      <c r="S3081" s="317" t="s">
        <v>308</v>
      </c>
      <c r="T3081" s="320">
        <v>25</v>
      </c>
      <c r="U3081" s="321"/>
      <c r="V3081" s="291">
        <f t="shared" ca="1" si="874"/>
        <v>0</v>
      </c>
      <c r="W3081" s="256">
        <f ca="1">IF(LEFT(_xlfn.FORMULATEXT(V3081),3)="=SO",1,IF(COUNTA(A3081:U3081)=0,0,2))</f>
        <v>2</v>
      </c>
      <c r="X3081" s="256">
        <f ca="1">IF(COUNTA(OFFSET(A3080,1,0))-COUNTA(A3080)=-1,0,1)</f>
        <v>1</v>
      </c>
      <c r="Y3081" s="250"/>
      <c r="Z3081" s="250"/>
    </row>
    <row r="3082" spans="1:29" s="111" customFormat="1" ht="15.75" hidden="1" x14ac:dyDescent="0.2">
      <c r="A3082" s="288"/>
      <c r="B3082" s="311"/>
      <c r="C3082" s="312" t="s">
        <v>995</v>
      </c>
      <c r="D3082" s="313"/>
      <c r="E3082" s="314"/>
      <c r="F3082" s="315"/>
      <c r="G3082" s="380"/>
      <c r="H3082" s="316"/>
      <c r="I3082" s="381"/>
      <c r="J3082" s="317" t="s">
        <v>620</v>
      </c>
      <c r="K3082" s="313">
        <v>26.8</v>
      </c>
      <c r="L3082" s="317"/>
      <c r="M3082" s="315">
        <v>0.3</v>
      </c>
      <c r="N3082" s="314">
        <f>K3082*M3082</f>
        <v>8.0399999999999991</v>
      </c>
      <c r="O3082" s="313"/>
      <c r="P3082" s="318"/>
      <c r="Q3082" s="315"/>
      <c r="R3082" s="319">
        <f>N3082-0.12</f>
        <v>7.919999999999999</v>
      </c>
      <c r="S3082" s="317" t="s">
        <v>308</v>
      </c>
      <c r="T3082" s="320">
        <v>25</v>
      </c>
      <c r="U3082" s="321"/>
      <c r="V3082" s="291">
        <f t="shared" ca="1" si="874"/>
        <v>0</v>
      </c>
      <c r="W3082" s="256">
        <f ca="1">IF(LEFT(_xlfn.FORMULATEXT(V3082),3)="=SO",1,IF(COUNTA(A3082:U3082)=0,0,2))</f>
        <v>2</v>
      </c>
      <c r="X3082" s="256">
        <f ca="1">IF(COUNTA(OFFSET(A3081,1,0))-COUNTA(A3081)=-1,0,1)</f>
        <v>1</v>
      </c>
      <c r="Y3082" s="250"/>
      <c r="Z3082" s="250"/>
    </row>
    <row r="3083" spans="1:29" s="111" customFormat="1" ht="15" hidden="1" x14ac:dyDescent="0.2">
      <c r="A3083" s="288"/>
      <c r="B3083" s="322"/>
      <c r="C3083" s="382"/>
      <c r="D3083" s="324"/>
      <c r="E3083" s="325"/>
      <c r="F3083" s="326"/>
      <c r="G3083" s="324"/>
      <c r="H3083" s="325"/>
      <c r="I3083" s="326"/>
      <c r="J3083" s="317"/>
      <c r="K3083" s="328"/>
      <c r="L3083" s="328"/>
      <c r="M3083" s="328"/>
      <c r="N3083" s="328"/>
      <c r="O3083" s="334"/>
      <c r="P3083" s="328"/>
      <c r="Q3083" s="334"/>
      <c r="R3083" s="333"/>
      <c r="S3083" s="331"/>
      <c r="T3083" s="320"/>
      <c r="U3083" s="335"/>
      <c r="V3083" s="291">
        <f t="shared" ca="1" si="874"/>
        <v>0</v>
      </c>
      <c r="W3083" s="256">
        <f t="shared" ca="1" si="864"/>
        <v>0</v>
      </c>
      <c r="X3083" s="256">
        <f ca="1">IF(COUNTA(OFFSET(A3080,1,0))-COUNTA(A3080)=-1,0,1)</f>
        <v>1</v>
      </c>
      <c r="Y3083" s="250"/>
      <c r="Z3083" s="250"/>
    </row>
    <row r="3084" spans="1:29" s="111" customFormat="1" ht="15" hidden="1" x14ac:dyDescent="0.2">
      <c r="A3084" s="288"/>
      <c r="B3084" s="338"/>
      <c r="C3084" s="339"/>
      <c r="D3084" s="340"/>
      <c r="E3084" s="341"/>
      <c r="F3084" s="342"/>
      <c r="G3084" s="340"/>
      <c r="H3084" s="341"/>
      <c r="I3084" s="342"/>
      <c r="J3084" s="343"/>
      <c r="K3084" s="344"/>
      <c r="L3084" s="345"/>
      <c r="M3084" s="346"/>
      <c r="N3084" s="347"/>
      <c r="O3084" s="348"/>
      <c r="P3084" s="345"/>
      <c r="Q3084" s="349"/>
      <c r="R3084" s="350"/>
      <c r="S3084" s="351"/>
      <c r="T3084" s="352"/>
      <c r="U3084" s="353"/>
      <c r="V3084" s="291">
        <f t="shared" ca="1" si="874"/>
        <v>0</v>
      </c>
      <c r="W3084" s="256">
        <f t="shared" ca="1" si="864"/>
        <v>0</v>
      </c>
      <c r="X3084" s="256">
        <f t="shared" ca="1" si="868"/>
        <v>1</v>
      </c>
      <c r="Y3084" s="250"/>
      <c r="Z3084" s="250"/>
    </row>
    <row r="3085" spans="1:29" s="111" customFormat="1" ht="15.75" hidden="1" customHeight="1" x14ac:dyDescent="0.2">
      <c r="A3085" s="288"/>
      <c r="B3085" s="354"/>
      <c r="C3085" s="355"/>
      <c r="D3085" s="1354" t="s">
        <v>492</v>
      </c>
      <c r="E3085" s="1355"/>
      <c r="F3085" s="1355"/>
      <c r="G3085" s="1355"/>
      <c r="H3085" s="1355"/>
      <c r="I3085" s="1356"/>
      <c r="J3085" s="1357">
        <f>VLOOKUP(A3087,'11 - FINANCEIRO'!_xlnm.Print_Area,6,FALSE)</f>
        <v>33</v>
      </c>
      <c r="K3085" s="1358"/>
      <c r="L3085" s="356" t="str">
        <f>VLOOKUP(A3087,'11 - FINANCEIRO'!_xlnm.Print_Area,4,FALSE)</f>
        <v>m²</v>
      </c>
      <c r="M3085" s="1359" t="s">
        <v>493</v>
      </c>
      <c r="N3085" s="1360"/>
      <c r="O3085" s="1360"/>
      <c r="P3085" s="1360"/>
      <c r="Q3085" s="1361"/>
      <c r="R3085" s="357">
        <f>TRUNC(SUM(R3079:R3084),3)</f>
        <v>33</v>
      </c>
      <c r="S3085" s="358" t="str">
        <f>L3085</f>
        <v>m²</v>
      </c>
      <c r="T3085" s="359"/>
      <c r="U3085" s="360"/>
      <c r="V3085" s="291">
        <f t="shared" ca="1" si="874"/>
        <v>0</v>
      </c>
      <c r="W3085" s="256">
        <f t="shared" ca="1" si="864"/>
        <v>2</v>
      </c>
      <c r="X3085" s="256">
        <f t="shared" ca="1" si="868"/>
        <v>1</v>
      </c>
      <c r="Y3085" s="250"/>
      <c r="Z3085" s="250"/>
    </row>
    <row r="3086" spans="1:29" s="293" customFormat="1" ht="15.75" hidden="1" customHeight="1" x14ac:dyDescent="0.2">
      <c r="A3086" s="288"/>
      <c r="B3086" s="354"/>
      <c r="C3086" s="361"/>
      <c r="D3086" s="1362" t="s">
        <v>494</v>
      </c>
      <c r="E3086" s="1363"/>
      <c r="F3086" s="1363"/>
      <c r="G3086" s="1363"/>
      <c r="H3086" s="1363"/>
      <c r="I3086" s="1364"/>
      <c r="J3086" s="1365">
        <f>R3085/J3085</f>
        <v>1</v>
      </c>
      <c r="K3086" s="1366"/>
      <c r="L3086" s="1369"/>
      <c r="M3086" s="1371" t="s">
        <v>495</v>
      </c>
      <c r="N3086" s="1372"/>
      <c r="O3086" s="1372"/>
      <c r="P3086" s="1372"/>
      <c r="Q3086" s="1373"/>
      <c r="R3086" s="362">
        <f>VLOOKUP(A3087,'11 - FINANCEIRO'!_xlnm.Print_Area,8,FALSE)</f>
        <v>33</v>
      </c>
      <c r="S3086" s="363" t="str">
        <f>L3085</f>
        <v>m²</v>
      </c>
      <c r="T3086" s="359"/>
      <c r="U3086" s="360"/>
      <c r="V3086" s="291">
        <f t="shared" ca="1" si="874"/>
        <v>0</v>
      </c>
      <c r="W3086" s="256">
        <f t="shared" ca="1" si="864"/>
        <v>2</v>
      </c>
      <c r="X3086" s="256">
        <f t="shared" ca="1" si="868"/>
        <v>1</v>
      </c>
      <c r="Y3086" s="256"/>
      <c r="Z3086" s="256"/>
      <c r="AA3086" s="292"/>
      <c r="AB3086" s="292"/>
      <c r="AC3086" s="292"/>
    </row>
    <row r="3087" spans="1:29" s="293" customFormat="1" ht="15.75" hidden="1" customHeight="1" x14ac:dyDescent="0.2">
      <c r="A3087" s="288" t="s">
        <v>184</v>
      </c>
      <c r="B3087" s="364"/>
      <c r="C3087" s="365"/>
      <c r="D3087" s="1354"/>
      <c r="E3087" s="1355"/>
      <c r="F3087" s="1355"/>
      <c r="G3087" s="1355"/>
      <c r="H3087" s="1355"/>
      <c r="I3087" s="1356"/>
      <c r="J3087" s="1367"/>
      <c r="K3087" s="1368"/>
      <c r="L3087" s="1370"/>
      <c r="M3087" s="1371" t="s">
        <v>496</v>
      </c>
      <c r="N3087" s="1372"/>
      <c r="O3087" s="1372"/>
      <c r="P3087" s="1372"/>
      <c r="Q3087" s="1373"/>
      <c r="R3087" s="362">
        <f>R3085-R3086</f>
        <v>0</v>
      </c>
      <c r="S3087" s="363" t="str">
        <f>L3085</f>
        <v>m²</v>
      </c>
      <c r="T3087" s="366"/>
      <c r="U3087" s="367"/>
      <c r="V3087" s="291">
        <f t="shared" ca="1" si="874"/>
        <v>0</v>
      </c>
      <c r="W3087" s="256">
        <f t="shared" ref="W3087:W3150" ca="1" si="875">IF(LEFT(_xlfn.FORMULATEXT(V3087),3)="=SO",1,IF(COUNTA(A3087:U3087)=0,0,2))</f>
        <v>2</v>
      </c>
      <c r="X3087" s="256">
        <f t="shared" ca="1" si="868"/>
        <v>1</v>
      </c>
      <c r="Y3087" s="256"/>
      <c r="Z3087" s="256"/>
      <c r="AA3087" s="292"/>
      <c r="AB3087" s="292"/>
      <c r="AC3087" s="292"/>
    </row>
    <row r="3088" spans="1:29" s="111" customFormat="1" ht="15.75" hidden="1" x14ac:dyDescent="0.2">
      <c r="A3088" s="288"/>
      <c r="B3088" s="368"/>
      <c r="C3088" s="365"/>
      <c r="D3088" s="369"/>
      <c r="E3088" s="370"/>
      <c r="F3088" s="369"/>
      <c r="G3088" s="369"/>
      <c r="H3088" s="369"/>
      <c r="I3088" s="369"/>
      <c r="J3088" s="371"/>
      <c r="K3088" s="372"/>
      <c r="L3088" s="373"/>
      <c r="M3088" s="374"/>
      <c r="N3088" s="374"/>
      <c r="O3088" s="374"/>
      <c r="P3088" s="374"/>
      <c r="Q3088" s="374"/>
      <c r="R3088" s="375"/>
      <c r="S3088" s="376"/>
      <c r="T3088" s="377"/>
      <c r="U3088" s="378"/>
      <c r="V3088" s="379">
        <f ca="1">SUM(V3077:V3087)</f>
        <v>0</v>
      </c>
      <c r="W3088" s="256">
        <f t="shared" ca="1" si="875"/>
        <v>1</v>
      </c>
      <c r="X3088" s="256">
        <f t="shared" ca="1" si="868"/>
        <v>0</v>
      </c>
      <c r="Y3088" s="250"/>
      <c r="Z3088" s="250"/>
    </row>
    <row r="3089" spans="1:29" s="293" customFormat="1" ht="15.75" hidden="1" customHeight="1" x14ac:dyDescent="0.25">
      <c r="A3089" s="288"/>
      <c r="B3089" s="1374" t="str">
        <f>VLOOKUP(A3097,'11 - FINANCEIRO'!_xlnm.Print_Area,1,FALSE)</f>
        <v>4.3.6</v>
      </c>
      <c r="C3089" s="1376" t="str">
        <f>VLOOKUP(A3097,'11 - FINANCEIRO'!_xlnm.Print_Area,3,FALSE)</f>
        <v>Chumbador Tipo Espera Em Aço Ca-25 Para Fixação De Estrutura Metálica Em Concreto - Fornecimento E Instalação</v>
      </c>
      <c r="D3089" s="1378" t="s">
        <v>477</v>
      </c>
      <c r="E3089" s="1379"/>
      <c r="F3089" s="1379"/>
      <c r="G3089" s="1379"/>
      <c r="H3089" s="1379"/>
      <c r="I3089" s="1380"/>
      <c r="J3089" s="1338" t="s">
        <v>478</v>
      </c>
      <c r="K3089" s="1338" t="s">
        <v>479</v>
      </c>
      <c r="L3089" s="1338" t="s">
        <v>480</v>
      </c>
      <c r="M3089" s="1338" t="s">
        <v>481</v>
      </c>
      <c r="N3089" s="1338" t="s">
        <v>482</v>
      </c>
      <c r="O3089" s="1338" t="s">
        <v>483</v>
      </c>
      <c r="P3089" s="290" t="s">
        <v>484</v>
      </c>
      <c r="Q3089" s="1338" t="s">
        <v>485</v>
      </c>
      <c r="R3089" s="1336" t="s">
        <v>296</v>
      </c>
      <c r="S3089" s="1338" t="s">
        <v>486</v>
      </c>
      <c r="T3089" s="1338" t="s">
        <v>487</v>
      </c>
      <c r="U3089" s="1340" t="s">
        <v>488</v>
      </c>
      <c r="V3089" s="291">
        <f t="shared" ref="V3089:V3097" ca="1" si="876">IF(OFFSET(V3089,1,1)=1,OFFSET(V3089,0,-4),OFFSET(V3089,1,0))</f>
        <v>0</v>
      </c>
      <c r="W3089" s="256">
        <f t="shared" ca="1" si="875"/>
        <v>2</v>
      </c>
      <c r="X3089" s="256">
        <f t="shared" ca="1" si="868"/>
        <v>1</v>
      </c>
      <c r="Y3089" s="256"/>
      <c r="Z3089" s="256"/>
      <c r="AA3089" s="292"/>
      <c r="AB3089" s="292"/>
      <c r="AC3089" s="292"/>
    </row>
    <row r="3090" spans="1:29" s="337" customFormat="1" ht="15.75" hidden="1" x14ac:dyDescent="0.2">
      <c r="A3090" s="288"/>
      <c r="B3090" s="1375"/>
      <c r="C3090" s="1377" t="e">
        <f>VLOOKUP(LEFT(#REF!,5),'11 - FINANCEIRO'!_xlnm.Print_Area,2,FALSE)</f>
        <v>#REF!</v>
      </c>
      <c r="D3090" s="1342" t="s">
        <v>489</v>
      </c>
      <c r="E3090" s="1343"/>
      <c r="F3090" s="1344"/>
      <c r="G3090" s="1345" t="s">
        <v>490</v>
      </c>
      <c r="H3090" s="1346"/>
      <c r="I3090" s="1347"/>
      <c r="J3090" s="1339"/>
      <c r="K3090" s="1339"/>
      <c r="L3090" s="1339"/>
      <c r="M3090" s="1339"/>
      <c r="N3090" s="1339"/>
      <c r="O3090" s="1339"/>
      <c r="P3090" s="295" t="s">
        <v>491</v>
      </c>
      <c r="Q3090" s="1339"/>
      <c r="R3090" s="1337"/>
      <c r="S3090" s="1339"/>
      <c r="T3090" s="1339"/>
      <c r="U3090" s="1341"/>
      <c r="V3090" s="291">
        <f t="shared" ca="1" si="876"/>
        <v>0</v>
      </c>
      <c r="W3090" s="256">
        <f t="shared" ca="1" si="875"/>
        <v>2</v>
      </c>
      <c r="X3090" s="256">
        <f t="shared" ca="1" si="868"/>
        <v>1</v>
      </c>
      <c r="Y3090" s="336"/>
      <c r="Z3090" s="336"/>
    </row>
    <row r="3091" spans="1:29" s="337" customFormat="1" ht="15.75" hidden="1" x14ac:dyDescent="0.2">
      <c r="A3091" s="288"/>
      <c r="B3091" s="296"/>
      <c r="C3091" s="297" t="s">
        <v>996</v>
      </c>
      <c r="D3091" s="298"/>
      <c r="E3091" s="299"/>
      <c r="F3091" s="300"/>
      <c r="G3091" s="301"/>
      <c r="H3091" s="302"/>
      <c r="I3091" s="303"/>
      <c r="J3091" s="304" t="s">
        <v>621</v>
      </c>
      <c r="K3091" s="304"/>
      <c r="L3091" s="304"/>
      <c r="M3091" s="304"/>
      <c r="N3091" s="304"/>
      <c r="O3091" s="304"/>
      <c r="P3091" s="306"/>
      <c r="Q3091" s="304"/>
      <c r="R3091" s="307">
        <v>6.4</v>
      </c>
      <c r="S3091" s="304" t="s">
        <v>328</v>
      </c>
      <c r="T3091" s="309">
        <v>25</v>
      </c>
      <c r="U3091" s="310"/>
      <c r="V3091" s="291">
        <f t="shared" ca="1" si="876"/>
        <v>0</v>
      </c>
      <c r="W3091" s="256">
        <f t="shared" ca="1" si="875"/>
        <v>2</v>
      </c>
      <c r="X3091" s="256">
        <f t="shared" ca="1" si="868"/>
        <v>1</v>
      </c>
      <c r="Y3091" s="336"/>
      <c r="Z3091" s="336"/>
    </row>
    <row r="3092" spans="1:29" s="111" customFormat="1" ht="15.75" hidden="1" x14ac:dyDescent="0.2">
      <c r="A3092" s="288"/>
      <c r="B3092" s="311"/>
      <c r="C3092" s="312" t="s">
        <v>996</v>
      </c>
      <c r="D3092" s="313"/>
      <c r="E3092" s="314"/>
      <c r="F3092" s="315"/>
      <c r="G3092" s="380"/>
      <c r="H3092" s="316"/>
      <c r="I3092" s="381"/>
      <c r="J3092" s="317" t="s">
        <v>620</v>
      </c>
      <c r="K3092" s="313"/>
      <c r="L3092" s="317"/>
      <c r="M3092" s="315"/>
      <c r="N3092" s="314"/>
      <c r="O3092" s="313"/>
      <c r="P3092" s="318"/>
      <c r="Q3092" s="315"/>
      <c r="R3092" s="319">
        <v>6.4</v>
      </c>
      <c r="S3092" s="317" t="s">
        <v>328</v>
      </c>
      <c r="T3092" s="320">
        <v>25</v>
      </c>
      <c r="U3092" s="321"/>
      <c r="V3092" s="291">
        <f t="shared" ca="1" si="876"/>
        <v>0</v>
      </c>
      <c r="W3092" s="256">
        <f t="shared" ca="1" si="875"/>
        <v>2</v>
      </c>
      <c r="X3092" s="256">
        <f t="shared" ca="1" si="868"/>
        <v>1</v>
      </c>
      <c r="Y3092" s="250"/>
      <c r="Z3092" s="250"/>
    </row>
    <row r="3093" spans="1:29" s="111" customFormat="1" ht="15" hidden="1" x14ac:dyDescent="0.2">
      <c r="A3093" s="288"/>
      <c r="B3093" s="322"/>
      <c r="C3093" s="382"/>
      <c r="D3093" s="324"/>
      <c r="E3093" s="325"/>
      <c r="F3093" s="326"/>
      <c r="G3093" s="324"/>
      <c r="H3093" s="325"/>
      <c r="I3093" s="326"/>
      <c r="J3093" s="317"/>
      <c r="K3093" s="328"/>
      <c r="L3093" s="328"/>
      <c r="M3093" s="328"/>
      <c r="N3093" s="328"/>
      <c r="O3093" s="334"/>
      <c r="P3093" s="328"/>
      <c r="Q3093" s="334"/>
      <c r="R3093" s="333"/>
      <c r="S3093" s="331"/>
      <c r="T3093" s="320"/>
      <c r="U3093" s="335"/>
      <c r="V3093" s="291">
        <f t="shared" ca="1" si="876"/>
        <v>0</v>
      </c>
      <c r="W3093" s="256">
        <f t="shared" ca="1" si="875"/>
        <v>0</v>
      </c>
      <c r="X3093" s="256">
        <f t="shared" ca="1" si="868"/>
        <v>1</v>
      </c>
      <c r="Y3093" s="250"/>
      <c r="Z3093" s="250"/>
    </row>
    <row r="3094" spans="1:29" s="111" customFormat="1" ht="15" hidden="1" x14ac:dyDescent="0.2">
      <c r="A3094" s="288"/>
      <c r="B3094" s="338"/>
      <c r="C3094" s="339"/>
      <c r="D3094" s="340"/>
      <c r="E3094" s="341"/>
      <c r="F3094" s="342"/>
      <c r="G3094" s="340"/>
      <c r="H3094" s="341"/>
      <c r="I3094" s="342"/>
      <c r="J3094" s="343"/>
      <c r="K3094" s="344"/>
      <c r="L3094" s="345"/>
      <c r="M3094" s="346"/>
      <c r="N3094" s="347"/>
      <c r="O3094" s="348"/>
      <c r="P3094" s="345"/>
      <c r="Q3094" s="349"/>
      <c r="R3094" s="350"/>
      <c r="S3094" s="351"/>
      <c r="T3094" s="352"/>
      <c r="U3094" s="353"/>
      <c r="V3094" s="291">
        <f t="shared" ca="1" si="876"/>
        <v>0</v>
      </c>
      <c r="W3094" s="256">
        <f t="shared" ca="1" si="875"/>
        <v>0</v>
      </c>
      <c r="X3094" s="256">
        <f t="shared" ca="1" si="868"/>
        <v>1</v>
      </c>
      <c r="Y3094" s="250"/>
      <c r="Z3094" s="250"/>
    </row>
    <row r="3095" spans="1:29" s="111" customFormat="1" ht="15.75" hidden="1" customHeight="1" x14ac:dyDescent="0.2">
      <c r="A3095" s="288"/>
      <c r="B3095" s="354"/>
      <c r="C3095" s="355"/>
      <c r="D3095" s="1354" t="s">
        <v>492</v>
      </c>
      <c r="E3095" s="1355"/>
      <c r="F3095" s="1355"/>
      <c r="G3095" s="1355"/>
      <c r="H3095" s="1355"/>
      <c r="I3095" s="1356"/>
      <c r="J3095" s="1357">
        <f>VLOOKUP(A3097,'11 - FINANCEIRO'!_xlnm.Print_Area,6,FALSE)</f>
        <v>12.8</v>
      </c>
      <c r="K3095" s="1358"/>
      <c r="L3095" s="356" t="str">
        <f>VLOOKUP(A3097,'11 - FINANCEIRO'!_xlnm.Print_Area,4,FALSE)</f>
        <v>kg</v>
      </c>
      <c r="M3095" s="1359" t="s">
        <v>493</v>
      </c>
      <c r="N3095" s="1360"/>
      <c r="O3095" s="1360"/>
      <c r="P3095" s="1360"/>
      <c r="Q3095" s="1361"/>
      <c r="R3095" s="357">
        <f>TRUNC(SUM(R3091:R3094),3)</f>
        <v>12.8</v>
      </c>
      <c r="S3095" s="358" t="str">
        <f>L3095</f>
        <v>kg</v>
      </c>
      <c r="T3095" s="359"/>
      <c r="U3095" s="360"/>
      <c r="V3095" s="291">
        <f t="shared" ca="1" si="876"/>
        <v>0</v>
      </c>
      <c r="W3095" s="256">
        <f t="shared" ca="1" si="875"/>
        <v>2</v>
      </c>
      <c r="X3095" s="256">
        <f t="shared" ca="1" si="868"/>
        <v>1</v>
      </c>
      <c r="Y3095" s="250"/>
      <c r="Z3095" s="250"/>
    </row>
    <row r="3096" spans="1:29" s="293" customFormat="1" ht="15.75" hidden="1" customHeight="1" x14ac:dyDescent="0.2">
      <c r="A3096" s="288"/>
      <c r="B3096" s="354"/>
      <c r="C3096" s="361"/>
      <c r="D3096" s="1362" t="s">
        <v>494</v>
      </c>
      <c r="E3096" s="1363"/>
      <c r="F3096" s="1363"/>
      <c r="G3096" s="1363"/>
      <c r="H3096" s="1363"/>
      <c r="I3096" s="1364"/>
      <c r="J3096" s="1365">
        <f>R3095/J3095</f>
        <v>1</v>
      </c>
      <c r="K3096" s="1366"/>
      <c r="L3096" s="1369"/>
      <c r="M3096" s="1371" t="s">
        <v>495</v>
      </c>
      <c r="N3096" s="1372"/>
      <c r="O3096" s="1372"/>
      <c r="P3096" s="1372"/>
      <c r="Q3096" s="1373"/>
      <c r="R3096" s="362">
        <f>VLOOKUP(A3097,'11 - FINANCEIRO'!_xlnm.Print_Area,8,FALSE)</f>
        <v>12.8</v>
      </c>
      <c r="S3096" s="363" t="str">
        <f>L3095</f>
        <v>kg</v>
      </c>
      <c r="T3096" s="359"/>
      <c r="U3096" s="360"/>
      <c r="V3096" s="291">
        <f t="shared" ca="1" si="876"/>
        <v>0</v>
      </c>
      <c r="W3096" s="256">
        <f t="shared" ca="1" si="875"/>
        <v>2</v>
      </c>
      <c r="X3096" s="256">
        <f t="shared" ca="1" si="868"/>
        <v>1</v>
      </c>
      <c r="Y3096" s="256"/>
      <c r="Z3096" s="256"/>
      <c r="AA3096" s="292"/>
      <c r="AB3096" s="292"/>
      <c r="AC3096" s="292"/>
    </row>
    <row r="3097" spans="1:29" s="293" customFormat="1" ht="15.75" hidden="1" customHeight="1" x14ac:dyDescent="0.2">
      <c r="A3097" s="288" t="s">
        <v>185</v>
      </c>
      <c r="B3097" s="364"/>
      <c r="C3097" s="365"/>
      <c r="D3097" s="1354"/>
      <c r="E3097" s="1355"/>
      <c r="F3097" s="1355"/>
      <c r="G3097" s="1355"/>
      <c r="H3097" s="1355"/>
      <c r="I3097" s="1356"/>
      <c r="J3097" s="1367"/>
      <c r="K3097" s="1368"/>
      <c r="L3097" s="1370"/>
      <c r="M3097" s="1371" t="s">
        <v>496</v>
      </c>
      <c r="N3097" s="1372"/>
      <c r="O3097" s="1372"/>
      <c r="P3097" s="1372"/>
      <c r="Q3097" s="1373"/>
      <c r="R3097" s="362">
        <f>R3095-R3096</f>
        <v>0</v>
      </c>
      <c r="S3097" s="363" t="str">
        <f>L3095</f>
        <v>kg</v>
      </c>
      <c r="T3097" s="366"/>
      <c r="U3097" s="367"/>
      <c r="V3097" s="291">
        <f t="shared" ca="1" si="876"/>
        <v>0</v>
      </c>
      <c r="W3097" s="256">
        <f t="shared" ca="1" si="875"/>
        <v>2</v>
      </c>
      <c r="X3097" s="256">
        <f t="shared" ca="1" si="868"/>
        <v>1</v>
      </c>
      <c r="Y3097" s="256"/>
      <c r="Z3097" s="256"/>
      <c r="AA3097" s="292"/>
      <c r="AB3097" s="292"/>
      <c r="AC3097" s="292"/>
    </row>
    <row r="3098" spans="1:29" s="111" customFormat="1" ht="15.75" hidden="1" x14ac:dyDescent="0.2">
      <c r="A3098" s="288"/>
      <c r="B3098" s="368"/>
      <c r="C3098" s="365"/>
      <c r="D3098" s="369"/>
      <c r="E3098" s="370"/>
      <c r="F3098" s="369"/>
      <c r="G3098" s="369"/>
      <c r="H3098" s="369"/>
      <c r="I3098" s="369"/>
      <c r="J3098" s="371"/>
      <c r="K3098" s="372"/>
      <c r="L3098" s="373"/>
      <c r="M3098" s="374"/>
      <c r="N3098" s="374"/>
      <c r="O3098" s="374"/>
      <c r="P3098" s="374"/>
      <c r="Q3098" s="374"/>
      <c r="R3098" s="375"/>
      <c r="S3098" s="376"/>
      <c r="T3098" s="377"/>
      <c r="U3098" s="378"/>
      <c r="V3098" s="379">
        <f ca="1">SUM(V3089:V3097)</f>
        <v>0</v>
      </c>
      <c r="W3098" s="256">
        <f t="shared" ca="1" si="875"/>
        <v>1</v>
      </c>
      <c r="X3098" s="256">
        <f t="shared" ca="1" si="868"/>
        <v>0</v>
      </c>
      <c r="Y3098" s="250"/>
      <c r="Z3098" s="250"/>
    </row>
    <row r="3099" spans="1:29" s="293" customFormat="1" ht="15.75" hidden="1" customHeight="1" x14ac:dyDescent="0.25">
      <c r="A3099" s="288"/>
      <c r="B3099" s="1374" t="str">
        <f>VLOOKUP(A3107,'11 - FINANCEIRO'!_xlnm.Print_Area,1,FALSE)</f>
        <v>4.3.7</v>
      </c>
      <c r="C3099" s="1376" t="str">
        <f>VLOOKUP(A3107,'11 - FINANCEIRO'!_xlnm.Print_Area,3,FALSE)</f>
        <v>Viga Metálica Em Perfil Laminado Ou Soldado Em Aço Estrutural, Com Conexões Soldadas, Inclusos Mão De Obra, Transporte E Içamento Utilizando Guindaste - Fornecimento E Instalação. Af_01/2020_P</v>
      </c>
      <c r="D3099" s="1378" t="s">
        <v>477</v>
      </c>
      <c r="E3099" s="1379"/>
      <c r="F3099" s="1379"/>
      <c r="G3099" s="1379"/>
      <c r="H3099" s="1379"/>
      <c r="I3099" s="1380"/>
      <c r="J3099" s="1338" t="s">
        <v>478</v>
      </c>
      <c r="K3099" s="1338" t="s">
        <v>479</v>
      </c>
      <c r="L3099" s="1338" t="s">
        <v>480</v>
      </c>
      <c r="M3099" s="1338" t="s">
        <v>481</v>
      </c>
      <c r="N3099" s="1338" t="s">
        <v>482</v>
      </c>
      <c r="O3099" s="1338" t="s">
        <v>483</v>
      </c>
      <c r="P3099" s="290" t="s">
        <v>484</v>
      </c>
      <c r="Q3099" s="1338" t="s">
        <v>485</v>
      </c>
      <c r="R3099" s="1336" t="s">
        <v>296</v>
      </c>
      <c r="S3099" s="1338" t="s">
        <v>486</v>
      </c>
      <c r="T3099" s="1338" t="s">
        <v>487</v>
      </c>
      <c r="U3099" s="1340" t="s">
        <v>488</v>
      </c>
      <c r="V3099" s="291">
        <f t="shared" ref="V3099:V3107" ca="1" si="877">IF(OFFSET(V3099,1,1)=1,OFFSET(V3099,0,-4),OFFSET(V3099,1,0))</f>
        <v>0</v>
      </c>
      <c r="W3099" s="256">
        <f t="shared" ca="1" si="875"/>
        <v>2</v>
      </c>
      <c r="X3099" s="256">
        <f t="shared" ca="1" si="868"/>
        <v>1</v>
      </c>
      <c r="Y3099" s="256"/>
      <c r="Z3099" s="256"/>
      <c r="AA3099" s="292"/>
      <c r="AB3099" s="292"/>
      <c r="AC3099" s="292"/>
    </row>
    <row r="3100" spans="1:29" s="337" customFormat="1" ht="15.75" hidden="1" x14ac:dyDescent="0.2">
      <c r="A3100" s="288"/>
      <c r="B3100" s="1375"/>
      <c r="C3100" s="1377" t="e">
        <f>VLOOKUP(LEFT(#REF!,5),'11 - FINANCEIRO'!_xlnm.Print_Area,2,FALSE)</f>
        <v>#REF!</v>
      </c>
      <c r="D3100" s="1342" t="s">
        <v>489</v>
      </c>
      <c r="E3100" s="1343"/>
      <c r="F3100" s="1344"/>
      <c r="G3100" s="1345" t="s">
        <v>490</v>
      </c>
      <c r="H3100" s="1346"/>
      <c r="I3100" s="1347"/>
      <c r="J3100" s="1339"/>
      <c r="K3100" s="1339"/>
      <c r="L3100" s="1339"/>
      <c r="M3100" s="1339"/>
      <c r="N3100" s="1339"/>
      <c r="O3100" s="1339"/>
      <c r="P3100" s="295" t="s">
        <v>491</v>
      </c>
      <c r="Q3100" s="1339"/>
      <c r="R3100" s="1337"/>
      <c r="S3100" s="1339"/>
      <c r="T3100" s="1339"/>
      <c r="U3100" s="1341"/>
      <c r="V3100" s="291">
        <f t="shared" ca="1" si="877"/>
        <v>0</v>
      </c>
      <c r="W3100" s="256">
        <f t="shared" ca="1" si="875"/>
        <v>2</v>
      </c>
      <c r="X3100" s="256">
        <f t="shared" ca="1" si="868"/>
        <v>1</v>
      </c>
      <c r="Y3100" s="336"/>
      <c r="Z3100" s="336"/>
    </row>
    <row r="3101" spans="1:29" s="337" customFormat="1" ht="15.75" hidden="1" x14ac:dyDescent="0.2">
      <c r="A3101" s="288"/>
      <c r="B3101" s="296"/>
      <c r="C3101" s="297" t="s">
        <v>949</v>
      </c>
      <c r="D3101" s="417">
        <v>22</v>
      </c>
      <c r="E3101" s="314" t="s">
        <v>518</v>
      </c>
      <c r="F3101" s="418">
        <v>6</v>
      </c>
      <c r="G3101" s="417">
        <v>22</v>
      </c>
      <c r="H3101" s="314" t="s">
        <v>518</v>
      </c>
      <c r="I3101" s="418">
        <v>6</v>
      </c>
      <c r="J3101" s="304"/>
      <c r="K3101" s="304"/>
      <c r="L3101" s="304"/>
      <c r="M3101" s="304"/>
      <c r="N3101" s="304"/>
      <c r="O3101" s="304"/>
      <c r="P3101" s="306"/>
      <c r="Q3101" s="304"/>
      <c r="R3101" s="307">
        <v>3758.42</v>
      </c>
      <c r="S3101" s="358" t="s">
        <v>328</v>
      </c>
      <c r="T3101" s="309">
        <v>24</v>
      </c>
      <c r="U3101" s="310"/>
      <c r="V3101" s="291">
        <f t="shared" ca="1" si="877"/>
        <v>0</v>
      </c>
      <c r="W3101" s="256">
        <f t="shared" ca="1" si="875"/>
        <v>2</v>
      </c>
      <c r="X3101" s="256">
        <f t="shared" ca="1" si="868"/>
        <v>1</v>
      </c>
      <c r="Y3101" s="336"/>
      <c r="Z3101" s="336"/>
    </row>
    <row r="3102" spans="1:29" s="111" customFormat="1" ht="15.75" hidden="1" x14ac:dyDescent="0.2">
      <c r="A3102" s="288"/>
      <c r="B3102" s="311"/>
      <c r="C3102" s="312"/>
      <c r="D3102" s="417"/>
      <c r="E3102" s="314"/>
      <c r="F3102" s="418"/>
      <c r="G3102" s="417"/>
      <c r="H3102" s="314"/>
      <c r="I3102" s="418"/>
      <c r="J3102" s="317"/>
      <c r="K3102" s="313"/>
      <c r="L3102" s="317"/>
      <c r="M3102" s="315"/>
      <c r="N3102" s="314"/>
      <c r="O3102" s="313"/>
      <c r="P3102" s="318"/>
      <c r="Q3102" s="315"/>
      <c r="R3102" s="319"/>
      <c r="S3102" s="317"/>
      <c r="T3102" s="320"/>
      <c r="U3102" s="321"/>
      <c r="V3102" s="291">
        <f t="shared" ca="1" si="877"/>
        <v>0</v>
      </c>
      <c r="W3102" s="256">
        <f t="shared" ca="1" si="875"/>
        <v>0</v>
      </c>
      <c r="X3102" s="256">
        <f t="shared" ca="1" si="868"/>
        <v>1</v>
      </c>
      <c r="Y3102" s="250"/>
      <c r="Z3102" s="250"/>
    </row>
    <row r="3103" spans="1:29" s="111" customFormat="1" ht="15" hidden="1" x14ac:dyDescent="0.2">
      <c r="A3103" s="288"/>
      <c r="B3103" s="322"/>
      <c r="C3103" s="382"/>
      <c r="D3103" s="324"/>
      <c r="E3103" s="325"/>
      <c r="F3103" s="326"/>
      <c r="G3103" s="324"/>
      <c r="H3103" s="325"/>
      <c r="I3103" s="326"/>
      <c r="J3103" s="317"/>
      <c r="K3103" s="328"/>
      <c r="L3103" s="328"/>
      <c r="M3103" s="328"/>
      <c r="N3103" s="328"/>
      <c r="O3103" s="334"/>
      <c r="P3103" s="328"/>
      <c r="Q3103" s="334"/>
      <c r="R3103" s="333"/>
      <c r="S3103" s="331"/>
      <c r="T3103" s="320"/>
      <c r="U3103" s="335"/>
      <c r="V3103" s="291">
        <f t="shared" ca="1" si="877"/>
        <v>0</v>
      </c>
      <c r="W3103" s="256">
        <f t="shared" ca="1" si="875"/>
        <v>0</v>
      </c>
      <c r="X3103" s="256">
        <f t="shared" ca="1" si="868"/>
        <v>1</v>
      </c>
      <c r="Y3103" s="250"/>
      <c r="Z3103" s="250"/>
    </row>
    <row r="3104" spans="1:29" s="111" customFormat="1" ht="15" hidden="1" x14ac:dyDescent="0.2">
      <c r="A3104" s="288"/>
      <c r="B3104" s="338"/>
      <c r="C3104" s="339"/>
      <c r="D3104" s="340"/>
      <c r="E3104" s="341"/>
      <c r="F3104" s="342"/>
      <c r="G3104" s="340"/>
      <c r="H3104" s="341"/>
      <c r="I3104" s="342"/>
      <c r="J3104" s="343"/>
      <c r="K3104" s="344"/>
      <c r="L3104" s="345"/>
      <c r="M3104" s="346"/>
      <c r="N3104" s="347"/>
      <c r="O3104" s="348"/>
      <c r="P3104" s="345"/>
      <c r="Q3104" s="349"/>
      <c r="R3104" s="350"/>
      <c r="S3104" s="351"/>
      <c r="T3104" s="352"/>
      <c r="U3104" s="353"/>
      <c r="V3104" s="291">
        <f t="shared" ca="1" si="877"/>
        <v>0</v>
      </c>
      <c r="W3104" s="256">
        <f t="shared" ca="1" si="875"/>
        <v>0</v>
      </c>
      <c r="X3104" s="256">
        <f t="shared" ca="1" si="868"/>
        <v>1</v>
      </c>
      <c r="Y3104" s="250"/>
      <c r="Z3104" s="250"/>
    </row>
    <row r="3105" spans="1:29" s="111" customFormat="1" ht="15.75" hidden="1" customHeight="1" x14ac:dyDescent="0.2">
      <c r="A3105" s="288"/>
      <c r="B3105" s="354"/>
      <c r="C3105" s="355"/>
      <c r="D3105" s="1354" t="s">
        <v>492</v>
      </c>
      <c r="E3105" s="1355"/>
      <c r="F3105" s="1355"/>
      <c r="G3105" s="1355"/>
      <c r="H3105" s="1355"/>
      <c r="I3105" s="1356"/>
      <c r="J3105" s="1357">
        <f>VLOOKUP(A3107,'11 - FINANCEIRO'!_xlnm.Print_Area,6,FALSE)</f>
        <v>3758.42</v>
      </c>
      <c r="K3105" s="1358"/>
      <c r="L3105" s="356" t="str">
        <f>VLOOKUP(A3107,'11 - FINANCEIRO'!_xlnm.Print_Area,4,FALSE)</f>
        <v>kg</v>
      </c>
      <c r="M3105" s="1359" t="s">
        <v>493</v>
      </c>
      <c r="N3105" s="1360"/>
      <c r="O3105" s="1360"/>
      <c r="P3105" s="1360"/>
      <c r="Q3105" s="1361"/>
      <c r="R3105" s="357">
        <f>TRUNC(SUM(R3101:R3104),3)</f>
        <v>3758.42</v>
      </c>
      <c r="S3105" s="358" t="str">
        <f>L3105</f>
        <v>kg</v>
      </c>
      <c r="T3105" s="359"/>
      <c r="U3105" s="360"/>
      <c r="V3105" s="291">
        <f t="shared" ca="1" si="877"/>
        <v>0</v>
      </c>
      <c r="W3105" s="256">
        <f t="shared" ca="1" si="875"/>
        <v>2</v>
      </c>
      <c r="X3105" s="256">
        <f t="shared" ca="1" si="868"/>
        <v>1</v>
      </c>
      <c r="Y3105" s="250"/>
      <c r="Z3105" s="250"/>
    </row>
    <row r="3106" spans="1:29" s="293" customFormat="1" ht="15.75" hidden="1" customHeight="1" x14ac:dyDescent="0.2">
      <c r="A3106" s="288"/>
      <c r="B3106" s="354"/>
      <c r="C3106" s="361"/>
      <c r="D3106" s="1362" t="s">
        <v>494</v>
      </c>
      <c r="E3106" s="1363"/>
      <c r="F3106" s="1363"/>
      <c r="G3106" s="1363"/>
      <c r="H3106" s="1363"/>
      <c r="I3106" s="1364"/>
      <c r="J3106" s="1365">
        <f>R3105/J3105</f>
        <v>1</v>
      </c>
      <c r="K3106" s="1366"/>
      <c r="L3106" s="1369"/>
      <c r="M3106" s="1371" t="s">
        <v>495</v>
      </c>
      <c r="N3106" s="1372"/>
      <c r="O3106" s="1372"/>
      <c r="P3106" s="1372"/>
      <c r="Q3106" s="1373"/>
      <c r="R3106" s="362">
        <f>VLOOKUP(A3107,'11 - FINANCEIRO'!_xlnm.Print_Area,8,FALSE)</f>
        <v>3758.42</v>
      </c>
      <c r="S3106" s="363" t="str">
        <f>L3105</f>
        <v>kg</v>
      </c>
      <c r="T3106" s="359"/>
      <c r="U3106" s="360"/>
      <c r="V3106" s="291">
        <f t="shared" ca="1" si="877"/>
        <v>0</v>
      </c>
      <c r="W3106" s="256">
        <f t="shared" ca="1" si="875"/>
        <v>2</v>
      </c>
      <c r="X3106" s="256">
        <f t="shared" ca="1" si="868"/>
        <v>1</v>
      </c>
      <c r="Y3106" s="256"/>
      <c r="Z3106" s="256"/>
      <c r="AA3106" s="292"/>
      <c r="AB3106" s="292"/>
      <c r="AC3106" s="292"/>
    </row>
    <row r="3107" spans="1:29" s="293" customFormat="1" ht="15.75" hidden="1" customHeight="1" x14ac:dyDescent="0.2">
      <c r="A3107" s="288" t="s">
        <v>186</v>
      </c>
      <c r="B3107" s="364"/>
      <c r="C3107" s="365"/>
      <c r="D3107" s="1354"/>
      <c r="E3107" s="1355"/>
      <c r="F3107" s="1355"/>
      <c r="G3107" s="1355"/>
      <c r="H3107" s="1355"/>
      <c r="I3107" s="1356"/>
      <c r="J3107" s="1367"/>
      <c r="K3107" s="1368"/>
      <c r="L3107" s="1370"/>
      <c r="M3107" s="1371" t="s">
        <v>496</v>
      </c>
      <c r="N3107" s="1372"/>
      <c r="O3107" s="1372"/>
      <c r="P3107" s="1372"/>
      <c r="Q3107" s="1373"/>
      <c r="R3107" s="362">
        <f>R3105-R3106</f>
        <v>0</v>
      </c>
      <c r="S3107" s="363" t="str">
        <f>L3105</f>
        <v>kg</v>
      </c>
      <c r="T3107" s="366"/>
      <c r="U3107" s="367"/>
      <c r="V3107" s="291">
        <f t="shared" ca="1" si="877"/>
        <v>0</v>
      </c>
      <c r="W3107" s="256">
        <f t="shared" ca="1" si="875"/>
        <v>2</v>
      </c>
      <c r="X3107" s="256">
        <f t="shared" ca="1" si="868"/>
        <v>1</v>
      </c>
      <c r="Y3107" s="256"/>
      <c r="Z3107" s="256"/>
      <c r="AA3107" s="292"/>
      <c r="AB3107" s="292"/>
      <c r="AC3107" s="292"/>
    </row>
    <row r="3108" spans="1:29" s="111" customFormat="1" ht="15.75" hidden="1" x14ac:dyDescent="0.2">
      <c r="A3108" s="288"/>
      <c r="B3108" s="368"/>
      <c r="C3108" s="365"/>
      <c r="D3108" s="369"/>
      <c r="E3108" s="370"/>
      <c r="F3108" s="369"/>
      <c r="G3108" s="369"/>
      <c r="H3108" s="369"/>
      <c r="I3108" s="369"/>
      <c r="J3108" s="371"/>
      <c r="K3108" s="372"/>
      <c r="L3108" s="373"/>
      <c r="M3108" s="374"/>
      <c r="N3108" s="374"/>
      <c r="O3108" s="374"/>
      <c r="P3108" s="374"/>
      <c r="Q3108" s="374"/>
      <c r="R3108" s="375"/>
      <c r="S3108" s="376"/>
      <c r="T3108" s="377"/>
      <c r="U3108" s="378"/>
      <c r="V3108" s="379">
        <f ca="1">SUM(V3099:V3107)</f>
        <v>0</v>
      </c>
      <c r="W3108" s="256">
        <f t="shared" ca="1" si="875"/>
        <v>1</v>
      </c>
      <c r="X3108" s="256">
        <f t="shared" ca="1" si="868"/>
        <v>0</v>
      </c>
      <c r="Y3108" s="250"/>
      <c r="Z3108" s="250"/>
    </row>
    <row r="3109" spans="1:29" s="293" customFormat="1" ht="15.75" customHeight="1" x14ac:dyDescent="0.25">
      <c r="A3109" s="288"/>
      <c r="B3109" s="1374" t="str">
        <f>VLOOKUP(A3117,'11 - FINANCEIRO'!_xlnm.Print_Area,1,FALSE)</f>
        <v>4.3.8</v>
      </c>
      <c r="C3109" s="1376" t="str">
        <f>VLOOKUP(A3117,'11 - FINANCEIRO'!_xlnm.Print_Area,3,FALSE)</f>
        <v>Guarda Corpo Em Aço Galvanizado De Altura H=1,10M Pintura Com Tinta Esmalte Suvinil, Linha "Contra Ferrugem" Cor Maracujá, Ref.:C026</v>
      </c>
      <c r="D3109" s="1378" t="s">
        <v>477</v>
      </c>
      <c r="E3109" s="1379"/>
      <c r="F3109" s="1379"/>
      <c r="G3109" s="1379"/>
      <c r="H3109" s="1379"/>
      <c r="I3109" s="1380"/>
      <c r="J3109" s="1338" t="s">
        <v>478</v>
      </c>
      <c r="K3109" s="1338" t="s">
        <v>479</v>
      </c>
      <c r="L3109" s="1338" t="s">
        <v>480</v>
      </c>
      <c r="M3109" s="1338" t="s">
        <v>481</v>
      </c>
      <c r="N3109" s="1338" t="s">
        <v>482</v>
      </c>
      <c r="O3109" s="1338" t="s">
        <v>483</v>
      </c>
      <c r="P3109" s="290" t="s">
        <v>484</v>
      </c>
      <c r="Q3109" s="1338" t="s">
        <v>485</v>
      </c>
      <c r="R3109" s="1336" t="s">
        <v>296</v>
      </c>
      <c r="S3109" s="1338" t="s">
        <v>486</v>
      </c>
      <c r="T3109" s="1338" t="s">
        <v>487</v>
      </c>
      <c r="U3109" s="1340" t="s">
        <v>488</v>
      </c>
      <c r="V3109" s="291">
        <f t="shared" ref="V3109:V3117" ca="1" si="878">IF(OFFSET(V3109,1,1)=1,OFFSET(V3109,0,-4),OFFSET(V3109,1,0))</f>
        <v>11.989999999999995</v>
      </c>
      <c r="W3109" s="256">
        <f t="shared" ca="1" si="875"/>
        <v>2</v>
      </c>
      <c r="X3109" s="256">
        <f t="shared" ca="1" si="868"/>
        <v>1</v>
      </c>
      <c r="Y3109" s="256"/>
      <c r="Z3109" s="256"/>
      <c r="AA3109" s="292"/>
      <c r="AB3109" s="292"/>
      <c r="AC3109" s="292"/>
    </row>
    <row r="3110" spans="1:29" s="337" customFormat="1" ht="15.75" x14ac:dyDescent="0.2">
      <c r="A3110" s="288"/>
      <c r="B3110" s="1375"/>
      <c r="C3110" s="1377" t="e">
        <f>VLOOKUP(LEFT(#REF!,5),'11 - FINANCEIRO'!_xlnm.Print_Area,2,FALSE)</f>
        <v>#REF!</v>
      </c>
      <c r="D3110" s="1342" t="s">
        <v>489</v>
      </c>
      <c r="E3110" s="1343"/>
      <c r="F3110" s="1344"/>
      <c r="G3110" s="1345" t="s">
        <v>490</v>
      </c>
      <c r="H3110" s="1346"/>
      <c r="I3110" s="1347"/>
      <c r="J3110" s="1339"/>
      <c r="K3110" s="1339"/>
      <c r="L3110" s="1339"/>
      <c r="M3110" s="1339"/>
      <c r="N3110" s="1339"/>
      <c r="O3110" s="1339"/>
      <c r="P3110" s="295" t="s">
        <v>491</v>
      </c>
      <c r="Q3110" s="1339"/>
      <c r="R3110" s="1337"/>
      <c r="S3110" s="1339"/>
      <c r="T3110" s="1339"/>
      <c r="U3110" s="1341"/>
      <c r="V3110" s="291">
        <f t="shared" ca="1" si="878"/>
        <v>11.989999999999995</v>
      </c>
      <c r="W3110" s="256">
        <f t="shared" ca="1" si="875"/>
        <v>2</v>
      </c>
      <c r="X3110" s="256">
        <f t="shared" ca="1" si="868"/>
        <v>1</v>
      </c>
      <c r="Y3110" s="336"/>
      <c r="Z3110" s="336"/>
    </row>
    <row r="3111" spans="1:29" s="337" customFormat="1" ht="15.75" x14ac:dyDescent="0.2">
      <c r="A3111" s="288"/>
      <c r="B3111" s="296"/>
      <c r="C3111" s="297" t="s">
        <v>950</v>
      </c>
      <c r="D3111" s="298">
        <v>22</v>
      </c>
      <c r="E3111" s="299" t="s">
        <v>518</v>
      </c>
      <c r="F3111" s="413">
        <v>6</v>
      </c>
      <c r="G3111" s="301">
        <v>22</v>
      </c>
      <c r="H3111" s="302" t="s">
        <v>518</v>
      </c>
      <c r="I3111" s="415">
        <v>6</v>
      </c>
      <c r="J3111" s="304"/>
      <c r="K3111" s="416">
        <v>16</v>
      </c>
      <c r="L3111" s="304"/>
      <c r="M3111" s="304"/>
      <c r="N3111" s="304"/>
      <c r="O3111" s="304"/>
      <c r="P3111" s="306"/>
      <c r="Q3111" s="304">
        <v>2</v>
      </c>
      <c r="R3111" s="307">
        <f>K3111*Q3111</f>
        <v>32</v>
      </c>
      <c r="S3111" s="304"/>
      <c r="T3111" s="309">
        <v>29</v>
      </c>
      <c r="U3111" s="310"/>
      <c r="V3111" s="291">
        <f t="shared" ca="1" si="878"/>
        <v>11.989999999999995</v>
      </c>
      <c r="W3111" s="256">
        <f t="shared" ca="1" si="875"/>
        <v>2</v>
      </c>
      <c r="X3111" s="256">
        <f t="shared" ref="X3111:X3174" ca="1" si="879">IF(COUNTA(OFFSET(A3110,1,0))-COUNTA(A3110)=-1,0,1)</f>
        <v>1</v>
      </c>
      <c r="Y3111" s="336"/>
      <c r="Z3111" s="336"/>
    </row>
    <row r="3112" spans="1:29" s="111" customFormat="1" ht="15.75" x14ac:dyDescent="0.2">
      <c r="A3112" s="288"/>
      <c r="B3112" s="311"/>
      <c r="C3112" s="312" t="s">
        <v>1049</v>
      </c>
      <c r="D3112" s="313">
        <v>22</v>
      </c>
      <c r="E3112" s="314" t="s">
        <v>518</v>
      </c>
      <c r="F3112" s="315">
        <v>6</v>
      </c>
      <c r="G3112" s="380">
        <v>22</v>
      </c>
      <c r="H3112" s="316" t="s">
        <v>518</v>
      </c>
      <c r="I3112" s="381">
        <v>6</v>
      </c>
      <c r="J3112" s="317"/>
      <c r="K3112" s="421">
        <f>6.3+2+1.2+1.3+8.4+1.2</f>
        <v>20.400000000000002</v>
      </c>
      <c r="L3112" s="317"/>
      <c r="M3112" s="315"/>
      <c r="N3112" s="314"/>
      <c r="O3112" s="313"/>
      <c r="P3112" s="318"/>
      <c r="Q3112" s="315">
        <v>1</v>
      </c>
      <c r="R3112" s="319">
        <f t="shared" ref="R3112:R3113" si="880">K3112*Q3112</f>
        <v>20.400000000000002</v>
      </c>
      <c r="S3112" s="317"/>
      <c r="T3112" s="320">
        <v>29</v>
      </c>
      <c r="U3112" s="321"/>
      <c r="V3112" s="291">
        <f t="shared" ca="1" si="878"/>
        <v>11.989999999999995</v>
      </c>
      <c r="W3112" s="256">
        <f t="shared" ca="1" si="875"/>
        <v>2</v>
      </c>
      <c r="X3112" s="256">
        <f t="shared" ca="1" si="879"/>
        <v>1</v>
      </c>
      <c r="Y3112" s="250"/>
      <c r="Z3112" s="250"/>
    </row>
    <row r="3113" spans="1:29" s="111" customFormat="1" ht="15" x14ac:dyDescent="0.2">
      <c r="A3113" s="288"/>
      <c r="B3113" s="322"/>
      <c r="C3113" s="312" t="s">
        <v>1050</v>
      </c>
      <c r="D3113" s="313">
        <v>22</v>
      </c>
      <c r="E3113" s="314" t="s">
        <v>518</v>
      </c>
      <c r="F3113" s="315">
        <v>6</v>
      </c>
      <c r="G3113" s="380">
        <v>22</v>
      </c>
      <c r="H3113" s="316" t="s">
        <v>518</v>
      </c>
      <c r="I3113" s="381">
        <v>6</v>
      </c>
      <c r="J3113" s="317"/>
      <c r="K3113" s="421">
        <f>1.3+11+2.3+1.3+11+2.3+2.4</f>
        <v>31.6</v>
      </c>
      <c r="L3113" s="328"/>
      <c r="M3113" s="328"/>
      <c r="N3113" s="328"/>
      <c r="O3113" s="334"/>
      <c r="P3113" s="328"/>
      <c r="Q3113" s="315">
        <v>1</v>
      </c>
      <c r="R3113" s="333">
        <f t="shared" si="880"/>
        <v>31.6</v>
      </c>
      <c r="S3113" s="331"/>
      <c r="T3113" s="320">
        <v>29</v>
      </c>
      <c r="U3113" s="335"/>
      <c r="V3113" s="291">
        <f t="shared" ca="1" si="878"/>
        <v>11.989999999999995</v>
      </c>
      <c r="W3113" s="256">
        <f t="shared" ca="1" si="875"/>
        <v>2</v>
      </c>
      <c r="X3113" s="256">
        <f t="shared" ca="1" si="879"/>
        <v>1</v>
      </c>
      <c r="Y3113" s="250"/>
      <c r="Z3113" s="250"/>
    </row>
    <row r="3114" spans="1:29" s="111" customFormat="1" ht="15" x14ac:dyDescent="0.2">
      <c r="A3114" s="288"/>
      <c r="B3114" s="338"/>
      <c r="C3114" s="339"/>
      <c r="D3114" s="340"/>
      <c r="E3114" s="341"/>
      <c r="F3114" s="342"/>
      <c r="G3114" s="340"/>
      <c r="H3114" s="341"/>
      <c r="I3114" s="342"/>
      <c r="J3114" s="343"/>
      <c r="K3114" s="344"/>
      <c r="L3114" s="345"/>
      <c r="M3114" s="346"/>
      <c r="N3114" s="347"/>
      <c r="O3114" s="348"/>
      <c r="P3114" s="345"/>
      <c r="Q3114" s="349"/>
      <c r="R3114" s="350"/>
      <c r="S3114" s="351"/>
      <c r="T3114" s="352"/>
      <c r="U3114" s="353"/>
      <c r="V3114" s="291">
        <f t="shared" ca="1" si="878"/>
        <v>11.989999999999995</v>
      </c>
      <c r="W3114" s="256">
        <f t="shared" ca="1" si="875"/>
        <v>0</v>
      </c>
      <c r="X3114" s="256">
        <f t="shared" ca="1" si="879"/>
        <v>1</v>
      </c>
      <c r="Y3114" s="250"/>
      <c r="Z3114" s="250"/>
    </row>
    <row r="3115" spans="1:29" s="111" customFormat="1" ht="15.75" customHeight="1" x14ac:dyDescent="0.2">
      <c r="A3115" s="288"/>
      <c r="B3115" s="354"/>
      <c r="C3115" s="355"/>
      <c r="D3115" s="1354" t="s">
        <v>492</v>
      </c>
      <c r="E3115" s="1355"/>
      <c r="F3115" s="1355"/>
      <c r="G3115" s="1355"/>
      <c r="H3115" s="1355"/>
      <c r="I3115" s="1356"/>
      <c r="J3115" s="1357">
        <f>VLOOKUP(A3117,'11 - FINANCEIRO'!_xlnm.Print_Area,6,FALSE)</f>
        <v>84</v>
      </c>
      <c r="K3115" s="1358"/>
      <c r="L3115" s="356" t="str">
        <f>VLOOKUP(A3117,'11 - FINANCEIRO'!_xlnm.Print_Area,4,FALSE)</f>
        <v>m</v>
      </c>
      <c r="M3115" s="1359" t="s">
        <v>493</v>
      </c>
      <c r="N3115" s="1360"/>
      <c r="O3115" s="1360"/>
      <c r="P3115" s="1360"/>
      <c r="Q3115" s="1361"/>
      <c r="R3115" s="357">
        <f>TRUNC(SUM(R3111:R3114),3)</f>
        <v>84</v>
      </c>
      <c r="S3115" s="358" t="str">
        <f>L3115</f>
        <v>m</v>
      </c>
      <c r="T3115" s="1408"/>
      <c r="U3115" s="1409"/>
      <c r="V3115" s="291">
        <f t="shared" ca="1" si="878"/>
        <v>11.989999999999995</v>
      </c>
      <c r="W3115" s="256">
        <f t="shared" ca="1" si="875"/>
        <v>2</v>
      </c>
      <c r="X3115" s="256">
        <f t="shared" ca="1" si="879"/>
        <v>1</v>
      </c>
      <c r="Y3115" s="250"/>
      <c r="Z3115" s="250"/>
    </row>
    <row r="3116" spans="1:29" s="293" customFormat="1" ht="15.75" customHeight="1" x14ac:dyDescent="0.2">
      <c r="A3116" s="288"/>
      <c r="B3116" s="354"/>
      <c r="C3116" s="361"/>
      <c r="D3116" s="1362" t="s">
        <v>494</v>
      </c>
      <c r="E3116" s="1363"/>
      <c r="F3116" s="1363"/>
      <c r="G3116" s="1363"/>
      <c r="H3116" s="1363"/>
      <c r="I3116" s="1364"/>
      <c r="J3116" s="1365">
        <f>IF(R3115&gt;J3115,1,R3115/J3115)</f>
        <v>1</v>
      </c>
      <c r="K3116" s="1366"/>
      <c r="L3116" s="1369"/>
      <c r="M3116" s="1371" t="s">
        <v>495</v>
      </c>
      <c r="N3116" s="1372"/>
      <c r="O3116" s="1372"/>
      <c r="P3116" s="1372"/>
      <c r="Q3116" s="1373"/>
      <c r="R3116" s="362">
        <f>VLOOKUP(A3117,'11 - FINANCEIRO'!_xlnm.Print_Area,8,FALSE)</f>
        <v>72.010000000000005</v>
      </c>
      <c r="S3116" s="363" t="str">
        <f>L3115</f>
        <v>m</v>
      </c>
      <c r="T3116" s="1410"/>
      <c r="U3116" s="1411"/>
      <c r="V3116" s="291">
        <f t="shared" ca="1" si="878"/>
        <v>11.989999999999995</v>
      </c>
      <c r="W3116" s="256">
        <f t="shared" ca="1" si="875"/>
        <v>2</v>
      </c>
      <c r="X3116" s="256">
        <f t="shared" ca="1" si="879"/>
        <v>1</v>
      </c>
      <c r="Y3116" s="256"/>
      <c r="Z3116" s="256"/>
      <c r="AA3116" s="292"/>
      <c r="AB3116" s="292"/>
      <c r="AC3116" s="292"/>
    </row>
    <row r="3117" spans="1:29" s="293" customFormat="1" ht="15.75" customHeight="1" x14ac:dyDescent="0.2">
      <c r="A3117" s="288" t="s">
        <v>187</v>
      </c>
      <c r="B3117" s="364"/>
      <c r="C3117" s="365"/>
      <c r="D3117" s="1354"/>
      <c r="E3117" s="1355"/>
      <c r="F3117" s="1355"/>
      <c r="G3117" s="1355"/>
      <c r="H3117" s="1355"/>
      <c r="I3117" s="1356"/>
      <c r="J3117" s="1367"/>
      <c r="K3117" s="1368"/>
      <c r="L3117" s="1370"/>
      <c r="M3117" s="1371" t="s">
        <v>496</v>
      </c>
      <c r="N3117" s="1372"/>
      <c r="O3117" s="1372"/>
      <c r="P3117" s="1372"/>
      <c r="Q3117" s="1373"/>
      <c r="R3117" s="362">
        <f>R3115-R3116</f>
        <v>11.989999999999995</v>
      </c>
      <c r="S3117" s="363" t="str">
        <f>L3115</f>
        <v>m</v>
      </c>
      <c r="T3117" s="1412"/>
      <c r="U3117" s="1413"/>
      <c r="V3117" s="291">
        <f t="shared" ca="1" si="878"/>
        <v>11.989999999999995</v>
      </c>
      <c r="W3117" s="256">
        <f t="shared" ca="1" si="875"/>
        <v>2</v>
      </c>
      <c r="X3117" s="256">
        <f t="shared" ca="1" si="879"/>
        <v>1</v>
      </c>
      <c r="Y3117" s="256"/>
      <c r="Z3117" s="256"/>
      <c r="AA3117" s="292"/>
      <c r="AB3117" s="292"/>
      <c r="AC3117" s="292"/>
    </row>
    <row r="3118" spans="1:29" s="111" customFormat="1" ht="15.75" x14ac:dyDescent="0.2">
      <c r="A3118" s="288"/>
      <c r="B3118" s="368"/>
      <c r="C3118" s="365"/>
      <c r="D3118" s="369"/>
      <c r="E3118" s="370"/>
      <c r="F3118" s="369"/>
      <c r="G3118" s="369"/>
      <c r="H3118" s="369"/>
      <c r="I3118" s="369"/>
      <c r="J3118" s="371"/>
      <c r="K3118" s="372"/>
      <c r="L3118" s="373"/>
      <c r="M3118" s="374"/>
      <c r="N3118" s="374"/>
      <c r="O3118" s="374"/>
      <c r="P3118" s="374"/>
      <c r="Q3118" s="374"/>
      <c r="R3118" s="375"/>
      <c r="S3118" s="376"/>
      <c r="T3118" s="377"/>
      <c r="U3118" s="378"/>
      <c r="V3118" s="379">
        <f ca="1">SUM(V3109:V3117)</f>
        <v>107.90999999999995</v>
      </c>
      <c r="W3118" s="256">
        <f t="shared" ca="1" si="875"/>
        <v>1</v>
      </c>
      <c r="X3118" s="256">
        <f t="shared" ca="1" si="879"/>
        <v>0</v>
      </c>
      <c r="Y3118" s="250"/>
      <c r="Z3118" s="250"/>
    </row>
    <row r="3119" spans="1:29" s="293" customFormat="1" ht="15.75" hidden="1" customHeight="1" x14ac:dyDescent="0.25">
      <c r="A3119" s="288"/>
      <c r="B3119" s="1374" t="str">
        <f>VLOOKUP(A3127,'11 - FINANCEIRO'!_xlnm.Print_Area,1,FALSE)</f>
        <v>4.3.9</v>
      </c>
      <c r="C3119" s="1376" t="str">
        <f>VLOOKUP(A3127,'11 - FINANCEIRO'!_xlnm.Print_Area,3,FALSE)</f>
        <v>Demolição Manual De Construções Provisórias - Sem Reaproveitamento, Incluído Transporte E Destinação</v>
      </c>
      <c r="D3119" s="1378" t="s">
        <v>477</v>
      </c>
      <c r="E3119" s="1379"/>
      <c r="F3119" s="1379"/>
      <c r="G3119" s="1379"/>
      <c r="H3119" s="1379"/>
      <c r="I3119" s="1380"/>
      <c r="J3119" s="1338" t="s">
        <v>478</v>
      </c>
      <c r="K3119" s="1338" t="s">
        <v>479</v>
      </c>
      <c r="L3119" s="1338" t="s">
        <v>480</v>
      </c>
      <c r="M3119" s="1338" t="s">
        <v>481</v>
      </c>
      <c r="N3119" s="1338" t="s">
        <v>482</v>
      </c>
      <c r="O3119" s="1338" t="s">
        <v>483</v>
      </c>
      <c r="P3119" s="290" t="s">
        <v>484</v>
      </c>
      <c r="Q3119" s="1338" t="s">
        <v>485</v>
      </c>
      <c r="R3119" s="1336" t="s">
        <v>296</v>
      </c>
      <c r="S3119" s="1338" t="s">
        <v>486</v>
      </c>
      <c r="T3119" s="1338" t="s">
        <v>487</v>
      </c>
      <c r="U3119" s="1340" t="s">
        <v>488</v>
      </c>
      <c r="V3119" s="291">
        <f t="shared" ref="V3119:V3127" ca="1" si="881">IF(OFFSET(V3119,1,1)=1,OFFSET(V3119,0,-4),OFFSET(V3119,1,0))</f>
        <v>0</v>
      </c>
      <c r="W3119" s="256">
        <f t="shared" ca="1" si="875"/>
        <v>2</v>
      </c>
      <c r="X3119" s="256">
        <f t="shared" ca="1" si="879"/>
        <v>1</v>
      </c>
      <c r="Y3119" s="256"/>
      <c r="Z3119" s="256"/>
      <c r="AA3119" s="292"/>
      <c r="AB3119" s="292"/>
      <c r="AC3119" s="292"/>
    </row>
    <row r="3120" spans="1:29" s="337" customFormat="1" ht="15.75" hidden="1" x14ac:dyDescent="0.2">
      <c r="A3120" s="288"/>
      <c r="B3120" s="1375"/>
      <c r="C3120" s="1377" t="e">
        <f>VLOOKUP(LEFT(#REF!,5),'11 - FINANCEIRO'!_xlnm.Print_Area,2,FALSE)</f>
        <v>#REF!</v>
      </c>
      <c r="D3120" s="1342" t="s">
        <v>489</v>
      </c>
      <c r="E3120" s="1343"/>
      <c r="F3120" s="1344"/>
      <c r="G3120" s="1345" t="s">
        <v>490</v>
      </c>
      <c r="H3120" s="1346"/>
      <c r="I3120" s="1347"/>
      <c r="J3120" s="1339"/>
      <c r="K3120" s="1339"/>
      <c r="L3120" s="1339"/>
      <c r="M3120" s="1339"/>
      <c r="N3120" s="1339"/>
      <c r="O3120" s="1339"/>
      <c r="P3120" s="295" t="s">
        <v>491</v>
      </c>
      <c r="Q3120" s="1339"/>
      <c r="R3120" s="1337"/>
      <c r="S3120" s="1339"/>
      <c r="T3120" s="1339"/>
      <c r="U3120" s="1341"/>
      <c r="V3120" s="291">
        <f t="shared" ca="1" si="881"/>
        <v>0</v>
      </c>
      <c r="W3120" s="256">
        <f t="shared" ca="1" si="875"/>
        <v>2</v>
      </c>
      <c r="X3120" s="256">
        <f t="shared" ca="1" si="879"/>
        <v>1</v>
      </c>
      <c r="Y3120" s="336"/>
      <c r="Z3120" s="336"/>
    </row>
    <row r="3121" spans="1:29" s="337" customFormat="1" ht="15.75" hidden="1" x14ac:dyDescent="0.2">
      <c r="A3121" s="288"/>
      <c r="B3121" s="296"/>
      <c r="C3121" s="297"/>
      <c r="D3121" s="298"/>
      <c r="E3121" s="299"/>
      <c r="F3121" s="300"/>
      <c r="G3121" s="301"/>
      <c r="H3121" s="302"/>
      <c r="I3121" s="303"/>
      <c r="J3121" s="304"/>
      <c r="K3121" s="304"/>
      <c r="L3121" s="304"/>
      <c r="M3121" s="304"/>
      <c r="N3121" s="304"/>
      <c r="O3121" s="304"/>
      <c r="P3121" s="306"/>
      <c r="Q3121" s="304"/>
      <c r="R3121" s="307"/>
      <c r="S3121" s="304"/>
      <c r="T3121" s="309"/>
      <c r="U3121" s="310"/>
      <c r="V3121" s="291">
        <f t="shared" ca="1" si="881"/>
        <v>0</v>
      </c>
      <c r="W3121" s="256">
        <f t="shared" ca="1" si="875"/>
        <v>0</v>
      </c>
      <c r="X3121" s="256">
        <f t="shared" ca="1" si="879"/>
        <v>1</v>
      </c>
      <c r="Y3121" s="336"/>
      <c r="Z3121" s="336"/>
    </row>
    <row r="3122" spans="1:29" s="111" customFormat="1" ht="15.75" hidden="1" x14ac:dyDescent="0.2">
      <c r="A3122" s="288"/>
      <c r="B3122" s="311"/>
      <c r="C3122" s="312"/>
      <c r="D3122" s="313"/>
      <c r="E3122" s="314"/>
      <c r="F3122" s="315"/>
      <c r="G3122" s="380"/>
      <c r="H3122" s="316"/>
      <c r="I3122" s="381"/>
      <c r="J3122" s="317"/>
      <c r="K3122" s="313"/>
      <c r="L3122" s="317"/>
      <c r="M3122" s="315"/>
      <c r="N3122" s="314"/>
      <c r="O3122" s="313"/>
      <c r="P3122" s="318"/>
      <c r="Q3122" s="315"/>
      <c r="R3122" s="319"/>
      <c r="S3122" s="317"/>
      <c r="T3122" s="320"/>
      <c r="U3122" s="321"/>
      <c r="V3122" s="291">
        <f t="shared" ca="1" si="881"/>
        <v>0</v>
      </c>
      <c r="W3122" s="256">
        <f t="shared" ca="1" si="875"/>
        <v>0</v>
      </c>
      <c r="X3122" s="256">
        <f t="shared" ca="1" si="879"/>
        <v>1</v>
      </c>
      <c r="Y3122" s="250"/>
      <c r="Z3122" s="250"/>
    </row>
    <row r="3123" spans="1:29" s="111" customFormat="1" ht="15" hidden="1" x14ac:dyDescent="0.2">
      <c r="A3123" s="288"/>
      <c r="B3123" s="322"/>
      <c r="C3123" s="382"/>
      <c r="D3123" s="324"/>
      <c r="E3123" s="325"/>
      <c r="F3123" s="326"/>
      <c r="G3123" s="324"/>
      <c r="H3123" s="325"/>
      <c r="I3123" s="326"/>
      <c r="J3123" s="317"/>
      <c r="K3123" s="328"/>
      <c r="L3123" s="328"/>
      <c r="M3123" s="328"/>
      <c r="N3123" s="328"/>
      <c r="O3123" s="334"/>
      <c r="P3123" s="328"/>
      <c r="Q3123" s="334"/>
      <c r="R3123" s="333"/>
      <c r="S3123" s="331"/>
      <c r="T3123" s="320"/>
      <c r="U3123" s="335"/>
      <c r="V3123" s="291">
        <f t="shared" ca="1" si="881"/>
        <v>0</v>
      </c>
      <c r="W3123" s="256">
        <f t="shared" ca="1" si="875"/>
        <v>0</v>
      </c>
      <c r="X3123" s="256">
        <f t="shared" ca="1" si="879"/>
        <v>1</v>
      </c>
      <c r="Y3123" s="250"/>
      <c r="Z3123" s="250"/>
    </row>
    <row r="3124" spans="1:29" s="111" customFormat="1" ht="15" hidden="1" x14ac:dyDescent="0.2">
      <c r="A3124" s="288"/>
      <c r="B3124" s="338"/>
      <c r="C3124" s="339"/>
      <c r="D3124" s="340"/>
      <c r="E3124" s="341"/>
      <c r="F3124" s="342"/>
      <c r="G3124" s="340"/>
      <c r="H3124" s="341"/>
      <c r="I3124" s="342"/>
      <c r="J3124" s="343"/>
      <c r="K3124" s="344"/>
      <c r="L3124" s="345"/>
      <c r="M3124" s="346"/>
      <c r="N3124" s="347"/>
      <c r="O3124" s="348"/>
      <c r="P3124" s="345"/>
      <c r="Q3124" s="349"/>
      <c r="R3124" s="350"/>
      <c r="S3124" s="351"/>
      <c r="T3124" s="352"/>
      <c r="U3124" s="353"/>
      <c r="V3124" s="291">
        <f t="shared" ca="1" si="881"/>
        <v>0</v>
      </c>
      <c r="W3124" s="256">
        <f t="shared" ca="1" si="875"/>
        <v>0</v>
      </c>
      <c r="X3124" s="256">
        <f t="shared" ca="1" si="879"/>
        <v>1</v>
      </c>
      <c r="Y3124" s="250"/>
      <c r="Z3124" s="250"/>
    </row>
    <row r="3125" spans="1:29" s="111" customFormat="1" ht="15.75" hidden="1" customHeight="1" x14ac:dyDescent="0.2">
      <c r="A3125" s="288"/>
      <c r="B3125" s="354"/>
      <c r="C3125" s="355"/>
      <c r="D3125" s="1354" t="s">
        <v>492</v>
      </c>
      <c r="E3125" s="1355"/>
      <c r="F3125" s="1355"/>
      <c r="G3125" s="1355"/>
      <c r="H3125" s="1355"/>
      <c r="I3125" s="1356"/>
      <c r="J3125" s="1357">
        <f>VLOOKUP(A3127,'11 - FINANCEIRO'!_xlnm.Print_Area,6,FALSE)</f>
        <v>28</v>
      </c>
      <c r="K3125" s="1358"/>
      <c r="L3125" s="356" t="str">
        <f>VLOOKUP(A3127,'11 - FINANCEIRO'!_xlnm.Print_Area,4,FALSE)</f>
        <v>m²</v>
      </c>
      <c r="M3125" s="1359" t="s">
        <v>493</v>
      </c>
      <c r="N3125" s="1360"/>
      <c r="O3125" s="1360"/>
      <c r="P3125" s="1360"/>
      <c r="Q3125" s="1361"/>
      <c r="R3125" s="357">
        <f>TRUNC(SUM(R3121:R3124),3)</f>
        <v>0</v>
      </c>
      <c r="S3125" s="358" t="str">
        <f>L3125</f>
        <v>m²</v>
      </c>
      <c r="T3125" s="359"/>
      <c r="U3125" s="360"/>
      <c r="V3125" s="291">
        <f t="shared" ca="1" si="881"/>
        <v>0</v>
      </c>
      <c r="W3125" s="256">
        <f t="shared" ca="1" si="875"/>
        <v>2</v>
      </c>
      <c r="X3125" s="256">
        <f t="shared" ca="1" si="879"/>
        <v>1</v>
      </c>
      <c r="Y3125" s="250"/>
      <c r="Z3125" s="250"/>
    </row>
    <row r="3126" spans="1:29" s="293" customFormat="1" ht="15.75" hidden="1" customHeight="1" x14ac:dyDescent="0.2">
      <c r="A3126" s="288"/>
      <c r="B3126" s="354"/>
      <c r="C3126" s="361"/>
      <c r="D3126" s="1362" t="s">
        <v>494</v>
      </c>
      <c r="E3126" s="1363"/>
      <c r="F3126" s="1363"/>
      <c r="G3126" s="1363"/>
      <c r="H3126" s="1363"/>
      <c r="I3126" s="1364"/>
      <c r="J3126" s="1365">
        <f>R3125/J3125</f>
        <v>0</v>
      </c>
      <c r="K3126" s="1366"/>
      <c r="L3126" s="1369"/>
      <c r="M3126" s="1371" t="s">
        <v>495</v>
      </c>
      <c r="N3126" s="1372"/>
      <c r="O3126" s="1372"/>
      <c r="P3126" s="1372"/>
      <c r="Q3126" s="1373"/>
      <c r="R3126" s="362">
        <f>VLOOKUP(A3127,'11 - FINANCEIRO'!_xlnm.Print_Area,8,FALSE)</f>
        <v>0</v>
      </c>
      <c r="S3126" s="363" t="str">
        <f>L3125</f>
        <v>m²</v>
      </c>
      <c r="T3126" s="359"/>
      <c r="U3126" s="360"/>
      <c r="V3126" s="291">
        <f t="shared" ca="1" si="881"/>
        <v>0</v>
      </c>
      <c r="W3126" s="256">
        <f t="shared" ca="1" si="875"/>
        <v>2</v>
      </c>
      <c r="X3126" s="256">
        <f t="shared" ca="1" si="879"/>
        <v>1</v>
      </c>
      <c r="Y3126" s="256"/>
      <c r="Z3126" s="256"/>
      <c r="AA3126" s="292"/>
      <c r="AB3126" s="292"/>
      <c r="AC3126" s="292"/>
    </row>
    <row r="3127" spans="1:29" s="293" customFormat="1" ht="15.75" hidden="1" customHeight="1" x14ac:dyDescent="0.2">
      <c r="A3127" s="288" t="s">
        <v>188</v>
      </c>
      <c r="B3127" s="364"/>
      <c r="C3127" s="365"/>
      <c r="D3127" s="1354"/>
      <c r="E3127" s="1355"/>
      <c r="F3127" s="1355"/>
      <c r="G3127" s="1355"/>
      <c r="H3127" s="1355"/>
      <c r="I3127" s="1356"/>
      <c r="J3127" s="1367"/>
      <c r="K3127" s="1368"/>
      <c r="L3127" s="1370"/>
      <c r="M3127" s="1371" t="s">
        <v>496</v>
      </c>
      <c r="N3127" s="1372"/>
      <c r="O3127" s="1372"/>
      <c r="P3127" s="1372"/>
      <c r="Q3127" s="1373"/>
      <c r="R3127" s="362">
        <f>R3125-R3126</f>
        <v>0</v>
      </c>
      <c r="S3127" s="363" t="str">
        <f>L3125</f>
        <v>m²</v>
      </c>
      <c r="T3127" s="366"/>
      <c r="U3127" s="367"/>
      <c r="V3127" s="291">
        <f t="shared" ca="1" si="881"/>
        <v>0</v>
      </c>
      <c r="W3127" s="256">
        <f t="shared" ca="1" si="875"/>
        <v>2</v>
      </c>
      <c r="X3127" s="256">
        <f t="shared" ca="1" si="879"/>
        <v>1</v>
      </c>
      <c r="Y3127" s="256"/>
      <c r="Z3127" s="256"/>
      <c r="AA3127" s="292"/>
      <c r="AB3127" s="292"/>
      <c r="AC3127" s="292"/>
    </row>
    <row r="3128" spans="1:29" s="111" customFormat="1" ht="15.75" hidden="1" x14ac:dyDescent="0.2">
      <c r="A3128" s="288"/>
      <c r="B3128" s="368"/>
      <c r="C3128" s="365"/>
      <c r="D3128" s="369"/>
      <c r="E3128" s="370"/>
      <c r="F3128" s="369"/>
      <c r="G3128" s="369"/>
      <c r="H3128" s="369"/>
      <c r="I3128" s="369"/>
      <c r="J3128" s="371"/>
      <c r="K3128" s="372"/>
      <c r="L3128" s="373"/>
      <c r="M3128" s="374"/>
      <c r="N3128" s="374"/>
      <c r="O3128" s="374"/>
      <c r="P3128" s="374"/>
      <c r="Q3128" s="374"/>
      <c r="R3128" s="375"/>
      <c r="S3128" s="376"/>
      <c r="T3128" s="377"/>
      <c r="U3128" s="378"/>
      <c r="V3128" s="379">
        <f ca="1">SUM(V3119:V3127)</f>
        <v>0</v>
      </c>
      <c r="W3128" s="256">
        <f t="shared" ca="1" si="875"/>
        <v>1</v>
      </c>
      <c r="X3128" s="256">
        <f t="shared" ca="1" si="879"/>
        <v>0</v>
      </c>
      <c r="Y3128" s="250"/>
      <c r="Z3128" s="250"/>
    </row>
    <row r="3129" spans="1:29" s="293" customFormat="1" ht="15.75" hidden="1" customHeight="1" x14ac:dyDescent="0.25">
      <c r="A3129" s="288"/>
      <c r="B3129" s="1374" t="str">
        <f>VLOOKUP(A3137,'11 - FINANCEIRO'!_xlnm.Print_Area,1,FALSE)</f>
        <v>4.3.10</v>
      </c>
      <c r="C3129" s="1376" t="str">
        <f>VLOOKUP(A3137,'11 - FINANCEIRO'!_xlnm.Print_Area,3,FALSE)</f>
        <v>Armação Em Aço Ca-50 - Fornecimento, Preparo E Colocação</v>
      </c>
      <c r="D3129" s="1378" t="s">
        <v>477</v>
      </c>
      <c r="E3129" s="1379"/>
      <c r="F3129" s="1379"/>
      <c r="G3129" s="1379"/>
      <c r="H3129" s="1379"/>
      <c r="I3129" s="1380"/>
      <c r="J3129" s="1338" t="s">
        <v>478</v>
      </c>
      <c r="K3129" s="1338" t="s">
        <v>479</v>
      </c>
      <c r="L3129" s="1338" t="s">
        <v>480</v>
      </c>
      <c r="M3129" s="1338" t="s">
        <v>481</v>
      </c>
      <c r="N3129" s="1338" t="s">
        <v>482</v>
      </c>
      <c r="O3129" s="1338" t="s">
        <v>483</v>
      </c>
      <c r="P3129" s="290" t="s">
        <v>484</v>
      </c>
      <c r="Q3129" s="1338" t="s">
        <v>485</v>
      </c>
      <c r="R3129" s="1336" t="s">
        <v>296</v>
      </c>
      <c r="S3129" s="1338" t="s">
        <v>486</v>
      </c>
      <c r="T3129" s="1338" t="s">
        <v>487</v>
      </c>
      <c r="U3129" s="1340" t="s">
        <v>488</v>
      </c>
      <c r="V3129" s="291">
        <f t="shared" ref="V3129:V3137" ca="1" si="882">IF(OFFSET(V3129,1,1)=1,OFFSET(V3129,0,-4),OFFSET(V3129,1,0))</f>
        <v>0</v>
      </c>
      <c r="W3129" s="256">
        <f t="shared" ca="1" si="875"/>
        <v>2</v>
      </c>
      <c r="X3129" s="256">
        <f t="shared" ca="1" si="879"/>
        <v>1</v>
      </c>
      <c r="Y3129" s="256"/>
      <c r="Z3129" s="256"/>
      <c r="AA3129" s="292"/>
      <c r="AB3129" s="292"/>
      <c r="AC3129" s="292"/>
    </row>
    <row r="3130" spans="1:29" s="337" customFormat="1" ht="15.75" hidden="1" x14ac:dyDescent="0.2">
      <c r="A3130" s="288"/>
      <c r="B3130" s="1375"/>
      <c r="C3130" s="1377" t="e">
        <f>VLOOKUP(LEFT(#REF!,5),'11 - FINANCEIRO'!_xlnm.Print_Area,2,FALSE)</f>
        <v>#REF!</v>
      </c>
      <c r="D3130" s="1342" t="s">
        <v>489</v>
      </c>
      <c r="E3130" s="1343"/>
      <c r="F3130" s="1344"/>
      <c r="G3130" s="1345" t="s">
        <v>490</v>
      </c>
      <c r="H3130" s="1346"/>
      <c r="I3130" s="1347"/>
      <c r="J3130" s="1339"/>
      <c r="K3130" s="1339"/>
      <c r="L3130" s="1339"/>
      <c r="M3130" s="1339"/>
      <c r="N3130" s="1339"/>
      <c r="O3130" s="1339"/>
      <c r="P3130" s="295" t="s">
        <v>491</v>
      </c>
      <c r="Q3130" s="1339"/>
      <c r="R3130" s="1337"/>
      <c r="S3130" s="1339"/>
      <c r="T3130" s="1339"/>
      <c r="U3130" s="1341"/>
      <c r="V3130" s="291">
        <f t="shared" ca="1" si="882"/>
        <v>0</v>
      </c>
      <c r="W3130" s="256">
        <f t="shared" ca="1" si="875"/>
        <v>2</v>
      </c>
      <c r="X3130" s="256">
        <f t="shared" ca="1" si="879"/>
        <v>1</v>
      </c>
      <c r="Y3130" s="336"/>
      <c r="Z3130" s="336"/>
    </row>
    <row r="3131" spans="1:29" s="337" customFormat="1" ht="15.75" hidden="1" x14ac:dyDescent="0.2">
      <c r="A3131" s="288"/>
      <c r="B3131" s="296"/>
      <c r="C3131" s="297" t="s">
        <v>997</v>
      </c>
      <c r="D3131" s="298"/>
      <c r="E3131" s="299"/>
      <c r="F3131" s="300"/>
      <c r="G3131" s="301"/>
      <c r="H3131" s="302"/>
      <c r="I3131" s="303"/>
      <c r="J3131" s="304"/>
      <c r="K3131" s="304"/>
      <c r="L3131" s="304"/>
      <c r="M3131" s="304"/>
      <c r="N3131" s="304"/>
      <c r="O3131" s="304"/>
      <c r="P3131" s="306"/>
      <c r="Q3131" s="304"/>
      <c r="R3131" s="307">
        <v>49.5</v>
      </c>
      <c r="S3131" s="304"/>
      <c r="T3131" s="309">
        <v>25</v>
      </c>
      <c r="U3131" s="310"/>
      <c r="V3131" s="291">
        <f t="shared" ca="1" si="882"/>
        <v>0</v>
      </c>
      <c r="W3131" s="256">
        <f t="shared" ca="1" si="875"/>
        <v>2</v>
      </c>
      <c r="X3131" s="256">
        <f t="shared" ca="1" si="879"/>
        <v>1</v>
      </c>
      <c r="Y3131" s="336"/>
      <c r="Z3131" s="336"/>
    </row>
    <row r="3132" spans="1:29" s="111" customFormat="1" ht="15.75" hidden="1" x14ac:dyDescent="0.2">
      <c r="A3132" s="288"/>
      <c r="B3132" s="311"/>
      <c r="C3132" s="312" t="s">
        <v>998</v>
      </c>
      <c r="D3132" s="313"/>
      <c r="E3132" s="314"/>
      <c r="F3132" s="315"/>
      <c r="G3132" s="380"/>
      <c r="H3132" s="316"/>
      <c r="I3132" s="381"/>
      <c r="J3132" s="317"/>
      <c r="K3132" s="313"/>
      <c r="L3132" s="317"/>
      <c r="M3132" s="315"/>
      <c r="N3132" s="314"/>
      <c r="O3132" s="313"/>
      <c r="P3132" s="318"/>
      <c r="Q3132" s="315"/>
      <c r="R3132" s="319">
        <v>49.5</v>
      </c>
      <c r="S3132" s="317"/>
      <c r="T3132" s="320">
        <v>25</v>
      </c>
      <c r="U3132" s="321"/>
      <c r="V3132" s="291">
        <f t="shared" ca="1" si="882"/>
        <v>0</v>
      </c>
      <c r="W3132" s="256">
        <f t="shared" ca="1" si="875"/>
        <v>2</v>
      </c>
      <c r="X3132" s="256">
        <f t="shared" ca="1" si="879"/>
        <v>1</v>
      </c>
      <c r="Y3132" s="250"/>
      <c r="Z3132" s="250"/>
    </row>
    <row r="3133" spans="1:29" s="111" customFormat="1" ht="15" hidden="1" x14ac:dyDescent="0.2">
      <c r="A3133" s="288"/>
      <c r="B3133" s="322"/>
      <c r="C3133" s="382"/>
      <c r="D3133" s="324"/>
      <c r="E3133" s="325"/>
      <c r="F3133" s="326"/>
      <c r="G3133" s="324"/>
      <c r="H3133" s="325"/>
      <c r="I3133" s="326"/>
      <c r="J3133" s="317"/>
      <c r="K3133" s="328"/>
      <c r="L3133" s="328"/>
      <c r="M3133" s="328"/>
      <c r="N3133" s="328"/>
      <c r="O3133" s="334"/>
      <c r="P3133" s="328"/>
      <c r="Q3133" s="334"/>
      <c r="R3133" s="333"/>
      <c r="S3133" s="331"/>
      <c r="T3133" s="320"/>
      <c r="U3133" s="335"/>
      <c r="V3133" s="291">
        <f t="shared" ca="1" si="882"/>
        <v>0</v>
      </c>
      <c r="W3133" s="256">
        <f t="shared" ca="1" si="875"/>
        <v>0</v>
      </c>
      <c r="X3133" s="256">
        <f t="shared" ca="1" si="879"/>
        <v>1</v>
      </c>
      <c r="Y3133" s="250"/>
      <c r="Z3133" s="250"/>
    </row>
    <row r="3134" spans="1:29" s="111" customFormat="1" ht="15" hidden="1" x14ac:dyDescent="0.2">
      <c r="A3134" s="288"/>
      <c r="B3134" s="338"/>
      <c r="C3134" s="339"/>
      <c r="D3134" s="340"/>
      <c r="E3134" s="341"/>
      <c r="F3134" s="342"/>
      <c r="G3134" s="340"/>
      <c r="H3134" s="341"/>
      <c r="I3134" s="342"/>
      <c r="J3134" s="343"/>
      <c r="K3134" s="344"/>
      <c r="L3134" s="345"/>
      <c r="M3134" s="346"/>
      <c r="N3134" s="347"/>
      <c r="O3134" s="348"/>
      <c r="P3134" s="345"/>
      <c r="Q3134" s="349"/>
      <c r="R3134" s="350"/>
      <c r="S3134" s="351"/>
      <c r="T3134" s="352"/>
      <c r="U3134" s="353"/>
      <c r="V3134" s="291">
        <f t="shared" ca="1" si="882"/>
        <v>0</v>
      </c>
      <c r="W3134" s="256">
        <f t="shared" ca="1" si="875"/>
        <v>0</v>
      </c>
      <c r="X3134" s="256">
        <f t="shared" ca="1" si="879"/>
        <v>1</v>
      </c>
      <c r="Y3134" s="250"/>
      <c r="Z3134" s="250"/>
    </row>
    <row r="3135" spans="1:29" s="111" customFormat="1" ht="15.75" hidden="1" customHeight="1" x14ac:dyDescent="0.2">
      <c r="A3135" s="288"/>
      <c r="B3135" s="354"/>
      <c r="C3135" s="355"/>
      <c r="D3135" s="1354" t="s">
        <v>492</v>
      </c>
      <c r="E3135" s="1355"/>
      <c r="F3135" s="1355"/>
      <c r="G3135" s="1355"/>
      <c r="H3135" s="1355"/>
      <c r="I3135" s="1356"/>
      <c r="J3135" s="1357">
        <f>VLOOKUP(A3137,'11 - FINANCEIRO'!_xlnm.Print_Area,6,FALSE)</f>
        <v>99</v>
      </c>
      <c r="K3135" s="1358"/>
      <c r="L3135" s="356" t="str">
        <f>VLOOKUP(A3137,'11 - FINANCEIRO'!_xlnm.Print_Area,4,FALSE)</f>
        <v>kg</v>
      </c>
      <c r="M3135" s="1359" t="s">
        <v>493</v>
      </c>
      <c r="N3135" s="1360"/>
      <c r="O3135" s="1360"/>
      <c r="P3135" s="1360"/>
      <c r="Q3135" s="1361"/>
      <c r="R3135" s="357">
        <f>TRUNC(SUM(R3131:R3134),3)</f>
        <v>99</v>
      </c>
      <c r="S3135" s="358" t="str">
        <f>L3135</f>
        <v>kg</v>
      </c>
      <c r="T3135" s="359"/>
      <c r="U3135" s="360"/>
      <c r="V3135" s="291">
        <f t="shared" ca="1" si="882"/>
        <v>0</v>
      </c>
      <c r="W3135" s="256">
        <f t="shared" ca="1" si="875"/>
        <v>2</v>
      </c>
      <c r="X3135" s="256">
        <f t="shared" ca="1" si="879"/>
        <v>1</v>
      </c>
      <c r="Y3135" s="250"/>
      <c r="Z3135" s="250"/>
    </row>
    <row r="3136" spans="1:29" s="293" customFormat="1" ht="15.75" hidden="1" customHeight="1" x14ac:dyDescent="0.2">
      <c r="A3136" s="288"/>
      <c r="B3136" s="354"/>
      <c r="C3136" s="361"/>
      <c r="D3136" s="1362" t="s">
        <v>494</v>
      </c>
      <c r="E3136" s="1363"/>
      <c r="F3136" s="1363"/>
      <c r="G3136" s="1363"/>
      <c r="H3136" s="1363"/>
      <c r="I3136" s="1364"/>
      <c r="J3136" s="1365">
        <f>R3135/J3135</f>
        <v>1</v>
      </c>
      <c r="K3136" s="1366"/>
      <c r="L3136" s="1369"/>
      <c r="M3136" s="1371" t="s">
        <v>495</v>
      </c>
      <c r="N3136" s="1372"/>
      <c r="O3136" s="1372"/>
      <c r="P3136" s="1372"/>
      <c r="Q3136" s="1373"/>
      <c r="R3136" s="362">
        <f>VLOOKUP(A3137,'11 - FINANCEIRO'!_xlnm.Print_Area,8,FALSE)</f>
        <v>99</v>
      </c>
      <c r="S3136" s="363" t="str">
        <f>L3135</f>
        <v>kg</v>
      </c>
      <c r="T3136" s="359"/>
      <c r="U3136" s="360"/>
      <c r="V3136" s="291">
        <f t="shared" ca="1" si="882"/>
        <v>0</v>
      </c>
      <c r="W3136" s="256">
        <f t="shared" ca="1" si="875"/>
        <v>2</v>
      </c>
      <c r="X3136" s="256">
        <f t="shared" ca="1" si="879"/>
        <v>1</v>
      </c>
      <c r="Y3136" s="256"/>
      <c r="Z3136" s="256"/>
      <c r="AA3136" s="292"/>
      <c r="AB3136" s="292"/>
      <c r="AC3136" s="292"/>
    </row>
    <row r="3137" spans="1:29" s="293" customFormat="1" ht="15.75" hidden="1" customHeight="1" x14ac:dyDescent="0.2">
      <c r="A3137" s="288" t="s">
        <v>189</v>
      </c>
      <c r="B3137" s="364"/>
      <c r="C3137" s="365"/>
      <c r="D3137" s="1354"/>
      <c r="E3137" s="1355"/>
      <c r="F3137" s="1355"/>
      <c r="G3137" s="1355"/>
      <c r="H3137" s="1355"/>
      <c r="I3137" s="1356"/>
      <c r="J3137" s="1367"/>
      <c r="K3137" s="1368"/>
      <c r="L3137" s="1370"/>
      <c r="M3137" s="1371" t="s">
        <v>496</v>
      </c>
      <c r="N3137" s="1372"/>
      <c r="O3137" s="1372"/>
      <c r="P3137" s="1372"/>
      <c r="Q3137" s="1373"/>
      <c r="R3137" s="362">
        <f>R3135-R3136</f>
        <v>0</v>
      </c>
      <c r="S3137" s="363" t="str">
        <f>L3135</f>
        <v>kg</v>
      </c>
      <c r="T3137" s="366"/>
      <c r="U3137" s="367"/>
      <c r="V3137" s="291">
        <f t="shared" ca="1" si="882"/>
        <v>0</v>
      </c>
      <c r="W3137" s="256">
        <f t="shared" ca="1" si="875"/>
        <v>2</v>
      </c>
      <c r="X3137" s="256">
        <f t="shared" ca="1" si="879"/>
        <v>1</v>
      </c>
      <c r="Y3137" s="256"/>
      <c r="Z3137" s="256"/>
      <c r="AA3137" s="292"/>
      <c r="AB3137" s="292"/>
      <c r="AC3137" s="292"/>
    </row>
    <row r="3138" spans="1:29" s="111" customFormat="1" ht="15.75" hidden="1" x14ac:dyDescent="0.2">
      <c r="A3138" s="288"/>
      <c r="B3138" s="368"/>
      <c r="C3138" s="365"/>
      <c r="D3138" s="369"/>
      <c r="E3138" s="370"/>
      <c r="F3138" s="369"/>
      <c r="G3138" s="369"/>
      <c r="H3138" s="369"/>
      <c r="I3138" s="369"/>
      <c r="J3138" s="371"/>
      <c r="K3138" s="372"/>
      <c r="L3138" s="373"/>
      <c r="M3138" s="374"/>
      <c r="N3138" s="374"/>
      <c r="O3138" s="374"/>
      <c r="P3138" s="374"/>
      <c r="Q3138" s="374"/>
      <c r="R3138" s="375"/>
      <c r="S3138" s="376"/>
      <c r="T3138" s="377"/>
      <c r="U3138" s="378"/>
      <c r="V3138" s="379">
        <f ca="1">SUM(V3129:V3137)</f>
        <v>0</v>
      </c>
      <c r="W3138" s="256">
        <f t="shared" ca="1" si="875"/>
        <v>1</v>
      </c>
      <c r="X3138" s="256">
        <f t="shared" ca="1" si="879"/>
        <v>0</v>
      </c>
      <c r="Y3138" s="250"/>
      <c r="Z3138" s="250"/>
    </row>
    <row r="3139" spans="1:29" s="293" customFormat="1" ht="15.75" hidden="1" customHeight="1" x14ac:dyDescent="0.25">
      <c r="A3139" s="288"/>
      <c r="B3139" s="1374" t="str">
        <f>VLOOKUP(A3147,'11 - FINANCEIRO'!_xlnm.Print_Area,1,FALSE)</f>
        <v>4.3.11</v>
      </c>
      <c r="C3139" s="1376" t="str">
        <f>VLOOKUP(A3147,'11 - FINANCEIRO'!_xlnm.Print_Area,3,FALSE)</f>
        <v>Concreto Para Bombeamento Fck = 30 Mpa - Confecção Em Central Dosadora De 30 M³/H - Areia E Brita Comerciais</v>
      </c>
      <c r="D3139" s="1378" t="s">
        <v>477</v>
      </c>
      <c r="E3139" s="1379"/>
      <c r="F3139" s="1379"/>
      <c r="G3139" s="1379"/>
      <c r="H3139" s="1379"/>
      <c r="I3139" s="1380"/>
      <c r="J3139" s="1338" t="s">
        <v>478</v>
      </c>
      <c r="K3139" s="1338" t="s">
        <v>479</v>
      </c>
      <c r="L3139" s="1338" t="s">
        <v>480</v>
      </c>
      <c r="M3139" s="1338" t="s">
        <v>481</v>
      </c>
      <c r="N3139" s="1338" t="s">
        <v>482</v>
      </c>
      <c r="O3139" s="1338" t="s">
        <v>483</v>
      </c>
      <c r="P3139" s="290" t="s">
        <v>484</v>
      </c>
      <c r="Q3139" s="1338" t="s">
        <v>485</v>
      </c>
      <c r="R3139" s="1336" t="s">
        <v>296</v>
      </c>
      <c r="S3139" s="1338" t="s">
        <v>486</v>
      </c>
      <c r="T3139" s="1338" t="s">
        <v>487</v>
      </c>
      <c r="U3139" s="1340" t="s">
        <v>488</v>
      </c>
      <c r="V3139" s="291">
        <f t="shared" ref="V3139:V3147" ca="1" si="883">IF(OFFSET(V3139,1,1)=1,OFFSET(V3139,0,-4),OFFSET(V3139,1,0))</f>
        <v>0</v>
      </c>
      <c r="W3139" s="256">
        <f t="shared" ca="1" si="875"/>
        <v>2</v>
      </c>
      <c r="X3139" s="256">
        <f t="shared" ca="1" si="879"/>
        <v>1</v>
      </c>
      <c r="Y3139" s="256"/>
      <c r="Z3139" s="256"/>
      <c r="AA3139" s="292"/>
      <c r="AB3139" s="292"/>
      <c r="AC3139" s="292"/>
    </row>
    <row r="3140" spans="1:29" s="337" customFormat="1" ht="15.75" hidden="1" x14ac:dyDescent="0.2">
      <c r="A3140" s="288"/>
      <c r="B3140" s="1375"/>
      <c r="C3140" s="1377" t="e">
        <f>VLOOKUP(LEFT(#REF!,5),'11 - FINANCEIRO'!_xlnm.Print_Area,2,FALSE)</f>
        <v>#REF!</v>
      </c>
      <c r="D3140" s="1342" t="s">
        <v>489</v>
      </c>
      <c r="E3140" s="1343"/>
      <c r="F3140" s="1344"/>
      <c r="G3140" s="1345" t="s">
        <v>490</v>
      </c>
      <c r="H3140" s="1346"/>
      <c r="I3140" s="1347"/>
      <c r="J3140" s="1339"/>
      <c r="K3140" s="1339"/>
      <c r="L3140" s="1339"/>
      <c r="M3140" s="1339"/>
      <c r="N3140" s="1339"/>
      <c r="O3140" s="1339"/>
      <c r="P3140" s="295" t="s">
        <v>491</v>
      </c>
      <c r="Q3140" s="1339"/>
      <c r="R3140" s="1337"/>
      <c r="S3140" s="1339"/>
      <c r="T3140" s="1339"/>
      <c r="U3140" s="1341"/>
      <c r="V3140" s="291">
        <f t="shared" ca="1" si="883"/>
        <v>0</v>
      </c>
      <c r="W3140" s="256">
        <f t="shared" ca="1" si="875"/>
        <v>2</v>
      </c>
      <c r="X3140" s="256">
        <f t="shared" ca="1" si="879"/>
        <v>1</v>
      </c>
      <c r="Y3140" s="336"/>
      <c r="Z3140" s="336"/>
    </row>
    <row r="3141" spans="1:29" s="337" customFormat="1" ht="15.75" hidden="1" x14ac:dyDescent="0.2">
      <c r="A3141" s="288"/>
      <c r="B3141" s="296"/>
      <c r="C3141" s="297" t="s">
        <v>997</v>
      </c>
      <c r="D3141" s="298"/>
      <c r="E3141" s="299"/>
      <c r="F3141" s="300"/>
      <c r="G3141" s="301"/>
      <c r="H3141" s="302"/>
      <c r="I3141" s="303"/>
      <c r="J3141" s="304"/>
      <c r="K3141" s="304">
        <v>28.4</v>
      </c>
      <c r="L3141" s="304">
        <v>0.2</v>
      </c>
      <c r="M3141" s="304">
        <v>0.3</v>
      </c>
      <c r="N3141" s="304">
        <f>K3141*L3141</f>
        <v>5.68</v>
      </c>
      <c r="O3141" s="304">
        <f>K3141*L3141*M3141</f>
        <v>1.704</v>
      </c>
      <c r="P3141" s="306"/>
      <c r="Q3141" s="304">
        <v>2</v>
      </c>
      <c r="R3141" s="307">
        <f>O3141*Q3141</f>
        <v>3.4079999999999999</v>
      </c>
      <c r="S3141" s="304"/>
      <c r="T3141" s="309">
        <v>25</v>
      </c>
      <c r="U3141" s="310"/>
      <c r="V3141" s="291">
        <f t="shared" ca="1" si="883"/>
        <v>0</v>
      </c>
      <c r="W3141" s="256">
        <f t="shared" ca="1" si="875"/>
        <v>2</v>
      </c>
      <c r="X3141" s="256">
        <f t="shared" ca="1" si="879"/>
        <v>1</v>
      </c>
      <c r="Y3141" s="336"/>
      <c r="Z3141" s="336"/>
    </row>
    <row r="3142" spans="1:29" s="111" customFormat="1" ht="15.75" hidden="1" x14ac:dyDescent="0.2">
      <c r="A3142" s="288"/>
      <c r="B3142" s="311"/>
      <c r="C3142" s="312" t="s">
        <v>998</v>
      </c>
      <c r="D3142" s="313"/>
      <c r="E3142" s="314"/>
      <c r="F3142" s="315"/>
      <c r="G3142" s="380"/>
      <c r="H3142" s="316"/>
      <c r="I3142" s="381"/>
      <c r="J3142" s="317"/>
      <c r="K3142" s="313">
        <v>13</v>
      </c>
      <c r="L3142" s="317">
        <v>1.2</v>
      </c>
      <c r="M3142" s="315">
        <v>0.08</v>
      </c>
      <c r="N3142" s="314">
        <f>K3142*L3142</f>
        <v>15.6</v>
      </c>
      <c r="O3142" s="313"/>
      <c r="P3142" s="318"/>
      <c r="Q3142" s="315">
        <v>2</v>
      </c>
      <c r="R3142" s="319">
        <v>7.0919999999999996</v>
      </c>
      <c r="S3142" s="317"/>
      <c r="T3142" s="320">
        <v>25</v>
      </c>
      <c r="U3142" s="321"/>
      <c r="V3142" s="291">
        <f t="shared" ca="1" si="883"/>
        <v>0</v>
      </c>
      <c r="W3142" s="256">
        <f t="shared" ca="1" si="875"/>
        <v>2</v>
      </c>
      <c r="X3142" s="256">
        <f t="shared" ca="1" si="879"/>
        <v>1</v>
      </c>
      <c r="Y3142" s="250"/>
      <c r="Z3142" s="250"/>
    </row>
    <row r="3143" spans="1:29" s="111" customFormat="1" ht="15" hidden="1" x14ac:dyDescent="0.2">
      <c r="A3143" s="288"/>
      <c r="B3143" s="322"/>
      <c r="C3143" s="382"/>
      <c r="D3143" s="324"/>
      <c r="E3143" s="325"/>
      <c r="F3143" s="326"/>
      <c r="G3143" s="324"/>
      <c r="H3143" s="325"/>
      <c r="I3143" s="326"/>
      <c r="J3143" s="317"/>
      <c r="K3143" s="328"/>
      <c r="L3143" s="328"/>
      <c r="M3143" s="328"/>
      <c r="N3143" s="328"/>
      <c r="O3143" s="334"/>
      <c r="P3143" s="328"/>
      <c r="Q3143" s="334"/>
      <c r="R3143" s="333"/>
      <c r="S3143" s="331"/>
      <c r="T3143" s="320"/>
      <c r="U3143" s="335"/>
      <c r="V3143" s="291">
        <f t="shared" ca="1" si="883"/>
        <v>0</v>
      </c>
      <c r="W3143" s="256">
        <f t="shared" ca="1" si="875"/>
        <v>0</v>
      </c>
      <c r="X3143" s="256">
        <f t="shared" ca="1" si="879"/>
        <v>1</v>
      </c>
      <c r="Y3143" s="250"/>
      <c r="Z3143" s="250"/>
    </row>
    <row r="3144" spans="1:29" s="111" customFormat="1" ht="15" hidden="1" x14ac:dyDescent="0.2">
      <c r="A3144" s="288"/>
      <c r="B3144" s="338"/>
      <c r="C3144" s="339"/>
      <c r="D3144" s="340"/>
      <c r="E3144" s="341"/>
      <c r="F3144" s="342"/>
      <c r="G3144" s="340"/>
      <c r="H3144" s="341"/>
      <c r="I3144" s="342"/>
      <c r="J3144" s="343"/>
      <c r="K3144" s="344"/>
      <c r="L3144" s="345"/>
      <c r="M3144" s="346"/>
      <c r="N3144" s="347"/>
      <c r="O3144" s="348"/>
      <c r="P3144" s="345"/>
      <c r="Q3144" s="349"/>
      <c r="R3144" s="350"/>
      <c r="S3144" s="351"/>
      <c r="T3144" s="352"/>
      <c r="U3144" s="353"/>
      <c r="V3144" s="291">
        <f t="shared" ca="1" si="883"/>
        <v>0</v>
      </c>
      <c r="W3144" s="256">
        <f t="shared" ca="1" si="875"/>
        <v>0</v>
      </c>
      <c r="X3144" s="256">
        <f t="shared" ca="1" si="879"/>
        <v>1</v>
      </c>
      <c r="Y3144" s="250"/>
      <c r="Z3144" s="250"/>
    </row>
    <row r="3145" spans="1:29" s="111" customFormat="1" ht="15.75" hidden="1" customHeight="1" x14ac:dyDescent="0.2">
      <c r="A3145" s="288"/>
      <c r="B3145" s="354"/>
      <c r="C3145" s="355"/>
      <c r="D3145" s="1354" t="s">
        <v>492</v>
      </c>
      <c r="E3145" s="1355"/>
      <c r="F3145" s="1355"/>
      <c r="G3145" s="1355"/>
      <c r="H3145" s="1355"/>
      <c r="I3145" s="1356"/>
      <c r="J3145" s="1357">
        <f>VLOOKUP(A3147,'11 - FINANCEIRO'!_xlnm.Print_Area,6,FALSE)</f>
        <v>10.5</v>
      </c>
      <c r="K3145" s="1358"/>
      <c r="L3145" s="356" t="str">
        <f>VLOOKUP(A3147,'11 - FINANCEIRO'!_xlnm.Print_Area,4,FALSE)</f>
        <v>m³</v>
      </c>
      <c r="M3145" s="1359" t="s">
        <v>493</v>
      </c>
      <c r="N3145" s="1360"/>
      <c r="O3145" s="1360"/>
      <c r="P3145" s="1360"/>
      <c r="Q3145" s="1361"/>
      <c r="R3145" s="357">
        <f>TRUNC(SUM(R3141:R3144),3)</f>
        <v>10.5</v>
      </c>
      <c r="S3145" s="358" t="str">
        <f>L3145</f>
        <v>m³</v>
      </c>
      <c r="T3145" s="359"/>
      <c r="U3145" s="360"/>
      <c r="V3145" s="291">
        <f t="shared" ca="1" si="883"/>
        <v>0</v>
      </c>
      <c r="W3145" s="256">
        <f t="shared" ca="1" si="875"/>
        <v>2</v>
      </c>
      <c r="X3145" s="256">
        <f t="shared" ca="1" si="879"/>
        <v>1</v>
      </c>
      <c r="Y3145" s="250"/>
      <c r="Z3145" s="250"/>
    </row>
    <row r="3146" spans="1:29" s="293" customFormat="1" ht="15.75" hidden="1" customHeight="1" x14ac:dyDescent="0.2">
      <c r="A3146" s="288"/>
      <c r="B3146" s="354"/>
      <c r="C3146" s="361"/>
      <c r="D3146" s="1362" t="s">
        <v>494</v>
      </c>
      <c r="E3146" s="1363"/>
      <c r="F3146" s="1363"/>
      <c r="G3146" s="1363"/>
      <c r="H3146" s="1363"/>
      <c r="I3146" s="1364"/>
      <c r="J3146" s="1365">
        <f>R3145/J3145</f>
        <v>1</v>
      </c>
      <c r="K3146" s="1366"/>
      <c r="L3146" s="1369"/>
      <c r="M3146" s="1371" t="s">
        <v>495</v>
      </c>
      <c r="N3146" s="1372"/>
      <c r="O3146" s="1372"/>
      <c r="P3146" s="1372"/>
      <c r="Q3146" s="1373"/>
      <c r="R3146" s="362">
        <f>VLOOKUP(A3147,'11 - FINANCEIRO'!_xlnm.Print_Area,8,FALSE)</f>
        <v>10.5</v>
      </c>
      <c r="S3146" s="363" t="str">
        <f>L3145</f>
        <v>m³</v>
      </c>
      <c r="T3146" s="359"/>
      <c r="U3146" s="360"/>
      <c r="V3146" s="291">
        <f t="shared" ca="1" si="883"/>
        <v>0</v>
      </c>
      <c r="W3146" s="256">
        <f t="shared" ca="1" si="875"/>
        <v>2</v>
      </c>
      <c r="X3146" s="256">
        <f t="shared" ca="1" si="879"/>
        <v>1</v>
      </c>
      <c r="Y3146" s="256"/>
      <c r="Z3146" s="256"/>
      <c r="AA3146" s="292"/>
      <c r="AB3146" s="292"/>
      <c r="AC3146" s="292"/>
    </row>
    <row r="3147" spans="1:29" s="293" customFormat="1" ht="15.75" hidden="1" customHeight="1" x14ac:dyDescent="0.2">
      <c r="A3147" s="288" t="s">
        <v>190</v>
      </c>
      <c r="B3147" s="364"/>
      <c r="C3147" s="365"/>
      <c r="D3147" s="1354"/>
      <c r="E3147" s="1355"/>
      <c r="F3147" s="1355"/>
      <c r="G3147" s="1355"/>
      <c r="H3147" s="1355"/>
      <c r="I3147" s="1356"/>
      <c r="J3147" s="1367"/>
      <c r="K3147" s="1368"/>
      <c r="L3147" s="1370"/>
      <c r="M3147" s="1371" t="s">
        <v>496</v>
      </c>
      <c r="N3147" s="1372"/>
      <c r="O3147" s="1372"/>
      <c r="P3147" s="1372"/>
      <c r="Q3147" s="1373"/>
      <c r="R3147" s="362">
        <f>R3145-R3146</f>
        <v>0</v>
      </c>
      <c r="S3147" s="363" t="str">
        <f>L3145</f>
        <v>m³</v>
      </c>
      <c r="T3147" s="366"/>
      <c r="U3147" s="367"/>
      <c r="V3147" s="291">
        <f t="shared" ca="1" si="883"/>
        <v>0</v>
      </c>
      <c r="W3147" s="256">
        <f t="shared" ca="1" si="875"/>
        <v>2</v>
      </c>
      <c r="X3147" s="256">
        <f t="shared" ca="1" si="879"/>
        <v>1</v>
      </c>
      <c r="Y3147" s="256"/>
      <c r="Z3147" s="256"/>
      <c r="AA3147" s="292"/>
      <c r="AB3147" s="292"/>
      <c r="AC3147" s="292"/>
    </row>
    <row r="3148" spans="1:29" s="111" customFormat="1" ht="15.75" hidden="1" x14ac:dyDescent="0.2">
      <c r="A3148" s="288"/>
      <c r="B3148" s="368"/>
      <c r="C3148" s="365"/>
      <c r="D3148" s="369"/>
      <c r="E3148" s="370"/>
      <c r="F3148" s="369"/>
      <c r="G3148" s="369"/>
      <c r="H3148" s="369"/>
      <c r="I3148" s="369"/>
      <c r="J3148" s="371"/>
      <c r="K3148" s="372"/>
      <c r="L3148" s="373"/>
      <c r="M3148" s="374"/>
      <c r="N3148" s="374"/>
      <c r="O3148" s="374"/>
      <c r="P3148" s="374"/>
      <c r="Q3148" s="374"/>
      <c r="R3148" s="375"/>
      <c r="S3148" s="376"/>
      <c r="T3148" s="377"/>
      <c r="U3148" s="378"/>
      <c r="V3148" s="379">
        <f ca="1">SUM(V3139:V3147)</f>
        <v>0</v>
      </c>
      <c r="W3148" s="256">
        <f t="shared" ca="1" si="875"/>
        <v>1</v>
      </c>
      <c r="X3148" s="256">
        <f t="shared" ca="1" si="879"/>
        <v>0</v>
      </c>
      <c r="Y3148" s="250"/>
      <c r="Z3148" s="250"/>
    </row>
    <row r="3149" spans="1:29" s="293" customFormat="1" ht="15.75" hidden="1" customHeight="1" x14ac:dyDescent="0.25">
      <c r="A3149" s="288"/>
      <c r="B3149" s="1374" t="str">
        <f>VLOOKUP(A3157,'11 - FINANCEIRO'!_xlnm.Print_Area,1,FALSE)</f>
        <v>4.3.12</v>
      </c>
      <c r="C3149" s="1376" t="str">
        <f>VLOOKUP(A3157,'11 - FINANCEIRO'!_xlnm.Print_Area,3,FALSE)</f>
        <v>Servico De Bombeamento De Concreto Com Consumo Minimo De 40 M3</v>
      </c>
      <c r="D3149" s="1378" t="s">
        <v>477</v>
      </c>
      <c r="E3149" s="1379"/>
      <c r="F3149" s="1379"/>
      <c r="G3149" s="1379"/>
      <c r="H3149" s="1379"/>
      <c r="I3149" s="1380"/>
      <c r="J3149" s="1338" t="s">
        <v>478</v>
      </c>
      <c r="K3149" s="1338" t="s">
        <v>479</v>
      </c>
      <c r="L3149" s="1338" t="s">
        <v>480</v>
      </c>
      <c r="M3149" s="1338" t="s">
        <v>481</v>
      </c>
      <c r="N3149" s="1338" t="s">
        <v>482</v>
      </c>
      <c r="O3149" s="1338" t="s">
        <v>483</v>
      </c>
      <c r="P3149" s="290" t="s">
        <v>484</v>
      </c>
      <c r="Q3149" s="1338" t="s">
        <v>485</v>
      </c>
      <c r="R3149" s="1336" t="s">
        <v>296</v>
      </c>
      <c r="S3149" s="1338" t="s">
        <v>486</v>
      </c>
      <c r="T3149" s="1338" t="s">
        <v>487</v>
      </c>
      <c r="U3149" s="1340" t="s">
        <v>488</v>
      </c>
      <c r="V3149" s="291">
        <f t="shared" ref="V3149:V3157" ca="1" si="884">IF(OFFSET(V3149,1,1)=1,OFFSET(V3149,0,-4),OFFSET(V3149,1,0))</f>
        <v>0</v>
      </c>
      <c r="W3149" s="256">
        <f t="shared" ca="1" si="875"/>
        <v>2</v>
      </c>
      <c r="X3149" s="256">
        <f t="shared" ca="1" si="879"/>
        <v>1</v>
      </c>
      <c r="Y3149" s="256"/>
      <c r="Z3149" s="256"/>
      <c r="AA3149" s="292"/>
      <c r="AB3149" s="292"/>
      <c r="AC3149" s="292"/>
    </row>
    <row r="3150" spans="1:29" s="337" customFormat="1" ht="15.75" hidden="1" x14ac:dyDescent="0.2">
      <c r="A3150" s="288"/>
      <c r="B3150" s="1375"/>
      <c r="C3150" s="1377" t="e">
        <f>VLOOKUP(LEFT(#REF!,5),'11 - FINANCEIRO'!_xlnm.Print_Area,2,FALSE)</f>
        <v>#REF!</v>
      </c>
      <c r="D3150" s="1342" t="s">
        <v>489</v>
      </c>
      <c r="E3150" s="1343"/>
      <c r="F3150" s="1344"/>
      <c r="G3150" s="1345" t="s">
        <v>490</v>
      </c>
      <c r="H3150" s="1346"/>
      <c r="I3150" s="1347"/>
      <c r="J3150" s="1339"/>
      <c r="K3150" s="1339"/>
      <c r="L3150" s="1339"/>
      <c r="M3150" s="1339"/>
      <c r="N3150" s="1339"/>
      <c r="O3150" s="1339"/>
      <c r="P3150" s="295" t="s">
        <v>491</v>
      </c>
      <c r="Q3150" s="1339"/>
      <c r="R3150" s="1337"/>
      <c r="S3150" s="1339"/>
      <c r="T3150" s="1339"/>
      <c r="U3150" s="1341"/>
      <c r="V3150" s="291">
        <f t="shared" ca="1" si="884"/>
        <v>0</v>
      </c>
      <c r="W3150" s="256">
        <f t="shared" ca="1" si="875"/>
        <v>2</v>
      </c>
      <c r="X3150" s="256">
        <f t="shared" ca="1" si="879"/>
        <v>1</v>
      </c>
      <c r="Y3150" s="336"/>
      <c r="Z3150" s="336"/>
    </row>
    <row r="3151" spans="1:29" s="337" customFormat="1" ht="15.75" hidden="1" x14ac:dyDescent="0.2">
      <c r="A3151" s="288"/>
      <c r="B3151" s="296"/>
      <c r="C3151" s="297" t="s">
        <v>997</v>
      </c>
      <c r="D3151" s="298"/>
      <c r="E3151" s="299"/>
      <c r="F3151" s="300"/>
      <c r="G3151" s="301"/>
      <c r="H3151" s="302"/>
      <c r="I3151" s="303"/>
      <c r="J3151" s="304"/>
      <c r="K3151" s="304"/>
      <c r="L3151" s="304"/>
      <c r="M3151" s="304"/>
      <c r="N3151" s="304"/>
      <c r="O3151" s="304"/>
      <c r="P3151" s="306"/>
      <c r="Q3151" s="304"/>
      <c r="R3151" s="307">
        <f>R3141</f>
        <v>3.4079999999999999</v>
      </c>
      <c r="S3151" s="304"/>
      <c r="T3151" s="309">
        <v>25</v>
      </c>
      <c r="U3151" s="310"/>
      <c r="V3151" s="291">
        <f t="shared" ca="1" si="884"/>
        <v>0</v>
      </c>
      <c r="W3151" s="256">
        <f t="shared" ref="W3151:W3214" ca="1" si="885">IF(LEFT(_xlfn.FORMULATEXT(V3151),3)="=SO",1,IF(COUNTA(A3151:U3151)=0,0,2))</f>
        <v>2</v>
      </c>
      <c r="X3151" s="256">
        <f t="shared" ca="1" si="879"/>
        <v>1</v>
      </c>
      <c r="Y3151" s="336"/>
      <c r="Z3151" s="336"/>
    </row>
    <row r="3152" spans="1:29" s="111" customFormat="1" ht="15.75" hidden="1" x14ac:dyDescent="0.2">
      <c r="A3152" s="288"/>
      <c r="B3152" s="311"/>
      <c r="C3152" s="312" t="s">
        <v>998</v>
      </c>
      <c r="D3152" s="313"/>
      <c r="E3152" s="314"/>
      <c r="F3152" s="315"/>
      <c r="G3152" s="380"/>
      <c r="H3152" s="316"/>
      <c r="I3152" s="381"/>
      <c r="J3152" s="317"/>
      <c r="K3152" s="313"/>
      <c r="L3152" s="317"/>
      <c r="M3152" s="315"/>
      <c r="N3152" s="314"/>
      <c r="O3152" s="313"/>
      <c r="P3152" s="318"/>
      <c r="Q3152" s="315"/>
      <c r="R3152" s="319">
        <f>R3142</f>
        <v>7.0919999999999996</v>
      </c>
      <c r="S3152" s="317"/>
      <c r="T3152" s="320">
        <v>25</v>
      </c>
      <c r="U3152" s="321"/>
      <c r="V3152" s="291">
        <f t="shared" ca="1" si="884"/>
        <v>0</v>
      </c>
      <c r="W3152" s="256">
        <f t="shared" ca="1" si="885"/>
        <v>2</v>
      </c>
      <c r="X3152" s="256">
        <f t="shared" ca="1" si="879"/>
        <v>1</v>
      </c>
      <c r="Y3152" s="250"/>
      <c r="Z3152" s="250"/>
    </row>
    <row r="3153" spans="1:29" s="111" customFormat="1" ht="15" hidden="1" x14ac:dyDescent="0.2">
      <c r="A3153" s="288"/>
      <c r="B3153" s="322"/>
      <c r="C3153" s="382"/>
      <c r="D3153" s="324"/>
      <c r="E3153" s="325"/>
      <c r="F3153" s="326"/>
      <c r="G3153" s="324"/>
      <c r="H3153" s="325"/>
      <c r="I3153" s="326"/>
      <c r="J3153" s="317"/>
      <c r="K3153" s="328"/>
      <c r="L3153" s="328"/>
      <c r="M3153" s="328"/>
      <c r="N3153" s="328"/>
      <c r="O3153" s="334"/>
      <c r="P3153" s="328"/>
      <c r="Q3153" s="334"/>
      <c r="R3153" s="333"/>
      <c r="S3153" s="331"/>
      <c r="T3153" s="320"/>
      <c r="U3153" s="335"/>
      <c r="V3153" s="291">
        <f t="shared" ca="1" si="884"/>
        <v>0</v>
      </c>
      <c r="W3153" s="256">
        <f t="shared" ca="1" si="885"/>
        <v>0</v>
      </c>
      <c r="X3153" s="256">
        <f t="shared" ca="1" si="879"/>
        <v>1</v>
      </c>
      <c r="Y3153" s="250"/>
      <c r="Z3153" s="250"/>
    </row>
    <row r="3154" spans="1:29" s="111" customFormat="1" ht="15" hidden="1" x14ac:dyDescent="0.2">
      <c r="A3154" s="288"/>
      <c r="B3154" s="338"/>
      <c r="C3154" s="339"/>
      <c r="D3154" s="340"/>
      <c r="E3154" s="341"/>
      <c r="F3154" s="342"/>
      <c r="G3154" s="340"/>
      <c r="H3154" s="341"/>
      <c r="I3154" s="342"/>
      <c r="J3154" s="343"/>
      <c r="K3154" s="344"/>
      <c r="L3154" s="345"/>
      <c r="M3154" s="346"/>
      <c r="N3154" s="347"/>
      <c r="O3154" s="348"/>
      <c r="P3154" s="345"/>
      <c r="Q3154" s="349"/>
      <c r="R3154" s="350"/>
      <c r="S3154" s="351"/>
      <c r="T3154" s="352"/>
      <c r="U3154" s="353"/>
      <c r="V3154" s="291">
        <f t="shared" ca="1" si="884"/>
        <v>0</v>
      </c>
      <c r="W3154" s="256">
        <f t="shared" ca="1" si="885"/>
        <v>0</v>
      </c>
      <c r="X3154" s="256">
        <f t="shared" ca="1" si="879"/>
        <v>1</v>
      </c>
      <c r="Y3154" s="250"/>
      <c r="Z3154" s="250"/>
    </row>
    <row r="3155" spans="1:29" s="111" customFormat="1" ht="15.75" hidden="1" customHeight="1" x14ac:dyDescent="0.2">
      <c r="A3155" s="288"/>
      <c r="B3155" s="354"/>
      <c r="C3155" s="355"/>
      <c r="D3155" s="1354" t="s">
        <v>492</v>
      </c>
      <c r="E3155" s="1355"/>
      <c r="F3155" s="1355"/>
      <c r="G3155" s="1355"/>
      <c r="H3155" s="1355"/>
      <c r="I3155" s="1356"/>
      <c r="J3155" s="1357">
        <f>VLOOKUP(A3157,'11 - FINANCEIRO'!_xlnm.Print_Area,6,FALSE)</f>
        <v>10.5</v>
      </c>
      <c r="K3155" s="1358"/>
      <c r="L3155" s="356" t="str">
        <f>VLOOKUP(A3157,'11 - FINANCEIRO'!_xlnm.Print_Area,4,FALSE)</f>
        <v xml:space="preserve"> m³</v>
      </c>
      <c r="M3155" s="1359" t="s">
        <v>493</v>
      </c>
      <c r="N3155" s="1360"/>
      <c r="O3155" s="1360"/>
      <c r="P3155" s="1360"/>
      <c r="Q3155" s="1361"/>
      <c r="R3155" s="357">
        <f>TRUNC(SUM(R3151:R3154),3)</f>
        <v>10.5</v>
      </c>
      <c r="S3155" s="358" t="str">
        <f>L3155</f>
        <v xml:space="preserve"> m³</v>
      </c>
      <c r="T3155" s="359"/>
      <c r="U3155" s="360"/>
      <c r="V3155" s="291">
        <f t="shared" ca="1" si="884"/>
        <v>0</v>
      </c>
      <c r="W3155" s="256">
        <f t="shared" ca="1" si="885"/>
        <v>2</v>
      </c>
      <c r="X3155" s="256">
        <f t="shared" ca="1" si="879"/>
        <v>1</v>
      </c>
      <c r="Y3155" s="250"/>
      <c r="Z3155" s="250"/>
    </row>
    <row r="3156" spans="1:29" s="395" customFormat="1" ht="15.75" hidden="1" customHeight="1" x14ac:dyDescent="0.2">
      <c r="A3156" s="276"/>
      <c r="B3156" s="354"/>
      <c r="C3156" s="361"/>
      <c r="D3156" s="1362" t="s">
        <v>494</v>
      </c>
      <c r="E3156" s="1363"/>
      <c r="F3156" s="1363"/>
      <c r="G3156" s="1363"/>
      <c r="H3156" s="1363"/>
      <c r="I3156" s="1364"/>
      <c r="J3156" s="1365">
        <f>R3155/J3155</f>
        <v>1</v>
      </c>
      <c r="K3156" s="1366"/>
      <c r="L3156" s="1369"/>
      <c r="M3156" s="1371" t="s">
        <v>495</v>
      </c>
      <c r="N3156" s="1372"/>
      <c r="O3156" s="1372"/>
      <c r="P3156" s="1372"/>
      <c r="Q3156" s="1373"/>
      <c r="R3156" s="362">
        <f>VLOOKUP(A3157,'11 - FINANCEIRO'!_xlnm.Print_Area,8,FALSE)</f>
        <v>10.5</v>
      </c>
      <c r="S3156" s="363" t="str">
        <f>L3155</f>
        <v xml:space="preserve"> m³</v>
      </c>
      <c r="T3156" s="359"/>
      <c r="U3156" s="360"/>
      <c r="V3156" s="291">
        <f t="shared" ca="1" si="884"/>
        <v>0</v>
      </c>
      <c r="W3156" s="256">
        <f t="shared" ca="1" si="885"/>
        <v>2</v>
      </c>
      <c r="X3156" s="256">
        <f t="shared" ca="1" si="879"/>
        <v>1</v>
      </c>
    </row>
    <row r="3157" spans="1:29" s="293" customFormat="1" ht="15.75" hidden="1" customHeight="1" x14ac:dyDescent="0.2">
      <c r="A3157" s="288" t="s">
        <v>191</v>
      </c>
      <c r="B3157" s="364"/>
      <c r="C3157" s="365"/>
      <c r="D3157" s="1354"/>
      <c r="E3157" s="1355"/>
      <c r="F3157" s="1355"/>
      <c r="G3157" s="1355"/>
      <c r="H3157" s="1355"/>
      <c r="I3157" s="1356"/>
      <c r="J3157" s="1367"/>
      <c r="K3157" s="1368"/>
      <c r="L3157" s="1370"/>
      <c r="M3157" s="1371" t="s">
        <v>496</v>
      </c>
      <c r="N3157" s="1372"/>
      <c r="O3157" s="1372"/>
      <c r="P3157" s="1372"/>
      <c r="Q3157" s="1373"/>
      <c r="R3157" s="362">
        <f>R3155-R3156</f>
        <v>0</v>
      </c>
      <c r="S3157" s="363" t="str">
        <f>L3155</f>
        <v xml:space="preserve"> m³</v>
      </c>
      <c r="T3157" s="366"/>
      <c r="U3157" s="367"/>
      <c r="V3157" s="291">
        <f t="shared" ca="1" si="884"/>
        <v>0</v>
      </c>
      <c r="W3157" s="256">
        <f t="shared" ca="1" si="885"/>
        <v>2</v>
      </c>
      <c r="X3157" s="256">
        <f t="shared" ca="1" si="879"/>
        <v>1</v>
      </c>
      <c r="Y3157" s="256"/>
      <c r="Z3157" s="256"/>
      <c r="AA3157" s="292"/>
      <c r="AB3157" s="292"/>
      <c r="AC3157" s="292"/>
    </row>
    <row r="3158" spans="1:29" s="111" customFormat="1" ht="15.75" hidden="1" x14ac:dyDescent="0.2">
      <c r="A3158" s="288"/>
      <c r="B3158" s="368"/>
      <c r="C3158" s="365"/>
      <c r="D3158" s="369"/>
      <c r="E3158" s="370"/>
      <c r="F3158" s="369"/>
      <c r="G3158" s="369"/>
      <c r="H3158" s="369"/>
      <c r="I3158" s="369"/>
      <c r="J3158" s="371"/>
      <c r="K3158" s="372"/>
      <c r="L3158" s="373"/>
      <c r="M3158" s="374"/>
      <c r="N3158" s="374"/>
      <c r="O3158" s="374"/>
      <c r="P3158" s="374"/>
      <c r="Q3158" s="374"/>
      <c r="R3158" s="375"/>
      <c r="S3158" s="376"/>
      <c r="T3158" s="377"/>
      <c r="U3158" s="378"/>
      <c r="V3158" s="379">
        <f ca="1">SUM(V3149:V3157)</f>
        <v>0</v>
      </c>
      <c r="W3158" s="256">
        <f t="shared" ca="1" si="885"/>
        <v>1</v>
      </c>
      <c r="X3158" s="256">
        <f t="shared" ca="1" si="879"/>
        <v>0</v>
      </c>
      <c r="Y3158" s="250"/>
      <c r="Z3158" s="250"/>
    </row>
    <row r="3159" spans="1:29" s="293" customFormat="1" ht="15.75" hidden="1" x14ac:dyDescent="0.2">
      <c r="A3159" s="288"/>
      <c r="B3159" s="603" t="str">
        <f>LEFT(A3167,8)</f>
        <v>4.4</v>
      </c>
      <c r="C3159" s="604" t="str">
        <f>VLOOKUP(LEFT(A3167,8),'11 - FINANCEIRO'!_xlnm.Print_Area,2,FALSE)</f>
        <v>Passarela Otorrino Avancine</v>
      </c>
      <c r="D3159" s="604"/>
      <c r="E3159" s="605"/>
      <c r="F3159" s="604"/>
      <c r="G3159" s="1395"/>
      <c r="H3159" s="1395"/>
      <c r="I3159" s="1395"/>
      <c r="J3159" s="1395"/>
      <c r="K3159" s="1395"/>
      <c r="L3159" s="1395"/>
      <c r="M3159" s="606"/>
      <c r="N3159" s="607"/>
      <c r="O3159" s="606"/>
      <c r="P3159" s="606"/>
      <c r="Q3159" s="606"/>
      <c r="R3159" s="607"/>
      <c r="S3159" s="606"/>
      <c r="T3159" s="606"/>
      <c r="U3159" s="608"/>
      <c r="V3159" s="549">
        <f ca="1">SUM(V3160:V3289)</f>
        <v>0</v>
      </c>
      <c r="W3159" s="256">
        <f t="shared" ca="1" si="885"/>
        <v>1</v>
      </c>
      <c r="X3159" s="256">
        <f t="shared" ca="1" si="879"/>
        <v>1</v>
      </c>
      <c r="Y3159" s="256"/>
      <c r="Z3159" s="256"/>
      <c r="AA3159" s="292"/>
      <c r="AB3159" s="292"/>
      <c r="AC3159" s="292"/>
    </row>
    <row r="3160" spans="1:29" s="293" customFormat="1" ht="15.75" hidden="1" customHeight="1" x14ac:dyDescent="0.25">
      <c r="A3160" s="288"/>
      <c r="B3160" s="1374" t="str">
        <f>VLOOKUP(A3168,'11 - FINANCEIRO'!_xlnm.Print_Area,1,FALSE)</f>
        <v>4.4.1</v>
      </c>
      <c r="C3160" s="1376" t="str">
        <f>VLOOKUP(A3168,'11 - FINANCEIRO'!_xlnm.Print_Area,3,FALSE)</f>
        <v>Preparo E Regularização De Terreno Em Desnível</v>
      </c>
      <c r="D3160" s="1378" t="s">
        <v>477</v>
      </c>
      <c r="E3160" s="1379"/>
      <c r="F3160" s="1379"/>
      <c r="G3160" s="1379"/>
      <c r="H3160" s="1379"/>
      <c r="I3160" s="1380"/>
      <c r="J3160" s="1338" t="s">
        <v>478</v>
      </c>
      <c r="K3160" s="1338" t="s">
        <v>479</v>
      </c>
      <c r="L3160" s="1338" t="s">
        <v>480</v>
      </c>
      <c r="M3160" s="1338" t="s">
        <v>481</v>
      </c>
      <c r="N3160" s="1338" t="s">
        <v>482</v>
      </c>
      <c r="O3160" s="1338" t="s">
        <v>483</v>
      </c>
      <c r="P3160" s="290" t="s">
        <v>484</v>
      </c>
      <c r="Q3160" s="1338" t="s">
        <v>485</v>
      </c>
      <c r="R3160" s="1336" t="s">
        <v>296</v>
      </c>
      <c r="S3160" s="1338" t="s">
        <v>486</v>
      </c>
      <c r="T3160" s="1338" t="s">
        <v>487</v>
      </c>
      <c r="U3160" s="1340" t="s">
        <v>488</v>
      </c>
      <c r="V3160" s="291">
        <f t="shared" ref="V3160:V3168" ca="1" si="886">IF(OFFSET(V3160,1,1)=1,OFFSET(V3160,0,-4),OFFSET(V3160,1,0))</f>
        <v>0</v>
      </c>
      <c r="W3160" s="256">
        <f t="shared" ca="1" si="885"/>
        <v>2</v>
      </c>
      <c r="X3160" s="256">
        <f t="shared" ca="1" si="879"/>
        <v>1</v>
      </c>
      <c r="Y3160" s="256"/>
      <c r="Z3160" s="256"/>
      <c r="AA3160" s="292"/>
      <c r="AB3160" s="292"/>
      <c r="AC3160" s="292"/>
    </row>
    <row r="3161" spans="1:29" s="337" customFormat="1" ht="15.75" hidden="1" x14ac:dyDescent="0.2">
      <c r="A3161" s="288"/>
      <c r="B3161" s="1375"/>
      <c r="C3161" s="1377" t="e">
        <f>VLOOKUP(LEFT(#REF!,5),'11 - FINANCEIRO'!_xlnm.Print_Area,2,FALSE)</f>
        <v>#REF!</v>
      </c>
      <c r="D3161" s="1342" t="s">
        <v>489</v>
      </c>
      <c r="E3161" s="1343"/>
      <c r="F3161" s="1344"/>
      <c r="G3161" s="1345" t="s">
        <v>490</v>
      </c>
      <c r="H3161" s="1346"/>
      <c r="I3161" s="1347"/>
      <c r="J3161" s="1339"/>
      <c r="K3161" s="1339"/>
      <c r="L3161" s="1339"/>
      <c r="M3161" s="1339"/>
      <c r="N3161" s="1339"/>
      <c r="O3161" s="1339"/>
      <c r="P3161" s="295" t="s">
        <v>491</v>
      </c>
      <c r="Q3161" s="1339"/>
      <c r="R3161" s="1337"/>
      <c r="S3161" s="1339"/>
      <c r="T3161" s="1339"/>
      <c r="U3161" s="1341"/>
      <c r="V3161" s="291">
        <f t="shared" ca="1" si="886"/>
        <v>0</v>
      </c>
      <c r="W3161" s="256">
        <f t="shared" ca="1" si="885"/>
        <v>2</v>
      </c>
      <c r="X3161" s="256">
        <f t="shared" ca="1" si="879"/>
        <v>1</v>
      </c>
      <c r="Y3161" s="336"/>
      <c r="Z3161" s="336"/>
    </row>
    <row r="3162" spans="1:29" s="337" customFormat="1" ht="15.75" hidden="1" x14ac:dyDescent="0.2">
      <c r="A3162" s="288"/>
      <c r="B3162" s="296"/>
      <c r="C3162" s="297" t="s">
        <v>1204</v>
      </c>
      <c r="D3162" s="298"/>
      <c r="E3162" s="299"/>
      <c r="F3162" s="300"/>
      <c r="G3162" s="301"/>
      <c r="H3162" s="302"/>
      <c r="I3162" s="303"/>
      <c r="J3162" s="304"/>
      <c r="K3162" s="304"/>
      <c r="L3162" s="304"/>
      <c r="M3162" s="304"/>
      <c r="N3162" s="304"/>
      <c r="O3162" s="304"/>
      <c r="P3162" s="306"/>
      <c r="Q3162" s="304"/>
      <c r="R3162" s="307">
        <v>340</v>
      </c>
      <c r="S3162" s="304"/>
      <c r="T3162" s="309">
        <v>37</v>
      </c>
      <c r="U3162" s="310"/>
      <c r="V3162" s="291">
        <f t="shared" ca="1" si="886"/>
        <v>0</v>
      </c>
      <c r="W3162" s="256">
        <f t="shared" ca="1" si="885"/>
        <v>2</v>
      </c>
      <c r="X3162" s="256">
        <f t="shared" ca="1" si="879"/>
        <v>1</v>
      </c>
      <c r="Y3162" s="336"/>
      <c r="Z3162" s="336"/>
    </row>
    <row r="3163" spans="1:29" s="111" customFormat="1" ht="15.75" hidden="1" x14ac:dyDescent="0.2">
      <c r="A3163" s="288"/>
      <c r="B3163" s="311"/>
      <c r="C3163" s="312"/>
      <c r="D3163" s="313"/>
      <c r="E3163" s="314"/>
      <c r="F3163" s="315"/>
      <c r="G3163" s="380"/>
      <c r="H3163" s="316"/>
      <c r="I3163" s="381"/>
      <c r="J3163" s="317"/>
      <c r="K3163" s="313"/>
      <c r="L3163" s="317"/>
      <c r="M3163" s="315"/>
      <c r="N3163" s="314"/>
      <c r="O3163" s="313"/>
      <c r="P3163" s="318"/>
      <c r="Q3163" s="315"/>
      <c r="R3163" s="319"/>
      <c r="S3163" s="317"/>
      <c r="T3163" s="320"/>
      <c r="U3163" s="321"/>
      <c r="V3163" s="291">
        <f t="shared" ca="1" si="886"/>
        <v>0</v>
      </c>
      <c r="W3163" s="256">
        <f t="shared" ca="1" si="885"/>
        <v>0</v>
      </c>
      <c r="X3163" s="256">
        <f t="shared" ca="1" si="879"/>
        <v>1</v>
      </c>
      <c r="Y3163" s="250"/>
      <c r="Z3163" s="250"/>
    </row>
    <row r="3164" spans="1:29" s="111" customFormat="1" ht="15" hidden="1" x14ac:dyDescent="0.2">
      <c r="A3164" s="288"/>
      <c r="B3164" s="322"/>
      <c r="C3164" s="382"/>
      <c r="D3164" s="324"/>
      <c r="E3164" s="325"/>
      <c r="F3164" s="326"/>
      <c r="G3164" s="324"/>
      <c r="H3164" s="325"/>
      <c r="I3164" s="326"/>
      <c r="J3164" s="317"/>
      <c r="K3164" s="328"/>
      <c r="L3164" s="328"/>
      <c r="M3164" s="328"/>
      <c r="N3164" s="328"/>
      <c r="O3164" s="334"/>
      <c r="P3164" s="328"/>
      <c r="Q3164" s="334"/>
      <c r="R3164" s="333"/>
      <c r="S3164" s="331"/>
      <c r="T3164" s="320"/>
      <c r="U3164" s="335"/>
      <c r="V3164" s="291">
        <f t="shared" ca="1" si="886"/>
        <v>0</v>
      </c>
      <c r="W3164" s="256">
        <f t="shared" ca="1" si="885"/>
        <v>0</v>
      </c>
      <c r="X3164" s="256">
        <f t="shared" ca="1" si="879"/>
        <v>1</v>
      </c>
      <c r="Y3164" s="250"/>
      <c r="Z3164" s="250"/>
    </row>
    <row r="3165" spans="1:29" s="111" customFormat="1" ht="15" hidden="1" x14ac:dyDescent="0.2">
      <c r="A3165" s="288"/>
      <c r="B3165" s="338"/>
      <c r="C3165" s="339"/>
      <c r="D3165" s="340"/>
      <c r="E3165" s="341"/>
      <c r="F3165" s="342"/>
      <c r="G3165" s="340"/>
      <c r="H3165" s="341"/>
      <c r="I3165" s="342"/>
      <c r="J3165" s="343"/>
      <c r="K3165" s="344"/>
      <c r="L3165" s="345"/>
      <c r="M3165" s="346"/>
      <c r="N3165" s="347"/>
      <c r="O3165" s="348"/>
      <c r="P3165" s="345"/>
      <c r="Q3165" s="349"/>
      <c r="R3165" s="350"/>
      <c r="S3165" s="351"/>
      <c r="T3165" s="352"/>
      <c r="U3165" s="353"/>
      <c r="V3165" s="291">
        <f t="shared" ca="1" si="886"/>
        <v>0</v>
      </c>
      <c r="W3165" s="256">
        <f t="shared" ca="1" si="885"/>
        <v>0</v>
      </c>
      <c r="X3165" s="256">
        <f t="shared" ca="1" si="879"/>
        <v>1</v>
      </c>
      <c r="Y3165" s="250"/>
      <c r="Z3165" s="250"/>
    </row>
    <row r="3166" spans="1:29" s="111" customFormat="1" ht="15.75" hidden="1" customHeight="1" x14ac:dyDescent="0.2">
      <c r="A3166" s="288"/>
      <c r="B3166" s="354"/>
      <c r="C3166" s="355"/>
      <c r="D3166" s="1354" t="s">
        <v>492</v>
      </c>
      <c r="E3166" s="1355"/>
      <c r="F3166" s="1355"/>
      <c r="G3166" s="1355"/>
      <c r="H3166" s="1355"/>
      <c r="I3166" s="1356"/>
      <c r="J3166" s="1357">
        <f>VLOOKUP(A3168,'11 - FINANCEIRO'!_xlnm.Print_Area,6,FALSE)</f>
        <v>340</v>
      </c>
      <c r="K3166" s="1358"/>
      <c r="L3166" s="356" t="str">
        <f>VLOOKUP(A3168,'11 - FINANCEIRO'!_xlnm.Print_Area,4,FALSE)</f>
        <v>m²</v>
      </c>
      <c r="M3166" s="1359" t="s">
        <v>493</v>
      </c>
      <c r="N3166" s="1360"/>
      <c r="O3166" s="1360"/>
      <c r="P3166" s="1360"/>
      <c r="Q3166" s="1361"/>
      <c r="R3166" s="357">
        <f>TRUNC(SUM(R3162:R3165),3)</f>
        <v>340</v>
      </c>
      <c r="S3166" s="358" t="str">
        <f>L3166</f>
        <v>m²</v>
      </c>
      <c r="T3166" s="359"/>
      <c r="U3166" s="360"/>
      <c r="V3166" s="291">
        <f t="shared" ca="1" si="886"/>
        <v>0</v>
      </c>
      <c r="W3166" s="256">
        <f t="shared" ca="1" si="885"/>
        <v>2</v>
      </c>
      <c r="X3166" s="256">
        <f t="shared" ca="1" si="879"/>
        <v>1</v>
      </c>
      <c r="Y3166" s="250"/>
      <c r="Z3166" s="250"/>
    </row>
    <row r="3167" spans="1:29" s="293" customFormat="1" ht="15.75" hidden="1" customHeight="1" x14ac:dyDescent="0.2">
      <c r="A3167" s="288" t="s">
        <v>192</v>
      </c>
      <c r="B3167" s="354"/>
      <c r="C3167" s="361"/>
      <c r="D3167" s="1362" t="s">
        <v>494</v>
      </c>
      <c r="E3167" s="1363"/>
      <c r="F3167" s="1363"/>
      <c r="G3167" s="1363"/>
      <c r="H3167" s="1363"/>
      <c r="I3167" s="1364"/>
      <c r="J3167" s="1365">
        <f>R3166/J3166</f>
        <v>1</v>
      </c>
      <c r="K3167" s="1366"/>
      <c r="L3167" s="1369"/>
      <c r="M3167" s="1371" t="s">
        <v>495</v>
      </c>
      <c r="N3167" s="1372"/>
      <c r="O3167" s="1372"/>
      <c r="P3167" s="1372"/>
      <c r="Q3167" s="1373"/>
      <c r="R3167" s="362">
        <f>VLOOKUP(A3168,'11 - FINANCEIRO'!_xlnm.Print_Area,8,FALSE)</f>
        <v>340</v>
      </c>
      <c r="S3167" s="363" t="str">
        <f>L3166</f>
        <v>m²</v>
      </c>
      <c r="T3167" s="359"/>
      <c r="U3167" s="360"/>
      <c r="V3167" s="291">
        <f t="shared" ca="1" si="886"/>
        <v>0</v>
      </c>
      <c r="W3167" s="256">
        <f t="shared" ca="1" si="885"/>
        <v>2</v>
      </c>
      <c r="X3167" s="256">
        <f t="shared" ca="1" si="879"/>
        <v>1</v>
      </c>
      <c r="Y3167" s="256"/>
      <c r="Z3167" s="256"/>
      <c r="AA3167" s="292"/>
      <c r="AB3167" s="292"/>
      <c r="AC3167" s="292"/>
    </row>
    <row r="3168" spans="1:29" s="293" customFormat="1" ht="15.75" hidden="1" customHeight="1" x14ac:dyDescent="0.2">
      <c r="A3168" s="288" t="s">
        <v>193</v>
      </c>
      <c r="B3168" s="364"/>
      <c r="C3168" s="365"/>
      <c r="D3168" s="1354"/>
      <c r="E3168" s="1355"/>
      <c r="F3168" s="1355"/>
      <c r="G3168" s="1355"/>
      <c r="H3168" s="1355"/>
      <c r="I3168" s="1356"/>
      <c r="J3168" s="1367"/>
      <c r="K3168" s="1368"/>
      <c r="L3168" s="1370"/>
      <c r="M3168" s="1371" t="s">
        <v>496</v>
      </c>
      <c r="N3168" s="1372"/>
      <c r="O3168" s="1372"/>
      <c r="P3168" s="1372"/>
      <c r="Q3168" s="1373"/>
      <c r="R3168" s="362">
        <f>R3166-R3167</f>
        <v>0</v>
      </c>
      <c r="S3168" s="363" t="str">
        <f>L3166</f>
        <v>m²</v>
      </c>
      <c r="T3168" s="366"/>
      <c r="U3168" s="367"/>
      <c r="V3168" s="291">
        <f t="shared" ca="1" si="886"/>
        <v>0</v>
      </c>
      <c r="W3168" s="256">
        <f t="shared" ca="1" si="885"/>
        <v>2</v>
      </c>
      <c r="X3168" s="256">
        <f t="shared" ca="1" si="879"/>
        <v>1</v>
      </c>
      <c r="Y3168" s="256"/>
      <c r="Z3168" s="256"/>
      <c r="AA3168" s="292"/>
      <c r="AB3168" s="292"/>
      <c r="AC3168" s="292"/>
    </row>
    <row r="3169" spans="1:29" s="111" customFormat="1" ht="15.75" hidden="1" x14ac:dyDescent="0.2">
      <c r="A3169" s="288"/>
      <c r="B3169" s="368"/>
      <c r="C3169" s="365"/>
      <c r="D3169" s="369"/>
      <c r="E3169" s="370"/>
      <c r="F3169" s="369"/>
      <c r="G3169" s="369"/>
      <c r="H3169" s="369"/>
      <c r="I3169" s="369"/>
      <c r="J3169" s="371"/>
      <c r="K3169" s="372"/>
      <c r="L3169" s="373"/>
      <c r="M3169" s="374"/>
      <c r="N3169" s="374"/>
      <c r="O3169" s="374"/>
      <c r="P3169" s="374"/>
      <c r="Q3169" s="374"/>
      <c r="R3169" s="375"/>
      <c r="S3169" s="376"/>
      <c r="T3169" s="377"/>
      <c r="U3169" s="378"/>
      <c r="V3169" s="379">
        <f ca="1">SUM(V3160:V3168)</f>
        <v>0</v>
      </c>
      <c r="W3169" s="256">
        <f t="shared" ca="1" si="885"/>
        <v>1</v>
      </c>
      <c r="X3169" s="256">
        <f t="shared" ca="1" si="879"/>
        <v>0</v>
      </c>
      <c r="Y3169" s="250"/>
      <c r="Z3169" s="250"/>
    </row>
    <row r="3170" spans="1:29" s="293" customFormat="1" ht="15.75" hidden="1" customHeight="1" x14ac:dyDescent="0.25">
      <c r="A3170" s="288"/>
      <c r="B3170" s="1374" t="str">
        <f>VLOOKUP(A3178,'11 - FINANCEIRO'!_xlnm.Print_Area,1,FALSE)</f>
        <v>4.4.2</v>
      </c>
      <c r="C3170" s="1376" t="str">
        <f>VLOOKUP(A3178,'11 - FINANCEIRO'!_xlnm.Print_Area,3,FALSE)</f>
        <v>Perfuratriz Com Torre Metálica Para Execução De Estaca Hélice Contínua, Profundidade Máxima De 32 M, Diâmetro Máximo De 1000 Mm, Potência Instalada De 350 Hp, Mesa Rotativa Com Torque Máximo De 263 Knm - Chi Diurno. Af_01/2016</v>
      </c>
      <c r="D3170" s="1378" t="s">
        <v>477</v>
      </c>
      <c r="E3170" s="1379"/>
      <c r="F3170" s="1379"/>
      <c r="G3170" s="1379"/>
      <c r="H3170" s="1379"/>
      <c r="I3170" s="1380"/>
      <c r="J3170" s="1338" t="s">
        <v>478</v>
      </c>
      <c r="K3170" s="1338" t="s">
        <v>479</v>
      </c>
      <c r="L3170" s="1338" t="s">
        <v>480</v>
      </c>
      <c r="M3170" s="1338" t="s">
        <v>481</v>
      </c>
      <c r="N3170" s="1338" t="s">
        <v>482</v>
      </c>
      <c r="O3170" s="1338" t="s">
        <v>483</v>
      </c>
      <c r="P3170" s="290" t="s">
        <v>484</v>
      </c>
      <c r="Q3170" s="1338" t="s">
        <v>485</v>
      </c>
      <c r="R3170" s="1336" t="s">
        <v>296</v>
      </c>
      <c r="S3170" s="1338" t="s">
        <v>486</v>
      </c>
      <c r="T3170" s="1338" t="s">
        <v>487</v>
      </c>
      <c r="U3170" s="1340" t="s">
        <v>488</v>
      </c>
      <c r="V3170" s="291">
        <f t="shared" ref="V3170:V3178" ca="1" si="887">IF(OFFSET(V3170,1,1)=1,OFFSET(V3170,0,-4),OFFSET(V3170,1,0))</f>
        <v>0</v>
      </c>
      <c r="W3170" s="256">
        <f t="shared" ca="1" si="885"/>
        <v>2</v>
      </c>
      <c r="X3170" s="256">
        <f t="shared" ca="1" si="879"/>
        <v>1</v>
      </c>
      <c r="Y3170" s="256"/>
      <c r="Z3170" s="256"/>
      <c r="AA3170" s="292"/>
      <c r="AB3170" s="292"/>
      <c r="AC3170" s="292"/>
    </row>
    <row r="3171" spans="1:29" s="337" customFormat="1" ht="15.75" hidden="1" x14ac:dyDescent="0.2">
      <c r="A3171" s="288"/>
      <c r="B3171" s="1375"/>
      <c r="C3171" s="1377" t="e">
        <f>VLOOKUP(LEFT(#REF!,5),'11 - FINANCEIRO'!_xlnm.Print_Area,2,FALSE)</f>
        <v>#REF!</v>
      </c>
      <c r="D3171" s="1342" t="s">
        <v>489</v>
      </c>
      <c r="E3171" s="1343"/>
      <c r="F3171" s="1344"/>
      <c r="G3171" s="1345" t="s">
        <v>490</v>
      </c>
      <c r="H3171" s="1346"/>
      <c r="I3171" s="1347"/>
      <c r="J3171" s="1339"/>
      <c r="K3171" s="1339"/>
      <c r="L3171" s="1339"/>
      <c r="M3171" s="1339"/>
      <c r="N3171" s="1339"/>
      <c r="O3171" s="1339"/>
      <c r="P3171" s="295" t="s">
        <v>491</v>
      </c>
      <c r="Q3171" s="1339"/>
      <c r="R3171" s="1337"/>
      <c r="S3171" s="1339"/>
      <c r="T3171" s="1339"/>
      <c r="U3171" s="1341"/>
      <c r="V3171" s="291">
        <f t="shared" ca="1" si="887"/>
        <v>0</v>
      </c>
      <c r="W3171" s="256">
        <f t="shared" ca="1" si="885"/>
        <v>2</v>
      </c>
      <c r="X3171" s="256">
        <f t="shared" ca="1" si="879"/>
        <v>1</v>
      </c>
      <c r="Y3171" s="336"/>
      <c r="Z3171" s="336"/>
    </row>
    <row r="3172" spans="1:29" s="337" customFormat="1" ht="15.75" hidden="1" x14ac:dyDescent="0.2">
      <c r="A3172" s="288"/>
      <c r="B3172" s="296"/>
      <c r="C3172" s="297"/>
      <c r="D3172" s="298"/>
      <c r="E3172" s="299"/>
      <c r="F3172" s="300"/>
      <c r="G3172" s="301"/>
      <c r="H3172" s="302"/>
      <c r="I3172" s="303"/>
      <c r="J3172" s="304"/>
      <c r="K3172" s="304"/>
      <c r="L3172" s="304"/>
      <c r="M3172" s="304"/>
      <c r="N3172" s="304"/>
      <c r="O3172" s="304"/>
      <c r="P3172" s="306"/>
      <c r="Q3172" s="304"/>
      <c r="R3172" s="307"/>
      <c r="S3172" s="304"/>
      <c r="T3172" s="309"/>
      <c r="U3172" s="310"/>
      <c r="V3172" s="291">
        <f t="shared" ca="1" si="887"/>
        <v>0</v>
      </c>
      <c r="W3172" s="256">
        <f t="shared" ca="1" si="885"/>
        <v>0</v>
      </c>
      <c r="X3172" s="256">
        <f t="shared" ca="1" si="879"/>
        <v>1</v>
      </c>
      <c r="Y3172" s="336"/>
      <c r="Z3172" s="336"/>
    </row>
    <row r="3173" spans="1:29" s="111" customFormat="1" ht="15.75" hidden="1" x14ac:dyDescent="0.2">
      <c r="A3173" s="288"/>
      <c r="B3173" s="311"/>
      <c r="C3173" s="312"/>
      <c r="D3173" s="313"/>
      <c r="E3173" s="314"/>
      <c r="F3173" s="315"/>
      <c r="G3173" s="380"/>
      <c r="H3173" s="316"/>
      <c r="I3173" s="381"/>
      <c r="J3173" s="317"/>
      <c r="K3173" s="313"/>
      <c r="L3173" s="317"/>
      <c r="M3173" s="315"/>
      <c r="N3173" s="314"/>
      <c r="O3173" s="313"/>
      <c r="P3173" s="318"/>
      <c r="Q3173" s="315"/>
      <c r="R3173" s="319"/>
      <c r="S3173" s="317"/>
      <c r="T3173" s="320"/>
      <c r="U3173" s="321"/>
      <c r="V3173" s="291">
        <f t="shared" ca="1" si="887"/>
        <v>0</v>
      </c>
      <c r="W3173" s="256">
        <f t="shared" ca="1" si="885"/>
        <v>0</v>
      </c>
      <c r="X3173" s="256">
        <f t="shared" ca="1" si="879"/>
        <v>1</v>
      </c>
      <c r="Y3173" s="250"/>
      <c r="Z3173" s="250"/>
    </row>
    <row r="3174" spans="1:29" s="111" customFormat="1" ht="15" hidden="1" x14ac:dyDescent="0.2">
      <c r="A3174" s="288"/>
      <c r="B3174" s="322"/>
      <c r="C3174" s="382"/>
      <c r="D3174" s="324"/>
      <c r="E3174" s="325"/>
      <c r="F3174" s="326"/>
      <c r="G3174" s="324"/>
      <c r="H3174" s="325"/>
      <c r="I3174" s="326"/>
      <c r="J3174" s="317"/>
      <c r="K3174" s="328"/>
      <c r="L3174" s="328"/>
      <c r="M3174" s="328"/>
      <c r="N3174" s="328"/>
      <c r="O3174" s="334"/>
      <c r="P3174" s="328"/>
      <c r="Q3174" s="334"/>
      <c r="R3174" s="333"/>
      <c r="S3174" s="331"/>
      <c r="T3174" s="320"/>
      <c r="U3174" s="335"/>
      <c r="V3174" s="291">
        <f t="shared" ca="1" si="887"/>
        <v>0</v>
      </c>
      <c r="W3174" s="256">
        <f t="shared" ca="1" si="885"/>
        <v>0</v>
      </c>
      <c r="X3174" s="256">
        <f t="shared" ca="1" si="879"/>
        <v>1</v>
      </c>
      <c r="Y3174" s="250"/>
      <c r="Z3174" s="250"/>
    </row>
    <row r="3175" spans="1:29" s="111" customFormat="1" ht="15" hidden="1" x14ac:dyDescent="0.2">
      <c r="A3175" s="288"/>
      <c r="B3175" s="338"/>
      <c r="C3175" s="339"/>
      <c r="D3175" s="340"/>
      <c r="E3175" s="341"/>
      <c r="F3175" s="342"/>
      <c r="G3175" s="340"/>
      <c r="H3175" s="341"/>
      <c r="I3175" s="342"/>
      <c r="J3175" s="343"/>
      <c r="K3175" s="344"/>
      <c r="L3175" s="345"/>
      <c r="M3175" s="346"/>
      <c r="N3175" s="347"/>
      <c r="O3175" s="348"/>
      <c r="P3175" s="345"/>
      <c r="Q3175" s="349"/>
      <c r="R3175" s="350"/>
      <c r="S3175" s="351"/>
      <c r="T3175" s="352"/>
      <c r="U3175" s="353"/>
      <c r="V3175" s="291">
        <f t="shared" ca="1" si="887"/>
        <v>0</v>
      </c>
      <c r="W3175" s="256">
        <f t="shared" ca="1" si="885"/>
        <v>0</v>
      </c>
      <c r="X3175" s="256">
        <f t="shared" ref="X3175:X3238" ca="1" si="888">IF(COUNTA(OFFSET(A3174,1,0))-COUNTA(A3174)=-1,0,1)</f>
        <v>1</v>
      </c>
      <c r="Y3175" s="250"/>
      <c r="Z3175" s="250"/>
    </row>
    <row r="3176" spans="1:29" s="111" customFormat="1" ht="15.75" hidden="1" customHeight="1" x14ac:dyDescent="0.2">
      <c r="A3176" s="288"/>
      <c r="B3176" s="354"/>
      <c r="C3176" s="355"/>
      <c r="D3176" s="1354" t="s">
        <v>492</v>
      </c>
      <c r="E3176" s="1355"/>
      <c r="F3176" s="1355"/>
      <c r="G3176" s="1355"/>
      <c r="H3176" s="1355"/>
      <c r="I3176" s="1356"/>
      <c r="J3176" s="1357">
        <f>VLOOKUP(A3178,'11 - FINANCEIRO'!_xlnm.Print_Area,6,FALSE)</f>
        <v>24</v>
      </c>
      <c r="K3176" s="1358"/>
      <c r="L3176" s="356" t="str">
        <f>VLOOKUP(A3178,'11 - FINANCEIRO'!_xlnm.Print_Area,4,FALSE)</f>
        <v>chi</v>
      </c>
      <c r="M3176" s="1359" t="s">
        <v>493</v>
      </c>
      <c r="N3176" s="1360"/>
      <c r="O3176" s="1360"/>
      <c r="P3176" s="1360"/>
      <c r="Q3176" s="1361"/>
      <c r="R3176" s="357">
        <f>TRUNC(SUM(R3172:R3175),3)</f>
        <v>0</v>
      </c>
      <c r="S3176" s="358" t="str">
        <f>L3176</f>
        <v>chi</v>
      </c>
      <c r="T3176" s="359"/>
      <c r="U3176" s="360"/>
      <c r="V3176" s="291">
        <f t="shared" ca="1" si="887"/>
        <v>0</v>
      </c>
      <c r="W3176" s="256">
        <f t="shared" ca="1" si="885"/>
        <v>2</v>
      </c>
      <c r="X3176" s="256">
        <f t="shared" ca="1" si="888"/>
        <v>1</v>
      </c>
      <c r="Y3176" s="250"/>
      <c r="Z3176" s="250"/>
    </row>
    <row r="3177" spans="1:29" s="293" customFormat="1" ht="15.75" hidden="1" customHeight="1" x14ac:dyDescent="0.2">
      <c r="A3177" s="288"/>
      <c r="B3177" s="354"/>
      <c r="C3177" s="361"/>
      <c r="D3177" s="1362" t="s">
        <v>494</v>
      </c>
      <c r="E3177" s="1363"/>
      <c r="F3177" s="1363"/>
      <c r="G3177" s="1363"/>
      <c r="H3177" s="1363"/>
      <c r="I3177" s="1364"/>
      <c r="J3177" s="1365">
        <f>R3176/J3176</f>
        <v>0</v>
      </c>
      <c r="K3177" s="1366"/>
      <c r="L3177" s="1369"/>
      <c r="M3177" s="1371" t="s">
        <v>495</v>
      </c>
      <c r="N3177" s="1372"/>
      <c r="O3177" s="1372"/>
      <c r="P3177" s="1372"/>
      <c r="Q3177" s="1373"/>
      <c r="R3177" s="362">
        <f>VLOOKUP(A3178,'11 - FINANCEIRO'!_xlnm.Print_Area,8,FALSE)</f>
        <v>0</v>
      </c>
      <c r="S3177" s="363" t="str">
        <f>L3176</f>
        <v>chi</v>
      </c>
      <c r="T3177" s="359"/>
      <c r="U3177" s="360"/>
      <c r="V3177" s="291">
        <f t="shared" ca="1" si="887"/>
        <v>0</v>
      </c>
      <c r="W3177" s="256">
        <f t="shared" ca="1" si="885"/>
        <v>2</v>
      </c>
      <c r="X3177" s="256">
        <f t="shared" ca="1" si="888"/>
        <v>1</v>
      </c>
      <c r="Y3177" s="256"/>
      <c r="Z3177" s="256"/>
      <c r="AA3177" s="292"/>
      <c r="AB3177" s="292"/>
      <c r="AC3177" s="292"/>
    </row>
    <row r="3178" spans="1:29" s="293" customFormat="1" ht="15.75" hidden="1" customHeight="1" x14ac:dyDescent="0.2">
      <c r="A3178" s="288" t="s">
        <v>194</v>
      </c>
      <c r="B3178" s="364"/>
      <c r="C3178" s="365"/>
      <c r="D3178" s="1354"/>
      <c r="E3178" s="1355"/>
      <c r="F3178" s="1355"/>
      <c r="G3178" s="1355"/>
      <c r="H3178" s="1355"/>
      <c r="I3178" s="1356"/>
      <c r="J3178" s="1367"/>
      <c r="K3178" s="1368"/>
      <c r="L3178" s="1370"/>
      <c r="M3178" s="1371" t="s">
        <v>496</v>
      </c>
      <c r="N3178" s="1372"/>
      <c r="O3178" s="1372"/>
      <c r="P3178" s="1372"/>
      <c r="Q3178" s="1373"/>
      <c r="R3178" s="362">
        <f>R3176-R3177</f>
        <v>0</v>
      </c>
      <c r="S3178" s="363" t="str">
        <f>L3176</f>
        <v>chi</v>
      </c>
      <c r="T3178" s="366"/>
      <c r="U3178" s="367"/>
      <c r="V3178" s="291">
        <f t="shared" ca="1" si="887"/>
        <v>0</v>
      </c>
      <c r="W3178" s="256">
        <f t="shared" ca="1" si="885"/>
        <v>2</v>
      </c>
      <c r="X3178" s="256">
        <f t="shared" ca="1" si="888"/>
        <v>1</v>
      </c>
      <c r="Y3178" s="256"/>
      <c r="Z3178" s="256"/>
      <c r="AA3178" s="292"/>
      <c r="AB3178" s="292"/>
      <c r="AC3178" s="292"/>
    </row>
    <row r="3179" spans="1:29" s="111" customFormat="1" ht="15.75" hidden="1" x14ac:dyDescent="0.2">
      <c r="A3179" s="288"/>
      <c r="B3179" s="368"/>
      <c r="C3179" s="365"/>
      <c r="D3179" s="369"/>
      <c r="E3179" s="370"/>
      <c r="F3179" s="369"/>
      <c r="G3179" s="369"/>
      <c r="H3179" s="369"/>
      <c r="I3179" s="369"/>
      <c r="J3179" s="371"/>
      <c r="K3179" s="372"/>
      <c r="L3179" s="373"/>
      <c r="M3179" s="374"/>
      <c r="N3179" s="374"/>
      <c r="O3179" s="374"/>
      <c r="P3179" s="374"/>
      <c r="Q3179" s="374"/>
      <c r="R3179" s="375"/>
      <c r="S3179" s="376"/>
      <c r="T3179" s="377"/>
      <c r="U3179" s="378"/>
      <c r="V3179" s="379">
        <f ca="1">SUM(V3170:V3178)</f>
        <v>0</v>
      </c>
      <c r="W3179" s="256">
        <f t="shared" ca="1" si="885"/>
        <v>1</v>
      </c>
      <c r="X3179" s="256">
        <f t="shared" ca="1" si="888"/>
        <v>0</v>
      </c>
      <c r="Y3179" s="250"/>
      <c r="Z3179" s="250"/>
    </row>
    <row r="3180" spans="1:29" s="293" customFormat="1" ht="15.75" hidden="1" customHeight="1" x14ac:dyDescent="0.25">
      <c r="A3180" s="288"/>
      <c r="B3180" s="1374" t="str">
        <f>VLOOKUP(A3188,'11 - FINANCEIRO'!_xlnm.Print_Area,1,FALSE)</f>
        <v>4.4.3</v>
      </c>
      <c r="C3180" s="1376" t="str">
        <f>VLOOKUP(A3188,'11 - FINANCEIRO'!_xlnm.Print_Area,3,FALSE)</f>
        <v>Estaca Hélice Contínua, Diâmetro De 30 Cm, Incluso Concreto Fck=30Mpa E Armadura Mínima (Exclusive Mobilização, Desmobilização E Bombeamento). Af_12/2019</v>
      </c>
      <c r="D3180" s="1378" t="s">
        <v>477</v>
      </c>
      <c r="E3180" s="1379"/>
      <c r="F3180" s="1379"/>
      <c r="G3180" s="1379"/>
      <c r="H3180" s="1379"/>
      <c r="I3180" s="1380"/>
      <c r="J3180" s="1338" t="s">
        <v>478</v>
      </c>
      <c r="K3180" s="1338" t="s">
        <v>479</v>
      </c>
      <c r="L3180" s="1338" t="s">
        <v>480</v>
      </c>
      <c r="M3180" s="1338" t="s">
        <v>481</v>
      </c>
      <c r="N3180" s="1338" t="s">
        <v>482</v>
      </c>
      <c r="O3180" s="1338" t="s">
        <v>483</v>
      </c>
      <c r="P3180" s="290" t="s">
        <v>484</v>
      </c>
      <c r="Q3180" s="1338" t="s">
        <v>485</v>
      </c>
      <c r="R3180" s="1336" t="s">
        <v>296</v>
      </c>
      <c r="S3180" s="1338" t="s">
        <v>486</v>
      </c>
      <c r="T3180" s="1338" t="s">
        <v>487</v>
      </c>
      <c r="U3180" s="1340" t="s">
        <v>488</v>
      </c>
      <c r="V3180" s="291">
        <f t="shared" ref="V3180:V3188" ca="1" si="889">IF(OFFSET(V3180,1,1)=1,OFFSET(V3180,0,-4),OFFSET(V3180,1,0))</f>
        <v>0</v>
      </c>
      <c r="W3180" s="256">
        <f t="shared" ca="1" si="885"/>
        <v>2</v>
      </c>
      <c r="X3180" s="256">
        <f t="shared" ca="1" si="888"/>
        <v>1</v>
      </c>
      <c r="Y3180" s="256"/>
      <c r="Z3180" s="256"/>
      <c r="AA3180" s="292"/>
      <c r="AB3180" s="292"/>
      <c r="AC3180" s="292"/>
    </row>
    <row r="3181" spans="1:29" s="337" customFormat="1" ht="15.75" hidden="1" x14ac:dyDescent="0.2">
      <c r="A3181" s="288"/>
      <c r="B3181" s="1375"/>
      <c r="C3181" s="1377" t="e">
        <f>VLOOKUP(LEFT(#REF!,5),'11 - FINANCEIRO'!_xlnm.Print_Area,2,FALSE)</f>
        <v>#REF!</v>
      </c>
      <c r="D3181" s="1342" t="s">
        <v>489</v>
      </c>
      <c r="E3181" s="1343"/>
      <c r="F3181" s="1344"/>
      <c r="G3181" s="1345" t="s">
        <v>490</v>
      </c>
      <c r="H3181" s="1346"/>
      <c r="I3181" s="1347"/>
      <c r="J3181" s="1339"/>
      <c r="K3181" s="1339"/>
      <c r="L3181" s="1339"/>
      <c r="M3181" s="1339"/>
      <c r="N3181" s="1339"/>
      <c r="O3181" s="1339"/>
      <c r="P3181" s="295" t="s">
        <v>491</v>
      </c>
      <c r="Q3181" s="1339"/>
      <c r="R3181" s="1337"/>
      <c r="S3181" s="1339"/>
      <c r="T3181" s="1339"/>
      <c r="U3181" s="1341"/>
      <c r="V3181" s="291">
        <f t="shared" ca="1" si="889"/>
        <v>0</v>
      </c>
      <c r="W3181" s="256">
        <f t="shared" ca="1" si="885"/>
        <v>2</v>
      </c>
      <c r="X3181" s="256">
        <f t="shared" ca="1" si="888"/>
        <v>1</v>
      </c>
      <c r="Y3181" s="336"/>
      <c r="Z3181" s="336"/>
    </row>
    <row r="3182" spans="1:29" s="337" customFormat="1" ht="15.75" hidden="1" x14ac:dyDescent="0.2">
      <c r="A3182" s="288"/>
      <c r="B3182" s="296"/>
      <c r="C3182" s="297"/>
      <c r="D3182" s="298"/>
      <c r="E3182" s="299"/>
      <c r="F3182" s="300"/>
      <c r="G3182" s="301"/>
      <c r="H3182" s="302"/>
      <c r="I3182" s="303"/>
      <c r="J3182" s="304"/>
      <c r="K3182" s="304"/>
      <c r="L3182" s="304"/>
      <c r="M3182" s="304"/>
      <c r="N3182" s="304"/>
      <c r="O3182" s="304"/>
      <c r="P3182" s="306"/>
      <c r="Q3182" s="304"/>
      <c r="R3182" s="307"/>
      <c r="S3182" s="304"/>
      <c r="T3182" s="309"/>
      <c r="U3182" s="310"/>
      <c r="V3182" s="291">
        <f t="shared" ca="1" si="889"/>
        <v>0</v>
      </c>
      <c r="W3182" s="256">
        <f t="shared" ca="1" si="885"/>
        <v>0</v>
      </c>
      <c r="X3182" s="256">
        <f t="shared" ca="1" si="888"/>
        <v>1</v>
      </c>
      <c r="Y3182" s="336"/>
      <c r="Z3182" s="336"/>
    </row>
    <row r="3183" spans="1:29" s="111" customFormat="1" ht="15.75" hidden="1" x14ac:dyDescent="0.2">
      <c r="A3183" s="288"/>
      <c r="B3183" s="311"/>
      <c r="C3183" s="312"/>
      <c r="D3183" s="313"/>
      <c r="E3183" s="314"/>
      <c r="F3183" s="315"/>
      <c r="G3183" s="380"/>
      <c r="H3183" s="316"/>
      <c r="I3183" s="381"/>
      <c r="J3183" s="317"/>
      <c r="K3183" s="313"/>
      <c r="L3183" s="317"/>
      <c r="M3183" s="315"/>
      <c r="N3183" s="314"/>
      <c r="O3183" s="313"/>
      <c r="P3183" s="318"/>
      <c r="Q3183" s="315"/>
      <c r="R3183" s="319"/>
      <c r="S3183" s="317"/>
      <c r="T3183" s="320"/>
      <c r="U3183" s="321"/>
      <c r="V3183" s="291">
        <f t="shared" ca="1" si="889"/>
        <v>0</v>
      </c>
      <c r="W3183" s="256">
        <f t="shared" ca="1" si="885"/>
        <v>0</v>
      </c>
      <c r="X3183" s="256">
        <f t="shared" ca="1" si="888"/>
        <v>1</v>
      </c>
      <c r="Y3183" s="250"/>
      <c r="Z3183" s="250"/>
    </row>
    <row r="3184" spans="1:29" s="111" customFormat="1" ht="15" hidden="1" x14ac:dyDescent="0.2">
      <c r="A3184" s="288"/>
      <c r="B3184" s="322"/>
      <c r="C3184" s="382"/>
      <c r="D3184" s="324"/>
      <c r="E3184" s="325"/>
      <c r="F3184" s="326"/>
      <c r="G3184" s="324"/>
      <c r="H3184" s="325"/>
      <c r="I3184" s="326"/>
      <c r="J3184" s="317"/>
      <c r="K3184" s="328"/>
      <c r="L3184" s="328"/>
      <c r="M3184" s="328"/>
      <c r="N3184" s="328"/>
      <c r="O3184" s="334"/>
      <c r="P3184" s="328"/>
      <c r="Q3184" s="334"/>
      <c r="R3184" s="333"/>
      <c r="S3184" s="331"/>
      <c r="T3184" s="320"/>
      <c r="U3184" s="335"/>
      <c r="V3184" s="291">
        <f t="shared" ca="1" si="889"/>
        <v>0</v>
      </c>
      <c r="W3184" s="256">
        <f t="shared" ca="1" si="885"/>
        <v>0</v>
      </c>
      <c r="X3184" s="256">
        <f t="shared" ca="1" si="888"/>
        <v>1</v>
      </c>
      <c r="Y3184" s="250"/>
      <c r="Z3184" s="250"/>
    </row>
    <row r="3185" spans="1:29" s="111" customFormat="1" ht="15" hidden="1" x14ac:dyDescent="0.2">
      <c r="A3185" s="288"/>
      <c r="B3185" s="338"/>
      <c r="C3185" s="339"/>
      <c r="D3185" s="340"/>
      <c r="E3185" s="341"/>
      <c r="F3185" s="342"/>
      <c r="G3185" s="340"/>
      <c r="H3185" s="341"/>
      <c r="I3185" s="342"/>
      <c r="J3185" s="343"/>
      <c r="K3185" s="344"/>
      <c r="L3185" s="345"/>
      <c r="M3185" s="346"/>
      <c r="N3185" s="347"/>
      <c r="O3185" s="348"/>
      <c r="P3185" s="345"/>
      <c r="Q3185" s="349"/>
      <c r="R3185" s="350"/>
      <c r="S3185" s="351"/>
      <c r="T3185" s="352"/>
      <c r="U3185" s="353"/>
      <c r="V3185" s="291">
        <f t="shared" ca="1" si="889"/>
        <v>0</v>
      </c>
      <c r="W3185" s="256">
        <f t="shared" ca="1" si="885"/>
        <v>0</v>
      </c>
      <c r="X3185" s="256">
        <f t="shared" ca="1" si="888"/>
        <v>1</v>
      </c>
      <c r="Y3185" s="250"/>
      <c r="Z3185" s="250"/>
    </row>
    <row r="3186" spans="1:29" s="111" customFormat="1" ht="15.75" hidden="1" customHeight="1" x14ac:dyDescent="0.2">
      <c r="A3186" s="288"/>
      <c r="B3186" s="354"/>
      <c r="C3186" s="355"/>
      <c r="D3186" s="1354" t="s">
        <v>492</v>
      </c>
      <c r="E3186" s="1355"/>
      <c r="F3186" s="1355"/>
      <c r="G3186" s="1355"/>
      <c r="H3186" s="1355"/>
      <c r="I3186" s="1356"/>
      <c r="J3186" s="1357">
        <f>VLOOKUP(A3188,'11 - FINANCEIRO'!_xlnm.Print_Area,6,FALSE)</f>
        <v>72</v>
      </c>
      <c r="K3186" s="1358"/>
      <c r="L3186" s="356" t="str">
        <f>VLOOKUP(A3188,'11 - FINANCEIRO'!_xlnm.Print_Area,4,FALSE)</f>
        <v>m</v>
      </c>
      <c r="M3186" s="1359" t="s">
        <v>493</v>
      </c>
      <c r="N3186" s="1360"/>
      <c r="O3186" s="1360"/>
      <c r="P3186" s="1360"/>
      <c r="Q3186" s="1361"/>
      <c r="R3186" s="357">
        <f>TRUNC(SUM(R3182:R3185),3)</f>
        <v>0</v>
      </c>
      <c r="S3186" s="358" t="str">
        <f>L3186</f>
        <v>m</v>
      </c>
      <c r="T3186" s="359"/>
      <c r="U3186" s="360"/>
      <c r="V3186" s="291">
        <f t="shared" ca="1" si="889"/>
        <v>0</v>
      </c>
      <c r="W3186" s="256">
        <f t="shared" ca="1" si="885"/>
        <v>2</v>
      </c>
      <c r="X3186" s="256">
        <f t="shared" ca="1" si="888"/>
        <v>1</v>
      </c>
      <c r="Y3186" s="250"/>
      <c r="Z3186" s="250"/>
    </row>
    <row r="3187" spans="1:29" s="293" customFormat="1" ht="15.75" hidden="1" customHeight="1" x14ac:dyDescent="0.2">
      <c r="A3187" s="288"/>
      <c r="B3187" s="354"/>
      <c r="C3187" s="361"/>
      <c r="D3187" s="1362" t="s">
        <v>494</v>
      </c>
      <c r="E3187" s="1363"/>
      <c r="F3187" s="1363"/>
      <c r="G3187" s="1363"/>
      <c r="H3187" s="1363"/>
      <c r="I3187" s="1364"/>
      <c r="J3187" s="1365">
        <f>R3186/J3186</f>
        <v>0</v>
      </c>
      <c r="K3187" s="1366"/>
      <c r="L3187" s="1369"/>
      <c r="M3187" s="1371" t="s">
        <v>495</v>
      </c>
      <c r="N3187" s="1372"/>
      <c r="O3187" s="1372"/>
      <c r="P3187" s="1372"/>
      <c r="Q3187" s="1373"/>
      <c r="R3187" s="362">
        <f>VLOOKUP(A3188,'11 - FINANCEIRO'!_xlnm.Print_Area,8,FALSE)</f>
        <v>0</v>
      </c>
      <c r="S3187" s="363" t="str">
        <f>L3186</f>
        <v>m</v>
      </c>
      <c r="T3187" s="359"/>
      <c r="U3187" s="360"/>
      <c r="V3187" s="291">
        <f t="shared" ca="1" si="889"/>
        <v>0</v>
      </c>
      <c r="W3187" s="256">
        <f t="shared" ca="1" si="885"/>
        <v>2</v>
      </c>
      <c r="X3187" s="256">
        <f t="shared" ca="1" si="888"/>
        <v>1</v>
      </c>
      <c r="Y3187" s="256"/>
      <c r="Z3187" s="256"/>
      <c r="AA3187" s="292"/>
      <c r="AB3187" s="292"/>
      <c r="AC3187" s="292"/>
    </row>
    <row r="3188" spans="1:29" s="293" customFormat="1" ht="15.75" hidden="1" customHeight="1" x14ac:dyDescent="0.2">
      <c r="A3188" s="288" t="s">
        <v>195</v>
      </c>
      <c r="B3188" s="364"/>
      <c r="C3188" s="365"/>
      <c r="D3188" s="1354"/>
      <c r="E3188" s="1355"/>
      <c r="F3188" s="1355"/>
      <c r="G3188" s="1355"/>
      <c r="H3188" s="1355"/>
      <c r="I3188" s="1356"/>
      <c r="J3188" s="1367"/>
      <c r="K3188" s="1368"/>
      <c r="L3188" s="1370"/>
      <c r="M3188" s="1371" t="s">
        <v>496</v>
      </c>
      <c r="N3188" s="1372"/>
      <c r="O3188" s="1372"/>
      <c r="P3188" s="1372"/>
      <c r="Q3188" s="1373"/>
      <c r="R3188" s="362">
        <f>R3186-R3187</f>
        <v>0</v>
      </c>
      <c r="S3188" s="363" t="str">
        <f>L3186</f>
        <v>m</v>
      </c>
      <c r="T3188" s="366"/>
      <c r="U3188" s="367"/>
      <c r="V3188" s="291">
        <f t="shared" ca="1" si="889"/>
        <v>0</v>
      </c>
      <c r="W3188" s="256">
        <f t="shared" ca="1" si="885"/>
        <v>2</v>
      </c>
      <c r="X3188" s="256">
        <f t="shared" ca="1" si="888"/>
        <v>1</v>
      </c>
      <c r="Y3188" s="256"/>
      <c r="Z3188" s="256"/>
      <c r="AA3188" s="292"/>
      <c r="AB3188" s="292"/>
      <c r="AC3188" s="292"/>
    </row>
    <row r="3189" spans="1:29" s="111" customFormat="1" ht="15.75" hidden="1" x14ac:dyDescent="0.2">
      <c r="A3189" s="288"/>
      <c r="B3189" s="368"/>
      <c r="C3189" s="365"/>
      <c r="D3189" s="369"/>
      <c r="E3189" s="370"/>
      <c r="F3189" s="369"/>
      <c r="G3189" s="369"/>
      <c r="H3189" s="369"/>
      <c r="I3189" s="369"/>
      <c r="J3189" s="371"/>
      <c r="K3189" s="372"/>
      <c r="L3189" s="373"/>
      <c r="M3189" s="374"/>
      <c r="N3189" s="374"/>
      <c r="O3189" s="374"/>
      <c r="P3189" s="374"/>
      <c r="Q3189" s="374"/>
      <c r="R3189" s="375"/>
      <c r="S3189" s="376"/>
      <c r="T3189" s="377"/>
      <c r="U3189" s="378"/>
      <c r="V3189" s="379">
        <f ca="1">SUM(V3180:V3188)</f>
        <v>0</v>
      </c>
      <c r="W3189" s="256">
        <f t="shared" ca="1" si="885"/>
        <v>1</v>
      </c>
      <c r="X3189" s="256">
        <f t="shared" ca="1" si="888"/>
        <v>0</v>
      </c>
      <c r="Y3189" s="250"/>
      <c r="Z3189" s="250"/>
    </row>
    <row r="3190" spans="1:29" s="293" customFormat="1" ht="15.75" hidden="1" customHeight="1" x14ac:dyDescent="0.25">
      <c r="A3190" s="288"/>
      <c r="B3190" s="1374" t="str">
        <f>VLOOKUP(A3198,'11 - FINANCEIRO'!_xlnm.Print_Area,1,FALSE)</f>
        <v>4.4.4</v>
      </c>
      <c r="C3190" s="1376" t="str">
        <f>VLOOKUP(A3198,'11 - FINANCEIRO'!_xlnm.Print_Area,3,FALSE)</f>
        <v>Arrasamento Mecanico De Estaca De Concreto Armado, Diametros De Até 40 Cm. Af_05/2021</v>
      </c>
      <c r="D3190" s="1378" t="s">
        <v>477</v>
      </c>
      <c r="E3190" s="1379"/>
      <c r="F3190" s="1379"/>
      <c r="G3190" s="1379"/>
      <c r="H3190" s="1379"/>
      <c r="I3190" s="1380"/>
      <c r="J3190" s="1338" t="s">
        <v>478</v>
      </c>
      <c r="K3190" s="1338" t="s">
        <v>479</v>
      </c>
      <c r="L3190" s="1338" t="s">
        <v>480</v>
      </c>
      <c r="M3190" s="1338" t="s">
        <v>481</v>
      </c>
      <c r="N3190" s="1338" t="s">
        <v>482</v>
      </c>
      <c r="O3190" s="1338" t="s">
        <v>483</v>
      </c>
      <c r="P3190" s="290" t="s">
        <v>484</v>
      </c>
      <c r="Q3190" s="1338" t="s">
        <v>485</v>
      </c>
      <c r="R3190" s="1336" t="s">
        <v>296</v>
      </c>
      <c r="S3190" s="1338" t="s">
        <v>486</v>
      </c>
      <c r="T3190" s="1338" t="s">
        <v>487</v>
      </c>
      <c r="U3190" s="1340" t="s">
        <v>488</v>
      </c>
      <c r="V3190" s="291">
        <f t="shared" ref="V3190:V3198" ca="1" si="890">IF(OFFSET(V3190,1,1)=1,OFFSET(V3190,0,-4),OFFSET(V3190,1,0))</f>
        <v>0</v>
      </c>
      <c r="W3190" s="256">
        <f t="shared" ca="1" si="885"/>
        <v>2</v>
      </c>
      <c r="X3190" s="256">
        <f t="shared" ca="1" si="888"/>
        <v>1</v>
      </c>
      <c r="Y3190" s="256"/>
      <c r="Z3190" s="256"/>
      <c r="AA3190" s="292"/>
      <c r="AB3190" s="292"/>
      <c r="AC3190" s="292"/>
    </row>
    <row r="3191" spans="1:29" s="337" customFormat="1" ht="15.75" hidden="1" x14ac:dyDescent="0.2">
      <c r="A3191" s="288"/>
      <c r="B3191" s="1375"/>
      <c r="C3191" s="1377" t="e">
        <f>VLOOKUP(LEFT(#REF!,5),'11 - FINANCEIRO'!_xlnm.Print_Area,2,FALSE)</f>
        <v>#REF!</v>
      </c>
      <c r="D3191" s="1342" t="s">
        <v>489</v>
      </c>
      <c r="E3191" s="1343"/>
      <c r="F3191" s="1344"/>
      <c r="G3191" s="1345" t="s">
        <v>490</v>
      </c>
      <c r="H3191" s="1346"/>
      <c r="I3191" s="1347"/>
      <c r="J3191" s="1339"/>
      <c r="K3191" s="1339"/>
      <c r="L3191" s="1339"/>
      <c r="M3191" s="1339"/>
      <c r="N3191" s="1339"/>
      <c r="O3191" s="1339"/>
      <c r="P3191" s="295" t="s">
        <v>491</v>
      </c>
      <c r="Q3191" s="1339"/>
      <c r="R3191" s="1337"/>
      <c r="S3191" s="1339"/>
      <c r="T3191" s="1339"/>
      <c r="U3191" s="1341"/>
      <c r="V3191" s="291">
        <f t="shared" ca="1" si="890"/>
        <v>0</v>
      </c>
      <c r="W3191" s="256">
        <f t="shared" ca="1" si="885"/>
        <v>2</v>
      </c>
      <c r="X3191" s="256">
        <f t="shared" ca="1" si="888"/>
        <v>1</v>
      </c>
      <c r="Y3191" s="336"/>
      <c r="Z3191" s="336"/>
    </row>
    <row r="3192" spans="1:29" s="337" customFormat="1" ht="15.75" hidden="1" x14ac:dyDescent="0.2">
      <c r="A3192" s="288"/>
      <c r="B3192" s="296"/>
      <c r="C3192" s="297"/>
      <c r="D3192" s="298"/>
      <c r="E3192" s="299"/>
      <c r="F3192" s="300"/>
      <c r="G3192" s="301"/>
      <c r="H3192" s="302"/>
      <c r="I3192" s="303"/>
      <c r="J3192" s="304"/>
      <c r="K3192" s="304"/>
      <c r="L3192" s="304"/>
      <c r="M3192" s="304"/>
      <c r="N3192" s="304"/>
      <c r="O3192" s="304"/>
      <c r="P3192" s="306"/>
      <c r="Q3192" s="304"/>
      <c r="R3192" s="307"/>
      <c r="S3192" s="304"/>
      <c r="T3192" s="309"/>
      <c r="U3192" s="310"/>
      <c r="V3192" s="291">
        <f t="shared" ca="1" si="890"/>
        <v>0</v>
      </c>
      <c r="W3192" s="256">
        <f t="shared" ca="1" si="885"/>
        <v>0</v>
      </c>
      <c r="X3192" s="256">
        <f t="shared" ca="1" si="888"/>
        <v>1</v>
      </c>
      <c r="Y3192" s="336"/>
      <c r="Z3192" s="336"/>
    </row>
    <row r="3193" spans="1:29" s="111" customFormat="1" ht="15.75" hidden="1" x14ac:dyDescent="0.2">
      <c r="A3193" s="288"/>
      <c r="B3193" s="311"/>
      <c r="C3193" s="312"/>
      <c r="D3193" s="313"/>
      <c r="E3193" s="314"/>
      <c r="F3193" s="315"/>
      <c r="G3193" s="380"/>
      <c r="H3193" s="316"/>
      <c r="I3193" s="381"/>
      <c r="J3193" s="317"/>
      <c r="K3193" s="313"/>
      <c r="L3193" s="317"/>
      <c r="M3193" s="315"/>
      <c r="N3193" s="314"/>
      <c r="O3193" s="313"/>
      <c r="P3193" s="318"/>
      <c r="Q3193" s="315"/>
      <c r="R3193" s="319"/>
      <c r="S3193" s="317"/>
      <c r="T3193" s="320"/>
      <c r="U3193" s="321"/>
      <c r="V3193" s="291">
        <f t="shared" ca="1" si="890"/>
        <v>0</v>
      </c>
      <c r="W3193" s="256">
        <f t="shared" ca="1" si="885"/>
        <v>0</v>
      </c>
      <c r="X3193" s="256">
        <f t="shared" ca="1" si="888"/>
        <v>1</v>
      </c>
      <c r="Y3193" s="250"/>
      <c r="Z3193" s="250"/>
    </row>
    <row r="3194" spans="1:29" s="111" customFormat="1" ht="15" hidden="1" x14ac:dyDescent="0.2">
      <c r="A3194" s="288"/>
      <c r="B3194" s="322"/>
      <c r="C3194" s="382"/>
      <c r="D3194" s="324"/>
      <c r="E3194" s="325"/>
      <c r="F3194" s="326"/>
      <c r="G3194" s="324"/>
      <c r="H3194" s="325"/>
      <c r="I3194" s="326"/>
      <c r="J3194" s="317"/>
      <c r="K3194" s="328"/>
      <c r="L3194" s="328"/>
      <c r="M3194" s="328"/>
      <c r="N3194" s="328"/>
      <c r="O3194" s="334"/>
      <c r="P3194" s="328"/>
      <c r="Q3194" s="334"/>
      <c r="R3194" s="333"/>
      <c r="S3194" s="331"/>
      <c r="T3194" s="320"/>
      <c r="U3194" s="335"/>
      <c r="V3194" s="291">
        <f t="shared" ca="1" si="890"/>
        <v>0</v>
      </c>
      <c r="W3194" s="256">
        <f t="shared" ca="1" si="885"/>
        <v>0</v>
      </c>
      <c r="X3194" s="256">
        <f t="shared" ca="1" si="888"/>
        <v>1</v>
      </c>
      <c r="Y3194" s="250"/>
      <c r="Z3194" s="250"/>
    </row>
    <row r="3195" spans="1:29" s="111" customFormat="1" ht="15" hidden="1" x14ac:dyDescent="0.2">
      <c r="A3195" s="288"/>
      <c r="B3195" s="338"/>
      <c r="C3195" s="339"/>
      <c r="D3195" s="340"/>
      <c r="E3195" s="341"/>
      <c r="F3195" s="342"/>
      <c r="G3195" s="340"/>
      <c r="H3195" s="341"/>
      <c r="I3195" s="342"/>
      <c r="J3195" s="343"/>
      <c r="K3195" s="344"/>
      <c r="L3195" s="345"/>
      <c r="M3195" s="346"/>
      <c r="N3195" s="347"/>
      <c r="O3195" s="348"/>
      <c r="P3195" s="345"/>
      <c r="Q3195" s="349"/>
      <c r="R3195" s="350"/>
      <c r="S3195" s="351"/>
      <c r="T3195" s="352"/>
      <c r="U3195" s="353"/>
      <c r="V3195" s="291">
        <f t="shared" ca="1" si="890"/>
        <v>0</v>
      </c>
      <c r="W3195" s="256">
        <f t="shared" ca="1" si="885"/>
        <v>0</v>
      </c>
      <c r="X3195" s="256">
        <f t="shared" ca="1" si="888"/>
        <v>1</v>
      </c>
      <c r="Y3195" s="250"/>
      <c r="Z3195" s="250"/>
    </row>
    <row r="3196" spans="1:29" s="111" customFormat="1" ht="15.75" hidden="1" customHeight="1" x14ac:dyDescent="0.2">
      <c r="A3196" s="288"/>
      <c r="B3196" s="354"/>
      <c r="C3196" s="355"/>
      <c r="D3196" s="1354" t="s">
        <v>492</v>
      </c>
      <c r="E3196" s="1355"/>
      <c r="F3196" s="1355"/>
      <c r="G3196" s="1355"/>
      <c r="H3196" s="1355"/>
      <c r="I3196" s="1356"/>
      <c r="J3196" s="1357">
        <f>VLOOKUP(A3198,'11 - FINANCEIRO'!_xlnm.Print_Area,6,FALSE)</f>
        <v>8</v>
      </c>
      <c r="K3196" s="1358"/>
      <c r="L3196" s="356" t="str">
        <f>VLOOKUP(A3198,'11 - FINANCEIRO'!_xlnm.Print_Area,4,FALSE)</f>
        <v>un</v>
      </c>
      <c r="M3196" s="1359" t="s">
        <v>493</v>
      </c>
      <c r="N3196" s="1360"/>
      <c r="O3196" s="1360"/>
      <c r="P3196" s="1360"/>
      <c r="Q3196" s="1361"/>
      <c r="R3196" s="357">
        <f>TRUNC(SUM(R3192:R3195),3)</f>
        <v>0</v>
      </c>
      <c r="S3196" s="358" t="str">
        <f>L3196</f>
        <v>un</v>
      </c>
      <c r="T3196" s="359"/>
      <c r="U3196" s="360"/>
      <c r="V3196" s="291">
        <f t="shared" ca="1" si="890"/>
        <v>0</v>
      </c>
      <c r="W3196" s="256">
        <f t="shared" ca="1" si="885"/>
        <v>2</v>
      </c>
      <c r="X3196" s="256">
        <f t="shared" ca="1" si="888"/>
        <v>1</v>
      </c>
      <c r="Y3196" s="250"/>
      <c r="Z3196" s="250"/>
    </row>
    <row r="3197" spans="1:29" s="293" customFormat="1" ht="15.75" hidden="1" customHeight="1" x14ac:dyDescent="0.2">
      <c r="A3197" s="288"/>
      <c r="B3197" s="354"/>
      <c r="C3197" s="361"/>
      <c r="D3197" s="1362" t="s">
        <v>494</v>
      </c>
      <c r="E3197" s="1363"/>
      <c r="F3197" s="1363"/>
      <c r="G3197" s="1363"/>
      <c r="H3197" s="1363"/>
      <c r="I3197" s="1364"/>
      <c r="J3197" s="1365">
        <f>R3196/J3196</f>
        <v>0</v>
      </c>
      <c r="K3197" s="1366"/>
      <c r="L3197" s="1369"/>
      <c r="M3197" s="1371" t="s">
        <v>495</v>
      </c>
      <c r="N3197" s="1372"/>
      <c r="O3197" s="1372"/>
      <c r="P3197" s="1372"/>
      <c r="Q3197" s="1373"/>
      <c r="R3197" s="362">
        <f>VLOOKUP(A3198,'11 - FINANCEIRO'!_xlnm.Print_Area,8,FALSE)</f>
        <v>0</v>
      </c>
      <c r="S3197" s="363" t="str">
        <f>L3196</f>
        <v>un</v>
      </c>
      <c r="T3197" s="359"/>
      <c r="U3197" s="360"/>
      <c r="V3197" s="291">
        <f t="shared" ca="1" si="890"/>
        <v>0</v>
      </c>
      <c r="W3197" s="256">
        <f t="shared" ca="1" si="885"/>
        <v>2</v>
      </c>
      <c r="X3197" s="256">
        <f t="shared" ca="1" si="888"/>
        <v>1</v>
      </c>
      <c r="Y3197" s="256"/>
      <c r="Z3197" s="256"/>
      <c r="AA3197" s="292"/>
      <c r="AB3197" s="292"/>
      <c r="AC3197" s="292"/>
    </row>
    <row r="3198" spans="1:29" s="293" customFormat="1" ht="15.75" hidden="1" customHeight="1" x14ac:dyDescent="0.2">
      <c r="A3198" s="288" t="s">
        <v>196</v>
      </c>
      <c r="B3198" s="364"/>
      <c r="C3198" s="365"/>
      <c r="D3198" s="1354"/>
      <c r="E3198" s="1355"/>
      <c r="F3198" s="1355"/>
      <c r="G3198" s="1355"/>
      <c r="H3198" s="1355"/>
      <c r="I3198" s="1356"/>
      <c r="J3198" s="1367"/>
      <c r="K3198" s="1368"/>
      <c r="L3198" s="1370"/>
      <c r="M3198" s="1371" t="s">
        <v>496</v>
      </c>
      <c r="N3198" s="1372"/>
      <c r="O3198" s="1372"/>
      <c r="P3198" s="1372"/>
      <c r="Q3198" s="1373"/>
      <c r="R3198" s="362">
        <f>R3196-R3197</f>
        <v>0</v>
      </c>
      <c r="S3198" s="363" t="str">
        <f>L3196</f>
        <v>un</v>
      </c>
      <c r="T3198" s="366"/>
      <c r="U3198" s="367"/>
      <c r="V3198" s="291">
        <f t="shared" ca="1" si="890"/>
        <v>0</v>
      </c>
      <c r="W3198" s="256">
        <f t="shared" ca="1" si="885"/>
        <v>2</v>
      </c>
      <c r="X3198" s="256">
        <f t="shared" ca="1" si="888"/>
        <v>1</v>
      </c>
      <c r="Y3198" s="256"/>
      <c r="Z3198" s="256"/>
      <c r="AA3198" s="292"/>
      <c r="AB3198" s="292"/>
      <c r="AC3198" s="292"/>
    </row>
    <row r="3199" spans="1:29" s="111" customFormat="1" ht="15.75" hidden="1" x14ac:dyDescent="0.2">
      <c r="A3199" s="288"/>
      <c r="B3199" s="368"/>
      <c r="C3199" s="365"/>
      <c r="D3199" s="369"/>
      <c r="E3199" s="370"/>
      <c r="F3199" s="369"/>
      <c r="G3199" s="369"/>
      <c r="H3199" s="369"/>
      <c r="I3199" s="369"/>
      <c r="J3199" s="371"/>
      <c r="K3199" s="372"/>
      <c r="L3199" s="373"/>
      <c r="M3199" s="374"/>
      <c r="N3199" s="374"/>
      <c r="O3199" s="374"/>
      <c r="P3199" s="374"/>
      <c r="Q3199" s="374"/>
      <c r="R3199" s="375"/>
      <c r="S3199" s="376"/>
      <c r="T3199" s="377"/>
      <c r="U3199" s="378"/>
      <c r="V3199" s="379">
        <f ca="1">SUM(V3190:V3198)</f>
        <v>0</v>
      </c>
      <c r="W3199" s="256">
        <f t="shared" ca="1" si="885"/>
        <v>1</v>
      </c>
      <c r="X3199" s="256">
        <f t="shared" ca="1" si="888"/>
        <v>0</v>
      </c>
      <c r="Y3199" s="250"/>
      <c r="Z3199" s="250"/>
    </row>
    <row r="3200" spans="1:29" s="293" customFormat="1" ht="15.75" hidden="1" customHeight="1" x14ac:dyDescent="0.25">
      <c r="A3200" s="288"/>
      <c r="B3200" s="1374" t="str">
        <f>VLOOKUP(A3208,'11 - FINANCEIRO'!_xlnm.Print_Area,1,FALSE)</f>
        <v>4.4.5</v>
      </c>
      <c r="C3200" s="1376" t="str">
        <f>VLOOKUP(A3208,'11 - FINANCEIRO'!_xlnm.Print_Area,3,FALSE)</f>
        <v>Lastro De Concreto Magro, Aplicado Em Blocos De Coroamento Ou Sapatas, Espessura De 5 Cm. Af_08/2017</v>
      </c>
      <c r="D3200" s="1378" t="s">
        <v>477</v>
      </c>
      <c r="E3200" s="1379"/>
      <c r="F3200" s="1379"/>
      <c r="G3200" s="1379"/>
      <c r="H3200" s="1379"/>
      <c r="I3200" s="1380"/>
      <c r="J3200" s="1338" t="s">
        <v>478</v>
      </c>
      <c r="K3200" s="1338" t="s">
        <v>479</v>
      </c>
      <c r="L3200" s="1338" t="s">
        <v>480</v>
      </c>
      <c r="M3200" s="1338" t="s">
        <v>481</v>
      </c>
      <c r="N3200" s="1338" t="s">
        <v>482</v>
      </c>
      <c r="O3200" s="1338" t="s">
        <v>483</v>
      </c>
      <c r="P3200" s="290" t="s">
        <v>484</v>
      </c>
      <c r="Q3200" s="1338" t="s">
        <v>485</v>
      </c>
      <c r="R3200" s="1336" t="s">
        <v>296</v>
      </c>
      <c r="S3200" s="1338" t="s">
        <v>486</v>
      </c>
      <c r="T3200" s="1338" t="s">
        <v>487</v>
      </c>
      <c r="U3200" s="1340" t="s">
        <v>488</v>
      </c>
      <c r="V3200" s="291">
        <f t="shared" ref="V3200:V3208" ca="1" si="891">IF(OFFSET(V3200,1,1)=1,OFFSET(V3200,0,-4),OFFSET(V3200,1,0))</f>
        <v>0</v>
      </c>
      <c r="W3200" s="256">
        <f t="shared" ca="1" si="885"/>
        <v>2</v>
      </c>
      <c r="X3200" s="256">
        <f t="shared" ca="1" si="888"/>
        <v>1</v>
      </c>
      <c r="Y3200" s="256"/>
      <c r="Z3200" s="256"/>
      <c r="AA3200" s="292"/>
      <c r="AB3200" s="292"/>
      <c r="AC3200" s="292"/>
    </row>
    <row r="3201" spans="1:29" s="337" customFormat="1" ht="15.75" hidden="1" x14ac:dyDescent="0.2">
      <c r="A3201" s="288"/>
      <c r="B3201" s="1375"/>
      <c r="C3201" s="1377" t="e">
        <f>VLOOKUP(LEFT(#REF!,5),'11 - FINANCEIRO'!_xlnm.Print_Area,2,FALSE)</f>
        <v>#REF!</v>
      </c>
      <c r="D3201" s="1342" t="s">
        <v>489</v>
      </c>
      <c r="E3201" s="1343"/>
      <c r="F3201" s="1344"/>
      <c r="G3201" s="1345" t="s">
        <v>490</v>
      </c>
      <c r="H3201" s="1346"/>
      <c r="I3201" s="1347"/>
      <c r="J3201" s="1339"/>
      <c r="K3201" s="1339"/>
      <c r="L3201" s="1339"/>
      <c r="M3201" s="1339"/>
      <c r="N3201" s="1339"/>
      <c r="O3201" s="1339"/>
      <c r="P3201" s="295" t="s">
        <v>491</v>
      </c>
      <c r="Q3201" s="1339"/>
      <c r="R3201" s="1337"/>
      <c r="S3201" s="1339"/>
      <c r="T3201" s="1339"/>
      <c r="U3201" s="1341"/>
      <c r="V3201" s="291">
        <f t="shared" ca="1" si="891"/>
        <v>0</v>
      </c>
      <c r="W3201" s="256">
        <f t="shared" ca="1" si="885"/>
        <v>2</v>
      </c>
      <c r="X3201" s="256">
        <f t="shared" ca="1" si="888"/>
        <v>1</v>
      </c>
      <c r="Y3201" s="336"/>
      <c r="Z3201" s="336"/>
    </row>
    <row r="3202" spans="1:29" s="337" customFormat="1" ht="15.75" hidden="1" x14ac:dyDescent="0.2">
      <c r="A3202" s="288"/>
      <c r="B3202" s="296"/>
      <c r="C3202" s="297" t="s">
        <v>1205</v>
      </c>
      <c r="D3202" s="298"/>
      <c r="E3202" s="299"/>
      <c r="F3202" s="300"/>
      <c r="G3202" s="301"/>
      <c r="H3202" s="302"/>
      <c r="I3202" s="303"/>
      <c r="J3202" s="304"/>
      <c r="K3202" s="313">
        <f>9.2+2</f>
        <v>11.2</v>
      </c>
      <c r="L3202" s="317">
        <v>0.05</v>
      </c>
      <c r="M3202" s="315"/>
      <c r="N3202" s="314">
        <f>K3202*L3202</f>
        <v>0.55999999999999994</v>
      </c>
      <c r="O3202" s="313"/>
      <c r="P3202" s="318"/>
      <c r="Q3202" s="315">
        <v>2</v>
      </c>
      <c r="R3202" s="319">
        <f>N3202*Q3202</f>
        <v>1.1199999999999999</v>
      </c>
      <c r="S3202" s="416" t="str">
        <f>$L$3206</f>
        <v>m²</v>
      </c>
      <c r="T3202" s="309">
        <v>37</v>
      </c>
      <c r="U3202" s="310"/>
      <c r="V3202" s="291">
        <f t="shared" ca="1" si="891"/>
        <v>0</v>
      </c>
      <c r="W3202" s="256">
        <f t="shared" ca="1" si="885"/>
        <v>2</v>
      </c>
      <c r="X3202" s="256">
        <f t="shared" ca="1" si="888"/>
        <v>1</v>
      </c>
      <c r="Y3202" s="336"/>
      <c r="Z3202" s="336"/>
    </row>
    <row r="3203" spans="1:29" s="111" customFormat="1" ht="15.75" hidden="1" x14ac:dyDescent="0.2">
      <c r="A3203" s="288"/>
      <c r="B3203" s="311"/>
      <c r="C3203" s="312" t="s">
        <v>1059</v>
      </c>
      <c r="D3203" s="313"/>
      <c r="E3203" s="314"/>
      <c r="F3203" s="315"/>
      <c r="G3203" s="380"/>
      <c r="H3203" s="316"/>
      <c r="I3203" s="381"/>
      <c r="J3203" s="317"/>
      <c r="K3203" s="313">
        <f>19+1.5+3.3</f>
        <v>23.8</v>
      </c>
      <c r="L3203" s="317">
        <v>0.05</v>
      </c>
      <c r="M3203" s="328"/>
      <c r="N3203" s="314">
        <f>K3203*L3203</f>
        <v>1.1900000000000002</v>
      </c>
      <c r="O3203" s="334"/>
      <c r="P3203" s="328"/>
      <c r="Q3203" s="315">
        <v>2</v>
      </c>
      <c r="R3203" s="333">
        <f>N3203*Q3203</f>
        <v>2.3800000000000003</v>
      </c>
      <c r="S3203" s="433" t="str">
        <f>$L$3206</f>
        <v>m²</v>
      </c>
      <c r="T3203" s="320">
        <v>37</v>
      </c>
      <c r="U3203" s="321"/>
      <c r="V3203" s="291">
        <f t="shared" ca="1" si="891"/>
        <v>0</v>
      </c>
      <c r="W3203" s="256">
        <f t="shared" ca="1" si="885"/>
        <v>2</v>
      </c>
      <c r="X3203" s="256">
        <f t="shared" ca="1" si="888"/>
        <v>1</v>
      </c>
      <c r="Y3203" s="250"/>
      <c r="Z3203" s="250"/>
    </row>
    <row r="3204" spans="1:29" s="111" customFormat="1" ht="15" hidden="1" x14ac:dyDescent="0.2">
      <c r="A3204" s="288"/>
      <c r="B3204" s="322"/>
      <c r="C3204" s="382"/>
      <c r="D3204" s="324"/>
      <c r="E3204" s="325"/>
      <c r="F3204" s="326"/>
      <c r="G3204" s="324"/>
      <c r="H3204" s="325"/>
      <c r="I3204" s="326"/>
      <c r="J3204" s="317"/>
      <c r="K3204" s="328"/>
      <c r="L3204" s="328"/>
      <c r="M3204" s="328"/>
      <c r="N3204" s="328"/>
      <c r="O3204" s="334"/>
      <c r="P3204" s="328"/>
      <c r="Q3204" s="334"/>
      <c r="R3204" s="333"/>
      <c r="S3204" s="331"/>
      <c r="T3204" s="320"/>
      <c r="U3204" s="335"/>
      <c r="V3204" s="291">
        <f t="shared" ca="1" si="891"/>
        <v>0</v>
      </c>
      <c r="W3204" s="256">
        <f t="shared" ca="1" si="885"/>
        <v>0</v>
      </c>
      <c r="X3204" s="256">
        <f t="shared" ca="1" si="888"/>
        <v>1</v>
      </c>
      <c r="Y3204" s="250"/>
      <c r="Z3204" s="250"/>
    </row>
    <row r="3205" spans="1:29" s="111" customFormat="1" ht="15" hidden="1" x14ac:dyDescent="0.2">
      <c r="A3205" s="288"/>
      <c r="B3205" s="338"/>
      <c r="C3205" s="339"/>
      <c r="D3205" s="340"/>
      <c r="E3205" s="341"/>
      <c r="F3205" s="342"/>
      <c r="G3205" s="340"/>
      <c r="H3205" s="341"/>
      <c r="I3205" s="342"/>
      <c r="J3205" s="343"/>
      <c r="K3205" s="344"/>
      <c r="L3205" s="345"/>
      <c r="M3205" s="346"/>
      <c r="N3205" s="347"/>
      <c r="O3205" s="348"/>
      <c r="P3205" s="345"/>
      <c r="Q3205" s="349"/>
      <c r="R3205" s="350"/>
      <c r="S3205" s="351"/>
      <c r="T3205" s="352"/>
      <c r="U3205" s="353"/>
      <c r="V3205" s="291">
        <f t="shared" ca="1" si="891"/>
        <v>0</v>
      </c>
      <c r="W3205" s="256">
        <f t="shared" ca="1" si="885"/>
        <v>0</v>
      </c>
      <c r="X3205" s="256">
        <f t="shared" ca="1" si="888"/>
        <v>1</v>
      </c>
      <c r="Y3205" s="250"/>
      <c r="Z3205" s="250"/>
    </row>
    <row r="3206" spans="1:29" s="111" customFormat="1" ht="15.75" hidden="1" customHeight="1" x14ac:dyDescent="0.2">
      <c r="A3206" s="288"/>
      <c r="B3206" s="354"/>
      <c r="C3206" s="355"/>
      <c r="D3206" s="1354" t="s">
        <v>492</v>
      </c>
      <c r="E3206" s="1355"/>
      <c r="F3206" s="1355"/>
      <c r="G3206" s="1355"/>
      <c r="H3206" s="1355"/>
      <c r="I3206" s="1356"/>
      <c r="J3206" s="1357">
        <f>VLOOKUP(A3208,'11 - FINANCEIRO'!_xlnm.Print_Area,6,FALSE)</f>
        <v>3.5</v>
      </c>
      <c r="K3206" s="1358"/>
      <c r="L3206" s="356" t="str">
        <f>VLOOKUP(A3208,'11 - FINANCEIRO'!_xlnm.Print_Area,4,FALSE)</f>
        <v>m²</v>
      </c>
      <c r="M3206" s="1359" t="s">
        <v>493</v>
      </c>
      <c r="N3206" s="1360"/>
      <c r="O3206" s="1360"/>
      <c r="P3206" s="1360"/>
      <c r="Q3206" s="1361"/>
      <c r="R3206" s="357">
        <f>TRUNC(SUM(R3202:R3205),3)</f>
        <v>3.5</v>
      </c>
      <c r="S3206" s="358" t="str">
        <f>L3206</f>
        <v>m²</v>
      </c>
      <c r="T3206" s="359"/>
      <c r="U3206" s="360"/>
      <c r="V3206" s="291">
        <f t="shared" ca="1" si="891"/>
        <v>0</v>
      </c>
      <c r="W3206" s="256">
        <f t="shared" ca="1" si="885"/>
        <v>2</v>
      </c>
      <c r="X3206" s="256">
        <f t="shared" ca="1" si="888"/>
        <v>1</v>
      </c>
      <c r="Y3206" s="250"/>
      <c r="Z3206" s="250"/>
    </row>
    <row r="3207" spans="1:29" s="293" customFormat="1" ht="15.75" hidden="1" customHeight="1" x14ac:dyDescent="0.2">
      <c r="A3207" s="288"/>
      <c r="B3207" s="354"/>
      <c r="C3207" s="361"/>
      <c r="D3207" s="1362" t="s">
        <v>494</v>
      </c>
      <c r="E3207" s="1363"/>
      <c r="F3207" s="1363"/>
      <c r="G3207" s="1363"/>
      <c r="H3207" s="1363"/>
      <c r="I3207" s="1364"/>
      <c r="J3207" s="1365">
        <f>R3206/J3206</f>
        <v>1</v>
      </c>
      <c r="K3207" s="1366"/>
      <c r="L3207" s="1369"/>
      <c r="M3207" s="1371" t="s">
        <v>495</v>
      </c>
      <c r="N3207" s="1372"/>
      <c r="O3207" s="1372"/>
      <c r="P3207" s="1372"/>
      <c r="Q3207" s="1373"/>
      <c r="R3207" s="362">
        <f>VLOOKUP(A3208,'11 - FINANCEIRO'!_xlnm.Print_Area,8,FALSE)</f>
        <v>3.5</v>
      </c>
      <c r="S3207" s="363" t="str">
        <f>L3206</f>
        <v>m²</v>
      </c>
      <c r="T3207" s="359"/>
      <c r="U3207" s="360"/>
      <c r="V3207" s="291">
        <f t="shared" ca="1" si="891"/>
        <v>0</v>
      </c>
      <c r="W3207" s="256">
        <f t="shared" ca="1" si="885"/>
        <v>2</v>
      </c>
      <c r="X3207" s="256">
        <f t="shared" ca="1" si="888"/>
        <v>1</v>
      </c>
      <c r="Y3207" s="256"/>
      <c r="Z3207" s="256"/>
      <c r="AA3207" s="292"/>
      <c r="AB3207" s="292"/>
      <c r="AC3207" s="292"/>
    </row>
    <row r="3208" spans="1:29" s="293" customFormat="1" ht="15.75" hidden="1" customHeight="1" x14ac:dyDescent="0.2">
      <c r="A3208" s="288" t="s">
        <v>197</v>
      </c>
      <c r="B3208" s="364"/>
      <c r="C3208" s="365"/>
      <c r="D3208" s="1354"/>
      <c r="E3208" s="1355"/>
      <c r="F3208" s="1355"/>
      <c r="G3208" s="1355"/>
      <c r="H3208" s="1355"/>
      <c r="I3208" s="1356"/>
      <c r="J3208" s="1367"/>
      <c r="K3208" s="1368"/>
      <c r="L3208" s="1370"/>
      <c r="M3208" s="1371" t="s">
        <v>496</v>
      </c>
      <c r="N3208" s="1372"/>
      <c r="O3208" s="1372"/>
      <c r="P3208" s="1372"/>
      <c r="Q3208" s="1373"/>
      <c r="R3208" s="362">
        <f>R3206-R3207</f>
        <v>0</v>
      </c>
      <c r="S3208" s="363" t="str">
        <f>L3206</f>
        <v>m²</v>
      </c>
      <c r="T3208" s="366"/>
      <c r="U3208" s="367"/>
      <c r="V3208" s="291">
        <f t="shared" ca="1" si="891"/>
        <v>0</v>
      </c>
      <c r="W3208" s="256">
        <f t="shared" ca="1" si="885"/>
        <v>2</v>
      </c>
      <c r="X3208" s="256">
        <f t="shared" ca="1" si="888"/>
        <v>1</v>
      </c>
      <c r="Y3208" s="256"/>
      <c r="Z3208" s="256"/>
      <c r="AA3208" s="292"/>
      <c r="AB3208" s="292"/>
      <c r="AC3208" s="292"/>
    </row>
    <row r="3209" spans="1:29" s="111" customFormat="1" ht="15.75" hidden="1" x14ac:dyDescent="0.2">
      <c r="A3209" s="288"/>
      <c r="B3209" s="368"/>
      <c r="C3209" s="365"/>
      <c r="D3209" s="369"/>
      <c r="E3209" s="370"/>
      <c r="F3209" s="369"/>
      <c r="G3209" s="369"/>
      <c r="H3209" s="369"/>
      <c r="I3209" s="369"/>
      <c r="J3209" s="371"/>
      <c r="K3209" s="372"/>
      <c r="L3209" s="373"/>
      <c r="M3209" s="374"/>
      <c r="N3209" s="374"/>
      <c r="O3209" s="374"/>
      <c r="P3209" s="374"/>
      <c r="Q3209" s="374"/>
      <c r="R3209" s="375"/>
      <c r="S3209" s="376"/>
      <c r="T3209" s="377"/>
      <c r="U3209" s="378"/>
      <c r="V3209" s="379">
        <f ca="1">SUM(V3200:V3208)</f>
        <v>0</v>
      </c>
      <c r="W3209" s="256">
        <f t="shared" ca="1" si="885"/>
        <v>1</v>
      </c>
      <c r="X3209" s="256">
        <f t="shared" ca="1" si="888"/>
        <v>0</v>
      </c>
      <c r="Y3209" s="250"/>
      <c r="Z3209" s="250"/>
    </row>
    <row r="3210" spans="1:29" s="293" customFormat="1" ht="15.75" hidden="1" customHeight="1" x14ac:dyDescent="0.25">
      <c r="A3210" s="288"/>
      <c r="B3210" s="1374" t="str">
        <f>VLOOKUP(A3218,'11 - FINANCEIRO'!_xlnm.Print_Area,1,FALSE)</f>
        <v>4.4.6</v>
      </c>
      <c r="C3210" s="1376" t="str">
        <f>VLOOKUP(A3218,'11 - FINANCEIRO'!_xlnm.Print_Area,3,FALSE)</f>
        <v>Fabricação, Montagem E Desmontagem De Fôrma Para Bloco De Coroamento, Em Chapa De Madeira Compensada Resinada, E=17 Mm, 2 Utilizações. Af_06/2017</v>
      </c>
      <c r="D3210" s="1378" t="s">
        <v>477</v>
      </c>
      <c r="E3210" s="1379"/>
      <c r="F3210" s="1379"/>
      <c r="G3210" s="1379"/>
      <c r="H3210" s="1379"/>
      <c r="I3210" s="1380"/>
      <c r="J3210" s="1338" t="s">
        <v>478</v>
      </c>
      <c r="K3210" s="1338" t="s">
        <v>479</v>
      </c>
      <c r="L3210" s="1338" t="s">
        <v>480</v>
      </c>
      <c r="M3210" s="1338" t="s">
        <v>481</v>
      </c>
      <c r="N3210" s="1338" t="s">
        <v>482</v>
      </c>
      <c r="O3210" s="1338" t="s">
        <v>483</v>
      </c>
      <c r="P3210" s="290" t="s">
        <v>484</v>
      </c>
      <c r="Q3210" s="1338" t="s">
        <v>485</v>
      </c>
      <c r="R3210" s="1336" t="s">
        <v>296</v>
      </c>
      <c r="S3210" s="1338" t="s">
        <v>486</v>
      </c>
      <c r="T3210" s="1338" t="s">
        <v>487</v>
      </c>
      <c r="U3210" s="1340" t="s">
        <v>488</v>
      </c>
      <c r="V3210" s="291">
        <f t="shared" ref="V3210:V3218" ca="1" si="892">IF(OFFSET(V3210,1,1)=1,OFFSET(V3210,0,-4),OFFSET(V3210,1,0))</f>
        <v>0</v>
      </c>
      <c r="W3210" s="256">
        <f t="shared" ca="1" si="885"/>
        <v>2</v>
      </c>
      <c r="X3210" s="256">
        <f t="shared" ca="1" si="888"/>
        <v>1</v>
      </c>
      <c r="Y3210" s="256"/>
      <c r="Z3210" s="256"/>
      <c r="AA3210" s="292"/>
      <c r="AB3210" s="292"/>
      <c r="AC3210" s="292"/>
    </row>
    <row r="3211" spans="1:29" s="337" customFormat="1" ht="15.75" hidden="1" x14ac:dyDescent="0.2">
      <c r="A3211" s="288"/>
      <c r="B3211" s="1375"/>
      <c r="C3211" s="1377" t="e">
        <f>VLOOKUP(LEFT(#REF!,5),'11 - FINANCEIRO'!_xlnm.Print_Area,2,FALSE)</f>
        <v>#REF!</v>
      </c>
      <c r="D3211" s="1342" t="s">
        <v>489</v>
      </c>
      <c r="E3211" s="1343"/>
      <c r="F3211" s="1344"/>
      <c r="G3211" s="1345" t="s">
        <v>490</v>
      </c>
      <c r="H3211" s="1346"/>
      <c r="I3211" s="1347"/>
      <c r="J3211" s="1339"/>
      <c r="K3211" s="1339"/>
      <c r="L3211" s="1339"/>
      <c r="M3211" s="1339"/>
      <c r="N3211" s="1339"/>
      <c r="O3211" s="1339"/>
      <c r="P3211" s="295" t="s">
        <v>491</v>
      </c>
      <c r="Q3211" s="1339"/>
      <c r="R3211" s="1337"/>
      <c r="S3211" s="1339"/>
      <c r="T3211" s="1339"/>
      <c r="U3211" s="1341"/>
      <c r="V3211" s="291">
        <f t="shared" ca="1" si="892"/>
        <v>0</v>
      </c>
      <c r="W3211" s="256">
        <f t="shared" ca="1" si="885"/>
        <v>2</v>
      </c>
      <c r="X3211" s="256">
        <f t="shared" ca="1" si="888"/>
        <v>1</v>
      </c>
      <c r="Y3211" s="336"/>
      <c r="Z3211" s="336"/>
    </row>
    <row r="3212" spans="1:29" s="337" customFormat="1" ht="15.75" hidden="1" x14ac:dyDescent="0.2">
      <c r="A3212" s="288"/>
      <c r="B3212" s="296"/>
      <c r="C3212" s="297" t="s">
        <v>1058</v>
      </c>
      <c r="D3212" s="298"/>
      <c r="E3212" s="299"/>
      <c r="F3212" s="300"/>
      <c r="G3212" s="301"/>
      <c r="H3212" s="302"/>
      <c r="I3212" s="303"/>
      <c r="J3212" s="304"/>
      <c r="K3212" s="313">
        <f>9.2+7.2</f>
        <v>16.399999999999999</v>
      </c>
      <c r="L3212" s="317">
        <v>0.25</v>
      </c>
      <c r="M3212" s="315"/>
      <c r="N3212" s="314">
        <f>K3212*L3212</f>
        <v>4.0999999999999996</v>
      </c>
      <c r="O3212" s="313"/>
      <c r="P3212" s="318"/>
      <c r="Q3212" s="315">
        <v>2</v>
      </c>
      <c r="R3212" s="319">
        <f>N3212*Q3212</f>
        <v>8.1999999999999993</v>
      </c>
      <c r="S3212" s="416" t="str">
        <f>$L$3216</f>
        <v>m²</v>
      </c>
      <c r="T3212" s="309">
        <v>37</v>
      </c>
      <c r="U3212" s="310"/>
      <c r="V3212" s="291">
        <f t="shared" ca="1" si="892"/>
        <v>0</v>
      </c>
      <c r="W3212" s="256">
        <f t="shared" ca="1" si="885"/>
        <v>2</v>
      </c>
      <c r="X3212" s="256">
        <f t="shared" ca="1" si="888"/>
        <v>1</v>
      </c>
      <c r="Y3212" s="336"/>
      <c r="Z3212" s="336"/>
    </row>
    <row r="3213" spans="1:29" s="111" customFormat="1" ht="15.75" hidden="1" x14ac:dyDescent="0.2">
      <c r="A3213" s="288"/>
      <c r="B3213" s="311"/>
      <c r="C3213" s="312" t="s">
        <v>1059</v>
      </c>
      <c r="D3213" s="313"/>
      <c r="E3213" s="314"/>
      <c r="F3213" s="315"/>
      <c r="G3213" s="380"/>
      <c r="H3213" s="316"/>
      <c r="I3213" s="381"/>
      <c r="J3213" s="317"/>
      <c r="K3213" s="313">
        <f>19+3+5</f>
        <v>27</v>
      </c>
      <c r="L3213" s="317">
        <v>0.2</v>
      </c>
      <c r="M3213" s="328"/>
      <c r="N3213" s="314">
        <f>K3213*L3213</f>
        <v>5.4</v>
      </c>
      <c r="O3213" s="334"/>
      <c r="P3213" s="328"/>
      <c r="Q3213" s="315">
        <v>2</v>
      </c>
      <c r="R3213" s="319">
        <f>N3213*Q3213</f>
        <v>10.8</v>
      </c>
      <c r="S3213" s="433" t="str">
        <f>$L$3216</f>
        <v>m²</v>
      </c>
      <c r="T3213" s="320">
        <v>37</v>
      </c>
      <c r="U3213" s="321"/>
      <c r="V3213" s="291">
        <f t="shared" ca="1" si="892"/>
        <v>0</v>
      </c>
      <c r="W3213" s="256">
        <f t="shared" ca="1" si="885"/>
        <v>2</v>
      </c>
      <c r="X3213" s="256">
        <f t="shared" ca="1" si="888"/>
        <v>1</v>
      </c>
      <c r="Y3213" s="250"/>
      <c r="Z3213" s="250"/>
    </row>
    <row r="3214" spans="1:29" s="111" customFormat="1" ht="15" hidden="1" x14ac:dyDescent="0.2">
      <c r="A3214" s="288"/>
      <c r="B3214" s="322"/>
      <c r="C3214" s="382"/>
      <c r="D3214" s="324"/>
      <c r="E3214" s="325"/>
      <c r="F3214" s="326"/>
      <c r="G3214" s="324"/>
      <c r="H3214" s="325"/>
      <c r="I3214" s="326"/>
      <c r="J3214" s="317"/>
      <c r="K3214" s="328"/>
      <c r="L3214" s="328"/>
      <c r="M3214" s="328"/>
      <c r="N3214" s="328"/>
      <c r="O3214" s="334"/>
      <c r="P3214" s="328"/>
      <c r="Q3214" s="334"/>
      <c r="R3214" s="333"/>
      <c r="S3214" s="331"/>
      <c r="T3214" s="320"/>
      <c r="U3214" s="335"/>
      <c r="V3214" s="291">
        <f t="shared" ca="1" si="892"/>
        <v>0</v>
      </c>
      <c r="W3214" s="256">
        <f t="shared" ca="1" si="885"/>
        <v>0</v>
      </c>
      <c r="X3214" s="256">
        <f t="shared" ca="1" si="888"/>
        <v>1</v>
      </c>
      <c r="Y3214" s="250"/>
      <c r="Z3214" s="250"/>
    </row>
    <row r="3215" spans="1:29" s="111" customFormat="1" ht="15" hidden="1" x14ac:dyDescent="0.2">
      <c r="A3215" s="288"/>
      <c r="B3215" s="338"/>
      <c r="C3215" s="339"/>
      <c r="D3215" s="340"/>
      <c r="E3215" s="341"/>
      <c r="F3215" s="342"/>
      <c r="G3215" s="340"/>
      <c r="H3215" s="341"/>
      <c r="I3215" s="342"/>
      <c r="J3215" s="343"/>
      <c r="K3215" s="344"/>
      <c r="L3215" s="345"/>
      <c r="M3215" s="346"/>
      <c r="N3215" s="347"/>
      <c r="O3215" s="348"/>
      <c r="P3215" s="345"/>
      <c r="Q3215" s="349"/>
      <c r="R3215" s="350"/>
      <c r="S3215" s="351"/>
      <c r="T3215" s="352"/>
      <c r="U3215" s="353"/>
      <c r="V3215" s="291">
        <f t="shared" ca="1" si="892"/>
        <v>0</v>
      </c>
      <c r="W3215" s="256">
        <f t="shared" ref="W3215:W3278" ca="1" si="893">IF(LEFT(_xlfn.FORMULATEXT(V3215),3)="=SO",1,IF(COUNTA(A3215:U3215)=0,0,2))</f>
        <v>0</v>
      </c>
      <c r="X3215" s="256">
        <f t="shared" ca="1" si="888"/>
        <v>1</v>
      </c>
      <c r="Y3215" s="250"/>
      <c r="Z3215" s="250"/>
    </row>
    <row r="3216" spans="1:29" s="111" customFormat="1" ht="15.75" hidden="1" customHeight="1" x14ac:dyDescent="0.2">
      <c r="A3216" s="288"/>
      <c r="B3216" s="354"/>
      <c r="C3216" s="355"/>
      <c r="D3216" s="1354" t="s">
        <v>492</v>
      </c>
      <c r="E3216" s="1355"/>
      <c r="F3216" s="1355"/>
      <c r="G3216" s="1355"/>
      <c r="H3216" s="1355"/>
      <c r="I3216" s="1356"/>
      <c r="J3216" s="1357">
        <f>VLOOKUP(A3218,'11 - FINANCEIRO'!_xlnm.Print_Area,6,FALSE)</f>
        <v>19</v>
      </c>
      <c r="K3216" s="1358"/>
      <c r="L3216" s="356" t="str">
        <f>VLOOKUP(A3218,'11 - FINANCEIRO'!_xlnm.Print_Area,4,FALSE)</f>
        <v>m²</v>
      </c>
      <c r="M3216" s="1359" t="s">
        <v>493</v>
      </c>
      <c r="N3216" s="1360"/>
      <c r="O3216" s="1360"/>
      <c r="P3216" s="1360"/>
      <c r="Q3216" s="1361"/>
      <c r="R3216" s="357">
        <f>TRUNC(SUM(R3212:R3215),3)</f>
        <v>19</v>
      </c>
      <c r="S3216" s="358" t="str">
        <f>L3216</f>
        <v>m²</v>
      </c>
      <c r="T3216" s="359"/>
      <c r="U3216" s="360"/>
      <c r="V3216" s="291">
        <f t="shared" ca="1" si="892"/>
        <v>0</v>
      </c>
      <c r="W3216" s="256">
        <f t="shared" ca="1" si="893"/>
        <v>2</v>
      </c>
      <c r="X3216" s="256">
        <f t="shared" ca="1" si="888"/>
        <v>1</v>
      </c>
      <c r="Y3216" s="250"/>
      <c r="Z3216" s="250"/>
    </row>
    <row r="3217" spans="1:29" s="293" customFormat="1" ht="15.75" hidden="1" customHeight="1" x14ac:dyDescent="0.2">
      <c r="A3217" s="288"/>
      <c r="B3217" s="354"/>
      <c r="C3217" s="361"/>
      <c r="D3217" s="1362" t="s">
        <v>494</v>
      </c>
      <c r="E3217" s="1363"/>
      <c r="F3217" s="1363"/>
      <c r="G3217" s="1363"/>
      <c r="H3217" s="1363"/>
      <c r="I3217" s="1364"/>
      <c r="J3217" s="1365">
        <f>R3216/J3216</f>
        <v>1</v>
      </c>
      <c r="K3217" s="1366"/>
      <c r="L3217" s="1369"/>
      <c r="M3217" s="1371" t="s">
        <v>495</v>
      </c>
      <c r="N3217" s="1372"/>
      <c r="O3217" s="1372"/>
      <c r="P3217" s="1372"/>
      <c r="Q3217" s="1373"/>
      <c r="R3217" s="362">
        <f>VLOOKUP(A3218,'11 - FINANCEIRO'!_xlnm.Print_Area,8,FALSE)</f>
        <v>19</v>
      </c>
      <c r="S3217" s="363" t="str">
        <f>L3216</f>
        <v>m²</v>
      </c>
      <c r="T3217" s="359"/>
      <c r="U3217" s="360"/>
      <c r="V3217" s="291">
        <f t="shared" ca="1" si="892"/>
        <v>0</v>
      </c>
      <c r="W3217" s="256">
        <f t="shared" ca="1" si="893"/>
        <v>2</v>
      </c>
      <c r="X3217" s="256">
        <f t="shared" ca="1" si="888"/>
        <v>1</v>
      </c>
      <c r="Y3217" s="256"/>
      <c r="Z3217" s="256"/>
      <c r="AA3217" s="292"/>
      <c r="AB3217" s="292"/>
      <c r="AC3217" s="292"/>
    </row>
    <row r="3218" spans="1:29" s="293" customFormat="1" ht="15.75" hidden="1" customHeight="1" x14ac:dyDescent="0.2">
      <c r="A3218" s="288" t="s">
        <v>198</v>
      </c>
      <c r="B3218" s="364"/>
      <c r="C3218" s="365"/>
      <c r="D3218" s="1354"/>
      <c r="E3218" s="1355"/>
      <c r="F3218" s="1355"/>
      <c r="G3218" s="1355"/>
      <c r="H3218" s="1355"/>
      <c r="I3218" s="1356"/>
      <c r="J3218" s="1367"/>
      <c r="K3218" s="1368"/>
      <c r="L3218" s="1370"/>
      <c r="M3218" s="1371" t="s">
        <v>496</v>
      </c>
      <c r="N3218" s="1372"/>
      <c r="O3218" s="1372"/>
      <c r="P3218" s="1372"/>
      <c r="Q3218" s="1373"/>
      <c r="R3218" s="362">
        <f>R3216-R3217</f>
        <v>0</v>
      </c>
      <c r="S3218" s="363" t="str">
        <f>L3216</f>
        <v>m²</v>
      </c>
      <c r="T3218" s="366"/>
      <c r="U3218" s="367"/>
      <c r="V3218" s="291">
        <f t="shared" ca="1" si="892"/>
        <v>0</v>
      </c>
      <c r="W3218" s="256">
        <f t="shared" ca="1" si="893"/>
        <v>2</v>
      </c>
      <c r="X3218" s="256">
        <f t="shared" ca="1" si="888"/>
        <v>1</v>
      </c>
      <c r="Y3218" s="256"/>
      <c r="Z3218" s="256"/>
      <c r="AA3218" s="292"/>
      <c r="AB3218" s="292"/>
      <c r="AC3218" s="292"/>
    </row>
    <row r="3219" spans="1:29" s="111" customFormat="1" ht="15.75" hidden="1" x14ac:dyDescent="0.2">
      <c r="A3219" s="288"/>
      <c r="B3219" s="368"/>
      <c r="C3219" s="365"/>
      <c r="D3219" s="369"/>
      <c r="E3219" s="370"/>
      <c r="F3219" s="369"/>
      <c r="G3219" s="369"/>
      <c r="H3219" s="369"/>
      <c r="I3219" s="369"/>
      <c r="J3219" s="371"/>
      <c r="K3219" s="372"/>
      <c r="L3219" s="373"/>
      <c r="M3219" s="374"/>
      <c r="N3219" s="374"/>
      <c r="O3219" s="374"/>
      <c r="P3219" s="374"/>
      <c r="Q3219" s="374"/>
      <c r="R3219" s="375"/>
      <c r="S3219" s="376"/>
      <c r="T3219" s="377"/>
      <c r="U3219" s="378"/>
      <c r="V3219" s="379">
        <f ca="1">SUM(V3210:V3218)</f>
        <v>0</v>
      </c>
      <c r="W3219" s="256">
        <f t="shared" ca="1" si="893"/>
        <v>1</v>
      </c>
      <c r="X3219" s="256">
        <f t="shared" ca="1" si="888"/>
        <v>0</v>
      </c>
      <c r="Y3219" s="250"/>
      <c r="Z3219" s="250"/>
    </row>
    <row r="3220" spans="1:29" s="293" customFormat="1" ht="15.75" hidden="1" customHeight="1" x14ac:dyDescent="0.25">
      <c r="A3220" s="288"/>
      <c r="B3220" s="1374" t="str">
        <f>VLOOKUP(A3228,'11 - FINANCEIRO'!_xlnm.Print_Area,1,FALSE)</f>
        <v>4.4.7</v>
      </c>
      <c r="C3220" s="1376" t="str">
        <f>VLOOKUP(A3228,'11 - FINANCEIRO'!_xlnm.Print_Area,3,FALSE)</f>
        <v>Chumbador Tipo Espera Em Aço Ca-25 Para Fixação De Estrutura Metálica Em Concreto - Fornecimento E Instalação</v>
      </c>
      <c r="D3220" s="1378" t="s">
        <v>477</v>
      </c>
      <c r="E3220" s="1379"/>
      <c r="F3220" s="1379"/>
      <c r="G3220" s="1379"/>
      <c r="H3220" s="1379"/>
      <c r="I3220" s="1380"/>
      <c r="J3220" s="1338" t="s">
        <v>478</v>
      </c>
      <c r="K3220" s="1338" t="s">
        <v>479</v>
      </c>
      <c r="L3220" s="1338" t="s">
        <v>480</v>
      </c>
      <c r="M3220" s="1338" t="s">
        <v>481</v>
      </c>
      <c r="N3220" s="1338" t="s">
        <v>482</v>
      </c>
      <c r="O3220" s="1338" t="s">
        <v>483</v>
      </c>
      <c r="P3220" s="290" t="s">
        <v>484</v>
      </c>
      <c r="Q3220" s="1338" t="s">
        <v>485</v>
      </c>
      <c r="R3220" s="1336" t="s">
        <v>296</v>
      </c>
      <c r="S3220" s="1338" t="s">
        <v>486</v>
      </c>
      <c r="T3220" s="1338" t="s">
        <v>487</v>
      </c>
      <c r="U3220" s="1340" t="s">
        <v>488</v>
      </c>
      <c r="V3220" s="291">
        <f t="shared" ref="V3220:V3228" ca="1" si="894">IF(OFFSET(V3220,1,1)=1,OFFSET(V3220,0,-4),OFFSET(V3220,1,0))</f>
        <v>0</v>
      </c>
      <c r="W3220" s="256">
        <f t="shared" ca="1" si="893"/>
        <v>2</v>
      </c>
      <c r="X3220" s="256">
        <f t="shared" ca="1" si="888"/>
        <v>1</v>
      </c>
      <c r="Y3220" s="256"/>
      <c r="Z3220" s="256"/>
      <c r="AA3220" s="292"/>
      <c r="AB3220" s="292"/>
      <c r="AC3220" s="292"/>
    </row>
    <row r="3221" spans="1:29" s="337" customFormat="1" ht="15.75" hidden="1" x14ac:dyDescent="0.2">
      <c r="A3221" s="288"/>
      <c r="B3221" s="1375"/>
      <c r="C3221" s="1377" t="e">
        <f>VLOOKUP(LEFT(#REF!,5),'11 - FINANCEIRO'!_xlnm.Print_Area,2,FALSE)</f>
        <v>#REF!</v>
      </c>
      <c r="D3221" s="1342" t="s">
        <v>489</v>
      </c>
      <c r="E3221" s="1343"/>
      <c r="F3221" s="1344"/>
      <c r="G3221" s="1345" t="s">
        <v>490</v>
      </c>
      <c r="H3221" s="1346"/>
      <c r="I3221" s="1347"/>
      <c r="J3221" s="1339"/>
      <c r="K3221" s="1339"/>
      <c r="L3221" s="1339"/>
      <c r="M3221" s="1339"/>
      <c r="N3221" s="1339"/>
      <c r="O3221" s="1339"/>
      <c r="P3221" s="295" t="s">
        <v>491</v>
      </c>
      <c r="Q3221" s="1339"/>
      <c r="R3221" s="1337"/>
      <c r="S3221" s="1339"/>
      <c r="T3221" s="1339"/>
      <c r="U3221" s="1341"/>
      <c r="V3221" s="291">
        <f t="shared" ca="1" si="894"/>
        <v>0</v>
      </c>
      <c r="W3221" s="256">
        <f t="shared" ca="1" si="893"/>
        <v>2</v>
      </c>
      <c r="X3221" s="256">
        <f t="shared" ca="1" si="888"/>
        <v>1</v>
      </c>
      <c r="Y3221" s="336"/>
      <c r="Z3221" s="336"/>
    </row>
    <row r="3222" spans="1:29" s="337" customFormat="1" ht="15.75" hidden="1" x14ac:dyDescent="0.2">
      <c r="A3222" s="288"/>
      <c r="B3222" s="296"/>
      <c r="C3222" s="297" t="s">
        <v>996</v>
      </c>
      <c r="D3222" s="298"/>
      <c r="E3222" s="299"/>
      <c r="F3222" s="300"/>
      <c r="G3222" s="301"/>
      <c r="H3222" s="302"/>
      <c r="I3222" s="303"/>
      <c r="J3222" s="304" t="s">
        <v>620</v>
      </c>
      <c r="K3222" s="304"/>
      <c r="L3222" s="304"/>
      <c r="M3222" s="304"/>
      <c r="N3222" s="304"/>
      <c r="O3222" s="304"/>
      <c r="P3222" s="306"/>
      <c r="Q3222" s="304"/>
      <c r="R3222" s="307">
        <v>6.4</v>
      </c>
      <c r="S3222" s="416" t="str">
        <f>$L$3226</f>
        <v>kg</v>
      </c>
      <c r="T3222" s="309">
        <v>37</v>
      </c>
      <c r="U3222" s="310"/>
      <c r="V3222" s="291">
        <f t="shared" ca="1" si="894"/>
        <v>0</v>
      </c>
      <c r="W3222" s="256">
        <f t="shared" ca="1" si="893"/>
        <v>2</v>
      </c>
      <c r="X3222" s="256">
        <f t="shared" ca="1" si="888"/>
        <v>1</v>
      </c>
      <c r="Y3222" s="336"/>
      <c r="Z3222" s="336"/>
    </row>
    <row r="3223" spans="1:29" s="111" customFormat="1" ht="15.75" hidden="1" x14ac:dyDescent="0.2">
      <c r="A3223" s="288"/>
      <c r="B3223" s="311"/>
      <c r="C3223" s="312" t="s">
        <v>996</v>
      </c>
      <c r="D3223" s="313"/>
      <c r="E3223" s="314"/>
      <c r="F3223" s="315"/>
      <c r="G3223" s="380"/>
      <c r="H3223" s="316"/>
      <c r="I3223" s="381"/>
      <c r="J3223" s="317" t="s">
        <v>621</v>
      </c>
      <c r="K3223" s="313"/>
      <c r="L3223" s="317"/>
      <c r="M3223" s="315"/>
      <c r="N3223" s="314"/>
      <c r="O3223" s="313"/>
      <c r="P3223" s="318"/>
      <c r="Q3223" s="315"/>
      <c r="R3223" s="319">
        <v>6.4</v>
      </c>
      <c r="S3223" s="433" t="str">
        <f>$L$3226</f>
        <v>kg</v>
      </c>
      <c r="T3223" s="320">
        <v>37</v>
      </c>
      <c r="U3223" s="321"/>
      <c r="V3223" s="291">
        <f t="shared" ca="1" si="894"/>
        <v>0</v>
      </c>
      <c r="W3223" s="256">
        <f t="shared" ca="1" si="893"/>
        <v>2</v>
      </c>
      <c r="X3223" s="256">
        <f t="shared" ca="1" si="888"/>
        <v>1</v>
      </c>
      <c r="Y3223" s="250"/>
      <c r="Z3223" s="250"/>
    </row>
    <row r="3224" spans="1:29" s="111" customFormat="1" ht="15" hidden="1" x14ac:dyDescent="0.2">
      <c r="A3224" s="288"/>
      <c r="B3224" s="322"/>
      <c r="C3224" s="382"/>
      <c r="D3224" s="324"/>
      <c r="E3224" s="325"/>
      <c r="F3224" s="326"/>
      <c r="G3224" s="324"/>
      <c r="H3224" s="325"/>
      <c r="I3224" s="326"/>
      <c r="J3224" s="317"/>
      <c r="K3224" s="328"/>
      <c r="L3224" s="328"/>
      <c r="M3224" s="328"/>
      <c r="N3224" s="328"/>
      <c r="O3224" s="334"/>
      <c r="P3224" s="328"/>
      <c r="Q3224" s="334"/>
      <c r="R3224" s="333"/>
      <c r="S3224" s="331"/>
      <c r="T3224" s="320"/>
      <c r="U3224" s="335"/>
      <c r="V3224" s="291">
        <f t="shared" ca="1" si="894"/>
        <v>0</v>
      </c>
      <c r="W3224" s="256">
        <f t="shared" ca="1" si="893"/>
        <v>0</v>
      </c>
      <c r="X3224" s="256">
        <f t="shared" ca="1" si="888"/>
        <v>1</v>
      </c>
      <c r="Y3224" s="250"/>
      <c r="Z3224" s="250"/>
    </row>
    <row r="3225" spans="1:29" s="111" customFormat="1" ht="15" hidden="1" x14ac:dyDescent="0.2">
      <c r="A3225" s="288"/>
      <c r="B3225" s="338"/>
      <c r="C3225" s="339"/>
      <c r="D3225" s="340"/>
      <c r="E3225" s="341"/>
      <c r="F3225" s="342"/>
      <c r="G3225" s="340"/>
      <c r="H3225" s="341"/>
      <c r="I3225" s="342"/>
      <c r="J3225" s="343"/>
      <c r="K3225" s="344"/>
      <c r="L3225" s="345"/>
      <c r="M3225" s="346"/>
      <c r="N3225" s="347"/>
      <c r="O3225" s="348"/>
      <c r="P3225" s="345"/>
      <c r="Q3225" s="349"/>
      <c r="R3225" s="350"/>
      <c r="S3225" s="351"/>
      <c r="T3225" s="352"/>
      <c r="U3225" s="353"/>
      <c r="V3225" s="291">
        <f t="shared" ca="1" si="894"/>
        <v>0</v>
      </c>
      <c r="W3225" s="256">
        <f t="shared" ca="1" si="893"/>
        <v>0</v>
      </c>
      <c r="X3225" s="256">
        <f t="shared" ca="1" si="888"/>
        <v>1</v>
      </c>
      <c r="Y3225" s="250"/>
      <c r="Z3225" s="250"/>
    </row>
    <row r="3226" spans="1:29" s="111" customFormat="1" ht="15.75" hidden="1" customHeight="1" x14ac:dyDescent="0.2">
      <c r="A3226" s="288"/>
      <c r="B3226" s="354"/>
      <c r="C3226" s="355"/>
      <c r="D3226" s="1354" t="s">
        <v>492</v>
      </c>
      <c r="E3226" s="1355"/>
      <c r="F3226" s="1355"/>
      <c r="G3226" s="1355"/>
      <c r="H3226" s="1355"/>
      <c r="I3226" s="1356"/>
      <c r="J3226" s="1357">
        <f>VLOOKUP(A3228,'11 - FINANCEIRO'!_xlnm.Print_Area,6,FALSE)</f>
        <v>12.8</v>
      </c>
      <c r="K3226" s="1358"/>
      <c r="L3226" s="356" t="str">
        <f>VLOOKUP(A3228,'11 - FINANCEIRO'!_xlnm.Print_Area,4,FALSE)</f>
        <v>kg</v>
      </c>
      <c r="M3226" s="1359" t="s">
        <v>493</v>
      </c>
      <c r="N3226" s="1360"/>
      <c r="O3226" s="1360"/>
      <c r="P3226" s="1360"/>
      <c r="Q3226" s="1361"/>
      <c r="R3226" s="357">
        <f>TRUNC(SUM(R3222:R3225),3)</f>
        <v>12.8</v>
      </c>
      <c r="S3226" s="358" t="str">
        <f>L3226</f>
        <v>kg</v>
      </c>
      <c r="T3226" s="359"/>
      <c r="U3226" s="360"/>
      <c r="V3226" s="291">
        <f t="shared" ca="1" si="894"/>
        <v>0</v>
      </c>
      <c r="W3226" s="256">
        <f t="shared" ca="1" si="893"/>
        <v>2</v>
      </c>
      <c r="X3226" s="256">
        <f t="shared" ca="1" si="888"/>
        <v>1</v>
      </c>
      <c r="Y3226" s="250"/>
      <c r="Z3226" s="250"/>
    </row>
    <row r="3227" spans="1:29" s="293" customFormat="1" ht="15.75" hidden="1" customHeight="1" x14ac:dyDescent="0.2">
      <c r="A3227" s="288"/>
      <c r="B3227" s="354"/>
      <c r="C3227" s="361"/>
      <c r="D3227" s="1362" t="s">
        <v>494</v>
      </c>
      <c r="E3227" s="1363"/>
      <c r="F3227" s="1363"/>
      <c r="G3227" s="1363"/>
      <c r="H3227" s="1363"/>
      <c r="I3227" s="1364"/>
      <c r="J3227" s="1365">
        <f>R3226/J3226</f>
        <v>1</v>
      </c>
      <c r="K3227" s="1366"/>
      <c r="L3227" s="1369"/>
      <c r="M3227" s="1371" t="s">
        <v>495</v>
      </c>
      <c r="N3227" s="1372"/>
      <c r="O3227" s="1372"/>
      <c r="P3227" s="1372"/>
      <c r="Q3227" s="1373"/>
      <c r="R3227" s="362">
        <f>VLOOKUP(A3228,'11 - FINANCEIRO'!_xlnm.Print_Area,8,FALSE)</f>
        <v>12.8</v>
      </c>
      <c r="S3227" s="363" t="str">
        <f>L3226</f>
        <v>kg</v>
      </c>
      <c r="T3227" s="359"/>
      <c r="U3227" s="360"/>
      <c r="V3227" s="291">
        <f t="shared" ca="1" si="894"/>
        <v>0</v>
      </c>
      <c r="W3227" s="256">
        <f t="shared" ca="1" si="893"/>
        <v>2</v>
      </c>
      <c r="X3227" s="256">
        <f t="shared" ca="1" si="888"/>
        <v>1</v>
      </c>
      <c r="Y3227" s="256"/>
      <c r="Z3227" s="256"/>
      <c r="AA3227" s="292"/>
      <c r="AB3227" s="292"/>
      <c r="AC3227" s="292"/>
    </row>
    <row r="3228" spans="1:29" s="293" customFormat="1" ht="15.75" hidden="1" customHeight="1" x14ac:dyDescent="0.2">
      <c r="A3228" s="288" t="s">
        <v>199</v>
      </c>
      <c r="B3228" s="364"/>
      <c r="C3228" s="365"/>
      <c r="D3228" s="1354"/>
      <c r="E3228" s="1355"/>
      <c r="F3228" s="1355"/>
      <c r="G3228" s="1355"/>
      <c r="H3228" s="1355"/>
      <c r="I3228" s="1356"/>
      <c r="J3228" s="1367"/>
      <c r="K3228" s="1368"/>
      <c r="L3228" s="1370"/>
      <c r="M3228" s="1371" t="s">
        <v>496</v>
      </c>
      <c r="N3228" s="1372"/>
      <c r="O3228" s="1372"/>
      <c r="P3228" s="1372"/>
      <c r="Q3228" s="1373"/>
      <c r="R3228" s="362">
        <f>R3226-R3227</f>
        <v>0</v>
      </c>
      <c r="S3228" s="363" t="str">
        <f>L3226</f>
        <v>kg</v>
      </c>
      <c r="T3228" s="366"/>
      <c r="U3228" s="367"/>
      <c r="V3228" s="291">
        <f t="shared" ca="1" si="894"/>
        <v>0</v>
      </c>
      <c r="W3228" s="256">
        <f t="shared" ca="1" si="893"/>
        <v>2</v>
      </c>
      <c r="X3228" s="256">
        <f t="shared" ca="1" si="888"/>
        <v>1</v>
      </c>
      <c r="Y3228" s="256"/>
      <c r="Z3228" s="256"/>
      <c r="AA3228" s="292"/>
      <c r="AB3228" s="292"/>
      <c r="AC3228" s="292"/>
    </row>
    <row r="3229" spans="1:29" s="111" customFormat="1" ht="15.75" hidden="1" x14ac:dyDescent="0.2">
      <c r="A3229" s="288"/>
      <c r="B3229" s="368"/>
      <c r="C3229" s="365"/>
      <c r="D3229" s="369"/>
      <c r="E3229" s="370"/>
      <c r="F3229" s="369"/>
      <c r="G3229" s="369"/>
      <c r="H3229" s="369"/>
      <c r="I3229" s="369"/>
      <c r="J3229" s="371"/>
      <c r="K3229" s="372"/>
      <c r="L3229" s="373"/>
      <c r="M3229" s="374"/>
      <c r="N3229" s="374"/>
      <c r="O3229" s="374"/>
      <c r="P3229" s="374"/>
      <c r="Q3229" s="374"/>
      <c r="R3229" s="375"/>
      <c r="S3229" s="376"/>
      <c r="T3229" s="377"/>
      <c r="U3229" s="378"/>
      <c r="V3229" s="379">
        <f ca="1">SUM(V3220:V3228)</f>
        <v>0</v>
      </c>
      <c r="W3229" s="256">
        <f t="shared" ca="1" si="893"/>
        <v>1</v>
      </c>
      <c r="X3229" s="256">
        <f t="shared" ca="1" si="888"/>
        <v>0</v>
      </c>
      <c r="Y3229" s="250"/>
      <c r="Z3229" s="250"/>
    </row>
    <row r="3230" spans="1:29" s="293" customFormat="1" ht="15.75" hidden="1" customHeight="1" x14ac:dyDescent="0.25">
      <c r="A3230" s="288"/>
      <c r="B3230" s="1374" t="str">
        <f>VLOOKUP(A3238,'11 - FINANCEIRO'!_xlnm.Print_Area,1,FALSE)</f>
        <v>4.4.8</v>
      </c>
      <c r="C3230" s="1376" t="str">
        <f>VLOOKUP(A3238,'11 - FINANCEIRO'!_xlnm.Print_Area,3,FALSE)</f>
        <v>Viga Metálica Em Perfil Laminado Ou Soldado Em Aço Estrutural, Com Conexões Soldadas, Inclusos Mão De Obra, Transporte E Içamento Utilizando Guindaste - Fornecimento E Instalação. Af_01/2020_P</v>
      </c>
      <c r="D3230" s="1378" t="s">
        <v>477</v>
      </c>
      <c r="E3230" s="1379"/>
      <c r="F3230" s="1379"/>
      <c r="G3230" s="1379"/>
      <c r="H3230" s="1379"/>
      <c r="I3230" s="1380"/>
      <c r="J3230" s="1338" t="s">
        <v>478</v>
      </c>
      <c r="K3230" s="1338" t="s">
        <v>479</v>
      </c>
      <c r="L3230" s="1338" t="s">
        <v>480</v>
      </c>
      <c r="M3230" s="1338" t="s">
        <v>481</v>
      </c>
      <c r="N3230" s="1338" t="s">
        <v>482</v>
      </c>
      <c r="O3230" s="1338" t="s">
        <v>483</v>
      </c>
      <c r="P3230" s="290" t="s">
        <v>484</v>
      </c>
      <c r="Q3230" s="1338" t="s">
        <v>485</v>
      </c>
      <c r="R3230" s="1336" t="s">
        <v>296</v>
      </c>
      <c r="S3230" s="1338" t="s">
        <v>486</v>
      </c>
      <c r="T3230" s="1338" t="s">
        <v>487</v>
      </c>
      <c r="U3230" s="1340" t="s">
        <v>488</v>
      </c>
      <c r="V3230" s="291">
        <f t="shared" ref="V3230:V3238" ca="1" si="895">IF(OFFSET(V3230,1,1)=1,OFFSET(V3230,0,-4),OFFSET(V3230,1,0))</f>
        <v>0</v>
      </c>
      <c r="W3230" s="256">
        <f t="shared" ca="1" si="893"/>
        <v>2</v>
      </c>
      <c r="X3230" s="256">
        <f t="shared" ca="1" si="888"/>
        <v>1</v>
      </c>
      <c r="Y3230" s="256"/>
      <c r="Z3230" s="256"/>
      <c r="AA3230" s="292"/>
      <c r="AB3230" s="292"/>
      <c r="AC3230" s="292"/>
    </row>
    <row r="3231" spans="1:29" s="337" customFormat="1" ht="15.75" hidden="1" x14ac:dyDescent="0.2">
      <c r="A3231" s="288"/>
      <c r="B3231" s="1375"/>
      <c r="C3231" s="1377" t="e">
        <f>VLOOKUP(LEFT(#REF!,5),'11 - FINANCEIRO'!_xlnm.Print_Area,2,FALSE)</f>
        <v>#REF!</v>
      </c>
      <c r="D3231" s="1342" t="s">
        <v>489</v>
      </c>
      <c r="E3231" s="1343"/>
      <c r="F3231" s="1344"/>
      <c r="G3231" s="1345" t="s">
        <v>490</v>
      </c>
      <c r="H3231" s="1346"/>
      <c r="I3231" s="1347"/>
      <c r="J3231" s="1339"/>
      <c r="K3231" s="1339"/>
      <c r="L3231" s="1339"/>
      <c r="M3231" s="1339"/>
      <c r="N3231" s="1339"/>
      <c r="O3231" s="1339"/>
      <c r="P3231" s="295" t="s">
        <v>491</v>
      </c>
      <c r="Q3231" s="1339"/>
      <c r="R3231" s="1337"/>
      <c r="S3231" s="1339"/>
      <c r="T3231" s="1339"/>
      <c r="U3231" s="1341"/>
      <c r="V3231" s="291">
        <f t="shared" ca="1" si="895"/>
        <v>0</v>
      </c>
      <c r="W3231" s="256">
        <f t="shared" ca="1" si="893"/>
        <v>2</v>
      </c>
      <c r="X3231" s="256">
        <f t="shared" ca="1" si="888"/>
        <v>1</v>
      </c>
      <c r="Y3231" s="336"/>
      <c r="Z3231" s="336"/>
    </row>
    <row r="3232" spans="1:29" s="337" customFormat="1" ht="15.75" hidden="1" x14ac:dyDescent="0.2">
      <c r="A3232" s="288"/>
      <c r="B3232" s="296"/>
      <c r="C3232" s="297" t="s">
        <v>1206</v>
      </c>
      <c r="D3232" s="298"/>
      <c r="E3232" s="299"/>
      <c r="F3232" s="413"/>
      <c r="G3232" s="301"/>
      <c r="H3232" s="302"/>
      <c r="I3232" s="415"/>
      <c r="J3232" s="304"/>
      <c r="K3232" s="304"/>
      <c r="L3232" s="304"/>
      <c r="M3232" s="304"/>
      <c r="N3232" s="304"/>
      <c r="O3232" s="304"/>
      <c r="P3232" s="306"/>
      <c r="Q3232" s="304"/>
      <c r="R3232" s="307">
        <v>2761</v>
      </c>
      <c r="S3232" s="416" t="str">
        <f>$L$3236</f>
        <v>kg</v>
      </c>
      <c r="T3232" s="309">
        <v>37</v>
      </c>
      <c r="U3232" s="310"/>
      <c r="V3232" s="291">
        <f t="shared" ca="1" si="895"/>
        <v>0</v>
      </c>
      <c r="W3232" s="256">
        <f t="shared" ca="1" si="893"/>
        <v>2</v>
      </c>
      <c r="X3232" s="256">
        <f t="shared" ca="1" si="888"/>
        <v>1</v>
      </c>
      <c r="Y3232" s="336"/>
      <c r="Z3232" s="336"/>
    </row>
    <row r="3233" spans="1:29" s="111" customFormat="1" ht="15.75" hidden="1" x14ac:dyDescent="0.2">
      <c r="A3233" s="288"/>
      <c r="B3233" s="311"/>
      <c r="C3233" s="312"/>
      <c r="D3233" s="313"/>
      <c r="E3233" s="314"/>
      <c r="F3233" s="315"/>
      <c r="G3233" s="380"/>
      <c r="H3233" s="316"/>
      <c r="I3233" s="381"/>
      <c r="J3233" s="317"/>
      <c r="K3233" s="313"/>
      <c r="L3233" s="317"/>
      <c r="M3233" s="315"/>
      <c r="N3233" s="314"/>
      <c r="O3233" s="313"/>
      <c r="P3233" s="318"/>
      <c r="Q3233" s="315"/>
      <c r="R3233" s="319"/>
      <c r="S3233" s="317"/>
      <c r="T3233" s="320"/>
      <c r="U3233" s="321"/>
      <c r="V3233" s="291">
        <f t="shared" ca="1" si="895"/>
        <v>0</v>
      </c>
      <c r="W3233" s="256">
        <f t="shared" ca="1" si="893"/>
        <v>0</v>
      </c>
      <c r="X3233" s="256">
        <f t="shared" ca="1" si="888"/>
        <v>1</v>
      </c>
      <c r="Y3233" s="250"/>
      <c r="Z3233" s="250"/>
    </row>
    <row r="3234" spans="1:29" s="111" customFormat="1" ht="15" hidden="1" x14ac:dyDescent="0.2">
      <c r="A3234" s="288"/>
      <c r="B3234" s="322"/>
      <c r="C3234" s="382"/>
      <c r="D3234" s="324"/>
      <c r="E3234" s="325"/>
      <c r="F3234" s="326"/>
      <c r="G3234" s="324"/>
      <c r="H3234" s="325"/>
      <c r="I3234" s="326"/>
      <c r="J3234" s="317"/>
      <c r="K3234" s="328"/>
      <c r="L3234" s="328"/>
      <c r="M3234" s="328"/>
      <c r="N3234" s="328"/>
      <c r="O3234" s="334"/>
      <c r="P3234" s="328"/>
      <c r="Q3234" s="334"/>
      <c r="R3234" s="333"/>
      <c r="S3234" s="331"/>
      <c r="T3234" s="320"/>
      <c r="U3234" s="335"/>
      <c r="V3234" s="291">
        <f t="shared" ca="1" si="895"/>
        <v>0</v>
      </c>
      <c r="W3234" s="256">
        <f t="shared" ca="1" si="893"/>
        <v>0</v>
      </c>
      <c r="X3234" s="256">
        <f t="shared" ca="1" si="888"/>
        <v>1</v>
      </c>
      <c r="Y3234" s="250"/>
      <c r="Z3234" s="250"/>
    </row>
    <row r="3235" spans="1:29" s="111" customFormat="1" ht="15" hidden="1" x14ac:dyDescent="0.2">
      <c r="A3235" s="288"/>
      <c r="B3235" s="338"/>
      <c r="C3235" s="339"/>
      <c r="D3235" s="340"/>
      <c r="E3235" s="341"/>
      <c r="F3235" s="342"/>
      <c r="G3235" s="340"/>
      <c r="H3235" s="341"/>
      <c r="I3235" s="342"/>
      <c r="J3235" s="343"/>
      <c r="K3235" s="344"/>
      <c r="L3235" s="345"/>
      <c r="M3235" s="346"/>
      <c r="N3235" s="347"/>
      <c r="O3235" s="348"/>
      <c r="P3235" s="345"/>
      <c r="Q3235" s="349"/>
      <c r="R3235" s="350"/>
      <c r="S3235" s="351"/>
      <c r="T3235" s="352"/>
      <c r="U3235" s="353"/>
      <c r="V3235" s="291">
        <f t="shared" ca="1" si="895"/>
        <v>0</v>
      </c>
      <c r="W3235" s="256">
        <f t="shared" ca="1" si="893"/>
        <v>0</v>
      </c>
      <c r="X3235" s="256">
        <f t="shared" ca="1" si="888"/>
        <v>1</v>
      </c>
      <c r="Y3235" s="250"/>
      <c r="Z3235" s="250"/>
    </row>
    <row r="3236" spans="1:29" s="111" customFormat="1" ht="15.75" hidden="1" customHeight="1" x14ac:dyDescent="0.2">
      <c r="A3236" s="288"/>
      <c r="B3236" s="354"/>
      <c r="C3236" s="355"/>
      <c r="D3236" s="1354" t="s">
        <v>492</v>
      </c>
      <c r="E3236" s="1355"/>
      <c r="F3236" s="1355"/>
      <c r="G3236" s="1355"/>
      <c r="H3236" s="1355"/>
      <c r="I3236" s="1356"/>
      <c r="J3236" s="1357">
        <f>VLOOKUP(A3238,'11 - FINANCEIRO'!_xlnm.Print_Area,6,FALSE)</f>
        <v>3285.64</v>
      </c>
      <c r="K3236" s="1358"/>
      <c r="L3236" s="356" t="str">
        <f>VLOOKUP(A3238,'11 - FINANCEIRO'!_xlnm.Print_Area,4,FALSE)</f>
        <v>kg</v>
      </c>
      <c r="M3236" s="1359" t="s">
        <v>493</v>
      </c>
      <c r="N3236" s="1360"/>
      <c r="O3236" s="1360"/>
      <c r="P3236" s="1360"/>
      <c r="Q3236" s="1361"/>
      <c r="R3236" s="357">
        <f>TRUNC(SUM(R3232:R3235),3)</f>
        <v>2761</v>
      </c>
      <c r="S3236" s="358" t="str">
        <f>L3236</f>
        <v>kg</v>
      </c>
      <c r="T3236" s="1067"/>
      <c r="U3236" s="944"/>
      <c r="V3236" s="291">
        <f t="shared" ca="1" si="895"/>
        <v>0</v>
      </c>
      <c r="W3236" s="256">
        <f t="shared" ca="1" si="893"/>
        <v>2</v>
      </c>
      <c r="X3236" s="256">
        <f t="shared" ca="1" si="888"/>
        <v>1</v>
      </c>
      <c r="Y3236" s="250"/>
      <c r="Z3236" s="250"/>
    </row>
    <row r="3237" spans="1:29" s="293" customFormat="1" ht="15.75" hidden="1" customHeight="1" x14ac:dyDescent="0.2">
      <c r="A3237" s="288"/>
      <c r="B3237" s="354"/>
      <c r="C3237" s="361"/>
      <c r="D3237" s="1362" t="s">
        <v>494</v>
      </c>
      <c r="E3237" s="1363"/>
      <c r="F3237" s="1363"/>
      <c r="G3237" s="1363"/>
      <c r="H3237" s="1363"/>
      <c r="I3237" s="1364"/>
      <c r="J3237" s="1365">
        <f>R3236/J3236</f>
        <v>0.84032334644087614</v>
      </c>
      <c r="K3237" s="1366"/>
      <c r="L3237" s="1369"/>
      <c r="M3237" s="1371" t="s">
        <v>495</v>
      </c>
      <c r="N3237" s="1372"/>
      <c r="O3237" s="1372"/>
      <c r="P3237" s="1372"/>
      <c r="Q3237" s="1373"/>
      <c r="R3237" s="362">
        <f>VLOOKUP(A3238,'11 - FINANCEIRO'!_xlnm.Print_Area,8,FALSE)</f>
        <v>2761</v>
      </c>
      <c r="S3237" s="363" t="str">
        <f>L3236</f>
        <v>kg</v>
      </c>
      <c r="T3237" s="1067"/>
      <c r="U3237" s="944"/>
      <c r="V3237" s="291">
        <f t="shared" ca="1" si="895"/>
        <v>0</v>
      </c>
      <c r="W3237" s="256">
        <f t="shared" ca="1" si="893"/>
        <v>2</v>
      </c>
      <c r="X3237" s="256">
        <f t="shared" ca="1" si="888"/>
        <v>1</v>
      </c>
      <c r="Y3237" s="256"/>
      <c r="Z3237" s="256"/>
      <c r="AA3237" s="292"/>
      <c r="AB3237" s="292"/>
      <c r="AC3237" s="292"/>
    </row>
    <row r="3238" spans="1:29" s="293" customFormat="1" ht="15.75" hidden="1" customHeight="1" x14ac:dyDescent="0.2">
      <c r="A3238" s="288" t="s">
        <v>200</v>
      </c>
      <c r="B3238" s="364"/>
      <c r="C3238" s="365"/>
      <c r="D3238" s="1354"/>
      <c r="E3238" s="1355"/>
      <c r="F3238" s="1355"/>
      <c r="G3238" s="1355"/>
      <c r="H3238" s="1355"/>
      <c r="I3238" s="1356"/>
      <c r="J3238" s="1367"/>
      <c r="K3238" s="1368"/>
      <c r="L3238" s="1370"/>
      <c r="M3238" s="1371" t="s">
        <v>496</v>
      </c>
      <c r="N3238" s="1372"/>
      <c r="O3238" s="1372"/>
      <c r="P3238" s="1372"/>
      <c r="Q3238" s="1373"/>
      <c r="R3238" s="362">
        <f>R3236-R3237</f>
        <v>0</v>
      </c>
      <c r="S3238" s="363" t="str">
        <f>L3236</f>
        <v>kg</v>
      </c>
      <c r="T3238" s="1068"/>
      <c r="U3238" s="998"/>
      <c r="V3238" s="291">
        <f t="shared" ca="1" si="895"/>
        <v>0</v>
      </c>
      <c r="W3238" s="256">
        <f t="shared" ca="1" si="893"/>
        <v>2</v>
      </c>
      <c r="X3238" s="256">
        <f t="shared" ca="1" si="888"/>
        <v>1</v>
      </c>
      <c r="Y3238" s="256"/>
      <c r="Z3238" s="256"/>
      <c r="AA3238" s="292"/>
      <c r="AB3238" s="292"/>
      <c r="AC3238" s="292"/>
    </row>
    <row r="3239" spans="1:29" s="111" customFormat="1" ht="15.75" hidden="1" x14ac:dyDescent="0.2">
      <c r="A3239" s="288"/>
      <c r="B3239" s="368"/>
      <c r="C3239" s="365"/>
      <c r="D3239" s="369"/>
      <c r="E3239" s="370"/>
      <c r="F3239" s="369"/>
      <c r="G3239" s="369"/>
      <c r="H3239" s="369"/>
      <c r="I3239" s="369"/>
      <c r="J3239" s="371"/>
      <c r="K3239" s="372"/>
      <c r="L3239" s="373"/>
      <c r="M3239" s="374"/>
      <c r="N3239" s="374"/>
      <c r="O3239" s="374"/>
      <c r="P3239" s="374"/>
      <c r="Q3239" s="374"/>
      <c r="R3239" s="375"/>
      <c r="S3239" s="376"/>
      <c r="T3239" s="377"/>
      <c r="U3239" s="378"/>
      <c r="V3239" s="379">
        <f ca="1">SUM(V3230:V3238)</f>
        <v>0</v>
      </c>
      <c r="W3239" s="256">
        <f t="shared" ca="1" si="893"/>
        <v>1</v>
      </c>
      <c r="X3239" s="256">
        <f t="shared" ref="X3239:X3302" ca="1" si="896">IF(COUNTA(OFFSET(A3238,1,0))-COUNTA(A3238)=-1,0,1)</f>
        <v>0</v>
      </c>
      <c r="Y3239" s="250"/>
      <c r="Z3239" s="250"/>
    </row>
    <row r="3240" spans="1:29" s="293" customFormat="1" ht="15.75" hidden="1" customHeight="1" x14ac:dyDescent="0.25">
      <c r="A3240" s="288"/>
      <c r="B3240" s="1374" t="str">
        <f>VLOOKUP(A3248,'11 - FINANCEIRO'!_xlnm.Print_Area,1,FALSE)</f>
        <v>4.4.9</v>
      </c>
      <c r="C3240" s="1376" t="str">
        <f>VLOOKUP(A3248,'11 - FINANCEIRO'!_xlnm.Print_Area,3,FALSE)</f>
        <v>Guarda Corpo Em Aço Galvanizado De Altura H=1,10M Pintura Com Tinta Esmalte Suvinil, Linha "Contra Ferrugem" Cor Maracujá, Ref.:C026</v>
      </c>
      <c r="D3240" s="1378" t="s">
        <v>477</v>
      </c>
      <c r="E3240" s="1379"/>
      <c r="F3240" s="1379"/>
      <c r="G3240" s="1379"/>
      <c r="H3240" s="1379"/>
      <c r="I3240" s="1380"/>
      <c r="J3240" s="1338" t="s">
        <v>478</v>
      </c>
      <c r="K3240" s="1338" t="s">
        <v>479</v>
      </c>
      <c r="L3240" s="1338" t="s">
        <v>480</v>
      </c>
      <c r="M3240" s="1338" t="s">
        <v>481</v>
      </c>
      <c r="N3240" s="1338" t="s">
        <v>482</v>
      </c>
      <c r="O3240" s="1338" t="s">
        <v>483</v>
      </c>
      <c r="P3240" s="290" t="s">
        <v>484</v>
      </c>
      <c r="Q3240" s="1338" t="s">
        <v>485</v>
      </c>
      <c r="R3240" s="1336" t="s">
        <v>296</v>
      </c>
      <c r="S3240" s="1338" t="s">
        <v>486</v>
      </c>
      <c r="T3240" s="1338" t="s">
        <v>487</v>
      </c>
      <c r="U3240" s="1340" t="s">
        <v>488</v>
      </c>
      <c r="V3240" s="291">
        <f t="shared" ref="V3240:V3248" ca="1" si="897">IF(OFFSET(V3240,1,1)=1,OFFSET(V3240,0,-4),OFFSET(V3240,1,0))</f>
        <v>0</v>
      </c>
      <c r="W3240" s="256">
        <f t="shared" ca="1" si="893"/>
        <v>2</v>
      </c>
      <c r="X3240" s="256">
        <f t="shared" ca="1" si="896"/>
        <v>1</v>
      </c>
      <c r="Y3240" s="256"/>
      <c r="Z3240" s="256"/>
      <c r="AA3240" s="292"/>
      <c r="AB3240" s="292"/>
      <c r="AC3240" s="292"/>
    </row>
    <row r="3241" spans="1:29" s="337" customFormat="1" ht="15.75" hidden="1" x14ac:dyDescent="0.2">
      <c r="A3241" s="288"/>
      <c r="B3241" s="1375"/>
      <c r="C3241" s="1377" t="e">
        <f>VLOOKUP(LEFT(#REF!,5),'11 - FINANCEIRO'!_xlnm.Print_Area,2,FALSE)</f>
        <v>#REF!</v>
      </c>
      <c r="D3241" s="1342" t="s">
        <v>489</v>
      </c>
      <c r="E3241" s="1343"/>
      <c r="F3241" s="1344"/>
      <c r="G3241" s="1345" t="s">
        <v>490</v>
      </c>
      <c r="H3241" s="1346"/>
      <c r="I3241" s="1347"/>
      <c r="J3241" s="1339"/>
      <c r="K3241" s="1339"/>
      <c r="L3241" s="1339"/>
      <c r="M3241" s="1339"/>
      <c r="N3241" s="1339"/>
      <c r="O3241" s="1339"/>
      <c r="P3241" s="295" t="s">
        <v>491</v>
      </c>
      <c r="Q3241" s="1339"/>
      <c r="R3241" s="1337"/>
      <c r="S3241" s="1339"/>
      <c r="T3241" s="1339"/>
      <c r="U3241" s="1341"/>
      <c r="V3241" s="291">
        <f t="shared" ca="1" si="897"/>
        <v>0</v>
      </c>
      <c r="W3241" s="256">
        <f t="shared" ca="1" si="893"/>
        <v>2</v>
      </c>
      <c r="X3241" s="256">
        <f t="shared" ca="1" si="896"/>
        <v>1</v>
      </c>
      <c r="Y3241" s="336"/>
      <c r="Z3241" s="336"/>
    </row>
    <row r="3242" spans="1:29" s="337" customFormat="1" ht="15.75" hidden="1" x14ac:dyDescent="0.2">
      <c r="A3242" s="288"/>
      <c r="B3242" s="296"/>
      <c r="C3242" s="297" t="s">
        <v>1248</v>
      </c>
      <c r="D3242" s="298"/>
      <c r="E3242" s="299"/>
      <c r="F3242" s="300"/>
      <c r="G3242" s="301"/>
      <c r="H3242" s="302"/>
      <c r="I3242" s="303"/>
      <c r="J3242" s="304"/>
      <c r="K3242" s="304">
        <v>24</v>
      </c>
      <c r="L3242" s="304"/>
      <c r="M3242" s="304"/>
      <c r="N3242" s="304"/>
      <c r="O3242" s="304"/>
      <c r="P3242" s="306"/>
      <c r="Q3242" s="304"/>
      <c r="R3242" s="307">
        <f>K3242</f>
        <v>24</v>
      </c>
      <c r="S3242" s="304" t="s">
        <v>301</v>
      </c>
      <c r="T3242" s="309">
        <v>39</v>
      </c>
      <c r="U3242" s="310"/>
      <c r="V3242" s="291">
        <f t="shared" ca="1" si="897"/>
        <v>0</v>
      </c>
      <c r="W3242" s="256">
        <f t="shared" ca="1" si="893"/>
        <v>2</v>
      </c>
      <c r="X3242" s="256">
        <f t="shared" ca="1" si="896"/>
        <v>1</v>
      </c>
      <c r="Y3242" s="336"/>
      <c r="Z3242" s="336"/>
    </row>
    <row r="3243" spans="1:29" s="111" customFormat="1" ht="15.75" hidden="1" x14ac:dyDescent="0.2">
      <c r="A3243" s="288"/>
      <c r="B3243" s="311"/>
      <c r="C3243" s="312" t="s">
        <v>1298</v>
      </c>
      <c r="D3243" s="313"/>
      <c r="E3243" s="314"/>
      <c r="F3243" s="315"/>
      <c r="G3243" s="380"/>
      <c r="H3243" s="316"/>
      <c r="I3243" s="381"/>
      <c r="J3243" s="317"/>
      <c r="K3243" s="313"/>
      <c r="L3243" s="317"/>
      <c r="M3243" s="315"/>
      <c r="N3243" s="314"/>
      <c r="O3243" s="313"/>
      <c r="P3243" s="318"/>
      <c r="Q3243" s="315"/>
      <c r="R3243" s="319">
        <v>4</v>
      </c>
      <c r="S3243" s="317" t="s">
        <v>301</v>
      </c>
      <c r="T3243" s="320">
        <v>40</v>
      </c>
      <c r="U3243" s="321"/>
      <c r="V3243" s="291">
        <f t="shared" ca="1" si="897"/>
        <v>0</v>
      </c>
      <c r="W3243" s="256">
        <f t="shared" ca="1" si="893"/>
        <v>2</v>
      </c>
      <c r="X3243" s="256">
        <f t="shared" ca="1" si="896"/>
        <v>1</v>
      </c>
      <c r="Y3243" s="250"/>
      <c r="Z3243" s="250"/>
    </row>
    <row r="3244" spans="1:29" s="111" customFormat="1" ht="15" hidden="1" x14ac:dyDescent="0.2">
      <c r="A3244" s="288"/>
      <c r="B3244" s="322"/>
      <c r="C3244" s="382"/>
      <c r="D3244" s="324"/>
      <c r="E3244" s="325"/>
      <c r="F3244" s="326"/>
      <c r="G3244" s="324"/>
      <c r="H3244" s="325"/>
      <c r="I3244" s="326"/>
      <c r="J3244" s="317"/>
      <c r="K3244" s="328"/>
      <c r="L3244" s="328"/>
      <c r="M3244" s="328"/>
      <c r="N3244" s="328"/>
      <c r="O3244" s="334"/>
      <c r="P3244" s="328"/>
      <c r="Q3244" s="334"/>
      <c r="R3244" s="333"/>
      <c r="S3244" s="331"/>
      <c r="T3244" s="320"/>
      <c r="U3244" s="335"/>
      <c r="V3244" s="291">
        <f t="shared" ca="1" si="897"/>
        <v>0</v>
      </c>
      <c r="W3244" s="256">
        <f t="shared" ca="1" si="893"/>
        <v>0</v>
      </c>
      <c r="X3244" s="256">
        <f t="shared" ca="1" si="896"/>
        <v>1</v>
      </c>
      <c r="Y3244" s="250"/>
      <c r="Z3244" s="250"/>
    </row>
    <row r="3245" spans="1:29" s="111" customFormat="1" ht="15" hidden="1" x14ac:dyDescent="0.2">
      <c r="A3245" s="288"/>
      <c r="B3245" s="338"/>
      <c r="C3245" s="339"/>
      <c r="D3245" s="340"/>
      <c r="E3245" s="341"/>
      <c r="F3245" s="342"/>
      <c r="G3245" s="340"/>
      <c r="H3245" s="341"/>
      <c r="I3245" s="342"/>
      <c r="J3245" s="343"/>
      <c r="K3245" s="344"/>
      <c r="L3245" s="345"/>
      <c r="M3245" s="346"/>
      <c r="N3245" s="347"/>
      <c r="O3245" s="348"/>
      <c r="P3245" s="345"/>
      <c r="Q3245" s="349"/>
      <c r="R3245" s="350"/>
      <c r="S3245" s="351"/>
      <c r="T3245" s="352"/>
      <c r="U3245" s="353"/>
      <c r="V3245" s="291">
        <f t="shared" ca="1" si="897"/>
        <v>0</v>
      </c>
      <c r="W3245" s="256">
        <f t="shared" ca="1" si="893"/>
        <v>0</v>
      </c>
      <c r="X3245" s="256">
        <f t="shared" ca="1" si="896"/>
        <v>1</v>
      </c>
      <c r="Y3245" s="250"/>
      <c r="Z3245" s="250"/>
    </row>
    <row r="3246" spans="1:29" s="111" customFormat="1" ht="15.75" hidden="1" customHeight="1" x14ac:dyDescent="0.2">
      <c r="A3246" s="288"/>
      <c r="B3246" s="354"/>
      <c r="C3246" s="355"/>
      <c r="D3246" s="1354" t="s">
        <v>492</v>
      </c>
      <c r="E3246" s="1355"/>
      <c r="F3246" s="1355"/>
      <c r="G3246" s="1355"/>
      <c r="H3246" s="1355"/>
      <c r="I3246" s="1356"/>
      <c r="J3246" s="1357">
        <f>VLOOKUP(A3248,'11 - FINANCEIRO'!_xlnm.Print_Area,6,FALSE)</f>
        <v>74</v>
      </c>
      <c r="K3246" s="1358"/>
      <c r="L3246" s="356" t="str">
        <f>VLOOKUP(A3248,'11 - FINANCEIRO'!_xlnm.Print_Area,4,FALSE)</f>
        <v>m</v>
      </c>
      <c r="M3246" s="1359" t="s">
        <v>493</v>
      </c>
      <c r="N3246" s="1360"/>
      <c r="O3246" s="1360"/>
      <c r="P3246" s="1360"/>
      <c r="Q3246" s="1361"/>
      <c r="R3246" s="357">
        <f>TRUNC(SUM(R3242:R3245),3)</f>
        <v>28</v>
      </c>
      <c r="S3246" s="358" t="str">
        <f>L3246</f>
        <v>m</v>
      </c>
      <c r="T3246" s="359"/>
      <c r="U3246" s="360"/>
      <c r="V3246" s="291">
        <f t="shared" ca="1" si="897"/>
        <v>0</v>
      </c>
      <c r="W3246" s="256">
        <f t="shared" ca="1" si="893"/>
        <v>2</v>
      </c>
      <c r="X3246" s="256">
        <f t="shared" ca="1" si="896"/>
        <v>1</v>
      </c>
      <c r="Y3246" s="250"/>
      <c r="Z3246" s="250"/>
    </row>
    <row r="3247" spans="1:29" s="293" customFormat="1" ht="15.75" hidden="1" customHeight="1" x14ac:dyDescent="0.2">
      <c r="A3247" s="288"/>
      <c r="B3247" s="354"/>
      <c r="C3247" s="361"/>
      <c r="D3247" s="1362" t="s">
        <v>494</v>
      </c>
      <c r="E3247" s="1363"/>
      <c r="F3247" s="1363"/>
      <c r="G3247" s="1363"/>
      <c r="H3247" s="1363"/>
      <c r="I3247" s="1364"/>
      <c r="J3247" s="1365">
        <f>R3246/J3246</f>
        <v>0.3783783783783784</v>
      </c>
      <c r="K3247" s="1366"/>
      <c r="L3247" s="1369"/>
      <c r="M3247" s="1371" t="s">
        <v>495</v>
      </c>
      <c r="N3247" s="1372"/>
      <c r="O3247" s="1372"/>
      <c r="P3247" s="1372"/>
      <c r="Q3247" s="1373"/>
      <c r="R3247" s="362">
        <f>VLOOKUP(A3248,'11 - FINANCEIRO'!_xlnm.Print_Area,8,FALSE)</f>
        <v>28</v>
      </c>
      <c r="S3247" s="363" t="str">
        <f>L3246</f>
        <v>m</v>
      </c>
      <c r="T3247" s="359"/>
      <c r="U3247" s="360"/>
      <c r="V3247" s="291">
        <f t="shared" ca="1" si="897"/>
        <v>0</v>
      </c>
      <c r="W3247" s="256">
        <f t="shared" ca="1" si="893"/>
        <v>2</v>
      </c>
      <c r="X3247" s="256">
        <f t="shared" ca="1" si="896"/>
        <v>1</v>
      </c>
      <c r="Y3247" s="256"/>
      <c r="Z3247" s="256"/>
      <c r="AA3247" s="292"/>
      <c r="AB3247" s="292"/>
      <c r="AC3247" s="292"/>
    </row>
    <row r="3248" spans="1:29" s="293" customFormat="1" ht="15.75" hidden="1" customHeight="1" x14ac:dyDescent="0.2">
      <c r="A3248" s="288" t="s">
        <v>201</v>
      </c>
      <c r="B3248" s="364"/>
      <c r="C3248" s="365"/>
      <c r="D3248" s="1354"/>
      <c r="E3248" s="1355"/>
      <c r="F3248" s="1355"/>
      <c r="G3248" s="1355"/>
      <c r="H3248" s="1355"/>
      <c r="I3248" s="1356"/>
      <c r="J3248" s="1367"/>
      <c r="K3248" s="1368"/>
      <c r="L3248" s="1370"/>
      <c r="M3248" s="1371" t="s">
        <v>496</v>
      </c>
      <c r="N3248" s="1372"/>
      <c r="O3248" s="1372"/>
      <c r="P3248" s="1372"/>
      <c r="Q3248" s="1373"/>
      <c r="R3248" s="362">
        <f>R3246-R3247</f>
        <v>0</v>
      </c>
      <c r="S3248" s="363" t="str">
        <f>L3246</f>
        <v>m</v>
      </c>
      <c r="T3248" s="366"/>
      <c r="U3248" s="367"/>
      <c r="V3248" s="291">
        <f t="shared" ca="1" si="897"/>
        <v>0</v>
      </c>
      <c r="W3248" s="256">
        <f t="shared" ca="1" si="893"/>
        <v>2</v>
      </c>
      <c r="X3248" s="256">
        <f t="shared" ca="1" si="896"/>
        <v>1</v>
      </c>
      <c r="Y3248" s="256"/>
      <c r="Z3248" s="256"/>
      <c r="AA3248" s="292"/>
      <c r="AB3248" s="292"/>
      <c r="AC3248" s="292"/>
    </row>
    <row r="3249" spans="1:29" s="111" customFormat="1" ht="15.75" hidden="1" x14ac:dyDescent="0.2">
      <c r="A3249" s="288"/>
      <c r="B3249" s="368"/>
      <c r="C3249" s="365"/>
      <c r="D3249" s="369"/>
      <c r="E3249" s="370"/>
      <c r="F3249" s="369"/>
      <c r="G3249" s="369"/>
      <c r="H3249" s="369"/>
      <c r="I3249" s="369"/>
      <c r="J3249" s="371"/>
      <c r="K3249" s="372"/>
      <c r="L3249" s="373"/>
      <c r="M3249" s="374"/>
      <c r="N3249" s="374"/>
      <c r="O3249" s="374"/>
      <c r="P3249" s="374"/>
      <c r="Q3249" s="374"/>
      <c r="R3249" s="375"/>
      <c r="S3249" s="376"/>
      <c r="T3249" s="377"/>
      <c r="U3249" s="378"/>
      <c r="V3249" s="379">
        <f ca="1">SUM(V3240:V3248)</f>
        <v>0</v>
      </c>
      <c r="W3249" s="256">
        <f t="shared" ca="1" si="893"/>
        <v>1</v>
      </c>
      <c r="X3249" s="256">
        <f t="shared" ca="1" si="896"/>
        <v>0</v>
      </c>
      <c r="Y3249" s="250"/>
      <c r="Z3249" s="250"/>
    </row>
    <row r="3250" spans="1:29" s="293" customFormat="1" ht="15.75" hidden="1" customHeight="1" x14ac:dyDescent="0.25">
      <c r="A3250" s="288"/>
      <c r="B3250" s="1374" t="str">
        <f>VLOOKUP(A3258,'11 - FINANCEIRO'!_xlnm.Print_Area,1,FALSE)</f>
        <v>4.4.10</v>
      </c>
      <c r="C3250" s="1376" t="str">
        <f>VLOOKUP(A3258,'11 - FINANCEIRO'!_xlnm.Print_Area,3,FALSE)</f>
        <v>Demolição Manual De Construções Provisórias - Sem Reaproveitamento, Incluído Transporte E Destinação</v>
      </c>
      <c r="D3250" s="1378" t="s">
        <v>477</v>
      </c>
      <c r="E3250" s="1379"/>
      <c r="F3250" s="1379"/>
      <c r="G3250" s="1379"/>
      <c r="H3250" s="1379"/>
      <c r="I3250" s="1380"/>
      <c r="J3250" s="1338" t="s">
        <v>478</v>
      </c>
      <c r="K3250" s="1338" t="s">
        <v>479</v>
      </c>
      <c r="L3250" s="1338" t="s">
        <v>480</v>
      </c>
      <c r="M3250" s="1338" t="s">
        <v>481</v>
      </c>
      <c r="N3250" s="1338" t="s">
        <v>482</v>
      </c>
      <c r="O3250" s="1338" t="s">
        <v>483</v>
      </c>
      <c r="P3250" s="290" t="s">
        <v>484</v>
      </c>
      <c r="Q3250" s="1338" t="s">
        <v>485</v>
      </c>
      <c r="R3250" s="1336" t="s">
        <v>296</v>
      </c>
      <c r="S3250" s="1338" t="s">
        <v>486</v>
      </c>
      <c r="T3250" s="1338" t="s">
        <v>487</v>
      </c>
      <c r="U3250" s="1340" t="s">
        <v>488</v>
      </c>
      <c r="V3250" s="291">
        <f t="shared" ref="V3250:V3258" ca="1" si="898">IF(OFFSET(V3250,1,1)=1,OFFSET(V3250,0,-4),OFFSET(V3250,1,0))</f>
        <v>0</v>
      </c>
      <c r="W3250" s="256">
        <f t="shared" ca="1" si="893"/>
        <v>2</v>
      </c>
      <c r="X3250" s="256">
        <f t="shared" ca="1" si="896"/>
        <v>1</v>
      </c>
      <c r="Y3250" s="256"/>
      <c r="Z3250" s="256"/>
      <c r="AA3250" s="292"/>
      <c r="AB3250" s="292"/>
      <c r="AC3250" s="292"/>
    </row>
    <row r="3251" spans="1:29" s="337" customFormat="1" ht="15.75" hidden="1" x14ac:dyDescent="0.2">
      <c r="A3251" s="288"/>
      <c r="B3251" s="1375"/>
      <c r="C3251" s="1377" t="e">
        <f>VLOOKUP(LEFT(#REF!,5),'11 - FINANCEIRO'!_xlnm.Print_Area,2,FALSE)</f>
        <v>#REF!</v>
      </c>
      <c r="D3251" s="1342" t="s">
        <v>489</v>
      </c>
      <c r="E3251" s="1343"/>
      <c r="F3251" s="1344"/>
      <c r="G3251" s="1345" t="s">
        <v>490</v>
      </c>
      <c r="H3251" s="1346"/>
      <c r="I3251" s="1347"/>
      <c r="J3251" s="1339"/>
      <c r="K3251" s="1339"/>
      <c r="L3251" s="1339"/>
      <c r="M3251" s="1339"/>
      <c r="N3251" s="1339"/>
      <c r="O3251" s="1339"/>
      <c r="P3251" s="295" t="s">
        <v>491</v>
      </c>
      <c r="Q3251" s="1339"/>
      <c r="R3251" s="1337"/>
      <c r="S3251" s="1339"/>
      <c r="T3251" s="1339"/>
      <c r="U3251" s="1341"/>
      <c r="V3251" s="291">
        <f t="shared" ca="1" si="898"/>
        <v>0</v>
      </c>
      <c r="W3251" s="256">
        <f t="shared" ca="1" si="893"/>
        <v>2</v>
      </c>
      <c r="X3251" s="256">
        <f t="shared" ca="1" si="896"/>
        <v>1</v>
      </c>
      <c r="Y3251" s="336"/>
      <c r="Z3251" s="336"/>
    </row>
    <row r="3252" spans="1:29" s="337" customFormat="1" ht="15.75" hidden="1" x14ac:dyDescent="0.2">
      <c r="A3252" s="288"/>
      <c r="B3252" s="296"/>
      <c r="C3252" s="297"/>
      <c r="D3252" s="298"/>
      <c r="E3252" s="299"/>
      <c r="F3252" s="300"/>
      <c r="G3252" s="301"/>
      <c r="H3252" s="302"/>
      <c r="I3252" s="303"/>
      <c r="J3252" s="304"/>
      <c r="K3252" s="304"/>
      <c r="L3252" s="304"/>
      <c r="M3252" s="304"/>
      <c r="N3252" s="304"/>
      <c r="O3252" s="304"/>
      <c r="P3252" s="306"/>
      <c r="Q3252" s="304"/>
      <c r="R3252" s="307"/>
      <c r="S3252" s="304"/>
      <c r="T3252" s="309"/>
      <c r="U3252" s="310"/>
      <c r="V3252" s="291">
        <f t="shared" ca="1" si="898"/>
        <v>0</v>
      </c>
      <c r="W3252" s="256">
        <f t="shared" ca="1" si="893"/>
        <v>0</v>
      </c>
      <c r="X3252" s="256">
        <f t="shared" ca="1" si="896"/>
        <v>1</v>
      </c>
      <c r="Y3252" s="336"/>
      <c r="Z3252" s="336"/>
    </row>
    <row r="3253" spans="1:29" s="111" customFormat="1" ht="15.75" hidden="1" x14ac:dyDescent="0.2">
      <c r="A3253" s="288"/>
      <c r="B3253" s="311"/>
      <c r="C3253" s="312"/>
      <c r="D3253" s="313"/>
      <c r="E3253" s="314"/>
      <c r="F3253" s="315"/>
      <c r="G3253" s="380"/>
      <c r="H3253" s="316"/>
      <c r="I3253" s="381"/>
      <c r="J3253" s="317"/>
      <c r="K3253" s="313"/>
      <c r="L3253" s="317"/>
      <c r="M3253" s="315"/>
      <c r="N3253" s="314"/>
      <c r="O3253" s="313"/>
      <c r="P3253" s="318"/>
      <c r="Q3253" s="315"/>
      <c r="R3253" s="319"/>
      <c r="S3253" s="317"/>
      <c r="T3253" s="320"/>
      <c r="U3253" s="321"/>
      <c r="V3253" s="291">
        <f t="shared" ca="1" si="898"/>
        <v>0</v>
      </c>
      <c r="W3253" s="256">
        <f t="shared" ca="1" si="893"/>
        <v>0</v>
      </c>
      <c r="X3253" s="256">
        <f t="shared" ca="1" si="896"/>
        <v>1</v>
      </c>
      <c r="Y3253" s="250"/>
      <c r="Z3253" s="250"/>
    </row>
    <row r="3254" spans="1:29" s="111" customFormat="1" ht="15" hidden="1" x14ac:dyDescent="0.2">
      <c r="A3254" s="288"/>
      <c r="B3254" s="322"/>
      <c r="C3254" s="382"/>
      <c r="D3254" s="324"/>
      <c r="E3254" s="325"/>
      <c r="F3254" s="326"/>
      <c r="G3254" s="324"/>
      <c r="H3254" s="325"/>
      <c r="I3254" s="326"/>
      <c r="J3254" s="317"/>
      <c r="K3254" s="328"/>
      <c r="L3254" s="328"/>
      <c r="M3254" s="328"/>
      <c r="N3254" s="328"/>
      <c r="O3254" s="334"/>
      <c r="P3254" s="328"/>
      <c r="Q3254" s="334"/>
      <c r="R3254" s="333"/>
      <c r="S3254" s="331"/>
      <c r="T3254" s="320"/>
      <c r="U3254" s="335"/>
      <c r="V3254" s="291">
        <f t="shared" ca="1" si="898"/>
        <v>0</v>
      </c>
      <c r="W3254" s="256">
        <f t="shared" ca="1" si="893"/>
        <v>0</v>
      </c>
      <c r="X3254" s="256">
        <f t="shared" ca="1" si="896"/>
        <v>1</v>
      </c>
      <c r="Y3254" s="250"/>
      <c r="Z3254" s="250"/>
    </row>
    <row r="3255" spans="1:29" s="111" customFormat="1" ht="15" hidden="1" x14ac:dyDescent="0.2">
      <c r="A3255" s="288"/>
      <c r="B3255" s="338"/>
      <c r="C3255" s="339"/>
      <c r="D3255" s="340"/>
      <c r="E3255" s="341"/>
      <c r="F3255" s="342"/>
      <c r="G3255" s="340"/>
      <c r="H3255" s="341"/>
      <c r="I3255" s="342"/>
      <c r="J3255" s="343"/>
      <c r="K3255" s="344"/>
      <c r="L3255" s="345"/>
      <c r="M3255" s="346"/>
      <c r="N3255" s="347"/>
      <c r="O3255" s="348"/>
      <c r="P3255" s="345"/>
      <c r="Q3255" s="349"/>
      <c r="R3255" s="350"/>
      <c r="S3255" s="351"/>
      <c r="T3255" s="352"/>
      <c r="U3255" s="353"/>
      <c r="V3255" s="291">
        <f t="shared" ca="1" si="898"/>
        <v>0</v>
      </c>
      <c r="W3255" s="256">
        <f t="shared" ca="1" si="893"/>
        <v>0</v>
      </c>
      <c r="X3255" s="256">
        <f t="shared" ca="1" si="896"/>
        <v>1</v>
      </c>
      <c r="Y3255" s="250"/>
      <c r="Z3255" s="250"/>
    </row>
    <row r="3256" spans="1:29" s="111" customFormat="1" ht="15.75" hidden="1" customHeight="1" x14ac:dyDescent="0.2">
      <c r="A3256" s="288"/>
      <c r="B3256" s="354"/>
      <c r="C3256" s="355"/>
      <c r="D3256" s="1354" t="s">
        <v>492</v>
      </c>
      <c r="E3256" s="1355"/>
      <c r="F3256" s="1355"/>
      <c r="G3256" s="1355"/>
      <c r="H3256" s="1355"/>
      <c r="I3256" s="1356"/>
      <c r="J3256" s="1357">
        <f>VLOOKUP(A3258,'11 - FINANCEIRO'!_xlnm.Print_Area,6,FALSE)</f>
        <v>28</v>
      </c>
      <c r="K3256" s="1358"/>
      <c r="L3256" s="356" t="str">
        <f>VLOOKUP(A3258,'11 - FINANCEIRO'!_xlnm.Print_Area,4,FALSE)</f>
        <v>m²</v>
      </c>
      <c r="M3256" s="1359" t="s">
        <v>493</v>
      </c>
      <c r="N3256" s="1360"/>
      <c r="O3256" s="1360"/>
      <c r="P3256" s="1360"/>
      <c r="Q3256" s="1361"/>
      <c r="R3256" s="357">
        <f>TRUNC(SUM(R3252:R3255),3)</f>
        <v>0</v>
      </c>
      <c r="S3256" s="358" t="str">
        <f>L3256</f>
        <v>m²</v>
      </c>
      <c r="T3256" s="359"/>
      <c r="U3256" s="360"/>
      <c r="V3256" s="291">
        <f t="shared" ca="1" si="898"/>
        <v>0</v>
      </c>
      <c r="W3256" s="256">
        <f t="shared" ca="1" si="893"/>
        <v>2</v>
      </c>
      <c r="X3256" s="256">
        <f t="shared" ca="1" si="896"/>
        <v>1</v>
      </c>
      <c r="Y3256" s="250"/>
      <c r="Z3256" s="250"/>
    </row>
    <row r="3257" spans="1:29" s="293" customFormat="1" ht="15.75" hidden="1" customHeight="1" x14ac:dyDescent="0.2">
      <c r="A3257" s="288"/>
      <c r="B3257" s="354"/>
      <c r="C3257" s="361"/>
      <c r="D3257" s="1362" t="s">
        <v>494</v>
      </c>
      <c r="E3257" s="1363"/>
      <c r="F3257" s="1363"/>
      <c r="G3257" s="1363"/>
      <c r="H3257" s="1363"/>
      <c r="I3257" s="1364"/>
      <c r="J3257" s="1365">
        <f>R3256/J3256</f>
        <v>0</v>
      </c>
      <c r="K3257" s="1366"/>
      <c r="L3257" s="1369"/>
      <c r="M3257" s="1371" t="s">
        <v>495</v>
      </c>
      <c r="N3257" s="1372"/>
      <c r="O3257" s="1372"/>
      <c r="P3257" s="1372"/>
      <c r="Q3257" s="1373"/>
      <c r="R3257" s="362">
        <f>VLOOKUP(A3258,'11 - FINANCEIRO'!_xlnm.Print_Area,8,FALSE)</f>
        <v>0</v>
      </c>
      <c r="S3257" s="363" t="str">
        <f>L3256</f>
        <v>m²</v>
      </c>
      <c r="T3257" s="359"/>
      <c r="U3257" s="360"/>
      <c r="V3257" s="291">
        <f t="shared" ca="1" si="898"/>
        <v>0</v>
      </c>
      <c r="W3257" s="256">
        <f t="shared" ca="1" si="893"/>
        <v>2</v>
      </c>
      <c r="X3257" s="256">
        <f t="shared" ca="1" si="896"/>
        <v>1</v>
      </c>
      <c r="Y3257" s="256"/>
      <c r="Z3257" s="256"/>
      <c r="AA3257" s="292"/>
      <c r="AB3257" s="292"/>
      <c r="AC3257" s="292"/>
    </row>
    <row r="3258" spans="1:29" s="293" customFormat="1" ht="15.75" hidden="1" customHeight="1" x14ac:dyDescent="0.2">
      <c r="A3258" s="288" t="s">
        <v>202</v>
      </c>
      <c r="B3258" s="364"/>
      <c r="C3258" s="365"/>
      <c r="D3258" s="1354"/>
      <c r="E3258" s="1355"/>
      <c r="F3258" s="1355"/>
      <c r="G3258" s="1355"/>
      <c r="H3258" s="1355"/>
      <c r="I3258" s="1356"/>
      <c r="J3258" s="1367"/>
      <c r="K3258" s="1368"/>
      <c r="L3258" s="1370"/>
      <c r="M3258" s="1371" t="s">
        <v>496</v>
      </c>
      <c r="N3258" s="1372"/>
      <c r="O3258" s="1372"/>
      <c r="P3258" s="1372"/>
      <c r="Q3258" s="1373"/>
      <c r="R3258" s="362">
        <f>R3256-R3257</f>
        <v>0</v>
      </c>
      <c r="S3258" s="363" t="str">
        <f>L3256</f>
        <v>m²</v>
      </c>
      <c r="T3258" s="366"/>
      <c r="U3258" s="367"/>
      <c r="V3258" s="291">
        <f t="shared" ca="1" si="898"/>
        <v>0</v>
      </c>
      <c r="W3258" s="256">
        <f t="shared" ca="1" si="893"/>
        <v>2</v>
      </c>
      <c r="X3258" s="256">
        <f t="shared" ca="1" si="896"/>
        <v>1</v>
      </c>
      <c r="Y3258" s="256"/>
      <c r="Z3258" s="256"/>
      <c r="AA3258" s="292"/>
      <c r="AB3258" s="292"/>
      <c r="AC3258" s="292"/>
    </row>
    <row r="3259" spans="1:29" s="111" customFormat="1" ht="15.75" hidden="1" x14ac:dyDescent="0.2">
      <c r="A3259" s="288"/>
      <c r="B3259" s="368"/>
      <c r="C3259" s="365"/>
      <c r="D3259" s="369"/>
      <c r="E3259" s="370"/>
      <c r="F3259" s="369"/>
      <c r="G3259" s="369"/>
      <c r="H3259" s="369"/>
      <c r="I3259" s="369"/>
      <c r="J3259" s="371"/>
      <c r="K3259" s="372"/>
      <c r="L3259" s="373"/>
      <c r="M3259" s="374"/>
      <c r="N3259" s="374"/>
      <c r="O3259" s="374"/>
      <c r="P3259" s="374"/>
      <c r="Q3259" s="374"/>
      <c r="R3259" s="375"/>
      <c r="S3259" s="376"/>
      <c r="T3259" s="377"/>
      <c r="U3259" s="378"/>
      <c r="V3259" s="379">
        <f ca="1">SUM(V3250:V3258)</f>
        <v>0</v>
      </c>
      <c r="W3259" s="256">
        <f t="shared" ca="1" si="893"/>
        <v>1</v>
      </c>
      <c r="X3259" s="256">
        <f t="shared" ca="1" si="896"/>
        <v>0</v>
      </c>
      <c r="Y3259" s="250"/>
      <c r="Z3259" s="250"/>
    </row>
    <row r="3260" spans="1:29" s="293" customFormat="1" ht="15.75" hidden="1" customHeight="1" x14ac:dyDescent="0.25">
      <c r="A3260" s="288"/>
      <c r="B3260" s="1374" t="str">
        <f>VLOOKUP(A3268,'11 - FINANCEIRO'!_xlnm.Print_Area,1,FALSE)</f>
        <v>4.4.11</v>
      </c>
      <c r="C3260" s="1376" t="str">
        <f>VLOOKUP(A3268,'11 - FINANCEIRO'!_xlnm.Print_Area,3,FALSE)</f>
        <v>Armação Em Aço Ca-50 - Fornecimento, Preparo E Colocação</v>
      </c>
      <c r="D3260" s="1378" t="s">
        <v>477</v>
      </c>
      <c r="E3260" s="1379"/>
      <c r="F3260" s="1379"/>
      <c r="G3260" s="1379"/>
      <c r="H3260" s="1379"/>
      <c r="I3260" s="1380"/>
      <c r="J3260" s="1338" t="s">
        <v>478</v>
      </c>
      <c r="K3260" s="1338" t="s">
        <v>479</v>
      </c>
      <c r="L3260" s="1338" t="s">
        <v>480</v>
      </c>
      <c r="M3260" s="1338" t="s">
        <v>481</v>
      </c>
      <c r="N3260" s="1338" t="s">
        <v>482</v>
      </c>
      <c r="O3260" s="1338" t="s">
        <v>483</v>
      </c>
      <c r="P3260" s="290" t="s">
        <v>484</v>
      </c>
      <c r="Q3260" s="1338" t="s">
        <v>485</v>
      </c>
      <c r="R3260" s="1336" t="s">
        <v>296</v>
      </c>
      <c r="S3260" s="1338" t="s">
        <v>486</v>
      </c>
      <c r="T3260" s="1338" t="s">
        <v>487</v>
      </c>
      <c r="U3260" s="1340" t="s">
        <v>488</v>
      </c>
      <c r="V3260" s="291">
        <f t="shared" ref="V3260:V3268" ca="1" si="899">IF(OFFSET(V3260,1,1)=1,OFFSET(V3260,0,-4),OFFSET(V3260,1,0))</f>
        <v>0</v>
      </c>
      <c r="W3260" s="256">
        <f t="shared" ca="1" si="893"/>
        <v>2</v>
      </c>
      <c r="X3260" s="256">
        <f t="shared" ca="1" si="896"/>
        <v>1</v>
      </c>
      <c r="Y3260" s="256"/>
      <c r="Z3260" s="256"/>
      <c r="AA3260" s="292"/>
      <c r="AB3260" s="292"/>
      <c r="AC3260" s="292"/>
    </row>
    <row r="3261" spans="1:29" s="337" customFormat="1" ht="15.75" hidden="1" x14ac:dyDescent="0.2">
      <c r="A3261" s="288"/>
      <c r="B3261" s="1375"/>
      <c r="C3261" s="1377" t="e">
        <f>VLOOKUP(LEFT(#REF!,5),'11 - FINANCEIRO'!_xlnm.Print_Area,2,FALSE)</f>
        <v>#REF!</v>
      </c>
      <c r="D3261" s="1342" t="s">
        <v>489</v>
      </c>
      <c r="E3261" s="1343"/>
      <c r="F3261" s="1344"/>
      <c r="G3261" s="1345" t="s">
        <v>490</v>
      </c>
      <c r="H3261" s="1346"/>
      <c r="I3261" s="1347"/>
      <c r="J3261" s="1339"/>
      <c r="K3261" s="1339"/>
      <c r="L3261" s="1339"/>
      <c r="M3261" s="1339"/>
      <c r="N3261" s="1339"/>
      <c r="O3261" s="1339"/>
      <c r="P3261" s="295" t="s">
        <v>491</v>
      </c>
      <c r="Q3261" s="1339"/>
      <c r="R3261" s="1337"/>
      <c r="S3261" s="1339"/>
      <c r="T3261" s="1339"/>
      <c r="U3261" s="1341"/>
      <c r="V3261" s="291">
        <f t="shared" ca="1" si="899"/>
        <v>0</v>
      </c>
      <c r="W3261" s="256">
        <f t="shared" ca="1" si="893"/>
        <v>2</v>
      </c>
      <c r="X3261" s="256">
        <f t="shared" ca="1" si="896"/>
        <v>1</v>
      </c>
      <c r="Y3261" s="336"/>
      <c r="Z3261" s="336"/>
    </row>
    <row r="3262" spans="1:29" s="337" customFormat="1" ht="15.75" hidden="1" x14ac:dyDescent="0.2">
      <c r="A3262" s="288"/>
      <c r="B3262" s="296"/>
      <c r="C3262" s="297" t="s">
        <v>1207</v>
      </c>
      <c r="D3262" s="298"/>
      <c r="E3262" s="299"/>
      <c r="F3262" s="300"/>
      <c r="G3262" s="301"/>
      <c r="H3262" s="302"/>
      <c r="I3262" s="303"/>
      <c r="J3262" s="304"/>
      <c r="K3262" s="304"/>
      <c r="L3262" s="304"/>
      <c r="M3262" s="304"/>
      <c r="N3262" s="304"/>
      <c r="O3262" s="304"/>
      <c r="P3262" s="306"/>
      <c r="Q3262" s="304"/>
      <c r="R3262" s="307">
        <v>49.5</v>
      </c>
      <c r="S3262" s="416" t="str">
        <f>L3266</f>
        <v>kg</v>
      </c>
      <c r="T3262" s="309">
        <v>37</v>
      </c>
      <c r="U3262" s="310"/>
      <c r="V3262" s="291">
        <f t="shared" ca="1" si="899"/>
        <v>0</v>
      </c>
      <c r="W3262" s="256">
        <f t="shared" ca="1" si="893"/>
        <v>2</v>
      </c>
      <c r="X3262" s="256">
        <f t="shared" ca="1" si="896"/>
        <v>1</v>
      </c>
      <c r="Y3262" s="336"/>
      <c r="Z3262" s="336"/>
    </row>
    <row r="3263" spans="1:29" s="111" customFormat="1" ht="15.75" hidden="1" x14ac:dyDescent="0.2">
      <c r="A3263" s="288"/>
      <c r="B3263" s="311"/>
      <c r="C3263" s="312" t="s">
        <v>1208</v>
      </c>
      <c r="D3263" s="313"/>
      <c r="E3263" s="314"/>
      <c r="F3263" s="315"/>
      <c r="G3263" s="380"/>
      <c r="H3263" s="316"/>
      <c r="I3263" s="381"/>
      <c r="J3263" s="317"/>
      <c r="K3263" s="313"/>
      <c r="L3263" s="317"/>
      <c r="M3263" s="315"/>
      <c r="N3263" s="314"/>
      <c r="O3263" s="313"/>
      <c r="P3263" s="318"/>
      <c r="Q3263" s="315"/>
      <c r="R3263" s="319">
        <v>49.5</v>
      </c>
      <c r="S3263" s="433" t="str">
        <f>L3266</f>
        <v>kg</v>
      </c>
      <c r="T3263" s="320">
        <v>37</v>
      </c>
      <c r="U3263" s="321"/>
      <c r="V3263" s="291">
        <f t="shared" ca="1" si="899"/>
        <v>0</v>
      </c>
      <c r="W3263" s="256">
        <f t="shared" ca="1" si="893"/>
        <v>2</v>
      </c>
      <c r="X3263" s="256">
        <f t="shared" ca="1" si="896"/>
        <v>1</v>
      </c>
      <c r="Y3263" s="250"/>
      <c r="Z3263" s="250"/>
    </row>
    <row r="3264" spans="1:29" s="111" customFormat="1" ht="15" hidden="1" x14ac:dyDescent="0.2">
      <c r="A3264" s="288"/>
      <c r="B3264" s="322"/>
      <c r="C3264" s="382"/>
      <c r="D3264" s="324"/>
      <c r="E3264" s="325"/>
      <c r="F3264" s="326"/>
      <c r="G3264" s="324"/>
      <c r="H3264" s="325"/>
      <c r="I3264" s="326"/>
      <c r="J3264" s="317"/>
      <c r="K3264" s="328"/>
      <c r="L3264" s="328"/>
      <c r="M3264" s="328"/>
      <c r="N3264" s="328"/>
      <c r="O3264" s="334"/>
      <c r="P3264" s="328"/>
      <c r="Q3264" s="334"/>
      <c r="R3264" s="333"/>
      <c r="S3264" s="331"/>
      <c r="T3264" s="320"/>
      <c r="U3264" s="335"/>
      <c r="V3264" s="291">
        <f t="shared" ca="1" si="899"/>
        <v>0</v>
      </c>
      <c r="W3264" s="256">
        <f t="shared" ca="1" si="893"/>
        <v>0</v>
      </c>
      <c r="X3264" s="256">
        <f t="shared" ca="1" si="896"/>
        <v>1</v>
      </c>
      <c r="Y3264" s="250"/>
      <c r="Z3264" s="250"/>
    </row>
    <row r="3265" spans="1:29" s="111" customFormat="1" ht="15" hidden="1" x14ac:dyDescent="0.2">
      <c r="A3265" s="288"/>
      <c r="B3265" s="338"/>
      <c r="C3265" s="339"/>
      <c r="D3265" s="340"/>
      <c r="E3265" s="341"/>
      <c r="F3265" s="342"/>
      <c r="G3265" s="340"/>
      <c r="H3265" s="341"/>
      <c r="I3265" s="342"/>
      <c r="J3265" s="343"/>
      <c r="K3265" s="344"/>
      <c r="L3265" s="345"/>
      <c r="M3265" s="346"/>
      <c r="N3265" s="347"/>
      <c r="O3265" s="348"/>
      <c r="P3265" s="345"/>
      <c r="Q3265" s="349"/>
      <c r="R3265" s="350"/>
      <c r="S3265" s="351"/>
      <c r="T3265" s="352"/>
      <c r="U3265" s="353"/>
      <c r="V3265" s="291">
        <f t="shared" ca="1" si="899"/>
        <v>0</v>
      </c>
      <c r="W3265" s="256">
        <f t="shared" ca="1" si="893"/>
        <v>0</v>
      </c>
      <c r="X3265" s="256">
        <f t="shared" ca="1" si="896"/>
        <v>1</v>
      </c>
      <c r="Y3265" s="250"/>
      <c r="Z3265" s="250"/>
    </row>
    <row r="3266" spans="1:29" s="111" customFormat="1" ht="15.75" hidden="1" customHeight="1" x14ac:dyDescent="0.2">
      <c r="A3266" s="288"/>
      <c r="B3266" s="354"/>
      <c r="C3266" s="355"/>
      <c r="D3266" s="1354" t="s">
        <v>492</v>
      </c>
      <c r="E3266" s="1355"/>
      <c r="F3266" s="1355"/>
      <c r="G3266" s="1355"/>
      <c r="H3266" s="1355"/>
      <c r="I3266" s="1356"/>
      <c r="J3266" s="1357">
        <f>VLOOKUP(A3268,'11 - FINANCEIRO'!_xlnm.Print_Area,6,FALSE)</f>
        <v>99</v>
      </c>
      <c r="K3266" s="1358"/>
      <c r="L3266" s="356" t="str">
        <f>VLOOKUP(A3268,'11 - FINANCEIRO'!_xlnm.Print_Area,4,FALSE)</f>
        <v>kg</v>
      </c>
      <c r="M3266" s="1359" t="s">
        <v>493</v>
      </c>
      <c r="N3266" s="1360"/>
      <c r="O3266" s="1360"/>
      <c r="P3266" s="1360"/>
      <c r="Q3266" s="1361"/>
      <c r="R3266" s="357">
        <f>TRUNC(SUM(R3262:R3265),3)</f>
        <v>99</v>
      </c>
      <c r="S3266" s="358" t="str">
        <f>L3266</f>
        <v>kg</v>
      </c>
      <c r="T3266" s="359"/>
      <c r="U3266" s="360"/>
      <c r="V3266" s="291">
        <f t="shared" ca="1" si="899"/>
        <v>0</v>
      </c>
      <c r="W3266" s="256">
        <f t="shared" ca="1" si="893"/>
        <v>2</v>
      </c>
      <c r="X3266" s="256">
        <f t="shared" ca="1" si="896"/>
        <v>1</v>
      </c>
      <c r="Y3266" s="250"/>
      <c r="Z3266" s="250"/>
    </row>
    <row r="3267" spans="1:29" s="293" customFormat="1" ht="15.75" hidden="1" customHeight="1" x14ac:dyDescent="0.2">
      <c r="A3267" s="288"/>
      <c r="B3267" s="354"/>
      <c r="C3267" s="361"/>
      <c r="D3267" s="1362" t="s">
        <v>494</v>
      </c>
      <c r="E3267" s="1363"/>
      <c r="F3267" s="1363"/>
      <c r="G3267" s="1363"/>
      <c r="H3267" s="1363"/>
      <c r="I3267" s="1364"/>
      <c r="J3267" s="1365">
        <f>R3266/J3266</f>
        <v>1</v>
      </c>
      <c r="K3267" s="1366"/>
      <c r="L3267" s="1369"/>
      <c r="M3267" s="1371" t="s">
        <v>495</v>
      </c>
      <c r="N3267" s="1372"/>
      <c r="O3267" s="1372"/>
      <c r="P3267" s="1372"/>
      <c r="Q3267" s="1373"/>
      <c r="R3267" s="362">
        <f>VLOOKUP(A3268,'11 - FINANCEIRO'!_xlnm.Print_Area,8,FALSE)</f>
        <v>99</v>
      </c>
      <c r="S3267" s="363" t="str">
        <f>L3266</f>
        <v>kg</v>
      </c>
      <c r="T3267" s="359"/>
      <c r="U3267" s="360"/>
      <c r="V3267" s="291">
        <f t="shared" ca="1" si="899"/>
        <v>0</v>
      </c>
      <c r="W3267" s="256">
        <f t="shared" ca="1" si="893"/>
        <v>2</v>
      </c>
      <c r="X3267" s="256">
        <f t="shared" ca="1" si="896"/>
        <v>1</v>
      </c>
      <c r="Y3267" s="256"/>
      <c r="Z3267" s="256"/>
      <c r="AA3267" s="292"/>
      <c r="AB3267" s="292"/>
      <c r="AC3267" s="292"/>
    </row>
    <row r="3268" spans="1:29" s="293" customFormat="1" ht="15.75" hidden="1" customHeight="1" x14ac:dyDescent="0.2">
      <c r="A3268" s="288" t="s">
        <v>203</v>
      </c>
      <c r="B3268" s="364"/>
      <c r="C3268" s="365"/>
      <c r="D3268" s="1354"/>
      <c r="E3268" s="1355"/>
      <c r="F3268" s="1355"/>
      <c r="G3268" s="1355"/>
      <c r="H3268" s="1355"/>
      <c r="I3268" s="1356"/>
      <c r="J3268" s="1367"/>
      <c r="K3268" s="1368"/>
      <c r="L3268" s="1370"/>
      <c r="M3268" s="1371" t="s">
        <v>496</v>
      </c>
      <c r="N3268" s="1372"/>
      <c r="O3268" s="1372"/>
      <c r="P3268" s="1372"/>
      <c r="Q3268" s="1373"/>
      <c r="R3268" s="362">
        <f>R3266-R3267</f>
        <v>0</v>
      </c>
      <c r="S3268" s="363" t="str">
        <f>L3266</f>
        <v>kg</v>
      </c>
      <c r="T3268" s="366"/>
      <c r="U3268" s="367"/>
      <c r="V3268" s="291">
        <f t="shared" ca="1" si="899"/>
        <v>0</v>
      </c>
      <c r="W3268" s="256">
        <f t="shared" ca="1" si="893"/>
        <v>2</v>
      </c>
      <c r="X3268" s="256">
        <f t="shared" ca="1" si="896"/>
        <v>1</v>
      </c>
      <c r="Y3268" s="256"/>
      <c r="Z3268" s="256"/>
      <c r="AA3268" s="292"/>
      <c r="AB3268" s="292"/>
      <c r="AC3268" s="292"/>
    </row>
    <row r="3269" spans="1:29" s="111" customFormat="1" ht="15.75" hidden="1" x14ac:dyDescent="0.2">
      <c r="A3269" s="288"/>
      <c r="B3269" s="368"/>
      <c r="C3269" s="365"/>
      <c r="D3269" s="369"/>
      <c r="E3269" s="370"/>
      <c r="F3269" s="369"/>
      <c r="G3269" s="369"/>
      <c r="H3269" s="369"/>
      <c r="I3269" s="369"/>
      <c r="J3269" s="371"/>
      <c r="K3269" s="372"/>
      <c r="L3269" s="373"/>
      <c r="M3269" s="374"/>
      <c r="N3269" s="374"/>
      <c r="O3269" s="374"/>
      <c r="P3269" s="374"/>
      <c r="Q3269" s="374"/>
      <c r="R3269" s="375"/>
      <c r="S3269" s="376"/>
      <c r="T3269" s="377"/>
      <c r="U3269" s="378"/>
      <c r="V3269" s="379">
        <f ca="1">SUM(V3260:V3268)</f>
        <v>0</v>
      </c>
      <c r="W3269" s="256">
        <f t="shared" ca="1" si="893"/>
        <v>1</v>
      </c>
      <c r="X3269" s="256">
        <f t="shared" ca="1" si="896"/>
        <v>0</v>
      </c>
      <c r="Y3269" s="250"/>
      <c r="Z3269" s="250"/>
    </row>
    <row r="3270" spans="1:29" s="293" customFormat="1" ht="15.75" hidden="1" customHeight="1" x14ac:dyDescent="0.25">
      <c r="A3270" s="288"/>
      <c r="B3270" s="1374" t="str">
        <f>VLOOKUP(A3278,'11 - FINANCEIRO'!_xlnm.Print_Area,1,FALSE)</f>
        <v>4.4.12</v>
      </c>
      <c r="C3270" s="1376" t="str">
        <f>VLOOKUP(A3278,'11 - FINANCEIRO'!_xlnm.Print_Area,3,FALSE)</f>
        <v>Concreto Para Bombeamento Fck = 30 Mpa - Confecção Em Central Dosadora De 30 M³/H - Areia E Brita Comerciais</v>
      </c>
      <c r="D3270" s="1378" t="s">
        <v>477</v>
      </c>
      <c r="E3270" s="1379"/>
      <c r="F3270" s="1379"/>
      <c r="G3270" s="1379"/>
      <c r="H3270" s="1379"/>
      <c r="I3270" s="1380"/>
      <c r="J3270" s="1338" t="s">
        <v>478</v>
      </c>
      <c r="K3270" s="1338" t="s">
        <v>479</v>
      </c>
      <c r="L3270" s="1338" t="s">
        <v>480</v>
      </c>
      <c r="M3270" s="1338" t="s">
        <v>481</v>
      </c>
      <c r="N3270" s="1338" t="s">
        <v>482</v>
      </c>
      <c r="O3270" s="1338" t="s">
        <v>483</v>
      </c>
      <c r="P3270" s="290" t="s">
        <v>484</v>
      </c>
      <c r="Q3270" s="1338" t="s">
        <v>485</v>
      </c>
      <c r="R3270" s="1336" t="s">
        <v>296</v>
      </c>
      <c r="S3270" s="1338" t="s">
        <v>486</v>
      </c>
      <c r="T3270" s="1338" t="s">
        <v>487</v>
      </c>
      <c r="U3270" s="1340" t="s">
        <v>488</v>
      </c>
      <c r="V3270" s="291">
        <f t="shared" ref="V3270:V3278" ca="1" si="900">IF(OFFSET(V3270,1,1)=1,OFFSET(V3270,0,-4),OFFSET(V3270,1,0))</f>
        <v>0</v>
      </c>
      <c r="W3270" s="256">
        <f t="shared" ca="1" si="893"/>
        <v>2</v>
      </c>
      <c r="X3270" s="256">
        <f t="shared" ca="1" si="896"/>
        <v>1</v>
      </c>
      <c r="Y3270" s="256"/>
      <c r="Z3270" s="256"/>
      <c r="AA3270" s="292"/>
      <c r="AB3270" s="292"/>
      <c r="AC3270" s="292"/>
    </row>
    <row r="3271" spans="1:29" s="337" customFormat="1" ht="15.75" hidden="1" x14ac:dyDescent="0.2">
      <c r="A3271" s="288"/>
      <c r="B3271" s="1375"/>
      <c r="C3271" s="1377" t="e">
        <f>VLOOKUP(LEFT(#REF!,5),'11 - FINANCEIRO'!_xlnm.Print_Area,2,FALSE)</f>
        <v>#REF!</v>
      </c>
      <c r="D3271" s="1342" t="s">
        <v>489</v>
      </c>
      <c r="E3271" s="1343"/>
      <c r="F3271" s="1344"/>
      <c r="G3271" s="1345" t="s">
        <v>490</v>
      </c>
      <c r="H3271" s="1346"/>
      <c r="I3271" s="1347"/>
      <c r="J3271" s="1339"/>
      <c r="K3271" s="1339"/>
      <c r="L3271" s="1339"/>
      <c r="M3271" s="1339"/>
      <c r="N3271" s="1339"/>
      <c r="O3271" s="1339"/>
      <c r="P3271" s="295" t="s">
        <v>491</v>
      </c>
      <c r="Q3271" s="1339"/>
      <c r="R3271" s="1337"/>
      <c r="S3271" s="1339"/>
      <c r="T3271" s="1339"/>
      <c r="U3271" s="1341"/>
      <c r="V3271" s="291">
        <f t="shared" ca="1" si="900"/>
        <v>0</v>
      </c>
      <c r="W3271" s="256">
        <f t="shared" ca="1" si="893"/>
        <v>2</v>
      </c>
      <c r="X3271" s="256">
        <f t="shared" ca="1" si="896"/>
        <v>1</v>
      </c>
      <c r="Y3271" s="336"/>
      <c r="Z3271" s="336"/>
    </row>
    <row r="3272" spans="1:29" s="337" customFormat="1" ht="15.75" hidden="1" x14ac:dyDescent="0.2">
      <c r="A3272" s="288"/>
      <c r="B3272" s="296"/>
      <c r="C3272" s="297" t="s">
        <v>997</v>
      </c>
      <c r="D3272" s="298"/>
      <c r="E3272" s="299"/>
      <c r="F3272" s="300"/>
      <c r="G3272" s="301"/>
      <c r="H3272" s="302"/>
      <c r="I3272" s="303"/>
      <c r="J3272" s="304"/>
      <c r="K3272" s="304">
        <v>16.399999999999999</v>
      </c>
      <c r="L3272" s="304">
        <v>0.21199999999999999</v>
      </c>
      <c r="M3272" s="304">
        <v>4.24E-2</v>
      </c>
      <c r="N3272" s="304">
        <v>3.4767999999999994</v>
      </c>
      <c r="O3272" s="304">
        <v>0.14741631999999999</v>
      </c>
      <c r="P3272" s="306"/>
      <c r="Q3272" s="304">
        <v>2</v>
      </c>
      <c r="R3272" s="307">
        <v>0.29483263999999998</v>
      </c>
      <c r="S3272" s="416" t="str">
        <f>L3276</f>
        <v>m³</v>
      </c>
      <c r="T3272" s="309">
        <v>37</v>
      </c>
      <c r="U3272" s="310"/>
      <c r="V3272" s="291">
        <f t="shared" ca="1" si="900"/>
        <v>0</v>
      </c>
      <c r="W3272" s="256">
        <f t="shared" ca="1" si="893"/>
        <v>2</v>
      </c>
      <c r="X3272" s="256">
        <f t="shared" ca="1" si="896"/>
        <v>1</v>
      </c>
      <c r="Y3272" s="336"/>
      <c r="Z3272" s="336"/>
    </row>
    <row r="3273" spans="1:29" s="111" customFormat="1" ht="15.75" hidden="1" x14ac:dyDescent="0.2">
      <c r="A3273" s="288"/>
      <c r="B3273" s="311"/>
      <c r="C3273" s="312" t="s">
        <v>998</v>
      </c>
      <c r="D3273" s="313"/>
      <c r="E3273" s="314"/>
      <c r="F3273" s="315"/>
      <c r="G3273" s="380"/>
      <c r="H3273" s="316"/>
      <c r="I3273" s="381"/>
      <c r="J3273" s="317"/>
      <c r="K3273" s="313">
        <v>27</v>
      </c>
      <c r="L3273" s="317">
        <v>1.222</v>
      </c>
      <c r="M3273" s="315">
        <v>4.1000000000000002E-2</v>
      </c>
      <c r="N3273" s="314">
        <v>32.994</v>
      </c>
      <c r="O3273" s="313">
        <v>1.352754</v>
      </c>
      <c r="P3273" s="318"/>
      <c r="Q3273" s="315">
        <v>2</v>
      </c>
      <c r="R3273" s="319">
        <v>2.705508</v>
      </c>
      <c r="S3273" s="433" t="str">
        <f>L3276</f>
        <v>m³</v>
      </c>
      <c r="T3273" s="320">
        <v>37</v>
      </c>
      <c r="U3273" s="321"/>
      <c r="V3273" s="291">
        <f t="shared" ca="1" si="900"/>
        <v>0</v>
      </c>
      <c r="W3273" s="256">
        <f t="shared" ca="1" si="893"/>
        <v>2</v>
      </c>
      <c r="X3273" s="256">
        <f t="shared" ca="1" si="896"/>
        <v>1</v>
      </c>
      <c r="Y3273" s="250"/>
      <c r="Z3273" s="250"/>
    </row>
    <row r="3274" spans="1:29" s="111" customFormat="1" ht="15" hidden="1" x14ac:dyDescent="0.2">
      <c r="A3274" s="288"/>
      <c r="B3274" s="322"/>
      <c r="C3274" s="382"/>
      <c r="D3274" s="324"/>
      <c r="E3274" s="325"/>
      <c r="F3274" s="326"/>
      <c r="G3274" s="324"/>
      <c r="H3274" s="325"/>
      <c r="I3274" s="326"/>
      <c r="J3274" s="317"/>
      <c r="K3274" s="328"/>
      <c r="L3274" s="328"/>
      <c r="M3274" s="328"/>
      <c r="N3274" s="328"/>
      <c r="O3274" s="334"/>
      <c r="P3274" s="328"/>
      <c r="Q3274" s="334"/>
      <c r="R3274" s="333"/>
      <c r="S3274" s="331"/>
      <c r="T3274" s="320"/>
      <c r="U3274" s="335"/>
      <c r="V3274" s="291">
        <f t="shared" ca="1" si="900"/>
        <v>0</v>
      </c>
      <c r="W3274" s="256">
        <f t="shared" ca="1" si="893"/>
        <v>0</v>
      </c>
      <c r="X3274" s="256">
        <f t="shared" ca="1" si="896"/>
        <v>1</v>
      </c>
      <c r="Y3274" s="250"/>
      <c r="Z3274" s="250"/>
    </row>
    <row r="3275" spans="1:29" s="111" customFormat="1" ht="15" hidden="1" x14ac:dyDescent="0.2">
      <c r="A3275" s="288"/>
      <c r="B3275" s="338"/>
      <c r="C3275" s="339"/>
      <c r="D3275" s="340"/>
      <c r="E3275" s="341"/>
      <c r="F3275" s="342"/>
      <c r="G3275" s="340"/>
      <c r="H3275" s="341"/>
      <c r="I3275" s="342"/>
      <c r="J3275" s="343"/>
      <c r="K3275" s="344"/>
      <c r="L3275" s="345"/>
      <c r="M3275" s="346"/>
      <c r="N3275" s="347"/>
      <c r="O3275" s="348"/>
      <c r="P3275" s="345"/>
      <c r="Q3275" s="349"/>
      <c r="R3275" s="350"/>
      <c r="S3275" s="351"/>
      <c r="T3275" s="352"/>
      <c r="U3275" s="353"/>
      <c r="V3275" s="291">
        <f t="shared" ca="1" si="900"/>
        <v>0</v>
      </c>
      <c r="W3275" s="256">
        <f t="shared" ca="1" si="893"/>
        <v>0</v>
      </c>
      <c r="X3275" s="256">
        <f t="shared" ca="1" si="896"/>
        <v>1</v>
      </c>
      <c r="Y3275" s="250"/>
      <c r="Z3275" s="250"/>
    </row>
    <row r="3276" spans="1:29" s="111" customFormat="1" ht="15.75" hidden="1" customHeight="1" x14ac:dyDescent="0.2">
      <c r="A3276" s="288"/>
      <c r="B3276" s="354"/>
      <c r="C3276" s="355"/>
      <c r="D3276" s="1354" t="s">
        <v>492</v>
      </c>
      <c r="E3276" s="1355"/>
      <c r="F3276" s="1355"/>
      <c r="G3276" s="1355"/>
      <c r="H3276" s="1355"/>
      <c r="I3276" s="1356"/>
      <c r="J3276" s="1357">
        <f>VLOOKUP(A3278,'11 - FINANCEIRO'!_xlnm.Print_Area,6,FALSE)</f>
        <v>3</v>
      </c>
      <c r="K3276" s="1358"/>
      <c r="L3276" s="356" t="str">
        <f>VLOOKUP(A3278,'11 - FINANCEIRO'!_xlnm.Print_Area,4,FALSE)</f>
        <v>m³</v>
      </c>
      <c r="M3276" s="1359" t="s">
        <v>493</v>
      </c>
      <c r="N3276" s="1360"/>
      <c r="O3276" s="1360"/>
      <c r="P3276" s="1360"/>
      <c r="Q3276" s="1361"/>
      <c r="R3276" s="357">
        <f>TRUNC(SUM(R3272:R3275),3)</f>
        <v>3</v>
      </c>
      <c r="S3276" s="358" t="str">
        <f>L3276</f>
        <v>m³</v>
      </c>
      <c r="T3276" s="359"/>
      <c r="U3276" s="360"/>
      <c r="V3276" s="291">
        <f t="shared" ca="1" si="900"/>
        <v>0</v>
      </c>
      <c r="W3276" s="256">
        <f t="shared" ca="1" si="893"/>
        <v>2</v>
      </c>
      <c r="X3276" s="256">
        <f t="shared" ca="1" si="896"/>
        <v>1</v>
      </c>
      <c r="Y3276" s="250"/>
      <c r="Z3276" s="250"/>
    </row>
    <row r="3277" spans="1:29" s="293" customFormat="1" ht="15.75" hidden="1" customHeight="1" x14ac:dyDescent="0.2">
      <c r="A3277" s="288"/>
      <c r="B3277" s="354"/>
      <c r="C3277" s="361"/>
      <c r="D3277" s="1362" t="s">
        <v>494</v>
      </c>
      <c r="E3277" s="1363"/>
      <c r="F3277" s="1363"/>
      <c r="G3277" s="1363"/>
      <c r="H3277" s="1363"/>
      <c r="I3277" s="1364"/>
      <c r="J3277" s="1365">
        <f>R3276/J3276</f>
        <v>1</v>
      </c>
      <c r="K3277" s="1366"/>
      <c r="L3277" s="1369"/>
      <c r="M3277" s="1371" t="s">
        <v>495</v>
      </c>
      <c r="N3277" s="1372"/>
      <c r="O3277" s="1372"/>
      <c r="P3277" s="1372"/>
      <c r="Q3277" s="1373"/>
      <c r="R3277" s="362">
        <f>VLOOKUP(A3278,'11 - FINANCEIRO'!_xlnm.Print_Area,8,FALSE)</f>
        <v>3</v>
      </c>
      <c r="S3277" s="363" t="str">
        <f>L3276</f>
        <v>m³</v>
      </c>
      <c r="T3277" s="359"/>
      <c r="U3277" s="360"/>
      <c r="V3277" s="291">
        <f t="shared" ca="1" si="900"/>
        <v>0</v>
      </c>
      <c r="W3277" s="256">
        <f t="shared" ca="1" si="893"/>
        <v>2</v>
      </c>
      <c r="X3277" s="256">
        <f t="shared" ca="1" si="896"/>
        <v>1</v>
      </c>
      <c r="Y3277" s="256"/>
      <c r="Z3277" s="256"/>
      <c r="AA3277" s="292"/>
      <c r="AB3277" s="292"/>
      <c r="AC3277" s="292"/>
    </row>
    <row r="3278" spans="1:29" s="293" customFormat="1" ht="15.75" hidden="1" customHeight="1" x14ac:dyDescent="0.2">
      <c r="A3278" s="288" t="s">
        <v>204</v>
      </c>
      <c r="B3278" s="364"/>
      <c r="C3278" s="365"/>
      <c r="D3278" s="1354"/>
      <c r="E3278" s="1355"/>
      <c r="F3278" s="1355"/>
      <c r="G3278" s="1355"/>
      <c r="H3278" s="1355"/>
      <c r="I3278" s="1356"/>
      <c r="J3278" s="1367"/>
      <c r="K3278" s="1368"/>
      <c r="L3278" s="1370"/>
      <c r="M3278" s="1371" t="s">
        <v>496</v>
      </c>
      <c r="N3278" s="1372"/>
      <c r="O3278" s="1372"/>
      <c r="P3278" s="1372"/>
      <c r="Q3278" s="1373"/>
      <c r="R3278" s="362">
        <f>R3276-R3277</f>
        <v>0</v>
      </c>
      <c r="S3278" s="363" t="str">
        <f>L3276</f>
        <v>m³</v>
      </c>
      <c r="T3278" s="366"/>
      <c r="U3278" s="367"/>
      <c r="V3278" s="291">
        <f t="shared" ca="1" si="900"/>
        <v>0</v>
      </c>
      <c r="W3278" s="256">
        <f t="shared" ca="1" si="893"/>
        <v>2</v>
      </c>
      <c r="X3278" s="256">
        <f t="shared" ca="1" si="896"/>
        <v>1</v>
      </c>
      <c r="Y3278" s="256"/>
      <c r="Z3278" s="256"/>
      <c r="AA3278" s="292"/>
      <c r="AB3278" s="292"/>
      <c r="AC3278" s="292"/>
    </row>
    <row r="3279" spans="1:29" s="111" customFormat="1" ht="15.75" hidden="1" x14ac:dyDescent="0.2">
      <c r="A3279" s="288"/>
      <c r="B3279" s="368"/>
      <c r="C3279" s="365"/>
      <c r="D3279" s="369"/>
      <c r="E3279" s="370"/>
      <c r="F3279" s="369"/>
      <c r="G3279" s="369"/>
      <c r="H3279" s="369"/>
      <c r="I3279" s="369"/>
      <c r="J3279" s="371"/>
      <c r="K3279" s="372"/>
      <c r="L3279" s="373"/>
      <c r="M3279" s="374"/>
      <c r="N3279" s="374"/>
      <c r="O3279" s="374"/>
      <c r="P3279" s="374"/>
      <c r="Q3279" s="374"/>
      <c r="R3279" s="375"/>
      <c r="S3279" s="376"/>
      <c r="T3279" s="377"/>
      <c r="U3279" s="378"/>
      <c r="V3279" s="379">
        <f ca="1">SUM(V3270:V3278)</f>
        <v>0</v>
      </c>
      <c r="W3279" s="256">
        <f t="shared" ref="W3279:W3343" ca="1" si="901">IF(LEFT(_xlfn.FORMULATEXT(V3279),3)="=SO",1,IF(COUNTA(A3279:U3279)=0,0,2))</f>
        <v>1</v>
      </c>
      <c r="X3279" s="256">
        <f t="shared" ca="1" si="896"/>
        <v>0</v>
      </c>
      <c r="Y3279" s="250"/>
      <c r="Z3279" s="250"/>
    </row>
    <row r="3280" spans="1:29" s="293" customFormat="1" ht="15.75" hidden="1" customHeight="1" x14ac:dyDescent="0.25">
      <c r="A3280" s="288"/>
      <c r="B3280" s="1374" t="str">
        <f>VLOOKUP(A3288,'11 - FINANCEIRO'!_xlnm.Print_Area,1,FALSE)</f>
        <v>4.4.13</v>
      </c>
      <c r="C3280" s="1376" t="str">
        <f>VLOOKUP(A3288,'11 - FINANCEIRO'!_xlnm.Print_Area,3,FALSE)</f>
        <v>Servico De Bombeamento De Concreto Com Consumo Minimo De 40 M3</v>
      </c>
      <c r="D3280" s="1378" t="s">
        <v>477</v>
      </c>
      <c r="E3280" s="1379"/>
      <c r="F3280" s="1379"/>
      <c r="G3280" s="1379"/>
      <c r="H3280" s="1379"/>
      <c r="I3280" s="1380"/>
      <c r="J3280" s="1338" t="s">
        <v>478</v>
      </c>
      <c r="K3280" s="1338" t="s">
        <v>479</v>
      </c>
      <c r="L3280" s="1338" t="s">
        <v>480</v>
      </c>
      <c r="M3280" s="1338" t="s">
        <v>481</v>
      </c>
      <c r="N3280" s="1338" t="s">
        <v>482</v>
      </c>
      <c r="O3280" s="1338" t="s">
        <v>483</v>
      </c>
      <c r="P3280" s="290" t="s">
        <v>484</v>
      </c>
      <c r="Q3280" s="1338" t="s">
        <v>485</v>
      </c>
      <c r="R3280" s="1336" t="s">
        <v>296</v>
      </c>
      <c r="S3280" s="1338" t="s">
        <v>486</v>
      </c>
      <c r="T3280" s="1338" t="s">
        <v>487</v>
      </c>
      <c r="U3280" s="1340" t="s">
        <v>488</v>
      </c>
      <c r="V3280" s="291">
        <f t="shared" ref="V3280:V3288" ca="1" si="902">IF(OFFSET(V3280,1,1)=1,OFFSET(V3280,0,-4),OFFSET(V3280,1,0))</f>
        <v>0</v>
      </c>
      <c r="W3280" s="256">
        <f t="shared" ca="1" si="901"/>
        <v>2</v>
      </c>
      <c r="X3280" s="256">
        <f t="shared" ca="1" si="896"/>
        <v>1</v>
      </c>
      <c r="Y3280" s="256"/>
      <c r="Z3280" s="256"/>
      <c r="AA3280" s="292"/>
      <c r="AB3280" s="292"/>
      <c r="AC3280" s="292"/>
    </row>
    <row r="3281" spans="1:29" s="337" customFormat="1" ht="15.75" hidden="1" x14ac:dyDescent="0.2">
      <c r="A3281" s="288"/>
      <c r="B3281" s="1375"/>
      <c r="C3281" s="1377" t="e">
        <f>VLOOKUP(LEFT(#REF!,5),'11 - FINANCEIRO'!_xlnm.Print_Area,2,FALSE)</f>
        <v>#REF!</v>
      </c>
      <c r="D3281" s="1342" t="s">
        <v>489</v>
      </c>
      <c r="E3281" s="1343"/>
      <c r="F3281" s="1344"/>
      <c r="G3281" s="1345" t="s">
        <v>490</v>
      </c>
      <c r="H3281" s="1346"/>
      <c r="I3281" s="1347"/>
      <c r="J3281" s="1339"/>
      <c r="K3281" s="1339"/>
      <c r="L3281" s="1339"/>
      <c r="M3281" s="1339"/>
      <c r="N3281" s="1339"/>
      <c r="O3281" s="1339"/>
      <c r="P3281" s="295" t="s">
        <v>491</v>
      </c>
      <c r="Q3281" s="1339"/>
      <c r="R3281" s="1337"/>
      <c r="S3281" s="1339"/>
      <c r="T3281" s="1339"/>
      <c r="U3281" s="1341"/>
      <c r="V3281" s="291">
        <f t="shared" ca="1" si="902"/>
        <v>0</v>
      </c>
      <c r="W3281" s="256">
        <f t="shared" ca="1" si="901"/>
        <v>2</v>
      </c>
      <c r="X3281" s="256">
        <f t="shared" ca="1" si="896"/>
        <v>1</v>
      </c>
      <c r="Y3281" s="336"/>
      <c r="Z3281" s="336"/>
    </row>
    <row r="3282" spans="1:29" s="337" customFormat="1" ht="15.75" hidden="1" x14ac:dyDescent="0.2">
      <c r="A3282" s="288"/>
      <c r="B3282" s="296"/>
      <c r="C3282" s="297" t="s">
        <v>997</v>
      </c>
      <c r="D3282" s="298"/>
      <c r="E3282" s="299"/>
      <c r="F3282" s="300"/>
      <c r="G3282" s="301"/>
      <c r="H3282" s="302"/>
      <c r="I3282" s="303"/>
      <c r="J3282" s="304"/>
      <c r="K3282" s="304"/>
      <c r="L3282" s="304"/>
      <c r="M3282" s="304"/>
      <c r="N3282" s="304"/>
      <c r="O3282" s="304"/>
      <c r="P3282" s="306"/>
      <c r="Q3282" s="304"/>
      <c r="R3282" s="307">
        <v>0.29483263999999998</v>
      </c>
      <c r="S3282" s="416" t="str">
        <f>L3286</f>
        <v xml:space="preserve"> m³</v>
      </c>
      <c r="T3282" s="309">
        <v>37</v>
      </c>
      <c r="U3282" s="310"/>
      <c r="V3282" s="291">
        <f t="shared" ca="1" si="902"/>
        <v>0</v>
      </c>
      <c r="W3282" s="256">
        <f t="shared" ca="1" si="901"/>
        <v>2</v>
      </c>
      <c r="X3282" s="256">
        <f t="shared" ca="1" si="896"/>
        <v>1</v>
      </c>
      <c r="Y3282" s="336"/>
      <c r="Z3282" s="336"/>
    </row>
    <row r="3283" spans="1:29" s="111" customFormat="1" ht="15.75" hidden="1" x14ac:dyDescent="0.2">
      <c r="A3283" s="288"/>
      <c r="B3283" s="311"/>
      <c r="C3283" s="312" t="s">
        <v>998</v>
      </c>
      <c r="D3283" s="313"/>
      <c r="E3283" s="314"/>
      <c r="F3283" s="315"/>
      <c r="G3283" s="380"/>
      <c r="H3283" s="316"/>
      <c r="I3283" s="381"/>
      <c r="J3283" s="317"/>
      <c r="K3283" s="313"/>
      <c r="L3283" s="317"/>
      <c r="M3283" s="315"/>
      <c r="N3283" s="314"/>
      <c r="O3283" s="313"/>
      <c r="P3283" s="318"/>
      <c r="Q3283" s="315"/>
      <c r="R3283" s="319">
        <v>2.705508</v>
      </c>
      <c r="S3283" s="433" t="str">
        <f>L3286</f>
        <v xml:space="preserve"> m³</v>
      </c>
      <c r="T3283" s="320">
        <v>37</v>
      </c>
      <c r="U3283" s="321"/>
      <c r="V3283" s="291">
        <f t="shared" ca="1" si="902"/>
        <v>0</v>
      </c>
      <c r="W3283" s="256">
        <f t="shared" ca="1" si="901"/>
        <v>2</v>
      </c>
      <c r="X3283" s="256">
        <f t="shared" ca="1" si="896"/>
        <v>1</v>
      </c>
      <c r="Y3283" s="250"/>
      <c r="Z3283" s="250"/>
    </row>
    <row r="3284" spans="1:29" s="111" customFormat="1" ht="15" hidden="1" x14ac:dyDescent="0.2">
      <c r="A3284" s="288"/>
      <c r="B3284" s="322"/>
      <c r="C3284" s="382"/>
      <c r="D3284" s="324"/>
      <c r="E3284" s="325"/>
      <c r="F3284" s="326"/>
      <c r="G3284" s="324"/>
      <c r="H3284" s="325"/>
      <c r="I3284" s="326"/>
      <c r="J3284" s="317"/>
      <c r="K3284" s="328"/>
      <c r="L3284" s="328"/>
      <c r="M3284" s="328"/>
      <c r="N3284" s="328"/>
      <c r="O3284" s="334"/>
      <c r="P3284" s="328"/>
      <c r="Q3284" s="334"/>
      <c r="R3284" s="333"/>
      <c r="S3284" s="331"/>
      <c r="T3284" s="320"/>
      <c r="U3284" s="335"/>
      <c r="V3284" s="291">
        <f t="shared" ca="1" si="902"/>
        <v>0</v>
      </c>
      <c r="W3284" s="256">
        <f t="shared" ca="1" si="901"/>
        <v>0</v>
      </c>
      <c r="X3284" s="256">
        <f t="shared" ca="1" si="896"/>
        <v>1</v>
      </c>
      <c r="Y3284" s="250"/>
      <c r="Z3284" s="250"/>
    </row>
    <row r="3285" spans="1:29" s="111" customFormat="1" ht="15" hidden="1" x14ac:dyDescent="0.2">
      <c r="A3285" s="288"/>
      <c r="B3285" s="338"/>
      <c r="C3285" s="339"/>
      <c r="D3285" s="340"/>
      <c r="E3285" s="341"/>
      <c r="F3285" s="342"/>
      <c r="G3285" s="340"/>
      <c r="H3285" s="341"/>
      <c r="I3285" s="342"/>
      <c r="J3285" s="343"/>
      <c r="K3285" s="344"/>
      <c r="L3285" s="345"/>
      <c r="M3285" s="346"/>
      <c r="N3285" s="347"/>
      <c r="O3285" s="348"/>
      <c r="P3285" s="345"/>
      <c r="Q3285" s="349"/>
      <c r="R3285" s="350"/>
      <c r="S3285" s="351"/>
      <c r="T3285" s="352"/>
      <c r="U3285" s="353"/>
      <c r="V3285" s="291">
        <f t="shared" ca="1" si="902"/>
        <v>0</v>
      </c>
      <c r="W3285" s="256">
        <f t="shared" ca="1" si="901"/>
        <v>0</v>
      </c>
      <c r="X3285" s="256">
        <f t="shared" ca="1" si="896"/>
        <v>1</v>
      </c>
      <c r="Y3285" s="250"/>
      <c r="Z3285" s="250"/>
    </row>
    <row r="3286" spans="1:29" s="111" customFormat="1" ht="15.75" hidden="1" customHeight="1" x14ac:dyDescent="0.2">
      <c r="A3286" s="288"/>
      <c r="B3286" s="354"/>
      <c r="C3286" s="355"/>
      <c r="D3286" s="1354" t="s">
        <v>492</v>
      </c>
      <c r="E3286" s="1355"/>
      <c r="F3286" s="1355"/>
      <c r="G3286" s="1355"/>
      <c r="H3286" s="1355"/>
      <c r="I3286" s="1356"/>
      <c r="J3286" s="1357">
        <f>VLOOKUP(A3288,'11 - FINANCEIRO'!_xlnm.Print_Area,6,FALSE)</f>
        <v>3</v>
      </c>
      <c r="K3286" s="1358"/>
      <c r="L3286" s="356" t="str">
        <f>VLOOKUP(A3288,'11 - FINANCEIRO'!_xlnm.Print_Area,4,FALSE)</f>
        <v xml:space="preserve"> m³</v>
      </c>
      <c r="M3286" s="1359" t="s">
        <v>493</v>
      </c>
      <c r="N3286" s="1360"/>
      <c r="O3286" s="1360"/>
      <c r="P3286" s="1360"/>
      <c r="Q3286" s="1361"/>
      <c r="R3286" s="357">
        <f>TRUNC(SUM(R3282:R3285),3)</f>
        <v>3</v>
      </c>
      <c r="S3286" s="358" t="str">
        <f>L3286</f>
        <v xml:space="preserve"> m³</v>
      </c>
      <c r="T3286" s="359"/>
      <c r="U3286" s="360"/>
      <c r="V3286" s="291">
        <f t="shared" ca="1" si="902"/>
        <v>0</v>
      </c>
      <c r="W3286" s="256">
        <f t="shared" ca="1" si="901"/>
        <v>2</v>
      </c>
      <c r="X3286" s="256">
        <f t="shared" ca="1" si="896"/>
        <v>1</v>
      </c>
      <c r="Y3286" s="250"/>
      <c r="Z3286" s="250"/>
    </row>
    <row r="3287" spans="1:29" s="395" customFormat="1" ht="15.75" hidden="1" customHeight="1" x14ac:dyDescent="0.2">
      <c r="A3287" s="276"/>
      <c r="B3287" s="354"/>
      <c r="C3287" s="361"/>
      <c r="D3287" s="1362" t="s">
        <v>494</v>
      </c>
      <c r="E3287" s="1363"/>
      <c r="F3287" s="1363"/>
      <c r="G3287" s="1363"/>
      <c r="H3287" s="1363"/>
      <c r="I3287" s="1364"/>
      <c r="J3287" s="1365">
        <f>R3286/J3286</f>
        <v>1</v>
      </c>
      <c r="K3287" s="1366"/>
      <c r="L3287" s="1369"/>
      <c r="M3287" s="1371" t="s">
        <v>495</v>
      </c>
      <c r="N3287" s="1372"/>
      <c r="O3287" s="1372"/>
      <c r="P3287" s="1372"/>
      <c r="Q3287" s="1373"/>
      <c r="R3287" s="362">
        <f>VLOOKUP(A3288,'11 - FINANCEIRO'!_xlnm.Print_Area,8,FALSE)</f>
        <v>3</v>
      </c>
      <c r="S3287" s="363" t="str">
        <f>L3286</f>
        <v xml:space="preserve"> m³</v>
      </c>
      <c r="T3287" s="359"/>
      <c r="U3287" s="360"/>
      <c r="V3287" s="291">
        <f t="shared" ca="1" si="902"/>
        <v>0</v>
      </c>
      <c r="W3287" s="256">
        <f t="shared" ca="1" si="901"/>
        <v>2</v>
      </c>
      <c r="X3287" s="256">
        <f t="shared" ca="1" si="896"/>
        <v>1</v>
      </c>
    </row>
    <row r="3288" spans="1:29" s="293" customFormat="1" ht="15.75" hidden="1" customHeight="1" x14ac:dyDescent="0.2">
      <c r="A3288" s="288" t="s">
        <v>205</v>
      </c>
      <c r="B3288" s="364"/>
      <c r="C3288" s="365"/>
      <c r="D3288" s="1354"/>
      <c r="E3288" s="1355"/>
      <c r="F3288" s="1355"/>
      <c r="G3288" s="1355"/>
      <c r="H3288" s="1355"/>
      <c r="I3288" s="1356"/>
      <c r="J3288" s="1367"/>
      <c r="K3288" s="1368"/>
      <c r="L3288" s="1370"/>
      <c r="M3288" s="1371" t="s">
        <v>496</v>
      </c>
      <c r="N3288" s="1372"/>
      <c r="O3288" s="1372"/>
      <c r="P3288" s="1372"/>
      <c r="Q3288" s="1373"/>
      <c r="R3288" s="362">
        <f>R3286-R3287</f>
        <v>0</v>
      </c>
      <c r="S3288" s="363" t="str">
        <f>L3286</f>
        <v xml:space="preserve"> m³</v>
      </c>
      <c r="T3288" s="366"/>
      <c r="U3288" s="367"/>
      <c r="V3288" s="291">
        <f t="shared" ca="1" si="902"/>
        <v>0</v>
      </c>
      <c r="W3288" s="256">
        <f t="shared" ca="1" si="901"/>
        <v>2</v>
      </c>
      <c r="X3288" s="256">
        <f t="shared" ca="1" si="896"/>
        <v>1</v>
      </c>
      <c r="Y3288" s="256"/>
      <c r="Z3288" s="256"/>
      <c r="AA3288" s="292"/>
      <c r="AB3288" s="292"/>
      <c r="AC3288" s="292"/>
    </row>
    <row r="3289" spans="1:29" s="111" customFormat="1" ht="15.75" hidden="1" x14ac:dyDescent="0.2">
      <c r="A3289" s="288"/>
      <c r="B3289" s="368"/>
      <c r="C3289" s="365"/>
      <c r="D3289" s="369"/>
      <c r="E3289" s="370"/>
      <c r="F3289" s="369"/>
      <c r="G3289" s="369"/>
      <c r="H3289" s="369"/>
      <c r="I3289" s="369"/>
      <c r="J3289" s="371"/>
      <c r="K3289" s="372"/>
      <c r="L3289" s="373"/>
      <c r="M3289" s="374"/>
      <c r="N3289" s="374"/>
      <c r="O3289" s="374"/>
      <c r="P3289" s="374"/>
      <c r="Q3289" s="374"/>
      <c r="R3289" s="375"/>
      <c r="S3289" s="376"/>
      <c r="T3289" s="377"/>
      <c r="U3289" s="378"/>
      <c r="V3289" s="379">
        <f ca="1">SUM(V3280:V3288)</f>
        <v>0</v>
      </c>
      <c r="W3289" s="256">
        <f t="shared" ca="1" si="901"/>
        <v>1</v>
      </c>
      <c r="X3289" s="256">
        <f t="shared" ca="1" si="896"/>
        <v>0</v>
      </c>
      <c r="Y3289" s="250"/>
      <c r="Z3289" s="250"/>
    </row>
    <row r="3290" spans="1:29" s="293" customFormat="1" ht="15.75" x14ac:dyDescent="0.2">
      <c r="A3290" s="288"/>
      <c r="B3290" s="603" t="str">
        <f>LEFT(A3298,8)</f>
        <v>4.5</v>
      </c>
      <c r="C3290" s="604" t="str">
        <f>VLOOKUP(LEFT(A3298,8),'11 - FINANCEIRO'!_xlnm.Print_Area,2,FALSE)</f>
        <v>Passarela Rua 37</v>
      </c>
      <c r="D3290" s="604"/>
      <c r="E3290" s="605"/>
      <c r="F3290" s="604"/>
      <c r="G3290" s="1395"/>
      <c r="H3290" s="1395"/>
      <c r="I3290" s="1395"/>
      <c r="J3290" s="1395"/>
      <c r="K3290" s="1395"/>
      <c r="L3290" s="1395"/>
      <c r="M3290" s="606"/>
      <c r="N3290" s="607"/>
      <c r="O3290" s="606"/>
      <c r="P3290" s="606"/>
      <c r="Q3290" s="606"/>
      <c r="R3290" s="607"/>
      <c r="S3290" s="606"/>
      <c r="T3290" s="606"/>
      <c r="U3290" s="608"/>
      <c r="V3290" s="549">
        <f ca="1">SUM(V3291:V3426)</f>
        <v>141.67999999999995</v>
      </c>
      <c r="W3290" s="256">
        <f t="shared" ca="1" si="901"/>
        <v>1</v>
      </c>
      <c r="X3290" s="256">
        <f t="shared" ca="1" si="896"/>
        <v>1</v>
      </c>
      <c r="Y3290" s="256"/>
      <c r="Z3290" s="256"/>
      <c r="AA3290" s="292"/>
      <c r="AB3290" s="292"/>
      <c r="AC3290" s="292"/>
    </row>
    <row r="3291" spans="1:29" s="293" customFormat="1" ht="15.75" hidden="1" customHeight="1" x14ac:dyDescent="0.25">
      <c r="A3291" s="288"/>
      <c r="B3291" s="1374" t="str">
        <f>VLOOKUP(A3299,'11 - FINANCEIRO'!_xlnm.Print_Area,1,FALSE)</f>
        <v>4.5.1</v>
      </c>
      <c r="C3291" s="1376" t="str">
        <f>VLOOKUP(A3299,'11 - FINANCEIRO'!_xlnm.Print_Area,3,FALSE)</f>
        <v>Preparo E Regularização De Terreno Em Desnível</v>
      </c>
      <c r="D3291" s="1378" t="s">
        <v>477</v>
      </c>
      <c r="E3291" s="1379"/>
      <c r="F3291" s="1379"/>
      <c r="G3291" s="1379"/>
      <c r="H3291" s="1379"/>
      <c r="I3291" s="1380"/>
      <c r="J3291" s="1338" t="s">
        <v>478</v>
      </c>
      <c r="K3291" s="1338" t="s">
        <v>479</v>
      </c>
      <c r="L3291" s="1338" t="s">
        <v>480</v>
      </c>
      <c r="M3291" s="1338" t="s">
        <v>481</v>
      </c>
      <c r="N3291" s="1338" t="s">
        <v>482</v>
      </c>
      <c r="O3291" s="1338" t="s">
        <v>483</v>
      </c>
      <c r="P3291" s="290" t="s">
        <v>484</v>
      </c>
      <c r="Q3291" s="1338" t="s">
        <v>485</v>
      </c>
      <c r="R3291" s="1336" t="s">
        <v>296</v>
      </c>
      <c r="S3291" s="1338" t="s">
        <v>486</v>
      </c>
      <c r="T3291" s="1338" t="s">
        <v>487</v>
      </c>
      <c r="U3291" s="1340" t="s">
        <v>488</v>
      </c>
      <c r="V3291" s="291">
        <f t="shared" ref="V3291:V3299" ca="1" si="903">IF(OFFSET(V3291,1,1)=1,OFFSET(V3291,0,-4),OFFSET(V3291,1,0))</f>
        <v>0</v>
      </c>
      <c r="W3291" s="256">
        <f t="shared" ca="1" si="901"/>
        <v>2</v>
      </c>
      <c r="X3291" s="256">
        <f t="shared" ca="1" si="896"/>
        <v>1</v>
      </c>
      <c r="Y3291" s="256"/>
      <c r="Z3291" s="256"/>
      <c r="AA3291" s="292"/>
      <c r="AB3291" s="292"/>
      <c r="AC3291" s="292"/>
    </row>
    <row r="3292" spans="1:29" s="337" customFormat="1" ht="15.75" hidden="1" x14ac:dyDescent="0.2">
      <c r="A3292" s="288"/>
      <c r="B3292" s="1375"/>
      <c r="C3292" s="1377" t="e">
        <f>VLOOKUP(LEFT(#REF!,5),'11 - FINANCEIRO'!_xlnm.Print_Area,2,FALSE)</f>
        <v>#REF!</v>
      </c>
      <c r="D3292" s="1342" t="s">
        <v>489</v>
      </c>
      <c r="E3292" s="1343"/>
      <c r="F3292" s="1344"/>
      <c r="G3292" s="1345" t="s">
        <v>490</v>
      </c>
      <c r="H3292" s="1346"/>
      <c r="I3292" s="1347"/>
      <c r="J3292" s="1339"/>
      <c r="K3292" s="1339"/>
      <c r="L3292" s="1339"/>
      <c r="M3292" s="1339"/>
      <c r="N3292" s="1339"/>
      <c r="O3292" s="1339"/>
      <c r="P3292" s="295" t="s">
        <v>491</v>
      </c>
      <c r="Q3292" s="1339"/>
      <c r="R3292" s="1337"/>
      <c r="S3292" s="1339"/>
      <c r="T3292" s="1339"/>
      <c r="U3292" s="1341"/>
      <c r="V3292" s="291">
        <f t="shared" ca="1" si="903"/>
        <v>0</v>
      </c>
      <c r="W3292" s="256">
        <f t="shared" ca="1" si="901"/>
        <v>2</v>
      </c>
      <c r="X3292" s="256">
        <f t="shared" ca="1" si="896"/>
        <v>1</v>
      </c>
      <c r="Y3292" s="336"/>
      <c r="Z3292" s="336"/>
    </row>
    <row r="3293" spans="1:29" s="337" customFormat="1" ht="15.75" hidden="1" x14ac:dyDescent="0.2">
      <c r="A3293" s="288"/>
      <c r="B3293" s="296"/>
      <c r="C3293" s="297" t="s">
        <v>951</v>
      </c>
      <c r="D3293" s="480">
        <v>8</v>
      </c>
      <c r="E3293" s="299" t="s">
        <v>518</v>
      </c>
      <c r="F3293" s="300">
        <v>18</v>
      </c>
      <c r="G3293" s="480">
        <v>8</v>
      </c>
      <c r="H3293" s="299" t="s">
        <v>518</v>
      </c>
      <c r="I3293" s="300">
        <v>18</v>
      </c>
      <c r="J3293" s="304"/>
      <c r="K3293" s="416">
        <v>17</v>
      </c>
      <c r="L3293" s="416">
        <v>5.5</v>
      </c>
      <c r="M3293" s="304"/>
      <c r="N3293" s="416">
        <f>K3293*L3293</f>
        <v>93.5</v>
      </c>
      <c r="O3293" s="304"/>
      <c r="P3293" s="306"/>
      <c r="Q3293" s="304"/>
      <c r="R3293" s="830">
        <f>N3293</f>
        <v>93.5</v>
      </c>
      <c r="S3293" s="304"/>
      <c r="T3293" s="309">
        <v>24</v>
      </c>
      <c r="U3293" s="310"/>
      <c r="V3293" s="291">
        <f t="shared" ca="1" si="903"/>
        <v>0</v>
      </c>
      <c r="W3293" s="256">
        <f t="shared" ca="1" si="901"/>
        <v>2</v>
      </c>
      <c r="X3293" s="256">
        <f t="shared" ca="1" si="896"/>
        <v>1</v>
      </c>
      <c r="Y3293" s="336"/>
      <c r="Z3293" s="336"/>
    </row>
    <row r="3294" spans="1:29" s="111" customFormat="1" ht="15.75" hidden="1" x14ac:dyDescent="0.2">
      <c r="A3294" s="288"/>
      <c r="B3294" s="311"/>
      <c r="C3294" s="312" t="s">
        <v>952</v>
      </c>
      <c r="D3294" s="429">
        <v>8</v>
      </c>
      <c r="E3294" s="520" t="s">
        <v>518</v>
      </c>
      <c r="F3294" s="513">
        <v>18</v>
      </c>
      <c r="G3294" s="429">
        <v>8</v>
      </c>
      <c r="H3294" s="520" t="s">
        <v>518</v>
      </c>
      <c r="I3294" s="513">
        <v>18</v>
      </c>
      <c r="J3294" s="317"/>
      <c r="K3294" s="421">
        <v>14.5</v>
      </c>
      <c r="L3294" s="433">
        <v>4</v>
      </c>
      <c r="M3294" s="315"/>
      <c r="N3294" s="832">
        <f>K3294*L3294</f>
        <v>58</v>
      </c>
      <c r="O3294" s="313"/>
      <c r="P3294" s="318"/>
      <c r="Q3294" s="315"/>
      <c r="R3294" s="836">
        <f>N3294</f>
        <v>58</v>
      </c>
      <c r="S3294" s="317"/>
      <c r="T3294" s="320">
        <v>24</v>
      </c>
      <c r="U3294" s="321"/>
      <c r="V3294" s="291">
        <f t="shared" ca="1" si="903"/>
        <v>0</v>
      </c>
      <c r="W3294" s="256">
        <f t="shared" ca="1" si="901"/>
        <v>2</v>
      </c>
      <c r="X3294" s="256">
        <f t="shared" ca="1" si="896"/>
        <v>1</v>
      </c>
      <c r="Y3294" s="250"/>
      <c r="Z3294" s="250"/>
    </row>
    <row r="3295" spans="1:29" s="111" customFormat="1" ht="15" hidden="1" x14ac:dyDescent="0.2">
      <c r="A3295" s="288"/>
      <c r="B3295" s="322"/>
      <c r="C3295" s="382"/>
      <c r="D3295" s="324"/>
      <c r="E3295" s="325"/>
      <c r="F3295" s="326"/>
      <c r="G3295" s="324"/>
      <c r="H3295" s="325"/>
      <c r="I3295" s="326"/>
      <c r="J3295" s="317"/>
      <c r="K3295" s="328"/>
      <c r="L3295" s="328"/>
      <c r="M3295" s="328"/>
      <c r="N3295" s="328"/>
      <c r="O3295" s="334"/>
      <c r="P3295" s="328"/>
      <c r="Q3295" s="334"/>
      <c r="R3295" s="333"/>
      <c r="S3295" s="331"/>
      <c r="T3295" s="320"/>
      <c r="U3295" s="335"/>
      <c r="V3295" s="291">
        <f t="shared" ca="1" si="903"/>
        <v>0</v>
      </c>
      <c r="W3295" s="256">
        <f t="shared" ca="1" si="901"/>
        <v>0</v>
      </c>
      <c r="X3295" s="256">
        <f t="shared" ca="1" si="896"/>
        <v>1</v>
      </c>
      <c r="Y3295" s="250"/>
      <c r="Z3295" s="250"/>
    </row>
    <row r="3296" spans="1:29" s="111" customFormat="1" ht="15" hidden="1" x14ac:dyDescent="0.2">
      <c r="A3296" s="288"/>
      <c r="B3296" s="338"/>
      <c r="C3296" s="339"/>
      <c r="D3296" s="340"/>
      <c r="E3296" s="341"/>
      <c r="F3296" s="342"/>
      <c r="G3296" s="340"/>
      <c r="H3296" s="341"/>
      <c r="I3296" s="342"/>
      <c r="J3296" s="343"/>
      <c r="K3296" s="344"/>
      <c r="L3296" s="345"/>
      <c r="M3296" s="346"/>
      <c r="N3296" s="347"/>
      <c r="O3296" s="348"/>
      <c r="P3296" s="345"/>
      <c r="Q3296" s="349"/>
      <c r="R3296" s="350"/>
      <c r="S3296" s="351"/>
      <c r="T3296" s="352"/>
      <c r="U3296" s="353"/>
      <c r="V3296" s="291">
        <f t="shared" ca="1" si="903"/>
        <v>0</v>
      </c>
      <c r="W3296" s="256">
        <f t="shared" ca="1" si="901"/>
        <v>0</v>
      </c>
      <c r="X3296" s="256">
        <f t="shared" ca="1" si="896"/>
        <v>1</v>
      </c>
      <c r="Y3296" s="250"/>
      <c r="Z3296" s="250"/>
    </row>
    <row r="3297" spans="1:29" s="111" customFormat="1" ht="15.75" hidden="1" customHeight="1" x14ac:dyDescent="0.2">
      <c r="A3297" s="288"/>
      <c r="B3297" s="354"/>
      <c r="C3297" s="355"/>
      <c r="D3297" s="1354" t="s">
        <v>492</v>
      </c>
      <c r="E3297" s="1355"/>
      <c r="F3297" s="1355"/>
      <c r="G3297" s="1355"/>
      <c r="H3297" s="1355"/>
      <c r="I3297" s="1356"/>
      <c r="J3297" s="1357">
        <f>VLOOKUP(A3299,'11 - FINANCEIRO'!_xlnm.Print_Area,6,FALSE)</f>
        <v>340</v>
      </c>
      <c r="K3297" s="1358"/>
      <c r="L3297" s="356" t="str">
        <f>VLOOKUP(A3299,'11 - FINANCEIRO'!_xlnm.Print_Area,4,FALSE)</f>
        <v>m²</v>
      </c>
      <c r="M3297" s="1359" t="s">
        <v>493</v>
      </c>
      <c r="N3297" s="1360"/>
      <c r="O3297" s="1360"/>
      <c r="P3297" s="1360"/>
      <c r="Q3297" s="1361"/>
      <c r="R3297" s="357">
        <f>TRUNC(SUM(R3293:R3296),3)</f>
        <v>151.5</v>
      </c>
      <c r="S3297" s="358" t="str">
        <f>L3297</f>
        <v>m²</v>
      </c>
      <c r="T3297" s="359"/>
      <c r="U3297" s="360"/>
      <c r="V3297" s="291">
        <f t="shared" ca="1" si="903"/>
        <v>0</v>
      </c>
      <c r="W3297" s="256">
        <f t="shared" ca="1" si="901"/>
        <v>2</v>
      </c>
      <c r="X3297" s="256">
        <f t="shared" ca="1" si="896"/>
        <v>1</v>
      </c>
      <c r="Y3297" s="250"/>
      <c r="Z3297" s="250"/>
    </row>
    <row r="3298" spans="1:29" s="293" customFormat="1" ht="15.75" hidden="1" customHeight="1" x14ac:dyDescent="0.2">
      <c r="A3298" s="288" t="s">
        <v>206</v>
      </c>
      <c r="B3298" s="354"/>
      <c r="C3298" s="361"/>
      <c r="D3298" s="1362" t="s">
        <v>494</v>
      </c>
      <c r="E3298" s="1363"/>
      <c r="F3298" s="1363"/>
      <c r="G3298" s="1363"/>
      <c r="H3298" s="1363"/>
      <c r="I3298" s="1364"/>
      <c r="J3298" s="1365">
        <f>R3297/J3297</f>
        <v>0.44558823529411767</v>
      </c>
      <c r="K3298" s="1366"/>
      <c r="L3298" s="1369"/>
      <c r="M3298" s="1371" t="s">
        <v>495</v>
      </c>
      <c r="N3298" s="1372"/>
      <c r="O3298" s="1372"/>
      <c r="P3298" s="1372"/>
      <c r="Q3298" s="1373"/>
      <c r="R3298" s="362">
        <f>VLOOKUP(A3299,'11 - FINANCEIRO'!_xlnm.Print_Area,8,FALSE)</f>
        <v>151.5</v>
      </c>
      <c r="S3298" s="363" t="str">
        <f>L3297</f>
        <v>m²</v>
      </c>
      <c r="T3298" s="359"/>
      <c r="U3298" s="360"/>
      <c r="V3298" s="291">
        <f t="shared" ca="1" si="903"/>
        <v>0</v>
      </c>
      <c r="W3298" s="256">
        <f t="shared" ca="1" si="901"/>
        <v>2</v>
      </c>
      <c r="X3298" s="256">
        <f t="shared" ca="1" si="896"/>
        <v>1</v>
      </c>
      <c r="Y3298" s="256"/>
      <c r="Z3298" s="256"/>
      <c r="AA3298" s="292"/>
      <c r="AB3298" s="292"/>
      <c r="AC3298" s="292"/>
    </row>
    <row r="3299" spans="1:29" s="293" customFormat="1" ht="15.75" hidden="1" customHeight="1" x14ac:dyDescent="0.2">
      <c r="A3299" s="288" t="s">
        <v>207</v>
      </c>
      <c r="B3299" s="364"/>
      <c r="C3299" s="365"/>
      <c r="D3299" s="1354"/>
      <c r="E3299" s="1355"/>
      <c r="F3299" s="1355"/>
      <c r="G3299" s="1355"/>
      <c r="H3299" s="1355"/>
      <c r="I3299" s="1356"/>
      <c r="J3299" s="1367"/>
      <c r="K3299" s="1368"/>
      <c r="L3299" s="1370"/>
      <c r="M3299" s="1371" t="s">
        <v>496</v>
      </c>
      <c r="N3299" s="1372"/>
      <c r="O3299" s="1372"/>
      <c r="P3299" s="1372"/>
      <c r="Q3299" s="1373"/>
      <c r="R3299" s="362">
        <f>R3297-R3298</f>
        <v>0</v>
      </c>
      <c r="S3299" s="363" t="str">
        <f>L3297</f>
        <v>m²</v>
      </c>
      <c r="T3299" s="366"/>
      <c r="U3299" s="367"/>
      <c r="V3299" s="291">
        <f t="shared" ca="1" si="903"/>
        <v>0</v>
      </c>
      <c r="W3299" s="256">
        <f t="shared" ca="1" si="901"/>
        <v>2</v>
      </c>
      <c r="X3299" s="256">
        <f t="shared" ca="1" si="896"/>
        <v>1</v>
      </c>
      <c r="Y3299" s="256"/>
      <c r="Z3299" s="256"/>
      <c r="AA3299" s="292"/>
      <c r="AB3299" s="292"/>
      <c r="AC3299" s="292"/>
    </row>
    <row r="3300" spans="1:29" s="111" customFormat="1" ht="15.75" hidden="1" x14ac:dyDescent="0.2">
      <c r="A3300" s="288"/>
      <c r="B3300" s="368"/>
      <c r="C3300" s="365"/>
      <c r="D3300" s="369"/>
      <c r="E3300" s="370"/>
      <c r="F3300" s="369"/>
      <c r="G3300" s="369"/>
      <c r="H3300" s="369"/>
      <c r="I3300" s="369"/>
      <c r="J3300" s="371"/>
      <c r="K3300" s="372"/>
      <c r="L3300" s="373"/>
      <c r="M3300" s="374"/>
      <c r="N3300" s="374"/>
      <c r="O3300" s="374"/>
      <c r="P3300" s="374"/>
      <c r="Q3300" s="374"/>
      <c r="R3300" s="375"/>
      <c r="S3300" s="376"/>
      <c r="T3300" s="377"/>
      <c r="U3300" s="378"/>
      <c r="V3300" s="379">
        <f ca="1">SUM(V3291:V3299)</f>
        <v>0</v>
      </c>
      <c r="W3300" s="256">
        <f t="shared" ca="1" si="901"/>
        <v>1</v>
      </c>
      <c r="X3300" s="256">
        <f t="shared" ca="1" si="896"/>
        <v>0</v>
      </c>
      <c r="Y3300" s="250"/>
      <c r="Z3300" s="250"/>
    </row>
    <row r="3301" spans="1:29" s="293" customFormat="1" ht="15.75" hidden="1" customHeight="1" x14ac:dyDescent="0.25">
      <c r="A3301" s="288"/>
      <c r="B3301" s="1374" t="str">
        <f>VLOOKUP(A3309,'11 - FINANCEIRO'!_xlnm.Print_Area,1,FALSE)</f>
        <v>4.5.2</v>
      </c>
      <c r="C3301" s="1376" t="str">
        <f>VLOOKUP(A3309,'11 - FINANCEIRO'!_xlnm.Print_Area,3,FALSE)</f>
        <v>Perfuratriz Com Torre Metálica Para Execução De Estaca Hélice Contínua, Profundidade Máxima De 32 M, Diâmetro Máximo De 1000 Mm, Potência Instalada De 350 Hp, Mesa Rotativa Com Torque Máximo De 263 Knm - Chi Diurno. Af_01/2016</v>
      </c>
      <c r="D3301" s="1378" t="s">
        <v>477</v>
      </c>
      <c r="E3301" s="1379"/>
      <c r="F3301" s="1379"/>
      <c r="G3301" s="1379"/>
      <c r="H3301" s="1379"/>
      <c r="I3301" s="1380"/>
      <c r="J3301" s="1338" t="s">
        <v>478</v>
      </c>
      <c r="K3301" s="1338" t="s">
        <v>479</v>
      </c>
      <c r="L3301" s="1338" t="s">
        <v>480</v>
      </c>
      <c r="M3301" s="1338" t="s">
        <v>481</v>
      </c>
      <c r="N3301" s="1338" t="s">
        <v>482</v>
      </c>
      <c r="O3301" s="1338" t="s">
        <v>483</v>
      </c>
      <c r="P3301" s="290" t="s">
        <v>484</v>
      </c>
      <c r="Q3301" s="1338" t="s">
        <v>485</v>
      </c>
      <c r="R3301" s="1336" t="s">
        <v>296</v>
      </c>
      <c r="S3301" s="1338" t="s">
        <v>486</v>
      </c>
      <c r="T3301" s="1338" t="s">
        <v>487</v>
      </c>
      <c r="U3301" s="1340" t="s">
        <v>488</v>
      </c>
      <c r="V3301" s="291">
        <f t="shared" ref="V3301:V3309" ca="1" si="904">IF(OFFSET(V3301,1,1)=1,OFFSET(V3301,0,-4),OFFSET(V3301,1,0))</f>
        <v>0</v>
      </c>
      <c r="W3301" s="256">
        <f t="shared" ca="1" si="901"/>
        <v>2</v>
      </c>
      <c r="X3301" s="256">
        <f t="shared" ca="1" si="896"/>
        <v>1</v>
      </c>
      <c r="Y3301" s="256"/>
      <c r="Z3301" s="256"/>
      <c r="AA3301" s="292"/>
      <c r="AB3301" s="292"/>
      <c r="AC3301" s="292"/>
    </row>
    <row r="3302" spans="1:29" s="337" customFormat="1" ht="15.75" hidden="1" x14ac:dyDescent="0.2">
      <c r="A3302" s="288"/>
      <c r="B3302" s="1375"/>
      <c r="C3302" s="1377" t="e">
        <f>VLOOKUP(LEFT(#REF!,5),'11 - FINANCEIRO'!_xlnm.Print_Area,2,FALSE)</f>
        <v>#REF!</v>
      </c>
      <c r="D3302" s="1342" t="s">
        <v>489</v>
      </c>
      <c r="E3302" s="1343"/>
      <c r="F3302" s="1344"/>
      <c r="G3302" s="1345" t="s">
        <v>490</v>
      </c>
      <c r="H3302" s="1346"/>
      <c r="I3302" s="1347"/>
      <c r="J3302" s="1339"/>
      <c r="K3302" s="1339"/>
      <c r="L3302" s="1339"/>
      <c r="M3302" s="1339"/>
      <c r="N3302" s="1339"/>
      <c r="O3302" s="1339"/>
      <c r="P3302" s="295" t="s">
        <v>491</v>
      </c>
      <c r="Q3302" s="1339"/>
      <c r="R3302" s="1337"/>
      <c r="S3302" s="1339"/>
      <c r="T3302" s="1339"/>
      <c r="U3302" s="1341"/>
      <c r="V3302" s="291">
        <f t="shared" ca="1" si="904"/>
        <v>0</v>
      </c>
      <c r="W3302" s="256">
        <f t="shared" ca="1" si="901"/>
        <v>2</v>
      </c>
      <c r="X3302" s="256">
        <f t="shared" ca="1" si="896"/>
        <v>1</v>
      </c>
      <c r="Y3302" s="336"/>
      <c r="Z3302" s="336"/>
    </row>
    <row r="3303" spans="1:29" s="337" customFormat="1" ht="15.75" hidden="1" x14ac:dyDescent="0.2">
      <c r="A3303" s="288"/>
      <c r="B3303" s="296"/>
      <c r="C3303" s="297"/>
      <c r="D3303" s="298"/>
      <c r="E3303" s="299"/>
      <c r="F3303" s="300"/>
      <c r="G3303" s="301"/>
      <c r="H3303" s="302"/>
      <c r="I3303" s="303"/>
      <c r="J3303" s="304"/>
      <c r="K3303" s="304"/>
      <c r="L3303" s="304"/>
      <c r="M3303" s="304"/>
      <c r="N3303" s="304"/>
      <c r="O3303" s="304"/>
      <c r="P3303" s="306"/>
      <c r="Q3303" s="304"/>
      <c r="R3303" s="307"/>
      <c r="S3303" s="304"/>
      <c r="T3303" s="309"/>
      <c r="U3303" s="310"/>
      <c r="V3303" s="291">
        <f t="shared" ca="1" si="904"/>
        <v>0</v>
      </c>
      <c r="W3303" s="256">
        <f t="shared" ca="1" si="901"/>
        <v>0</v>
      </c>
      <c r="X3303" s="256">
        <f t="shared" ref="X3303:X3370" ca="1" si="905">IF(COUNTA(OFFSET(A3302,1,0))-COUNTA(A3302)=-1,0,1)</f>
        <v>1</v>
      </c>
      <c r="Y3303" s="336"/>
      <c r="Z3303" s="336"/>
    </row>
    <row r="3304" spans="1:29" s="111" customFormat="1" ht="15.75" hidden="1" x14ac:dyDescent="0.2">
      <c r="A3304" s="288"/>
      <c r="B3304" s="311"/>
      <c r="C3304" s="312"/>
      <c r="D3304" s="313"/>
      <c r="E3304" s="314"/>
      <c r="F3304" s="315"/>
      <c r="G3304" s="380"/>
      <c r="H3304" s="316"/>
      <c r="I3304" s="381"/>
      <c r="J3304" s="317"/>
      <c r="K3304" s="313"/>
      <c r="L3304" s="317"/>
      <c r="M3304" s="315"/>
      <c r="N3304" s="314"/>
      <c r="O3304" s="313"/>
      <c r="P3304" s="318"/>
      <c r="Q3304" s="315"/>
      <c r="R3304" s="319"/>
      <c r="S3304" s="317"/>
      <c r="T3304" s="320"/>
      <c r="U3304" s="321"/>
      <c r="V3304" s="291">
        <f t="shared" ca="1" si="904"/>
        <v>0</v>
      </c>
      <c r="W3304" s="256">
        <f t="shared" ca="1" si="901"/>
        <v>0</v>
      </c>
      <c r="X3304" s="256">
        <f t="shared" ca="1" si="905"/>
        <v>1</v>
      </c>
      <c r="Y3304" s="250"/>
      <c r="Z3304" s="250"/>
    </row>
    <row r="3305" spans="1:29" s="111" customFormat="1" ht="15" hidden="1" x14ac:dyDescent="0.2">
      <c r="A3305" s="288"/>
      <c r="B3305" s="322"/>
      <c r="C3305" s="382"/>
      <c r="D3305" s="324"/>
      <c r="E3305" s="325"/>
      <c r="F3305" s="326"/>
      <c r="G3305" s="324"/>
      <c r="H3305" s="325"/>
      <c r="I3305" s="326"/>
      <c r="J3305" s="317"/>
      <c r="K3305" s="328"/>
      <c r="L3305" s="328"/>
      <c r="M3305" s="328"/>
      <c r="N3305" s="328"/>
      <c r="O3305" s="334"/>
      <c r="P3305" s="328"/>
      <c r="Q3305" s="334"/>
      <c r="R3305" s="333"/>
      <c r="S3305" s="331"/>
      <c r="T3305" s="320"/>
      <c r="U3305" s="335"/>
      <c r="V3305" s="291">
        <f t="shared" ca="1" si="904"/>
        <v>0</v>
      </c>
      <c r="W3305" s="256">
        <f t="shared" ca="1" si="901"/>
        <v>0</v>
      </c>
      <c r="X3305" s="256">
        <f t="shared" ca="1" si="905"/>
        <v>1</v>
      </c>
      <c r="Y3305" s="250"/>
      <c r="Z3305" s="250"/>
    </row>
    <row r="3306" spans="1:29" s="111" customFormat="1" ht="15" hidden="1" x14ac:dyDescent="0.2">
      <c r="A3306" s="288"/>
      <c r="B3306" s="338"/>
      <c r="C3306" s="339"/>
      <c r="D3306" s="340"/>
      <c r="E3306" s="341"/>
      <c r="F3306" s="342"/>
      <c r="G3306" s="340"/>
      <c r="H3306" s="341"/>
      <c r="I3306" s="342"/>
      <c r="J3306" s="343"/>
      <c r="K3306" s="344"/>
      <c r="L3306" s="345"/>
      <c r="M3306" s="346"/>
      <c r="N3306" s="347"/>
      <c r="O3306" s="348"/>
      <c r="P3306" s="345"/>
      <c r="Q3306" s="349"/>
      <c r="R3306" s="350"/>
      <c r="S3306" s="351"/>
      <c r="T3306" s="352"/>
      <c r="U3306" s="353"/>
      <c r="V3306" s="291">
        <f t="shared" ca="1" si="904"/>
        <v>0</v>
      </c>
      <c r="W3306" s="256">
        <f t="shared" ca="1" si="901"/>
        <v>0</v>
      </c>
      <c r="X3306" s="256">
        <f t="shared" ca="1" si="905"/>
        <v>1</v>
      </c>
      <c r="Y3306" s="250"/>
      <c r="Z3306" s="250"/>
    </row>
    <row r="3307" spans="1:29" s="111" customFormat="1" ht="15.75" hidden="1" customHeight="1" x14ac:dyDescent="0.2">
      <c r="A3307" s="288"/>
      <c r="B3307" s="354"/>
      <c r="C3307" s="355"/>
      <c r="D3307" s="1354" t="s">
        <v>492</v>
      </c>
      <c r="E3307" s="1355"/>
      <c r="F3307" s="1355"/>
      <c r="G3307" s="1355"/>
      <c r="H3307" s="1355"/>
      <c r="I3307" s="1356"/>
      <c r="J3307" s="1357">
        <f>VLOOKUP(A3309,'11 - FINANCEIRO'!_xlnm.Print_Area,6,FALSE)</f>
        <v>24</v>
      </c>
      <c r="K3307" s="1358"/>
      <c r="L3307" s="356" t="str">
        <f>VLOOKUP(A3309,'11 - FINANCEIRO'!_xlnm.Print_Area,4,FALSE)</f>
        <v>chi</v>
      </c>
      <c r="M3307" s="1359" t="s">
        <v>493</v>
      </c>
      <c r="N3307" s="1360"/>
      <c r="O3307" s="1360"/>
      <c r="P3307" s="1360"/>
      <c r="Q3307" s="1361"/>
      <c r="R3307" s="357">
        <f>TRUNC(SUM(R3303:R3306),3)</f>
        <v>0</v>
      </c>
      <c r="S3307" s="358" t="str">
        <f>L3307</f>
        <v>chi</v>
      </c>
      <c r="T3307" s="359"/>
      <c r="U3307" s="360"/>
      <c r="V3307" s="291">
        <f t="shared" ca="1" si="904"/>
        <v>0</v>
      </c>
      <c r="W3307" s="256">
        <f t="shared" ca="1" si="901"/>
        <v>2</v>
      </c>
      <c r="X3307" s="256">
        <f t="shared" ca="1" si="905"/>
        <v>1</v>
      </c>
      <c r="Y3307" s="250"/>
      <c r="Z3307" s="250"/>
    </row>
    <row r="3308" spans="1:29" s="293" customFormat="1" ht="15.75" hidden="1" customHeight="1" x14ac:dyDescent="0.2">
      <c r="A3308" s="288"/>
      <c r="B3308" s="354"/>
      <c r="C3308" s="361"/>
      <c r="D3308" s="1362" t="s">
        <v>494</v>
      </c>
      <c r="E3308" s="1363"/>
      <c r="F3308" s="1363"/>
      <c r="G3308" s="1363"/>
      <c r="H3308" s="1363"/>
      <c r="I3308" s="1364"/>
      <c r="J3308" s="1365">
        <f>R3307/J3307</f>
        <v>0</v>
      </c>
      <c r="K3308" s="1366"/>
      <c r="L3308" s="1369"/>
      <c r="M3308" s="1371" t="s">
        <v>495</v>
      </c>
      <c r="N3308" s="1372"/>
      <c r="O3308" s="1372"/>
      <c r="P3308" s="1372"/>
      <c r="Q3308" s="1373"/>
      <c r="R3308" s="362">
        <f>VLOOKUP(A3309,'11 - FINANCEIRO'!_xlnm.Print_Area,8,FALSE)</f>
        <v>0</v>
      </c>
      <c r="S3308" s="363" t="str">
        <f>L3307</f>
        <v>chi</v>
      </c>
      <c r="T3308" s="359"/>
      <c r="U3308" s="360"/>
      <c r="V3308" s="291">
        <f t="shared" ca="1" si="904"/>
        <v>0</v>
      </c>
      <c r="W3308" s="256">
        <f t="shared" ca="1" si="901"/>
        <v>2</v>
      </c>
      <c r="X3308" s="256">
        <f t="shared" ca="1" si="905"/>
        <v>1</v>
      </c>
      <c r="Y3308" s="256"/>
      <c r="Z3308" s="256"/>
      <c r="AA3308" s="292"/>
      <c r="AB3308" s="292"/>
      <c r="AC3308" s="292"/>
    </row>
    <row r="3309" spans="1:29" s="293" customFormat="1" ht="15.75" hidden="1" customHeight="1" x14ac:dyDescent="0.2">
      <c r="A3309" s="288" t="s">
        <v>208</v>
      </c>
      <c r="B3309" s="364"/>
      <c r="C3309" s="365"/>
      <c r="D3309" s="1354"/>
      <c r="E3309" s="1355"/>
      <c r="F3309" s="1355"/>
      <c r="G3309" s="1355"/>
      <c r="H3309" s="1355"/>
      <c r="I3309" s="1356"/>
      <c r="J3309" s="1367"/>
      <c r="K3309" s="1368"/>
      <c r="L3309" s="1370"/>
      <c r="M3309" s="1371" t="s">
        <v>496</v>
      </c>
      <c r="N3309" s="1372"/>
      <c r="O3309" s="1372"/>
      <c r="P3309" s="1372"/>
      <c r="Q3309" s="1373"/>
      <c r="R3309" s="362">
        <f>R3307-R3308</f>
        <v>0</v>
      </c>
      <c r="S3309" s="363" t="str">
        <f>L3307</f>
        <v>chi</v>
      </c>
      <c r="T3309" s="366"/>
      <c r="U3309" s="367"/>
      <c r="V3309" s="291">
        <f t="shared" ca="1" si="904"/>
        <v>0</v>
      </c>
      <c r="W3309" s="256">
        <f t="shared" ca="1" si="901"/>
        <v>2</v>
      </c>
      <c r="X3309" s="256">
        <f t="shared" ca="1" si="905"/>
        <v>1</v>
      </c>
      <c r="Y3309" s="256"/>
      <c r="Z3309" s="256"/>
      <c r="AA3309" s="292"/>
      <c r="AB3309" s="292"/>
      <c r="AC3309" s="292"/>
    </row>
    <row r="3310" spans="1:29" s="111" customFormat="1" ht="15.75" hidden="1" x14ac:dyDescent="0.2">
      <c r="A3310" s="288"/>
      <c r="B3310" s="368"/>
      <c r="C3310" s="365"/>
      <c r="D3310" s="369"/>
      <c r="E3310" s="370"/>
      <c r="F3310" s="369"/>
      <c r="G3310" s="369"/>
      <c r="H3310" s="369"/>
      <c r="I3310" s="369"/>
      <c r="J3310" s="371"/>
      <c r="K3310" s="372"/>
      <c r="L3310" s="373"/>
      <c r="M3310" s="374"/>
      <c r="N3310" s="374"/>
      <c r="O3310" s="374"/>
      <c r="P3310" s="374"/>
      <c r="Q3310" s="374"/>
      <c r="R3310" s="375"/>
      <c r="S3310" s="376"/>
      <c r="T3310" s="377"/>
      <c r="U3310" s="378"/>
      <c r="V3310" s="379">
        <f ca="1">SUM(V3301:V3309)</f>
        <v>0</v>
      </c>
      <c r="W3310" s="256">
        <f t="shared" ca="1" si="901"/>
        <v>1</v>
      </c>
      <c r="X3310" s="256">
        <f t="shared" ca="1" si="905"/>
        <v>0</v>
      </c>
      <c r="Y3310" s="250"/>
      <c r="Z3310" s="250"/>
    </row>
    <row r="3311" spans="1:29" s="293" customFormat="1" ht="15.75" hidden="1" customHeight="1" x14ac:dyDescent="0.25">
      <c r="A3311" s="288"/>
      <c r="B3311" s="1374" t="str">
        <f>VLOOKUP(A3319,'11 - FINANCEIRO'!_xlnm.Print_Area,1,FALSE)</f>
        <v>4.5.3</v>
      </c>
      <c r="C3311" s="1376" t="str">
        <f>VLOOKUP(A3319,'11 - FINANCEIRO'!_xlnm.Print_Area,3,FALSE)</f>
        <v>Estaca Hélice Contínua, Diâmetro De 30 Cm, Incluso Concreto Fck=30Mpa E Armadura Mínima (Exclusive Mobilização, Desmobilização E Bombeamento). Af_12/2019</v>
      </c>
      <c r="D3311" s="1378" t="s">
        <v>477</v>
      </c>
      <c r="E3311" s="1379"/>
      <c r="F3311" s="1379"/>
      <c r="G3311" s="1379"/>
      <c r="H3311" s="1379"/>
      <c r="I3311" s="1380"/>
      <c r="J3311" s="1338" t="s">
        <v>478</v>
      </c>
      <c r="K3311" s="1338" t="s">
        <v>479</v>
      </c>
      <c r="L3311" s="1338" t="s">
        <v>480</v>
      </c>
      <c r="M3311" s="1338" t="s">
        <v>481</v>
      </c>
      <c r="N3311" s="1338" t="s">
        <v>482</v>
      </c>
      <c r="O3311" s="1338" t="s">
        <v>483</v>
      </c>
      <c r="P3311" s="290" t="s">
        <v>484</v>
      </c>
      <c r="Q3311" s="1338" t="s">
        <v>485</v>
      </c>
      <c r="R3311" s="1336" t="s">
        <v>296</v>
      </c>
      <c r="S3311" s="1338" t="s">
        <v>486</v>
      </c>
      <c r="T3311" s="1338" t="s">
        <v>487</v>
      </c>
      <c r="U3311" s="1340" t="s">
        <v>488</v>
      </c>
      <c r="V3311" s="291">
        <f t="shared" ref="V3311:V3319" ca="1" si="906">IF(OFFSET(V3311,1,1)=1,OFFSET(V3311,0,-4),OFFSET(V3311,1,0))</f>
        <v>0</v>
      </c>
      <c r="W3311" s="256">
        <f t="shared" ca="1" si="901"/>
        <v>2</v>
      </c>
      <c r="X3311" s="256">
        <f t="shared" ca="1" si="905"/>
        <v>1</v>
      </c>
      <c r="Y3311" s="256"/>
      <c r="Z3311" s="256"/>
      <c r="AA3311" s="292"/>
      <c r="AB3311" s="292"/>
      <c r="AC3311" s="292"/>
    </row>
    <row r="3312" spans="1:29" s="337" customFormat="1" ht="15.75" hidden="1" x14ac:dyDescent="0.2">
      <c r="A3312" s="288"/>
      <c r="B3312" s="1375"/>
      <c r="C3312" s="1377" t="e">
        <f>VLOOKUP(LEFT(#REF!,5),'11 - FINANCEIRO'!_xlnm.Print_Area,2,FALSE)</f>
        <v>#REF!</v>
      </c>
      <c r="D3312" s="1342" t="s">
        <v>489</v>
      </c>
      <c r="E3312" s="1343"/>
      <c r="F3312" s="1344"/>
      <c r="G3312" s="1345" t="s">
        <v>490</v>
      </c>
      <c r="H3312" s="1346"/>
      <c r="I3312" s="1347"/>
      <c r="J3312" s="1339"/>
      <c r="K3312" s="1339"/>
      <c r="L3312" s="1339"/>
      <c r="M3312" s="1339"/>
      <c r="N3312" s="1339"/>
      <c r="O3312" s="1339"/>
      <c r="P3312" s="295" t="s">
        <v>491</v>
      </c>
      <c r="Q3312" s="1339"/>
      <c r="R3312" s="1337"/>
      <c r="S3312" s="1339"/>
      <c r="T3312" s="1339"/>
      <c r="U3312" s="1341"/>
      <c r="V3312" s="291">
        <f t="shared" ca="1" si="906"/>
        <v>0</v>
      </c>
      <c r="W3312" s="256">
        <f t="shared" ca="1" si="901"/>
        <v>2</v>
      </c>
      <c r="X3312" s="256">
        <f t="shared" ca="1" si="905"/>
        <v>1</v>
      </c>
      <c r="Y3312" s="336"/>
      <c r="Z3312" s="336"/>
    </row>
    <row r="3313" spans="1:29" s="111" customFormat="1" ht="15.75" hidden="1" x14ac:dyDescent="0.2">
      <c r="A3313" s="288"/>
      <c r="B3313" s="296"/>
      <c r="C3313" s="297"/>
      <c r="D3313" s="298"/>
      <c r="E3313" s="299"/>
      <c r="F3313" s="300"/>
      <c r="G3313" s="301"/>
      <c r="H3313" s="302"/>
      <c r="I3313" s="303"/>
      <c r="J3313" s="304"/>
      <c r="K3313" s="304"/>
      <c r="L3313" s="304"/>
      <c r="M3313" s="304"/>
      <c r="N3313" s="304"/>
      <c r="O3313" s="304"/>
      <c r="P3313" s="306"/>
      <c r="Q3313" s="304"/>
      <c r="R3313" s="307"/>
      <c r="S3313" s="304"/>
      <c r="T3313" s="309"/>
      <c r="U3313" s="310"/>
      <c r="V3313" s="291">
        <f t="shared" ca="1" si="906"/>
        <v>0</v>
      </c>
      <c r="W3313" s="256">
        <f t="shared" ca="1" si="901"/>
        <v>0</v>
      </c>
      <c r="X3313" s="256">
        <f t="shared" ca="1" si="905"/>
        <v>1</v>
      </c>
      <c r="Y3313" s="250"/>
      <c r="Z3313" s="250"/>
    </row>
    <row r="3314" spans="1:29" s="111" customFormat="1" ht="15.75" hidden="1" x14ac:dyDescent="0.2">
      <c r="A3314" s="288"/>
      <c r="B3314" s="311"/>
      <c r="C3314" s="312"/>
      <c r="D3314" s="313"/>
      <c r="E3314" s="314"/>
      <c r="F3314" s="315"/>
      <c r="G3314" s="380"/>
      <c r="H3314" s="316"/>
      <c r="I3314" s="381"/>
      <c r="J3314" s="317"/>
      <c r="K3314" s="313"/>
      <c r="L3314" s="317"/>
      <c r="M3314" s="315"/>
      <c r="N3314" s="314"/>
      <c r="O3314" s="313"/>
      <c r="P3314" s="318"/>
      <c r="Q3314" s="315"/>
      <c r="R3314" s="319"/>
      <c r="S3314" s="317"/>
      <c r="T3314" s="320"/>
      <c r="U3314" s="321"/>
      <c r="V3314" s="291">
        <f t="shared" ca="1" si="906"/>
        <v>0</v>
      </c>
      <c r="W3314" s="256">
        <f t="shared" ca="1" si="901"/>
        <v>0</v>
      </c>
      <c r="X3314" s="256">
        <f t="shared" ca="1" si="905"/>
        <v>1</v>
      </c>
      <c r="Y3314" s="250"/>
      <c r="Z3314" s="250"/>
    </row>
    <row r="3315" spans="1:29" s="111" customFormat="1" ht="15" hidden="1" x14ac:dyDescent="0.2">
      <c r="A3315" s="288"/>
      <c r="B3315" s="322"/>
      <c r="C3315" s="382"/>
      <c r="D3315" s="324"/>
      <c r="E3315" s="325"/>
      <c r="F3315" s="326"/>
      <c r="G3315" s="324"/>
      <c r="H3315" s="325"/>
      <c r="I3315" s="326"/>
      <c r="J3315" s="317"/>
      <c r="K3315" s="328"/>
      <c r="L3315" s="328"/>
      <c r="M3315" s="328"/>
      <c r="N3315" s="328"/>
      <c r="O3315" s="334"/>
      <c r="P3315" s="328"/>
      <c r="Q3315" s="334"/>
      <c r="R3315" s="333"/>
      <c r="S3315" s="331"/>
      <c r="T3315" s="320"/>
      <c r="U3315" s="335"/>
      <c r="V3315" s="291">
        <f t="shared" ca="1" si="906"/>
        <v>0</v>
      </c>
      <c r="W3315" s="256">
        <f t="shared" ca="1" si="901"/>
        <v>0</v>
      </c>
      <c r="X3315" s="256">
        <f t="shared" ca="1" si="905"/>
        <v>1</v>
      </c>
      <c r="Y3315" s="250"/>
      <c r="Z3315" s="250"/>
    </row>
    <row r="3316" spans="1:29" s="111" customFormat="1" ht="15" hidden="1" x14ac:dyDescent="0.2">
      <c r="A3316" s="288"/>
      <c r="B3316" s="338"/>
      <c r="C3316" s="339"/>
      <c r="D3316" s="340"/>
      <c r="E3316" s="341"/>
      <c r="F3316" s="342"/>
      <c r="G3316" s="340"/>
      <c r="H3316" s="341"/>
      <c r="I3316" s="342"/>
      <c r="J3316" s="343"/>
      <c r="K3316" s="344"/>
      <c r="L3316" s="345"/>
      <c r="M3316" s="346"/>
      <c r="N3316" s="347"/>
      <c r="O3316" s="348"/>
      <c r="P3316" s="345"/>
      <c r="Q3316" s="349"/>
      <c r="R3316" s="350"/>
      <c r="S3316" s="351"/>
      <c r="T3316" s="609"/>
      <c r="U3316" s="353"/>
      <c r="V3316" s="291">
        <f t="shared" ca="1" si="906"/>
        <v>0</v>
      </c>
      <c r="W3316" s="256">
        <f t="shared" ca="1" si="901"/>
        <v>0</v>
      </c>
      <c r="X3316" s="256">
        <f t="shared" ca="1" si="905"/>
        <v>1</v>
      </c>
      <c r="Y3316" s="250"/>
      <c r="Z3316" s="250"/>
    </row>
    <row r="3317" spans="1:29" s="111" customFormat="1" ht="15.75" hidden="1" customHeight="1" x14ac:dyDescent="0.2">
      <c r="A3317" s="288"/>
      <c r="B3317" s="354"/>
      <c r="C3317" s="355"/>
      <c r="D3317" s="1354" t="s">
        <v>492</v>
      </c>
      <c r="E3317" s="1355"/>
      <c r="F3317" s="1355"/>
      <c r="G3317" s="1355"/>
      <c r="H3317" s="1355"/>
      <c r="I3317" s="1356"/>
      <c r="J3317" s="1357">
        <f>VLOOKUP(A3319,'11 - FINANCEIRO'!_xlnm.Print_Area,6,FALSE)</f>
        <v>88</v>
      </c>
      <c r="K3317" s="1358"/>
      <c r="L3317" s="356" t="str">
        <f>VLOOKUP(A3319,'11 - FINANCEIRO'!_xlnm.Print_Area,4,FALSE)</f>
        <v>m</v>
      </c>
      <c r="M3317" s="1359" t="s">
        <v>493</v>
      </c>
      <c r="N3317" s="1360"/>
      <c r="O3317" s="1360"/>
      <c r="P3317" s="1360"/>
      <c r="Q3317" s="1361"/>
      <c r="R3317" s="357">
        <f>TRUNC(SUM(R3313:R3316),3)</f>
        <v>0</v>
      </c>
      <c r="S3317" s="358" t="str">
        <f>L3317</f>
        <v>m</v>
      </c>
      <c r="T3317" s="359"/>
      <c r="U3317" s="360"/>
      <c r="V3317" s="291">
        <f t="shared" ca="1" si="906"/>
        <v>0</v>
      </c>
      <c r="W3317" s="256">
        <f t="shared" ca="1" si="901"/>
        <v>2</v>
      </c>
      <c r="X3317" s="256">
        <f t="shared" ca="1" si="905"/>
        <v>1</v>
      </c>
      <c r="Y3317" s="250"/>
      <c r="Z3317" s="250"/>
    </row>
    <row r="3318" spans="1:29" s="293" customFormat="1" ht="15.75" hidden="1" customHeight="1" x14ac:dyDescent="0.2">
      <c r="A3318" s="288"/>
      <c r="B3318" s="354"/>
      <c r="C3318" s="361"/>
      <c r="D3318" s="1362" t="s">
        <v>494</v>
      </c>
      <c r="E3318" s="1363"/>
      <c r="F3318" s="1363"/>
      <c r="G3318" s="1363"/>
      <c r="H3318" s="1363"/>
      <c r="I3318" s="1364"/>
      <c r="J3318" s="1365">
        <f>R3317/J3317</f>
        <v>0</v>
      </c>
      <c r="K3318" s="1366"/>
      <c r="L3318" s="1369"/>
      <c r="M3318" s="1371" t="s">
        <v>495</v>
      </c>
      <c r="N3318" s="1372"/>
      <c r="O3318" s="1372"/>
      <c r="P3318" s="1372"/>
      <c r="Q3318" s="1373"/>
      <c r="R3318" s="362">
        <f>VLOOKUP(A3319,'11 - FINANCEIRO'!_xlnm.Print_Area,8,FALSE)</f>
        <v>0</v>
      </c>
      <c r="S3318" s="363" t="str">
        <f>L3317</f>
        <v>m</v>
      </c>
      <c r="T3318" s="359"/>
      <c r="U3318" s="360"/>
      <c r="V3318" s="291">
        <f t="shared" ca="1" si="906"/>
        <v>0</v>
      </c>
      <c r="W3318" s="256">
        <f t="shared" ca="1" si="901"/>
        <v>2</v>
      </c>
      <c r="X3318" s="256">
        <f t="shared" ca="1" si="905"/>
        <v>1</v>
      </c>
      <c r="Y3318" s="256"/>
      <c r="Z3318" s="256"/>
      <c r="AA3318" s="292"/>
      <c r="AB3318" s="292"/>
      <c r="AC3318" s="292"/>
    </row>
    <row r="3319" spans="1:29" s="293" customFormat="1" ht="15.75" hidden="1" customHeight="1" x14ac:dyDescent="0.2">
      <c r="A3319" s="288" t="s">
        <v>209</v>
      </c>
      <c r="B3319" s="364"/>
      <c r="C3319" s="365"/>
      <c r="D3319" s="1354"/>
      <c r="E3319" s="1355"/>
      <c r="F3319" s="1355"/>
      <c r="G3319" s="1355"/>
      <c r="H3319" s="1355"/>
      <c r="I3319" s="1356"/>
      <c r="J3319" s="1367"/>
      <c r="K3319" s="1368"/>
      <c r="L3319" s="1370"/>
      <c r="M3319" s="1371" t="s">
        <v>496</v>
      </c>
      <c r="N3319" s="1372"/>
      <c r="O3319" s="1372"/>
      <c r="P3319" s="1372"/>
      <c r="Q3319" s="1373"/>
      <c r="R3319" s="362">
        <f>R3317-R3318</f>
        <v>0</v>
      </c>
      <c r="S3319" s="363" t="str">
        <f>L3317</f>
        <v>m</v>
      </c>
      <c r="T3319" s="366"/>
      <c r="U3319" s="367"/>
      <c r="V3319" s="291">
        <f t="shared" ca="1" si="906"/>
        <v>0</v>
      </c>
      <c r="W3319" s="256">
        <f t="shared" ca="1" si="901"/>
        <v>2</v>
      </c>
      <c r="X3319" s="256">
        <f t="shared" ca="1" si="905"/>
        <v>1</v>
      </c>
      <c r="Y3319" s="256"/>
      <c r="Z3319" s="256"/>
      <c r="AA3319" s="292"/>
      <c r="AB3319" s="292"/>
      <c r="AC3319" s="292"/>
    </row>
    <row r="3320" spans="1:29" s="111" customFormat="1" ht="15.75" hidden="1" x14ac:dyDescent="0.2">
      <c r="A3320" s="288"/>
      <c r="B3320" s="368"/>
      <c r="C3320" s="365"/>
      <c r="D3320" s="369"/>
      <c r="E3320" s="370"/>
      <c r="F3320" s="369"/>
      <c r="G3320" s="369"/>
      <c r="H3320" s="369"/>
      <c r="I3320" s="369"/>
      <c r="J3320" s="371"/>
      <c r="K3320" s="372"/>
      <c r="L3320" s="373"/>
      <c r="M3320" s="374"/>
      <c r="N3320" s="374"/>
      <c r="O3320" s="374"/>
      <c r="P3320" s="374"/>
      <c r="Q3320" s="374"/>
      <c r="R3320" s="375"/>
      <c r="S3320" s="376"/>
      <c r="T3320" s="377"/>
      <c r="U3320" s="378"/>
      <c r="V3320" s="379">
        <f ca="1">SUM(V3311:V3319)</f>
        <v>0</v>
      </c>
      <c r="W3320" s="256">
        <f t="shared" ca="1" si="901"/>
        <v>1</v>
      </c>
      <c r="X3320" s="256">
        <f t="shared" ca="1" si="905"/>
        <v>0</v>
      </c>
      <c r="Y3320" s="250"/>
      <c r="Z3320" s="250"/>
    </row>
    <row r="3321" spans="1:29" s="293" customFormat="1" ht="15.75" hidden="1" customHeight="1" x14ac:dyDescent="0.25">
      <c r="A3321" s="288"/>
      <c r="B3321" s="1374" t="str">
        <f>VLOOKUP(A3329,'11 - FINANCEIRO'!_xlnm.Print_Area,1,FALSE)</f>
        <v>4.5.4</v>
      </c>
      <c r="C3321" s="1376" t="str">
        <f>VLOOKUP(A3329,'11 - FINANCEIRO'!_xlnm.Print_Area,3,FALSE)</f>
        <v>Arrasamento Mecanico De Estaca De Concreto Armado, Diametros De Até 40 Cm. Af_05/2021</v>
      </c>
      <c r="D3321" s="1378" t="s">
        <v>477</v>
      </c>
      <c r="E3321" s="1379"/>
      <c r="F3321" s="1379"/>
      <c r="G3321" s="1379"/>
      <c r="H3321" s="1379"/>
      <c r="I3321" s="1380"/>
      <c r="J3321" s="1338" t="s">
        <v>478</v>
      </c>
      <c r="K3321" s="1338" t="s">
        <v>479</v>
      </c>
      <c r="L3321" s="1338" t="s">
        <v>480</v>
      </c>
      <c r="M3321" s="1338" t="s">
        <v>481</v>
      </c>
      <c r="N3321" s="1338" t="s">
        <v>482</v>
      </c>
      <c r="O3321" s="1338" t="s">
        <v>483</v>
      </c>
      <c r="P3321" s="290" t="s">
        <v>484</v>
      </c>
      <c r="Q3321" s="1338" t="s">
        <v>485</v>
      </c>
      <c r="R3321" s="1336" t="s">
        <v>296</v>
      </c>
      <c r="S3321" s="1338" t="s">
        <v>486</v>
      </c>
      <c r="T3321" s="1338" t="s">
        <v>487</v>
      </c>
      <c r="U3321" s="1340" t="s">
        <v>488</v>
      </c>
      <c r="V3321" s="291">
        <f t="shared" ref="V3321:V3329" ca="1" si="907">IF(OFFSET(V3321,1,1)=1,OFFSET(V3321,0,-4),OFFSET(V3321,1,0))</f>
        <v>0</v>
      </c>
      <c r="W3321" s="256">
        <f t="shared" ca="1" si="901"/>
        <v>2</v>
      </c>
      <c r="X3321" s="256">
        <f t="shared" ca="1" si="905"/>
        <v>1</v>
      </c>
      <c r="Y3321" s="256"/>
      <c r="Z3321" s="256"/>
      <c r="AA3321" s="292"/>
      <c r="AB3321" s="292"/>
      <c r="AC3321" s="292"/>
    </row>
    <row r="3322" spans="1:29" s="337" customFormat="1" ht="15.75" hidden="1" x14ac:dyDescent="0.2">
      <c r="A3322" s="288"/>
      <c r="B3322" s="1375"/>
      <c r="C3322" s="1377" t="e">
        <f>VLOOKUP(LEFT(#REF!,5),'11 - FINANCEIRO'!_xlnm.Print_Area,2,FALSE)</f>
        <v>#REF!</v>
      </c>
      <c r="D3322" s="1342" t="s">
        <v>489</v>
      </c>
      <c r="E3322" s="1343"/>
      <c r="F3322" s="1344"/>
      <c r="G3322" s="1345" t="s">
        <v>490</v>
      </c>
      <c r="H3322" s="1346"/>
      <c r="I3322" s="1347"/>
      <c r="J3322" s="1339"/>
      <c r="K3322" s="1339"/>
      <c r="L3322" s="1339"/>
      <c r="M3322" s="1339"/>
      <c r="N3322" s="1339"/>
      <c r="O3322" s="1339"/>
      <c r="P3322" s="295" t="s">
        <v>491</v>
      </c>
      <c r="Q3322" s="1339"/>
      <c r="R3322" s="1337"/>
      <c r="S3322" s="1339"/>
      <c r="T3322" s="1339"/>
      <c r="U3322" s="1341"/>
      <c r="V3322" s="291">
        <f t="shared" ca="1" si="907"/>
        <v>0</v>
      </c>
      <c r="W3322" s="256">
        <f t="shared" ca="1" si="901"/>
        <v>2</v>
      </c>
      <c r="X3322" s="256">
        <f t="shared" ca="1" si="905"/>
        <v>1</v>
      </c>
      <c r="Y3322" s="336"/>
      <c r="Z3322" s="336"/>
    </row>
    <row r="3323" spans="1:29" s="337" customFormat="1" ht="15.75" hidden="1" x14ac:dyDescent="0.2">
      <c r="A3323" s="288"/>
      <c r="B3323" s="296"/>
      <c r="C3323" s="297"/>
      <c r="D3323" s="298"/>
      <c r="E3323" s="299"/>
      <c r="F3323" s="300"/>
      <c r="G3323" s="301"/>
      <c r="H3323" s="302"/>
      <c r="I3323" s="303"/>
      <c r="J3323" s="304"/>
      <c r="K3323" s="304"/>
      <c r="L3323" s="304"/>
      <c r="M3323" s="304"/>
      <c r="N3323" s="304"/>
      <c r="O3323" s="304"/>
      <c r="P3323" s="306"/>
      <c r="Q3323" s="304"/>
      <c r="R3323" s="307"/>
      <c r="S3323" s="304"/>
      <c r="T3323" s="309"/>
      <c r="U3323" s="310"/>
      <c r="V3323" s="291">
        <f t="shared" ca="1" si="907"/>
        <v>0</v>
      </c>
      <c r="W3323" s="256">
        <f t="shared" ca="1" si="901"/>
        <v>0</v>
      </c>
      <c r="X3323" s="256">
        <f t="shared" ca="1" si="905"/>
        <v>1</v>
      </c>
      <c r="Y3323" s="336"/>
      <c r="Z3323" s="336"/>
    </row>
    <row r="3324" spans="1:29" s="111" customFormat="1" ht="15.75" hidden="1" x14ac:dyDescent="0.2">
      <c r="A3324" s="288"/>
      <c r="B3324" s="311"/>
      <c r="C3324" s="312"/>
      <c r="D3324" s="313"/>
      <c r="E3324" s="314"/>
      <c r="F3324" s="315"/>
      <c r="G3324" s="380"/>
      <c r="H3324" s="316"/>
      <c r="I3324" s="381"/>
      <c r="J3324" s="317"/>
      <c r="K3324" s="313"/>
      <c r="L3324" s="317"/>
      <c r="M3324" s="315"/>
      <c r="N3324" s="314"/>
      <c r="O3324" s="313"/>
      <c r="P3324" s="318"/>
      <c r="Q3324" s="315"/>
      <c r="R3324" s="319"/>
      <c r="S3324" s="317"/>
      <c r="T3324" s="320"/>
      <c r="U3324" s="321"/>
      <c r="V3324" s="291">
        <f t="shared" ca="1" si="907"/>
        <v>0</v>
      </c>
      <c r="W3324" s="256">
        <f t="shared" ca="1" si="901"/>
        <v>0</v>
      </c>
      <c r="X3324" s="256">
        <f t="shared" ca="1" si="905"/>
        <v>1</v>
      </c>
      <c r="Y3324" s="250"/>
      <c r="Z3324" s="250"/>
    </row>
    <row r="3325" spans="1:29" s="111" customFormat="1" ht="15" hidden="1" x14ac:dyDescent="0.2">
      <c r="A3325" s="288"/>
      <c r="B3325" s="322"/>
      <c r="C3325" s="382"/>
      <c r="D3325" s="324"/>
      <c r="E3325" s="325"/>
      <c r="F3325" s="326"/>
      <c r="G3325" s="324"/>
      <c r="H3325" s="325"/>
      <c r="I3325" s="326"/>
      <c r="J3325" s="317"/>
      <c r="K3325" s="328"/>
      <c r="L3325" s="328"/>
      <c r="M3325" s="328"/>
      <c r="N3325" s="328"/>
      <c r="O3325" s="334"/>
      <c r="P3325" s="328"/>
      <c r="Q3325" s="334"/>
      <c r="R3325" s="333"/>
      <c r="S3325" s="331"/>
      <c r="T3325" s="320"/>
      <c r="U3325" s="335"/>
      <c r="V3325" s="291">
        <f t="shared" ca="1" si="907"/>
        <v>0</v>
      </c>
      <c r="W3325" s="256">
        <f t="shared" ca="1" si="901"/>
        <v>0</v>
      </c>
      <c r="X3325" s="256">
        <f t="shared" ca="1" si="905"/>
        <v>1</v>
      </c>
      <c r="Y3325" s="250"/>
      <c r="Z3325" s="250"/>
    </row>
    <row r="3326" spans="1:29" s="111" customFormat="1" ht="15" hidden="1" x14ac:dyDescent="0.2">
      <c r="A3326" s="288"/>
      <c r="B3326" s="338"/>
      <c r="C3326" s="339"/>
      <c r="D3326" s="340"/>
      <c r="E3326" s="341"/>
      <c r="F3326" s="342"/>
      <c r="G3326" s="340"/>
      <c r="H3326" s="341"/>
      <c r="I3326" s="342"/>
      <c r="J3326" s="343"/>
      <c r="K3326" s="344"/>
      <c r="L3326" s="345"/>
      <c r="M3326" s="346"/>
      <c r="N3326" s="347"/>
      <c r="O3326" s="348"/>
      <c r="P3326" s="345"/>
      <c r="Q3326" s="349"/>
      <c r="R3326" s="350"/>
      <c r="S3326" s="351"/>
      <c r="T3326" s="352"/>
      <c r="U3326" s="353"/>
      <c r="V3326" s="291">
        <f t="shared" ca="1" si="907"/>
        <v>0</v>
      </c>
      <c r="W3326" s="256">
        <f t="shared" ca="1" si="901"/>
        <v>0</v>
      </c>
      <c r="X3326" s="256">
        <f t="shared" ca="1" si="905"/>
        <v>1</v>
      </c>
      <c r="Y3326" s="250"/>
      <c r="Z3326" s="250"/>
    </row>
    <row r="3327" spans="1:29" s="111" customFormat="1" ht="15.75" hidden="1" customHeight="1" x14ac:dyDescent="0.2">
      <c r="A3327" s="288"/>
      <c r="B3327" s="354"/>
      <c r="C3327" s="355"/>
      <c r="D3327" s="1354" t="s">
        <v>492</v>
      </c>
      <c r="E3327" s="1355"/>
      <c r="F3327" s="1355"/>
      <c r="G3327" s="1355"/>
      <c r="H3327" s="1355"/>
      <c r="I3327" s="1356"/>
      <c r="J3327" s="1357">
        <f>VLOOKUP(A3329,'11 - FINANCEIRO'!_xlnm.Print_Area,6,FALSE)</f>
        <v>8</v>
      </c>
      <c r="K3327" s="1358"/>
      <c r="L3327" s="356" t="str">
        <f>VLOOKUP(A3329,'11 - FINANCEIRO'!_xlnm.Print_Area,4,FALSE)</f>
        <v>un</v>
      </c>
      <c r="M3327" s="1359" t="s">
        <v>493</v>
      </c>
      <c r="N3327" s="1360"/>
      <c r="O3327" s="1360"/>
      <c r="P3327" s="1360"/>
      <c r="Q3327" s="1361"/>
      <c r="R3327" s="357">
        <f>TRUNC(SUM(R3323:R3326),3)</f>
        <v>0</v>
      </c>
      <c r="S3327" s="358" t="str">
        <f>L3327</f>
        <v>un</v>
      </c>
      <c r="T3327" s="359"/>
      <c r="U3327" s="360"/>
      <c r="V3327" s="291">
        <f t="shared" ca="1" si="907"/>
        <v>0</v>
      </c>
      <c r="W3327" s="256">
        <f t="shared" ca="1" si="901"/>
        <v>2</v>
      </c>
      <c r="X3327" s="256">
        <f t="shared" ca="1" si="905"/>
        <v>1</v>
      </c>
      <c r="Y3327" s="250"/>
      <c r="Z3327" s="250"/>
    </row>
    <row r="3328" spans="1:29" s="293" customFormat="1" ht="15.75" hidden="1" customHeight="1" x14ac:dyDescent="0.2">
      <c r="A3328" s="288"/>
      <c r="B3328" s="354"/>
      <c r="C3328" s="361"/>
      <c r="D3328" s="1362" t="s">
        <v>494</v>
      </c>
      <c r="E3328" s="1363"/>
      <c r="F3328" s="1363"/>
      <c r="G3328" s="1363"/>
      <c r="H3328" s="1363"/>
      <c r="I3328" s="1364"/>
      <c r="J3328" s="1365">
        <f>R3327/J3327</f>
        <v>0</v>
      </c>
      <c r="K3328" s="1366"/>
      <c r="L3328" s="1369"/>
      <c r="M3328" s="1371" t="s">
        <v>495</v>
      </c>
      <c r="N3328" s="1372"/>
      <c r="O3328" s="1372"/>
      <c r="P3328" s="1372"/>
      <c r="Q3328" s="1373"/>
      <c r="R3328" s="362">
        <f>VLOOKUP(A3329,'11 - FINANCEIRO'!_xlnm.Print_Area,8,FALSE)</f>
        <v>0</v>
      </c>
      <c r="S3328" s="363" t="str">
        <f>L3327</f>
        <v>un</v>
      </c>
      <c r="T3328" s="359"/>
      <c r="U3328" s="360"/>
      <c r="V3328" s="291">
        <f t="shared" ca="1" si="907"/>
        <v>0</v>
      </c>
      <c r="W3328" s="256">
        <f t="shared" ca="1" si="901"/>
        <v>2</v>
      </c>
      <c r="X3328" s="256">
        <f t="shared" ca="1" si="905"/>
        <v>1</v>
      </c>
      <c r="Y3328" s="256"/>
      <c r="Z3328" s="256"/>
      <c r="AA3328" s="292"/>
      <c r="AB3328" s="292"/>
      <c r="AC3328" s="292"/>
    </row>
    <row r="3329" spans="1:29" s="293" customFormat="1" ht="15.75" hidden="1" customHeight="1" x14ac:dyDescent="0.2">
      <c r="A3329" s="288" t="s">
        <v>210</v>
      </c>
      <c r="B3329" s="364"/>
      <c r="C3329" s="365"/>
      <c r="D3329" s="1354"/>
      <c r="E3329" s="1355"/>
      <c r="F3329" s="1355"/>
      <c r="G3329" s="1355"/>
      <c r="H3329" s="1355"/>
      <c r="I3329" s="1356"/>
      <c r="J3329" s="1367"/>
      <c r="K3329" s="1368"/>
      <c r="L3329" s="1370"/>
      <c r="M3329" s="1371" t="s">
        <v>496</v>
      </c>
      <c r="N3329" s="1372"/>
      <c r="O3329" s="1372"/>
      <c r="P3329" s="1372"/>
      <c r="Q3329" s="1373"/>
      <c r="R3329" s="362">
        <f>R3327-R3328</f>
        <v>0</v>
      </c>
      <c r="S3329" s="363" t="str">
        <f>L3327</f>
        <v>un</v>
      </c>
      <c r="T3329" s="366"/>
      <c r="U3329" s="367"/>
      <c r="V3329" s="291">
        <f t="shared" ca="1" si="907"/>
        <v>0</v>
      </c>
      <c r="W3329" s="256">
        <f t="shared" ca="1" si="901"/>
        <v>2</v>
      </c>
      <c r="X3329" s="256">
        <f t="shared" ca="1" si="905"/>
        <v>1</v>
      </c>
      <c r="Y3329" s="256"/>
      <c r="Z3329" s="256"/>
      <c r="AA3329" s="292"/>
      <c r="AB3329" s="292"/>
      <c r="AC3329" s="292"/>
    </row>
    <row r="3330" spans="1:29" s="111" customFormat="1" ht="15.75" hidden="1" x14ac:dyDescent="0.2">
      <c r="A3330" s="288"/>
      <c r="B3330" s="368"/>
      <c r="C3330" s="365"/>
      <c r="D3330" s="369"/>
      <c r="E3330" s="370"/>
      <c r="F3330" s="369"/>
      <c r="G3330" s="369"/>
      <c r="H3330" s="369"/>
      <c r="I3330" s="369"/>
      <c r="J3330" s="371"/>
      <c r="K3330" s="372"/>
      <c r="L3330" s="373"/>
      <c r="M3330" s="374"/>
      <c r="N3330" s="374"/>
      <c r="O3330" s="374"/>
      <c r="P3330" s="374"/>
      <c r="Q3330" s="374"/>
      <c r="R3330" s="375"/>
      <c r="S3330" s="376"/>
      <c r="T3330" s="377"/>
      <c r="U3330" s="378"/>
      <c r="V3330" s="379">
        <f ca="1">SUM(V3321:V3329)</f>
        <v>0</v>
      </c>
      <c r="W3330" s="256">
        <f t="shared" ca="1" si="901"/>
        <v>1</v>
      </c>
      <c r="X3330" s="256">
        <f t="shared" ca="1" si="905"/>
        <v>0</v>
      </c>
      <c r="Y3330" s="250"/>
      <c r="Z3330" s="250"/>
    </row>
    <row r="3331" spans="1:29" s="293" customFormat="1" ht="15.75" hidden="1" customHeight="1" x14ac:dyDescent="0.25">
      <c r="A3331" s="288"/>
      <c r="B3331" s="1374" t="str">
        <f>VLOOKUP(A3340,'11 - FINANCEIRO'!_xlnm.Print_Area,1,FALSE)</f>
        <v>4.5.5</v>
      </c>
      <c r="C3331" s="1376" t="str">
        <f>VLOOKUP(A3340,'11 - FINANCEIRO'!_xlnm.Print_Area,3,FALSE)</f>
        <v>Lastro De Concreto Magro, Aplicado Em Blocos De Coroamento Ou Sapatas, Espessura De 5 Cm. Af_08/2017</v>
      </c>
      <c r="D3331" s="1378" t="s">
        <v>477</v>
      </c>
      <c r="E3331" s="1379"/>
      <c r="F3331" s="1379"/>
      <c r="G3331" s="1379"/>
      <c r="H3331" s="1379"/>
      <c r="I3331" s="1380"/>
      <c r="J3331" s="1338" t="s">
        <v>478</v>
      </c>
      <c r="K3331" s="1338" t="s">
        <v>479</v>
      </c>
      <c r="L3331" s="1338" t="s">
        <v>480</v>
      </c>
      <c r="M3331" s="1338" t="s">
        <v>481</v>
      </c>
      <c r="N3331" s="1338" t="s">
        <v>482</v>
      </c>
      <c r="O3331" s="1338" t="s">
        <v>483</v>
      </c>
      <c r="P3331" s="290" t="s">
        <v>484</v>
      </c>
      <c r="Q3331" s="1338" t="s">
        <v>485</v>
      </c>
      <c r="R3331" s="1336" t="s">
        <v>296</v>
      </c>
      <c r="S3331" s="1338" t="s">
        <v>486</v>
      </c>
      <c r="T3331" s="1338" t="s">
        <v>487</v>
      </c>
      <c r="U3331" s="1340" t="s">
        <v>488</v>
      </c>
      <c r="V3331" s="291">
        <f t="shared" ref="V3331:V3340" ca="1" si="908">IF(OFFSET(V3331,1,1)=1,OFFSET(V3331,0,-4),OFFSET(V3331,1,0))</f>
        <v>0</v>
      </c>
      <c r="W3331" s="256">
        <f t="shared" ca="1" si="901"/>
        <v>2</v>
      </c>
      <c r="X3331" s="256">
        <f t="shared" ca="1" si="905"/>
        <v>1</v>
      </c>
      <c r="Y3331" s="256"/>
      <c r="Z3331" s="256"/>
      <c r="AA3331" s="292"/>
      <c r="AB3331" s="292"/>
      <c r="AC3331" s="292"/>
    </row>
    <row r="3332" spans="1:29" s="337" customFormat="1" ht="15.75" hidden="1" x14ac:dyDescent="0.2">
      <c r="A3332" s="288"/>
      <c r="B3332" s="1375"/>
      <c r="C3332" s="1377" t="e">
        <f>VLOOKUP(LEFT(#REF!,5),'11 - FINANCEIRO'!_xlnm.Print_Area,2,FALSE)</f>
        <v>#REF!</v>
      </c>
      <c r="D3332" s="1342" t="s">
        <v>489</v>
      </c>
      <c r="E3332" s="1343"/>
      <c r="F3332" s="1344"/>
      <c r="G3332" s="1345" t="s">
        <v>490</v>
      </c>
      <c r="H3332" s="1346"/>
      <c r="I3332" s="1347"/>
      <c r="J3332" s="1339"/>
      <c r="K3332" s="1339"/>
      <c r="L3332" s="1339"/>
      <c r="M3332" s="1339"/>
      <c r="N3332" s="1339"/>
      <c r="O3332" s="1339"/>
      <c r="P3332" s="295" t="s">
        <v>491</v>
      </c>
      <c r="Q3332" s="1339"/>
      <c r="R3332" s="1337"/>
      <c r="S3332" s="1339"/>
      <c r="T3332" s="1339"/>
      <c r="U3332" s="1341"/>
      <c r="V3332" s="291">
        <f t="shared" ca="1" si="908"/>
        <v>0</v>
      </c>
      <c r="W3332" s="256">
        <f t="shared" ca="1" si="901"/>
        <v>2</v>
      </c>
      <c r="X3332" s="256">
        <f t="shared" ca="1" si="905"/>
        <v>1</v>
      </c>
      <c r="Y3332" s="336"/>
      <c r="Z3332" s="336"/>
    </row>
    <row r="3333" spans="1:29" s="337" customFormat="1" ht="15.75" hidden="1" x14ac:dyDescent="0.2">
      <c r="A3333" s="288"/>
      <c r="B3333" s="296"/>
      <c r="C3333" s="582" t="s">
        <v>992</v>
      </c>
      <c r="D3333" s="298"/>
      <c r="E3333" s="299"/>
      <c r="F3333" s="300"/>
      <c r="G3333" s="301"/>
      <c r="H3333" s="302"/>
      <c r="I3333" s="303"/>
      <c r="J3333" s="304" t="s">
        <v>621</v>
      </c>
      <c r="K3333" s="589">
        <v>28.4</v>
      </c>
      <c r="L3333" s="589">
        <v>0.2</v>
      </c>
      <c r="M3333" s="589">
        <v>0.05</v>
      </c>
      <c r="N3333" s="589">
        <f>K3333*L3333</f>
        <v>5.68</v>
      </c>
      <c r="O3333" s="589">
        <f>K3333*L3333*M3333</f>
        <v>0.28399999999999997</v>
      </c>
      <c r="P3333" s="306"/>
      <c r="Q3333" s="304"/>
      <c r="R3333" s="307">
        <f>O3333</f>
        <v>0.28399999999999997</v>
      </c>
      <c r="S3333" s="304" t="s">
        <v>308</v>
      </c>
      <c r="T3333" s="309">
        <v>25</v>
      </c>
      <c r="U3333" s="310"/>
      <c r="V3333" s="291">
        <f t="shared" ca="1" si="908"/>
        <v>0</v>
      </c>
      <c r="W3333" s="256">
        <f t="shared" ca="1" si="901"/>
        <v>2</v>
      </c>
      <c r="X3333" s="256">
        <f ca="1">IF(COUNTA(OFFSET(#REF!,1,0))-COUNTA(#REF!)=-1,0,1)</f>
        <v>1</v>
      </c>
      <c r="Y3333" s="336"/>
      <c r="Z3333" s="336"/>
    </row>
    <row r="3334" spans="1:29" s="111" customFormat="1" ht="15.75" hidden="1" x14ac:dyDescent="0.2">
      <c r="A3334" s="288"/>
      <c r="B3334" s="311"/>
      <c r="C3334" s="312" t="s">
        <v>992</v>
      </c>
      <c r="D3334" s="313"/>
      <c r="E3334" s="314"/>
      <c r="F3334" s="315"/>
      <c r="G3334" s="380"/>
      <c r="H3334" s="316"/>
      <c r="I3334" s="381"/>
      <c r="J3334" s="317" t="s">
        <v>620</v>
      </c>
      <c r="K3334" s="317">
        <v>28.4</v>
      </c>
      <c r="L3334" s="317">
        <v>0.2</v>
      </c>
      <c r="M3334" s="317">
        <v>0.05</v>
      </c>
      <c r="N3334" s="317">
        <f>K3334*L3334</f>
        <v>5.68</v>
      </c>
      <c r="O3334" s="317">
        <f>K3334*L3334*M3334</f>
        <v>0.28399999999999997</v>
      </c>
      <c r="P3334" s="318"/>
      <c r="Q3334" s="315"/>
      <c r="R3334" s="319">
        <f>O3334</f>
        <v>0.28399999999999997</v>
      </c>
      <c r="S3334" s="317" t="s">
        <v>308</v>
      </c>
      <c r="T3334" s="320">
        <v>25</v>
      </c>
      <c r="U3334" s="321"/>
      <c r="V3334" s="291">
        <f t="shared" ca="1" si="908"/>
        <v>0</v>
      </c>
      <c r="W3334" s="256">
        <f t="shared" ref="W3334:W3336" ca="1" si="909">IF(LEFT(_xlfn.FORMULATEXT(V3334),3)="=SO",1,IF(COUNTA(A3334:U3334)=0,0,2))</f>
        <v>2</v>
      </c>
      <c r="X3334" s="256">
        <f ca="1">IF(COUNTA(OFFSET(#REF!,1,0))-COUNTA(#REF!)=-1,0,1)</f>
        <v>1</v>
      </c>
      <c r="Y3334" s="250"/>
      <c r="Z3334" s="250"/>
    </row>
    <row r="3335" spans="1:29" s="111" customFormat="1" ht="15.75" hidden="1" x14ac:dyDescent="0.2">
      <c r="A3335" s="288"/>
      <c r="B3335" s="311"/>
      <c r="C3335" s="312" t="s">
        <v>993</v>
      </c>
      <c r="D3335" s="313"/>
      <c r="E3335" s="314"/>
      <c r="F3335" s="315"/>
      <c r="G3335" s="380"/>
      <c r="H3335" s="316"/>
      <c r="I3335" s="381"/>
      <c r="J3335" s="317" t="s">
        <v>621</v>
      </c>
      <c r="K3335" s="427">
        <v>28.4</v>
      </c>
      <c r="L3335" s="427">
        <v>1.2</v>
      </c>
      <c r="M3335" s="427">
        <v>0.05</v>
      </c>
      <c r="N3335" s="427">
        <f>K3335*L3335</f>
        <v>34.08</v>
      </c>
      <c r="O3335" s="427">
        <f>K3335*L3335*M3335</f>
        <v>1.704</v>
      </c>
      <c r="P3335" s="318"/>
      <c r="Q3335" s="315"/>
      <c r="R3335" s="319">
        <f>O3335</f>
        <v>1.704</v>
      </c>
      <c r="S3335" s="313" t="s">
        <v>308</v>
      </c>
      <c r="T3335" s="320">
        <v>25</v>
      </c>
      <c r="U3335" s="321"/>
      <c r="V3335" s="291">
        <f t="shared" ca="1" si="908"/>
        <v>0</v>
      </c>
      <c r="W3335" s="256">
        <f t="shared" ca="1" si="909"/>
        <v>2</v>
      </c>
      <c r="X3335" s="256">
        <f ca="1">IF(COUNTA(OFFSET(#REF!,1,0))-COUNTA(#REF!)=-1,0,1)</f>
        <v>1</v>
      </c>
      <c r="Y3335" s="250"/>
      <c r="Z3335" s="250"/>
    </row>
    <row r="3336" spans="1:29" s="111" customFormat="1" ht="15.75" hidden="1" x14ac:dyDescent="0.2">
      <c r="A3336" s="288"/>
      <c r="B3336" s="311"/>
      <c r="C3336" s="312" t="s">
        <v>993</v>
      </c>
      <c r="D3336" s="313"/>
      <c r="E3336" s="314"/>
      <c r="F3336" s="315"/>
      <c r="G3336" s="380"/>
      <c r="H3336" s="316"/>
      <c r="I3336" s="381"/>
      <c r="J3336" s="317" t="s">
        <v>620</v>
      </c>
      <c r="K3336" s="427">
        <v>28.4</v>
      </c>
      <c r="L3336" s="427">
        <v>1.2</v>
      </c>
      <c r="M3336" s="427">
        <v>0.05</v>
      </c>
      <c r="N3336" s="427">
        <f>K3336*L3336</f>
        <v>34.08</v>
      </c>
      <c r="O3336" s="427">
        <f>K3336*L3336*M3336</f>
        <v>1.704</v>
      </c>
      <c r="P3336" s="318"/>
      <c r="Q3336" s="315"/>
      <c r="R3336" s="319">
        <f>O3336</f>
        <v>1.704</v>
      </c>
      <c r="S3336" s="313" t="s">
        <v>308</v>
      </c>
      <c r="T3336" s="320">
        <v>25</v>
      </c>
      <c r="U3336" s="321"/>
      <c r="V3336" s="291">
        <f t="shared" ca="1" si="908"/>
        <v>0</v>
      </c>
      <c r="W3336" s="256">
        <f t="shared" ca="1" si="909"/>
        <v>2</v>
      </c>
      <c r="X3336" s="256">
        <f ca="1">IF(COUNTA(OFFSET(#REF!,1,0))-COUNTA(#REF!)=-1,0,1)</f>
        <v>1</v>
      </c>
      <c r="Y3336" s="250"/>
      <c r="Z3336" s="250"/>
    </row>
    <row r="3337" spans="1:29" s="111" customFormat="1" ht="15" hidden="1" x14ac:dyDescent="0.2">
      <c r="A3337" s="288"/>
      <c r="B3337" s="338"/>
      <c r="C3337" s="339"/>
      <c r="D3337" s="340"/>
      <c r="E3337" s="341"/>
      <c r="F3337" s="342"/>
      <c r="G3337" s="340"/>
      <c r="H3337" s="341"/>
      <c r="I3337" s="342"/>
      <c r="J3337" s="343"/>
      <c r="K3337" s="344"/>
      <c r="L3337" s="345"/>
      <c r="M3337" s="346"/>
      <c r="N3337" s="347"/>
      <c r="O3337" s="348"/>
      <c r="P3337" s="345"/>
      <c r="Q3337" s="349"/>
      <c r="R3337" s="350"/>
      <c r="S3337" s="351"/>
      <c r="T3337" s="352"/>
      <c r="U3337" s="353"/>
      <c r="V3337" s="291">
        <f t="shared" ca="1" si="908"/>
        <v>0</v>
      </c>
      <c r="W3337" s="256">
        <f t="shared" ca="1" si="901"/>
        <v>0</v>
      </c>
      <c r="X3337" s="256">
        <f ca="1">IF(COUNTA(OFFSET(#REF!,1,0))-COUNTA(#REF!)=-1,0,1)</f>
        <v>1</v>
      </c>
      <c r="Y3337" s="250"/>
      <c r="Z3337" s="250"/>
    </row>
    <row r="3338" spans="1:29" s="111" customFormat="1" ht="15.75" hidden="1" customHeight="1" x14ac:dyDescent="0.2">
      <c r="A3338" s="288"/>
      <c r="B3338" s="354"/>
      <c r="C3338" s="355"/>
      <c r="D3338" s="1354" t="s">
        <v>492</v>
      </c>
      <c r="E3338" s="1355"/>
      <c r="F3338" s="1355"/>
      <c r="G3338" s="1355"/>
      <c r="H3338" s="1355"/>
      <c r="I3338" s="1356"/>
      <c r="J3338" s="1357">
        <f>VLOOKUP(A3340,'11 - FINANCEIRO'!_xlnm.Print_Area,6,FALSE)</f>
        <v>3.5</v>
      </c>
      <c r="K3338" s="1358"/>
      <c r="L3338" s="356" t="str">
        <f>VLOOKUP(A3340,'11 - FINANCEIRO'!_xlnm.Print_Area,4,FALSE)</f>
        <v>m²</v>
      </c>
      <c r="M3338" s="1359" t="s">
        <v>493</v>
      </c>
      <c r="N3338" s="1360"/>
      <c r="O3338" s="1360"/>
      <c r="P3338" s="1360"/>
      <c r="Q3338" s="1361"/>
      <c r="R3338" s="357">
        <v>3.5</v>
      </c>
      <c r="S3338" s="358" t="str">
        <f>L3338</f>
        <v>m²</v>
      </c>
      <c r="T3338" s="359"/>
      <c r="U3338" s="360"/>
      <c r="V3338" s="291">
        <f t="shared" ca="1" si="908"/>
        <v>0</v>
      </c>
      <c r="W3338" s="256">
        <f t="shared" ca="1" si="901"/>
        <v>2</v>
      </c>
      <c r="X3338" s="256">
        <f ca="1">IF(COUNTA(OFFSET(A3337,1,0))-COUNTA(A3337)=-1,0,1)</f>
        <v>1</v>
      </c>
      <c r="Y3338" s="250"/>
      <c r="Z3338" s="250"/>
    </row>
    <row r="3339" spans="1:29" s="293" customFormat="1" ht="15.75" hidden="1" customHeight="1" x14ac:dyDescent="0.2">
      <c r="A3339" s="288"/>
      <c r="B3339" s="354"/>
      <c r="C3339" s="361"/>
      <c r="D3339" s="1362" t="s">
        <v>494</v>
      </c>
      <c r="E3339" s="1363"/>
      <c r="F3339" s="1363"/>
      <c r="G3339" s="1363"/>
      <c r="H3339" s="1363"/>
      <c r="I3339" s="1364"/>
      <c r="J3339" s="1365">
        <f>R3338/J3338</f>
        <v>1</v>
      </c>
      <c r="K3339" s="1366"/>
      <c r="L3339" s="1369"/>
      <c r="M3339" s="1371" t="s">
        <v>495</v>
      </c>
      <c r="N3339" s="1372"/>
      <c r="O3339" s="1372"/>
      <c r="P3339" s="1372"/>
      <c r="Q3339" s="1373"/>
      <c r="R3339" s="362">
        <f>VLOOKUP(A3340,'11 - FINANCEIRO'!_xlnm.Print_Area,8,FALSE)</f>
        <v>3.5</v>
      </c>
      <c r="S3339" s="363" t="str">
        <f>L3338</f>
        <v>m²</v>
      </c>
      <c r="T3339" s="359"/>
      <c r="U3339" s="360"/>
      <c r="V3339" s="291">
        <f t="shared" ca="1" si="908"/>
        <v>0</v>
      </c>
      <c r="W3339" s="256">
        <f t="shared" ca="1" si="901"/>
        <v>2</v>
      </c>
      <c r="X3339" s="256">
        <f t="shared" ca="1" si="905"/>
        <v>1</v>
      </c>
      <c r="Y3339" s="256"/>
      <c r="Z3339" s="256"/>
      <c r="AA3339" s="292"/>
      <c r="AB3339" s="292"/>
      <c r="AC3339" s="292"/>
    </row>
    <row r="3340" spans="1:29" s="293" customFormat="1" ht="15.75" hidden="1" customHeight="1" x14ac:dyDescent="0.2">
      <c r="A3340" s="288" t="s">
        <v>211</v>
      </c>
      <c r="B3340" s="364"/>
      <c r="C3340" s="365"/>
      <c r="D3340" s="1354"/>
      <c r="E3340" s="1355"/>
      <c r="F3340" s="1355"/>
      <c r="G3340" s="1355"/>
      <c r="H3340" s="1355"/>
      <c r="I3340" s="1356"/>
      <c r="J3340" s="1367"/>
      <c r="K3340" s="1368"/>
      <c r="L3340" s="1370"/>
      <c r="M3340" s="1371" t="s">
        <v>496</v>
      </c>
      <c r="N3340" s="1372"/>
      <c r="O3340" s="1372"/>
      <c r="P3340" s="1372"/>
      <c r="Q3340" s="1373"/>
      <c r="R3340" s="362">
        <f>R3338-R3339</f>
        <v>0</v>
      </c>
      <c r="S3340" s="363" t="str">
        <f>L3338</f>
        <v>m²</v>
      </c>
      <c r="T3340" s="366"/>
      <c r="U3340" s="367"/>
      <c r="V3340" s="291">
        <f t="shared" ca="1" si="908"/>
        <v>0</v>
      </c>
      <c r="W3340" s="256">
        <f t="shared" ca="1" si="901"/>
        <v>2</v>
      </c>
      <c r="X3340" s="256">
        <f t="shared" ca="1" si="905"/>
        <v>1</v>
      </c>
      <c r="Y3340" s="256"/>
      <c r="Z3340" s="256"/>
      <c r="AA3340" s="292"/>
      <c r="AB3340" s="292"/>
      <c r="AC3340" s="292"/>
    </row>
    <row r="3341" spans="1:29" s="111" customFormat="1" ht="15.75" hidden="1" x14ac:dyDescent="0.2">
      <c r="A3341" s="288"/>
      <c r="B3341" s="368"/>
      <c r="C3341" s="365"/>
      <c r="D3341" s="369"/>
      <c r="E3341" s="370"/>
      <c r="F3341" s="369"/>
      <c r="G3341" s="369"/>
      <c r="H3341" s="369"/>
      <c r="I3341" s="369"/>
      <c r="J3341" s="371"/>
      <c r="K3341" s="372"/>
      <c r="L3341" s="373"/>
      <c r="M3341" s="374"/>
      <c r="N3341" s="374"/>
      <c r="O3341" s="374"/>
      <c r="P3341" s="374"/>
      <c r="Q3341" s="374"/>
      <c r="R3341" s="375"/>
      <c r="S3341" s="376"/>
      <c r="T3341" s="377"/>
      <c r="U3341" s="378"/>
      <c r="V3341" s="379">
        <f ca="1">SUM(V3331:V3340)</f>
        <v>0</v>
      </c>
      <c r="W3341" s="256">
        <f t="shared" ca="1" si="901"/>
        <v>1</v>
      </c>
      <c r="X3341" s="256">
        <f t="shared" ca="1" si="905"/>
        <v>0</v>
      </c>
      <c r="Y3341" s="250"/>
      <c r="Z3341" s="250"/>
    </row>
    <row r="3342" spans="1:29" s="293" customFormat="1" ht="15.75" hidden="1" customHeight="1" x14ac:dyDescent="0.25">
      <c r="A3342" s="288"/>
      <c r="B3342" s="1374" t="str">
        <f>VLOOKUP(A3353,'11 - FINANCEIRO'!_xlnm.Print_Area,1,FALSE)</f>
        <v>4.5.6</v>
      </c>
      <c r="C3342" s="1376" t="str">
        <f>VLOOKUP(A3353,'11 - FINANCEIRO'!_xlnm.Print_Area,3,FALSE)</f>
        <v>Fabricação, Montagem E Desmontagem De Fôrma Para Bloco De Coroamento, Em Chapa De Madeira Compensada Resinada, E=17 Mm, 2 Utilizações. Af_06/2017</v>
      </c>
      <c r="D3342" s="1378" t="s">
        <v>477</v>
      </c>
      <c r="E3342" s="1379"/>
      <c r="F3342" s="1379"/>
      <c r="G3342" s="1379"/>
      <c r="H3342" s="1379"/>
      <c r="I3342" s="1380"/>
      <c r="J3342" s="1338" t="s">
        <v>478</v>
      </c>
      <c r="K3342" s="1338" t="s">
        <v>479</v>
      </c>
      <c r="L3342" s="1338" t="s">
        <v>480</v>
      </c>
      <c r="M3342" s="1338" t="s">
        <v>481</v>
      </c>
      <c r="N3342" s="1338" t="s">
        <v>482</v>
      </c>
      <c r="O3342" s="1338" t="s">
        <v>483</v>
      </c>
      <c r="P3342" s="290" t="s">
        <v>484</v>
      </c>
      <c r="Q3342" s="1338" t="s">
        <v>485</v>
      </c>
      <c r="R3342" s="1336" t="s">
        <v>296</v>
      </c>
      <c r="S3342" s="1338" t="s">
        <v>486</v>
      </c>
      <c r="T3342" s="1338" t="s">
        <v>487</v>
      </c>
      <c r="U3342" s="1340" t="s">
        <v>488</v>
      </c>
      <c r="V3342" s="291">
        <f t="shared" ref="V3342:V3353" ca="1" si="910">IF(OFFSET(V3342,1,1)=1,OFFSET(V3342,0,-4),OFFSET(V3342,1,0))</f>
        <v>0</v>
      </c>
      <c r="W3342" s="256">
        <f t="shared" ca="1" si="901"/>
        <v>2</v>
      </c>
      <c r="X3342" s="256">
        <f t="shared" ca="1" si="905"/>
        <v>1</v>
      </c>
      <c r="Y3342" s="256"/>
      <c r="Z3342" s="256"/>
      <c r="AA3342" s="292"/>
      <c r="AB3342" s="292"/>
      <c r="AC3342" s="292"/>
    </row>
    <row r="3343" spans="1:29" s="337" customFormat="1" ht="15.75" hidden="1" x14ac:dyDescent="0.2">
      <c r="A3343" s="288"/>
      <c r="B3343" s="1375"/>
      <c r="C3343" s="1377" t="e">
        <f>VLOOKUP(LEFT(#REF!,5),'11 - FINANCEIRO'!_xlnm.Print_Area,2,FALSE)</f>
        <v>#REF!</v>
      </c>
      <c r="D3343" s="1342" t="s">
        <v>489</v>
      </c>
      <c r="E3343" s="1343"/>
      <c r="F3343" s="1344"/>
      <c r="G3343" s="1345" t="s">
        <v>490</v>
      </c>
      <c r="H3343" s="1346"/>
      <c r="I3343" s="1347"/>
      <c r="J3343" s="1339"/>
      <c r="K3343" s="1339"/>
      <c r="L3343" s="1339"/>
      <c r="M3343" s="1339"/>
      <c r="N3343" s="1339"/>
      <c r="O3343" s="1339"/>
      <c r="P3343" s="295" t="s">
        <v>491</v>
      </c>
      <c r="Q3343" s="1339"/>
      <c r="R3343" s="1337"/>
      <c r="S3343" s="1339"/>
      <c r="T3343" s="1339"/>
      <c r="U3343" s="1341"/>
      <c r="V3343" s="291">
        <f t="shared" ca="1" si="910"/>
        <v>0</v>
      </c>
      <c r="W3343" s="256">
        <f t="shared" ca="1" si="901"/>
        <v>2</v>
      </c>
      <c r="X3343" s="256">
        <f t="shared" ca="1" si="905"/>
        <v>1</v>
      </c>
      <c r="Y3343" s="336"/>
      <c r="Z3343" s="336"/>
    </row>
    <row r="3344" spans="1:29" s="337" customFormat="1" ht="15.75" hidden="1" x14ac:dyDescent="0.2">
      <c r="A3344" s="288"/>
      <c r="B3344" s="296"/>
      <c r="C3344" s="582" t="s">
        <v>994</v>
      </c>
      <c r="D3344" s="298"/>
      <c r="E3344" s="299"/>
      <c r="F3344" s="300"/>
      <c r="G3344" s="301"/>
      <c r="H3344" s="302"/>
      <c r="I3344" s="303"/>
      <c r="J3344" s="304" t="s">
        <v>621</v>
      </c>
      <c r="K3344" s="304">
        <v>28.4</v>
      </c>
      <c r="L3344" s="304"/>
      <c r="M3344" s="304">
        <v>0.3</v>
      </c>
      <c r="N3344" s="304">
        <f>K3344*M3344</f>
        <v>8.52</v>
      </c>
      <c r="O3344" s="304"/>
      <c r="P3344" s="306"/>
      <c r="Q3344" s="304"/>
      <c r="R3344" s="307">
        <f>N3344</f>
        <v>8.52</v>
      </c>
      <c r="S3344" s="304" t="s">
        <v>308</v>
      </c>
      <c r="T3344" s="309">
        <v>25</v>
      </c>
      <c r="U3344" s="310"/>
      <c r="V3344" s="291">
        <f t="shared" ca="1" si="910"/>
        <v>0</v>
      </c>
      <c r="W3344" s="256">
        <f t="shared" ref="W3344:W3412" ca="1" si="911">IF(LEFT(_xlfn.FORMULATEXT(V3344),3)="=SO",1,IF(COUNTA(A3344:U3344)=0,0,2))</f>
        <v>2</v>
      </c>
      <c r="X3344" s="256">
        <f ca="1">IF(COUNTA(OFFSET(#REF!,1,0))-COUNTA(#REF!)=-1,0,1)</f>
        <v>1</v>
      </c>
      <c r="Y3344" s="336"/>
      <c r="Z3344" s="336"/>
    </row>
    <row r="3345" spans="1:29" s="111" customFormat="1" ht="15.75" hidden="1" x14ac:dyDescent="0.2">
      <c r="A3345" s="288"/>
      <c r="B3345" s="311"/>
      <c r="C3345" s="312" t="s">
        <v>995</v>
      </c>
      <c r="D3345" s="313"/>
      <c r="E3345" s="314"/>
      <c r="F3345" s="315"/>
      <c r="G3345" s="380"/>
      <c r="H3345" s="316"/>
      <c r="I3345" s="381"/>
      <c r="J3345" s="317" t="s">
        <v>620</v>
      </c>
      <c r="K3345" s="313">
        <v>26.8</v>
      </c>
      <c r="L3345" s="317"/>
      <c r="M3345" s="315">
        <v>0.3</v>
      </c>
      <c r="N3345" s="314">
        <f>K3345*M3345</f>
        <v>8.0399999999999991</v>
      </c>
      <c r="O3345" s="313"/>
      <c r="P3345" s="318"/>
      <c r="Q3345" s="315"/>
      <c r="R3345" s="319">
        <f>N3345</f>
        <v>8.0399999999999991</v>
      </c>
      <c r="S3345" s="317" t="s">
        <v>308</v>
      </c>
      <c r="T3345" s="320">
        <v>25</v>
      </c>
      <c r="U3345" s="321"/>
      <c r="V3345" s="291">
        <f t="shared" ca="1" si="910"/>
        <v>0</v>
      </c>
      <c r="W3345" s="256">
        <f t="shared" ca="1" si="911"/>
        <v>2</v>
      </c>
      <c r="X3345" s="256">
        <f ca="1">IF(COUNTA(OFFSET(A3344,1,0))-COUNTA(A3344)=-1,0,1)</f>
        <v>1</v>
      </c>
      <c r="Y3345" s="250"/>
      <c r="Z3345" s="250"/>
    </row>
    <row r="3346" spans="1:29" s="111" customFormat="1" ht="15.75" hidden="1" x14ac:dyDescent="0.2">
      <c r="A3346" s="288"/>
      <c r="B3346" s="311"/>
      <c r="C3346" s="312" t="s">
        <v>994</v>
      </c>
      <c r="D3346" s="313"/>
      <c r="E3346" s="314"/>
      <c r="F3346" s="315"/>
      <c r="G3346" s="380"/>
      <c r="H3346" s="316"/>
      <c r="I3346" s="381"/>
      <c r="J3346" s="317" t="s">
        <v>621</v>
      </c>
      <c r="K3346" s="313">
        <v>28.4</v>
      </c>
      <c r="L3346" s="317"/>
      <c r="M3346" s="315">
        <v>0.3</v>
      </c>
      <c r="N3346" s="314">
        <f>K3346*M3346</f>
        <v>8.52</v>
      </c>
      <c r="O3346" s="313"/>
      <c r="P3346" s="318"/>
      <c r="Q3346" s="315"/>
      <c r="R3346" s="319">
        <f>N3346</f>
        <v>8.52</v>
      </c>
      <c r="S3346" s="317" t="s">
        <v>308</v>
      </c>
      <c r="T3346" s="320">
        <v>25</v>
      </c>
      <c r="U3346" s="321"/>
      <c r="V3346" s="291">
        <f t="shared" ca="1" si="910"/>
        <v>0</v>
      </c>
      <c r="W3346" s="256">
        <f t="shared" ca="1" si="911"/>
        <v>2</v>
      </c>
      <c r="X3346" s="256">
        <f ca="1">IF(COUNTA(OFFSET(A3345,1,0))-COUNTA(A3345)=-1,0,1)</f>
        <v>1</v>
      </c>
      <c r="Y3346" s="250"/>
      <c r="Z3346" s="250"/>
    </row>
    <row r="3347" spans="1:29" s="111" customFormat="1" ht="15.75" hidden="1" x14ac:dyDescent="0.2">
      <c r="A3347" s="288"/>
      <c r="B3347" s="311"/>
      <c r="C3347" s="312" t="s">
        <v>995</v>
      </c>
      <c r="D3347" s="313"/>
      <c r="E3347" s="314"/>
      <c r="F3347" s="315"/>
      <c r="G3347" s="380"/>
      <c r="H3347" s="316"/>
      <c r="I3347" s="381"/>
      <c r="J3347" s="317" t="s">
        <v>620</v>
      </c>
      <c r="K3347" s="313">
        <v>26.8</v>
      </c>
      <c r="L3347" s="317"/>
      <c r="M3347" s="315">
        <v>0.3</v>
      </c>
      <c r="N3347" s="314">
        <f>K3347*M3347</f>
        <v>8.0399999999999991</v>
      </c>
      <c r="O3347" s="313"/>
      <c r="P3347" s="318"/>
      <c r="Q3347" s="315"/>
      <c r="R3347" s="319">
        <f>N3347-0.12</f>
        <v>7.919999999999999</v>
      </c>
      <c r="S3347" s="317" t="s">
        <v>308</v>
      </c>
      <c r="T3347" s="320">
        <v>25</v>
      </c>
      <c r="U3347" s="321"/>
      <c r="V3347" s="291">
        <f t="shared" ca="1" si="910"/>
        <v>0</v>
      </c>
      <c r="W3347" s="256">
        <f t="shared" ca="1" si="911"/>
        <v>2</v>
      </c>
      <c r="X3347" s="256">
        <f ca="1">IF(COUNTA(OFFSET(A3346,1,0))-COUNTA(A3346)=-1,0,1)</f>
        <v>1</v>
      </c>
      <c r="Y3347" s="250"/>
      <c r="Z3347" s="250"/>
    </row>
    <row r="3348" spans="1:29" s="111" customFormat="1" ht="15.75" hidden="1" x14ac:dyDescent="0.2">
      <c r="A3348" s="288"/>
      <c r="B3348" s="311"/>
      <c r="C3348" s="312"/>
      <c r="D3348" s="313"/>
      <c r="E3348" s="314"/>
      <c r="F3348" s="315"/>
      <c r="G3348" s="380"/>
      <c r="H3348" s="316"/>
      <c r="I3348" s="381"/>
      <c r="J3348" s="317"/>
      <c r="K3348" s="313"/>
      <c r="L3348" s="317"/>
      <c r="M3348" s="315"/>
      <c r="N3348" s="314"/>
      <c r="O3348" s="313"/>
      <c r="P3348" s="318"/>
      <c r="Q3348" s="315"/>
      <c r="R3348" s="319"/>
      <c r="S3348" s="317"/>
      <c r="T3348" s="320"/>
      <c r="U3348" s="321"/>
      <c r="V3348" s="291">
        <f t="shared" ca="1" si="910"/>
        <v>0</v>
      </c>
      <c r="W3348" s="256">
        <f t="shared" ca="1" si="911"/>
        <v>0</v>
      </c>
      <c r="X3348" s="256">
        <f ca="1">IF(COUNTA(OFFSET(#REF!,1,0))-COUNTA(#REF!)=-1,0,1)</f>
        <v>1</v>
      </c>
      <c r="Y3348" s="250"/>
      <c r="Z3348" s="250"/>
    </row>
    <row r="3349" spans="1:29" s="111" customFormat="1" ht="15" hidden="1" x14ac:dyDescent="0.2">
      <c r="A3349" s="288"/>
      <c r="B3349" s="322"/>
      <c r="C3349" s="382"/>
      <c r="D3349" s="324"/>
      <c r="E3349" s="325"/>
      <c r="F3349" s="326"/>
      <c r="G3349" s="324"/>
      <c r="H3349" s="325"/>
      <c r="I3349" s="326"/>
      <c r="J3349" s="317"/>
      <c r="K3349" s="328"/>
      <c r="L3349" s="328"/>
      <c r="M3349" s="328"/>
      <c r="N3349" s="328"/>
      <c r="O3349" s="334"/>
      <c r="P3349" s="328"/>
      <c r="Q3349" s="334"/>
      <c r="R3349" s="333"/>
      <c r="S3349" s="331"/>
      <c r="T3349" s="320"/>
      <c r="U3349" s="335"/>
      <c r="V3349" s="291">
        <f t="shared" ca="1" si="910"/>
        <v>0</v>
      </c>
      <c r="W3349" s="256">
        <f t="shared" ca="1" si="911"/>
        <v>0</v>
      </c>
      <c r="X3349" s="256">
        <f t="shared" ca="1" si="905"/>
        <v>1</v>
      </c>
      <c r="Y3349" s="250"/>
      <c r="Z3349" s="250"/>
    </row>
    <row r="3350" spans="1:29" s="111" customFormat="1" ht="15" hidden="1" x14ac:dyDescent="0.2">
      <c r="A3350" s="288"/>
      <c r="B3350" s="338"/>
      <c r="C3350" s="339"/>
      <c r="D3350" s="340"/>
      <c r="E3350" s="341"/>
      <c r="F3350" s="342"/>
      <c r="G3350" s="340"/>
      <c r="H3350" s="341"/>
      <c r="I3350" s="342"/>
      <c r="J3350" s="343"/>
      <c r="K3350" s="344"/>
      <c r="L3350" s="345"/>
      <c r="M3350" s="346"/>
      <c r="N3350" s="347"/>
      <c r="O3350" s="348"/>
      <c r="P3350" s="345"/>
      <c r="Q3350" s="349"/>
      <c r="R3350" s="350"/>
      <c r="S3350" s="351"/>
      <c r="T3350" s="352"/>
      <c r="U3350" s="353"/>
      <c r="V3350" s="291">
        <f t="shared" ca="1" si="910"/>
        <v>0</v>
      </c>
      <c r="W3350" s="256">
        <f t="shared" ca="1" si="911"/>
        <v>0</v>
      </c>
      <c r="X3350" s="256">
        <f t="shared" ca="1" si="905"/>
        <v>1</v>
      </c>
      <c r="Y3350" s="250"/>
      <c r="Z3350" s="250"/>
    </row>
    <row r="3351" spans="1:29" s="111" customFormat="1" ht="15.75" hidden="1" customHeight="1" x14ac:dyDescent="0.2">
      <c r="A3351" s="288"/>
      <c r="B3351" s="354"/>
      <c r="C3351" s="355"/>
      <c r="D3351" s="1354" t="s">
        <v>492</v>
      </c>
      <c r="E3351" s="1355"/>
      <c r="F3351" s="1355"/>
      <c r="G3351" s="1355"/>
      <c r="H3351" s="1355"/>
      <c r="I3351" s="1356"/>
      <c r="J3351" s="1357">
        <f>VLOOKUP(A3353,'11 - FINANCEIRO'!_xlnm.Print_Area,6,FALSE)</f>
        <v>33</v>
      </c>
      <c r="K3351" s="1358"/>
      <c r="L3351" s="356" t="str">
        <f>VLOOKUP(A3353,'11 - FINANCEIRO'!_xlnm.Print_Area,4,FALSE)</f>
        <v>m²</v>
      </c>
      <c r="M3351" s="1359" t="s">
        <v>493</v>
      </c>
      <c r="N3351" s="1360"/>
      <c r="O3351" s="1360"/>
      <c r="P3351" s="1360"/>
      <c r="Q3351" s="1361"/>
      <c r="R3351" s="357">
        <f>TRUNC(SUM(R3344:R3350),3)</f>
        <v>33</v>
      </c>
      <c r="S3351" s="358" t="str">
        <f>L3351</f>
        <v>m²</v>
      </c>
      <c r="T3351" s="359"/>
      <c r="U3351" s="360"/>
      <c r="V3351" s="291">
        <f t="shared" ca="1" si="910"/>
        <v>0</v>
      </c>
      <c r="W3351" s="256">
        <f t="shared" ca="1" si="911"/>
        <v>2</v>
      </c>
      <c r="X3351" s="256">
        <f ca="1">IF(COUNTA(OFFSET(A3350,1,0))-COUNTA(A3350)=-1,0,1)</f>
        <v>1</v>
      </c>
      <c r="Y3351" s="250"/>
      <c r="Z3351" s="250"/>
    </row>
    <row r="3352" spans="1:29" s="293" customFormat="1" ht="15.75" hidden="1" customHeight="1" x14ac:dyDescent="0.2">
      <c r="A3352" s="288"/>
      <c r="B3352" s="354"/>
      <c r="C3352" s="361"/>
      <c r="D3352" s="1362" t="s">
        <v>494</v>
      </c>
      <c r="E3352" s="1363"/>
      <c r="F3352" s="1363"/>
      <c r="G3352" s="1363"/>
      <c r="H3352" s="1363"/>
      <c r="I3352" s="1364"/>
      <c r="J3352" s="1365">
        <f>R3351/J3351</f>
        <v>1</v>
      </c>
      <c r="K3352" s="1366"/>
      <c r="L3352" s="1369"/>
      <c r="M3352" s="1371" t="s">
        <v>495</v>
      </c>
      <c r="N3352" s="1372"/>
      <c r="O3352" s="1372"/>
      <c r="P3352" s="1372"/>
      <c r="Q3352" s="1373"/>
      <c r="R3352" s="362">
        <f>VLOOKUP(A3353,'11 - FINANCEIRO'!_xlnm.Print_Area,8,FALSE)</f>
        <v>33</v>
      </c>
      <c r="S3352" s="363" t="str">
        <f>L3351</f>
        <v>m²</v>
      </c>
      <c r="T3352" s="359"/>
      <c r="U3352" s="360"/>
      <c r="V3352" s="291">
        <f t="shared" ca="1" si="910"/>
        <v>0</v>
      </c>
      <c r="W3352" s="256">
        <f t="shared" ca="1" si="911"/>
        <v>2</v>
      </c>
      <c r="X3352" s="256">
        <f t="shared" ca="1" si="905"/>
        <v>1</v>
      </c>
      <c r="Y3352" s="256"/>
      <c r="Z3352" s="256"/>
      <c r="AA3352" s="292"/>
      <c r="AB3352" s="292"/>
      <c r="AC3352" s="292"/>
    </row>
    <row r="3353" spans="1:29" s="293" customFormat="1" ht="15.75" hidden="1" customHeight="1" x14ac:dyDescent="0.2">
      <c r="A3353" s="288" t="s">
        <v>212</v>
      </c>
      <c r="B3353" s="364"/>
      <c r="C3353" s="365"/>
      <c r="D3353" s="1354"/>
      <c r="E3353" s="1355"/>
      <c r="F3353" s="1355"/>
      <c r="G3353" s="1355"/>
      <c r="H3353" s="1355"/>
      <c r="I3353" s="1356"/>
      <c r="J3353" s="1367"/>
      <c r="K3353" s="1368"/>
      <c r="L3353" s="1370"/>
      <c r="M3353" s="1371" t="s">
        <v>496</v>
      </c>
      <c r="N3353" s="1372"/>
      <c r="O3353" s="1372"/>
      <c r="P3353" s="1372"/>
      <c r="Q3353" s="1373"/>
      <c r="R3353" s="362">
        <f>R3351-R3352</f>
        <v>0</v>
      </c>
      <c r="S3353" s="363" t="str">
        <f>L3351</f>
        <v>m²</v>
      </c>
      <c r="T3353" s="366"/>
      <c r="U3353" s="367"/>
      <c r="V3353" s="291">
        <f t="shared" ca="1" si="910"/>
        <v>0</v>
      </c>
      <c r="W3353" s="256">
        <f t="shared" ca="1" si="911"/>
        <v>2</v>
      </c>
      <c r="X3353" s="256">
        <f t="shared" ca="1" si="905"/>
        <v>1</v>
      </c>
      <c r="Y3353" s="256"/>
      <c r="Z3353" s="256"/>
      <c r="AA3353" s="292"/>
      <c r="AB3353" s="292"/>
      <c r="AC3353" s="292"/>
    </row>
    <row r="3354" spans="1:29" s="111" customFormat="1" ht="15.75" hidden="1" x14ac:dyDescent="0.2">
      <c r="A3354" s="288"/>
      <c r="B3354" s="368"/>
      <c r="C3354" s="365"/>
      <c r="D3354" s="369"/>
      <c r="E3354" s="370"/>
      <c r="F3354" s="369"/>
      <c r="G3354" s="369"/>
      <c r="H3354" s="369"/>
      <c r="I3354" s="369"/>
      <c r="J3354" s="371"/>
      <c r="K3354" s="372"/>
      <c r="L3354" s="373"/>
      <c r="M3354" s="374"/>
      <c r="N3354" s="374"/>
      <c r="O3354" s="374"/>
      <c r="P3354" s="374"/>
      <c r="Q3354" s="374"/>
      <c r="R3354" s="375"/>
      <c r="S3354" s="376"/>
      <c r="T3354" s="377"/>
      <c r="U3354" s="378"/>
      <c r="V3354" s="379">
        <f ca="1">SUM(V3342:V3353)</f>
        <v>0</v>
      </c>
      <c r="W3354" s="256">
        <f t="shared" ca="1" si="911"/>
        <v>1</v>
      </c>
      <c r="X3354" s="256">
        <f t="shared" ca="1" si="905"/>
        <v>0</v>
      </c>
      <c r="Y3354" s="250"/>
      <c r="Z3354" s="250"/>
    </row>
    <row r="3355" spans="1:29" s="293" customFormat="1" ht="15.75" hidden="1" customHeight="1" x14ac:dyDescent="0.25">
      <c r="A3355" s="288"/>
      <c r="B3355" s="1374" t="str">
        <f>VLOOKUP(A3363,'11 - FINANCEIRO'!_xlnm.Print_Area,1,FALSE)</f>
        <v>4.5.7</v>
      </c>
      <c r="C3355" s="1376" t="str">
        <f>VLOOKUP(A3363,'11 - FINANCEIRO'!_xlnm.Print_Area,3,FALSE)</f>
        <v>Chumbador Tipo Espera Em Aço Ca-25 Para Fixação De Estrutura Metálica Em Concreto - Fornecimento E Instalação</v>
      </c>
      <c r="D3355" s="1378" t="s">
        <v>477</v>
      </c>
      <c r="E3355" s="1379"/>
      <c r="F3355" s="1379"/>
      <c r="G3355" s="1379"/>
      <c r="H3355" s="1379"/>
      <c r="I3355" s="1380"/>
      <c r="J3355" s="1338" t="s">
        <v>478</v>
      </c>
      <c r="K3355" s="1338" t="s">
        <v>479</v>
      </c>
      <c r="L3355" s="1338" t="s">
        <v>480</v>
      </c>
      <c r="M3355" s="1338" t="s">
        <v>481</v>
      </c>
      <c r="N3355" s="1338" t="s">
        <v>482</v>
      </c>
      <c r="O3355" s="1338" t="s">
        <v>483</v>
      </c>
      <c r="P3355" s="290" t="s">
        <v>484</v>
      </c>
      <c r="Q3355" s="1338" t="s">
        <v>485</v>
      </c>
      <c r="R3355" s="1336" t="s">
        <v>296</v>
      </c>
      <c r="S3355" s="1338" t="s">
        <v>486</v>
      </c>
      <c r="T3355" s="1338" t="s">
        <v>487</v>
      </c>
      <c r="U3355" s="1340" t="s">
        <v>488</v>
      </c>
      <c r="V3355" s="291">
        <f t="shared" ref="V3355:V3363" ca="1" si="912">IF(OFFSET(V3355,1,1)=1,OFFSET(V3355,0,-4),OFFSET(V3355,1,0))</f>
        <v>0</v>
      </c>
      <c r="W3355" s="256">
        <f t="shared" ca="1" si="911"/>
        <v>2</v>
      </c>
      <c r="X3355" s="256">
        <f t="shared" ca="1" si="905"/>
        <v>1</v>
      </c>
      <c r="Y3355" s="256"/>
      <c r="Z3355" s="256"/>
      <c r="AA3355" s="292"/>
      <c r="AB3355" s="292"/>
      <c r="AC3355" s="292"/>
    </row>
    <row r="3356" spans="1:29" s="337" customFormat="1" ht="15.75" hidden="1" x14ac:dyDescent="0.2">
      <c r="A3356" s="288"/>
      <c r="B3356" s="1375"/>
      <c r="C3356" s="1377" t="e">
        <f>VLOOKUP(LEFT(#REF!,5),'11 - FINANCEIRO'!_xlnm.Print_Area,2,FALSE)</f>
        <v>#REF!</v>
      </c>
      <c r="D3356" s="1342" t="s">
        <v>489</v>
      </c>
      <c r="E3356" s="1343"/>
      <c r="F3356" s="1344"/>
      <c r="G3356" s="1345" t="s">
        <v>490</v>
      </c>
      <c r="H3356" s="1346"/>
      <c r="I3356" s="1347"/>
      <c r="J3356" s="1339"/>
      <c r="K3356" s="1339"/>
      <c r="L3356" s="1339"/>
      <c r="M3356" s="1339"/>
      <c r="N3356" s="1339"/>
      <c r="O3356" s="1339"/>
      <c r="P3356" s="295" t="s">
        <v>491</v>
      </c>
      <c r="Q3356" s="1339"/>
      <c r="R3356" s="1337"/>
      <c r="S3356" s="1339"/>
      <c r="T3356" s="1339"/>
      <c r="U3356" s="1341"/>
      <c r="V3356" s="291">
        <f t="shared" ca="1" si="912"/>
        <v>0</v>
      </c>
      <c r="W3356" s="256">
        <f t="shared" ca="1" si="911"/>
        <v>2</v>
      </c>
      <c r="X3356" s="256">
        <f t="shared" ca="1" si="905"/>
        <v>1</v>
      </c>
      <c r="Y3356" s="336"/>
      <c r="Z3356" s="336"/>
    </row>
    <row r="3357" spans="1:29" s="337" customFormat="1" ht="15.75" hidden="1" x14ac:dyDescent="0.2">
      <c r="A3357" s="288"/>
      <c r="B3357" s="296"/>
      <c r="C3357" s="297" t="s">
        <v>996</v>
      </c>
      <c r="D3357" s="298"/>
      <c r="E3357" s="299"/>
      <c r="F3357" s="300"/>
      <c r="G3357" s="301"/>
      <c r="H3357" s="302"/>
      <c r="I3357" s="303"/>
      <c r="J3357" s="304" t="s">
        <v>621</v>
      </c>
      <c r="K3357" s="304"/>
      <c r="L3357" s="304"/>
      <c r="M3357" s="304"/>
      <c r="N3357" s="304"/>
      <c r="O3357" s="304"/>
      <c r="P3357" s="306"/>
      <c r="Q3357" s="304"/>
      <c r="R3357" s="307">
        <v>6.4</v>
      </c>
      <c r="S3357" s="304" t="s">
        <v>328</v>
      </c>
      <c r="T3357" s="309">
        <v>25</v>
      </c>
      <c r="U3357" s="310"/>
      <c r="V3357" s="291">
        <f t="shared" ca="1" si="912"/>
        <v>0</v>
      </c>
      <c r="W3357" s="256">
        <f t="shared" ca="1" si="911"/>
        <v>2</v>
      </c>
      <c r="X3357" s="256">
        <f t="shared" ca="1" si="905"/>
        <v>1</v>
      </c>
      <c r="Y3357" s="336"/>
      <c r="Z3357" s="336"/>
    </row>
    <row r="3358" spans="1:29" s="111" customFormat="1" ht="15.75" hidden="1" x14ac:dyDescent="0.2">
      <c r="A3358" s="288"/>
      <c r="B3358" s="311"/>
      <c r="C3358" s="312" t="s">
        <v>996</v>
      </c>
      <c r="D3358" s="313"/>
      <c r="E3358" s="314"/>
      <c r="F3358" s="315"/>
      <c r="G3358" s="380"/>
      <c r="H3358" s="316"/>
      <c r="I3358" s="381"/>
      <c r="J3358" s="317" t="s">
        <v>620</v>
      </c>
      <c r="K3358" s="313"/>
      <c r="L3358" s="317"/>
      <c r="M3358" s="315"/>
      <c r="N3358" s="314"/>
      <c r="O3358" s="313"/>
      <c r="P3358" s="318"/>
      <c r="Q3358" s="315"/>
      <c r="R3358" s="319">
        <v>6.4</v>
      </c>
      <c r="S3358" s="317" t="s">
        <v>328</v>
      </c>
      <c r="T3358" s="320">
        <v>25</v>
      </c>
      <c r="U3358" s="321"/>
      <c r="V3358" s="291">
        <f t="shared" ca="1" si="912"/>
        <v>0</v>
      </c>
      <c r="W3358" s="256">
        <f t="shared" ca="1" si="911"/>
        <v>2</v>
      </c>
      <c r="X3358" s="256">
        <f t="shared" ca="1" si="905"/>
        <v>1</v>
      </c>
      <c r="Y3358" s="250"/>
      <c r="Z3358" s="250"/>
    </row>
    <row r="3359" spans="1:29" s="111" customFormat="1" ht="15" hidden="1" x14ac:dyDescent="0.2">
      <c r="A3359" s="288"/>
      <c r="B3359" s="322"/>
      <c r="C3359" s="382"/>
      <c r="D3359" s="324"/>
      <c r="E3359" s="325"/>
      <c r="F3359" s="326"/>
      <c r="G3359" s="324"/>
      <c r="H3359" s="325"/>
      <c r="I3359" s="326"/>
      <c r="J3359" s="317"/>
      <c r="K3359" s="328"/>
      <c r="L3359" s="328"/>
      <c r="M3359" s="328"/>
      <c r="N3359" s="328"/>
      <c r="O3359" s="334"/>
      <c r="P3359" s="328"/>
      <c r="Q3359" s="334"/>
      <c r="R3359" s="333"/>
      <c r="S3359" s="331"/>
      <c r="T3359" s="320"/>
      <c r="U3359" s="335"/>
      <c r="V3359" s="291">
        <f t="shared" ca="1" si="912"/>
        <v>0</v>
      </c>
      <c r="W3359" s="256">
        <f t="shared" ca="1" si="911"/>
        <v>0</v>
      </c>
      <c r="X3359" s="256">
        <f t="shared" ca="1" si="905"/>
        <v>1</v>
      </c>
      <c r="Y3359" s="250"/>
      <c r="Z3359" s="250"/>
    </row>
    <row r="3360" spans="1:29" s="111" customFormat="1" ht="15" hidden="1" x14ac:dyDescent="0.2">
      <c r="A3360" s="288"/>
      <c r="B3360" s="338"/>
      <c r="C3360" s="339"/>
      <c r="D3360" s="340"/>
      <c r="E3360" s="341"/>
      <c r="F3360" s="342"/>
      <c r="G3360" s="340"/>
      <c r="H3360" s="341"/>
      <c r="I3360" s="342"/>
      <c r="J3360" s="343"/>
      <c r="K3360" s="344"/>
      <c r="L3360" s="345"/>
      <c r="M3360" s="346"/>
      <c r="N3360" s="347"/>
      <c r="O3360" s="348"/>
      <c r="P3360" s="345"/>
      <c r="Q3360" s="349"/>
      <c r="R3360" s="350"/>
      <c r="S3360" s="351"/>
      <c r="T3360" s="352"/>
      <c r="U3360" s="353"/>
      <c r="V3360" s="291">
        <f t="shared" ca="1" si="912"/>
        <v>0</v>
      </c>
      <c r="W3360" s="256">
        <f t="shared" ca="1" si="911"/>
        <v>0</v>
      </c>
      <c r="X3360" s="256">
        <f t="shared" ca="1" si="905"/>
        <v>1</v>
      </c>
      <c r="Y3360" s="250"/>
      <c r="Z3360" s="250"/>
    </row>
    <row r="3361" spans="1:29" s="111" customFormat="1" ht="15.75" hidden="1" customHeight="1" x14ac:dyDescent="0.2">
      <c r="A3361" s="288"/>
      <c r="B3361" s="354"/>
      <c r="C3361" s="355"/>
      <c r="D3361" s="1354" t="s">
        <v>492</v>
      </c>
      <c r="E3361" s="1355"/>
      <c r="F3361" s="1355"/>
      <c r="G3361" s="1355"/>
      <c r="H3361" s="1355"/>
      <c r="I3361" s="1356"/>
      <c r="J3361" s="1357">
        <f>VLOOKUP(A3363,'11 - FINANCEIRO'!_xlnm.Print_Area,6,FALSE)</f>
        <v>12.8</v>
      </c>
      <c r="K3361" s="1358"/>
      <c r="L3361" s="356" t="str">
        <f>VLOOKUP(A3363,'11 - FINANCEIRO'!_xlnm.Print_Area,4,FALSE)</f>
        <v>kg</v>
      </c>
      <c r="M3361" s="1359" t="s">
        <v>493</v>
      </c>
      <c r="N3361" s="1360"/>
      <c r="O3361" s="1360"/>
      <c r="P3361" s="1360"/>
      <c r="Q3361" s="1361"/>
      <c r="R3361" s="357">
        <f>TRUNC(SUM(R3357:R3360),3)</f>
        <v>12.8</v>
      </c>
      <c r="S3361" s="358" t="str">
        <f>L3361</f>
        <v>kg</v>
      </c>
      <c r="T3361" s="359"/>
      <c r="U3361" s="360"/>
      <c r="V3361" s="291">
        <f t="shared" ca="1" si="912"/>
        <v>0</v>
      </c>
      <c r="W3361" s="256">
        <f t="shared" ca="1" si="911"/>
        <v>2</v>
      </c>
      <c r="X3361" s="256">
        <f t="shared" ca="1" si="905"/>
        <v>1</v>
      </c>
      <c r="Y3361" s="250"/>
      <c r="Z3361" s="250"/>
    </row>
    <row r="3362" spans="1:29" s="293" customFormat="1" ht="15.75" hidden="1" customHeight="1" x14ac:dyDescent="0.2">
      <c r="A3362" s="288"/>
      <c r="B3362" s="354"/>
      <c r="C3362" s="361"/>
      <c r="D3362" s="1362" t="s">
        <v>494</v>
      </c>
      <c r="E3362" s="1363"/>
      <c r="F3362" s="1363"/>
      <c r="G3362" s="1363"/>
      <c r="H3362" s="1363"/>
      <c r="I3362" s="1364"/>
      <c r="J3362" s="1365">
        <f>R3361/J3361</f>
        <v>1</v>
      </c>
      <c r="K3362" s="1366"/>
      <c r="L3362" s="1369"/>
      <c r="M3362" s="1371" t="s">
        <v>495</v>
      </c>
      <c r="N3362" s="1372"/>
      <c r="O3362" s="1372"/>
      <c r="P3362" s="1372"/>
      <c r="Q3362" s="1373"/>
      <c r="R3362" s="362">
        <f>VLOOKUP(A3363,'11 - FINANCEIRO'!_xlnm.Print_Area,8,FALSE)</f>
        <v>12.8</v>
      </c>
      <c r="S3362" s="363" t="str">
        <f>L3361</f>
        <v>kg</v>
      </c>
      <c r="T3362" s="359"/>
      <c r="U3362" s="360"/>
      <c r="V3362" s="291">
        <f t="shared" ca="1" si="912"/>
        <v>0</v>
      </c>
      <c r="W3362" s="256">
        <f t="shared" ca="1" si="911"/>
        <v>2</v>
      </c>
      <c r="X3362" s="256">
        <f t="shared" ca="1" si="905"/>
        <v>1</v>
      </c>
      <c r="Y3362" s="256"/>
      <c r="Z3362" s="256"/>
      <c r="AA3362" s="292"/>
      <c r="AB3362" s="292"/>
      <c r="AC3362" s="292"/>
    </row>
    <row r="3363" spans="1:29" s="293" customFormat="1" ht="15.75" hidden="1" customHeight="1" x14ac:dyDescent="0.2">
      <c r="A3363" s="288" t="s">
        <v>213</v>
      </c>
      <c r="B3363" s="364"/>
      <c r="C3363" s="365"/>
      <c r="D3363" s="1354"/>
      <c r="E3363" s="1355"/>
      <c r="F3363" s="1355"/>
      <c r="G3363" s="1355"/>
      <c r="H3363" s="1355"/>
      <c r="I3363" s="1356"/>
      <c r="J3363" s="1367"/>
      <c r="K3363" s="1368"/>
      <c r="L3363" s="1370"/>
      <c r="M3363" s="1371" t="s">
        <v>496</v>
      </c>
      <c r="N3363" s="1372"/>
      <c r="O3363" s="1372"/>
      <c r="P3363" s="1372"/>
      <c r="Q3363" s="1373"/>
      <c r="R3363" s="362">
        <f>R3361-R3362</f>
        <v>0</v>
      </c>
      <c r="S3363" s="363" t="str">
        <f>L3361</f>
        <v>kg</v>
      </c>
      <c r="T3363" s="366"/>
      <c r="U3363" s="367"/>
      <c r="V3363" s="291">
        <f t="shared" ca="1" si="912"/>
        <v>0</v>
      </c>
      <c r="W3363" s="256">
        <f t="shared" ca="1" si="911"/>
        <v>2</v>
      </c>
      <c r="X3363" s="256">
        <f t="shared" ca="1" si="905"/>
        <v>1</v>
      </c>
      <c r="Y3363" s="256"/>
      <c r="Z3363" s="256"/>
      <c r="AA3363" s="292"/>
      <c r="AB3363" s="292"/>
      <c r="AC3363" s="292"/>
    </row>
    <row r="3364" spans="1:29" s="111" customFormat="1" ht="15.75" hidden="1" x14ac:dyDescent="0.2">
      <c r="A3364" s="288"/>
      <c r="B3364" s="368"/>
      <c r="C3364" s="365"/>
      <c r="D3364" s="369"/>
      <c r="E3364" s="370"/>
      <c r="F3364" s="369"/>
      <c r="G3364" s="369"/>
      <c r="H3364" s="369"/>
      <c r="I3364" s="369"/>
      <c r="J3364" s="371"/>
      <c r="K3364" s="372"/>
      <c r="L3364" s="373"/>
      <c r="M3364" s="374"/>
      <c r="N3364" s="374"/>
      <c r="O3364" s="374"/>
      <c r="P3364" s="374"/>
      <c r="Q3364" s="374"/>
      <c r="R3364" s="375"/>
      <c r="S3364" s="376"/>
      <c r="T3364" s="377"/>
      <c r="U3364" s="378"/>
      <c r="V3364" s="379">
        <f ca="1">SUM(V3355:V3363)</f>
        <v>0</v>
      </c>
      <c r="W3364" s="256">
        <f t="shared" ca="1" si="911"/>
        <v>1</v>
      </c>
      <c r="X3364" s="256">
        <f t="shared" ca="1" si="905"/>
        <v>0</v>
      </c>
      <c r="Y3364" s="250"/>
      <c r="Z3364" s="250"/>
    </row>
    <row r="3365" spans="1:29" s="293" customFormat="1" ht="15.75" hidden="1" customHeight="1" x14ac:dyDescent="0.25">
      <c r="A3365" s="288"/>
      <c r="B3365" s="1374" t="str">
        <f>VLOOKUP(A3373,'11 - FINANCEIRO'!_xlnm.Print_Area,1,FALSE)</f>
        <v>4.5.8</v>
      </c>
      <c r="C3365" s="1376" t="str">
        <f>VLOOKUP(A3373,'11 - FINANCEIRO'!_xlnm.Print_Area,3,FALSE)</f>
        <v>Viga Metálica Em Perfil Laminado Ou Soldado Em Aço Estrutural, Com Conexões Soldadas, Inclusos Mão De Obra, Transporte E Içamento Utilizando Guindaste - Fornecimento E Instalação. Af_01/2020_P</v>
      </c>
      <c r="D3365" s="1378" t="s">
        <v>477</v>
      </c>
      <c r="E3365" s="1379"/>
      <c r="F3365" s="1379"/>
      <c r="G3365" s="1379"/>
      <c r="H3365" s="1379"/>
      <c r="I3365" s="1380"/>
      <c r="J3365" s="1338" t="s">
        <v>478</v>
      </c>
      <c r="K3365" s="1338" t="s">
        <v>479</v>
      </c>
      <c r="L3365" s="1338" t="s">
        <v>480</v>
      </c>
      <c r="M3365" s="1338" t="s">
        <v>481</v>
      </c>
      <c r="N3365" s="1338" t="s">
        <v>482</v>
      </c>
      <c r="O3365" s="1338" t="s">
        <v>483</v>
      </c>
      <c r="P3365" s="290" t="s">
        <v>484</v>
      </c>
      <c r="Q3365" s="1338" t="s">
        <v>485</v>
      </c>
      <c r="R3365" s="1336" t="s">
        <v>296</v>
      </c>
      <c r="S3365" s="1338" t="s">
        <v>486</v>
      </c>
      <c r="T3365" s="1338" t="s">
        <v>487</v>
      </c>
      <c r="U3365" s="1340" t="s">
        <v>488</v>
      </c>
      <c r="V3365" s="291">
        <f t="shared" ref="V3365:V3373" ca="1" si="913">IF(OFFSET(V3365,1,1)=1,OFFSET(V3365,0,-4),OFFSET(V3365,1,0))</f>
        <v>0</v>
      </c>
      <c r="W3365" s="256">
        <f t="shared" ca="1" si="911"/>
        <v>2</v>
      </c>
      <c r="X3365" s="256">
        <f t="shared" ca="1" si="905"/>
        <v>1</v>
      </c>
      <c r="Y3365" s="256"/>
      <c r="Z3365" s="256"/>
      <c r="AA3365" s="292"/>
      <c r="AB3365" s="292"/>
      <c r="AC3365" s="292"/>
    </row>
    <row r="3366" spans="1:29" s="337" customFormat="1" ht="15.75" hidden="1" x14ac:dyDescent="0.2">
      <c r="A3366" s="288"/>
      <c r="B3366" s="1375"/>
      <c r="C3366" s="1377" t="e">
        <f>VLOOKUP(LEFT(#REF!,5),'11 - FINANCEIRO'!_xlnm.Print_Area,2,FALSE)</f>
        <v>#REF!</v>
      </c>
      <c r="D3366" s="1342" t="s">
        <v>489</v>
      </c>
      <c r="E3366" s="1343"/>
      <c r="F3366" s="1344"/>
      <c r="G3366" s="1345" t="s">
        <v>490</v>
      </c>
      <c r="H3366" s="1346"/>
      <c r="I3366" s="1347"/>
      <c r="J3366" s="1339"/>
      <c r="K3366" s="1339"/>
      <c r="L3366" s="1339"/>
      <c r="M3366" s="1339"/>
      <c r="N3366" s="1339"/>
      <c r="O3366" s="1339"/>
      <c r="P3366" s="295" t="s">
        <v>491</v>
      </c>
      <c r="Q3366" s="1339"/>
      <c r="R3366" s="1337"/>
      <c r="S3366" s="1339"/>
      <c r="T3366" s="1339"/>
      <c r="U3366" s="1341"/>
      <c r="V3366" s="291">
        <f t="shared" ca="1" si="913"/>
        <v>0</v>
      </c>
      <c r="W3366" s="256">
        <f t="shared" ca="1" si="911"/>
        <v>2</v>
      </c>
      <c r="X3366" s="256">
        <f t="shared" ca="1" si="905"/>
        <v>1</v>
      </c>
      <c r="Y3366" s="336"/>
      <c r="Z3366" s="336"/>
    </row>
    <row r="3367" spans="1:29" s="337" customFormat="1" ht="15.75" hidden="1" x14ac:dyDescent="0.2">
      <c r="A3367" s="288"/>
      <c r="B3367" s="296"/>
      <c r="C3367" s="297" t="s">
        <v>953</v>
      </c>
      <c r="D3367" s="480">
        <v>8</v>
      </c>
      <c r="E3367" s="299" t="s">
        <v>518</v>
      </c>
      <c r="F3367" s="300">
        <v>18</v>
      </c>
      <c r="G3367" s="480">
        <v>8</v>
      </c>
      <c r="H3367" s="299" t="s">
        <v>518</v>
      </c>
      <c r="I3367" s="300">
        <v>18</v>
      </c>
      <c r="J3367" s="304"/>
      <c r="K3367" s="304"/>
      <c r="L3367" s="304"/>
      <c r="M3367" s="304"/>
      <c r="N3367" s="304"/>
      <c r="O3367" s="304"/>
      <c r="P3367" s="306"/>
      <c r="Q3367" s="304"/>
      <c r="R3367" s="307">
        <v>2599.9699999999998</v>
      </c>
      <c r="S3367" s="358" t="s">
        <v>328</v>
      </c>
      <c r="T3367" s="309">
        <v>24</v>
      </c>
      <c r="U3367" s="310"/>
      <c r="V3367" s="291">
        <f t="shared" ca="1" si="913"/>
        <v>0</v>
      </c>
      <c r="W3367" s="256">
        <f t="shared" ca="1" si="911"/>
        <v>2</v>
      </c>
      <c r="X3367" s="256">
        <f t="shared" ca="1" si="905"/>
        <v>1</v>
      </c>
      <c r="Y3367" s="336"/>
      <c r="Z3367" s="336"/>
    </row>
    <row r="3368" spans="1:29" s="111" customFormat="1" ht="15.75" hidden="1" x14ac:dyDescent="0.2">
      <c r="A3368" s="288"/>
      <c r="B3368" s="311"/>
      <c r="C3368" s="312"/>
      <c r="D3368" s="313"/>
      <c r="E3368" s="314"/>
      <c r="F3368" s="315"/>
      <c r="G3368" s="380"/>
      <c r="H3368" s="316"/>
      <c r="I3368" s="381"/>
      <c r="J3368" s="317"/>
      <c r="K3368" s="313"/>
      <c r="L3368" s="317"/>
      <c r="M3368" s="315"/>
      <c r="N3368" s="314"/>
      <c r="O3368" s="313"/>
      <c r="P3368" s="318"/>
      <c r="Q3368" s="315"/>
      <c r="R3368" s="319"/>
      <c r="S3368" s="317"/>
      <c r="T3368" s="320"/>
      <c r="U3368" s="321"/>
      <c r="V3368" s="291">
        <f t="shared" ca="1" si="913"/>
        <v>0</v>
      </c>
      <c r="W3368" s="256">
        <f t="shared" ca="1" si="911"/>
        <v>0</v>
      </c>
      <c r="X3368" s="256">
        <f t="shared" ca="1" si="905"/>
        <v>1</v>
      </c>
      <c r="Y3368" s="250"/>
      <c r="Z3368" s="250"/>
    </row>
    <row r="3369" spans="1:29" s="111" customFormat="1" ht="15" hidden="1" x14ac:dyDescent="0.2">
      <c r="A3369" s="288"/>
      <c r="B3369" s="322"/>
      <c r="C3369" s="382"/>
      <c r="D3369" s="324"/>
      <c r="E3369" s="325"/>
      <c r="F3369" s="326"/>
      <c r="G3369" s="324"/>
      <c r="H3369" s="325"/>
      <c r="I3369" s="326"/>
      <c r="J3369" s="317"/>
      <c r="K3369" s="328"/>
      <c r="L3369" s="328"/>
      <c r="M3369" s="328"/>
      <c r="N3369" s="328"/>
      <c r="O3369" s="334"/>
      <c r="P3369" s="328"/>
      <c r="Q3369" s="334"/>
      <c r="R3369" s="333"/>
      <c r="S3369" s="331"/>
      <c r="T3369" s="320"/>
      <c r="U3369" s="335"/>
      <c r="V3369" s="291">
        <f t="shared" ca="1" si="913"/>
        <v>0</v>
      </c>
      <c r="W3369" s="256">
        <f t="shared" ca="1" si="911"/>
        <v>0</v>
      </c>
      <c r="X3369" s="256">
        <f t="shared" ca="1" si="905"/>
        <v>1</v>
      </c>
      <c r="Y3369" s="250"/>
      <c r="Z3369" s="250"/>
    </row>
    <row r="3370" spans="1:29" s="111" customFormat="1" ht="15" hidden="1" x14ac:dyDescent="0.2">
      <c r="A3370" s="288"/>
      <c r="B3370" s="338"/>
      <c r="C3370" s="339"/>
      <c r="D3370" s="340"/>
      <c r="E3370" s="341"/>
      <c r="F3370" s="342"/>
      <c r="G3370" s="340"/>
      <c r="H3370" s="341"/>
      <c r="I3370" s="342"/>
      <c r="J3370" s="343"/>
      <c r="K3370" s="344"/>
      <c r="L3370" s="345"/>
      <c r="M3370" s="346"/>
      <c r="N3370" s="347"/>
      <c r="O3370" s="348"/>
      <c r="P3370" s="345"/>
      <c r="Q3370" s="349"/>
      <c r="R3370" s="350"/>
      <c r="S3370" s="351"/>
      <c r="T3370" s="352"/>
      <c r="U3370" s="353"/>
      <c r="V3370" s="291">
        <f t="shared" ca="1" si="913"/>
        <v>0</v>
      </c>
      <c r="W3370" s="256">
        <f t="shared" ca="1" si="911"/>
        <v>0</v>
      </c>
      <c r="X3370" s="256">
        <f t="shared" ca="1" si="905"/>
        <v>1</v>
      </c>
      <c r="Y3370" s="250"/>
      <c r="Z3370" s="250"/>
    </row>
    <row r="3371" spans="1:29" s="111" customFormat="1" ht="15.75" hidden="1" customHeight="1" x14ac:dyDescent="0.2">
      <c r="A3371" s="288"/>
      <c r="B3371" s="354"/>
      <c r="C3371" s="355"/>
      <c r="D3371" s="1354" t="s">
        <v>492</v>
      </c>
      <c r="E3371" s="1355"/>
      <c r="F3371" s="1355"/>
      <c r="G3371" s="1355"/>
      <c r="H3371" s="1355"/>
      <c r="I3371" s="1356"/>
      <c r="J3371" s="1357">
        <f>VLOOKUP(A3373,'11 - FINANCEIRO'!_xlnm.Print_Area,6,FALSE)</f>
        <v>2599.9699999999998</v>
      </c>
      <c r="K3371" s="1358"/>
      <c r="L3371" s="356" t="str">
        <f>VLOOKUP(A3373,'11 - FINANCEIRO'!_xlnm.Print_Area,4,FALSE)</f>
        <v>kg</v>
      </c>
      <c r="M3371" s="1359" t="s">
        <v>493</v>
      </c>
      <c r="N3371" s="1360"/>
      <c r="O3371" s="1360"/>
      <c r="P3371" s="1360"/>
      <c r="Q3371" s="1361"/>
      <c r="R3371" s="357">
        <f>TRUNC(SUM(R3367:R3370),3)</f>
        <v>2599.9699999999998</v>
      </c>
      <c r="S3371" s="358" t="str">
        <f>L3371</f>
        <v>kg</v>
      </c>
      <c r="T3371" s="359"/>
      <c r="U3371" s="360"/>
      <c r="V3371" s="291">
        <f t="shared" ca="1" si="913"/>
        <v>0</v>
      </c>
      <c r="W3371" s="256">
        <f t="shared" ca="1" si="911"/>
        <v>2</v>
      </c>
      <c r="X3371" s="256">
        <f t="shared" ref="X3371:X3436" ca="1" si="914">IF(COUNTA(OFFSET(A3370,1,0))-COUNTA(A3370)=-1,0,1)</f>
        <v>1</v>
      </c>
      <c r="Y3371" s="250"/>
      <c r="Z3371" s="250"/>
    </row>
    <row r="3372" spans="1:29" s="293" customFormat="1" ht="15.75" hidden="1" customHeight="1" x14ac:dyDescent="0.2">
      <c r="A3372" s="288"/>
      <c r="B3372" s="354"/>
      <c r="C3372" s="361"/>
      <c r="D3372" s="1362" t="s">
        <v>494</v>
      </c>
      <c r="E3372" s="1363"/>
      <c r="F3372" s="1363"/>
      <c r="G3372" s="1363"/>
      <c r="H3372" s="1363"/>
      <c r="I3372" s="1364"/>
      <c r="J3372" s="1365">
        <f>R3371/J3371</f>
        <v>1</v>
      </c>
      <c r="K3372" s="1366"/>
      <c r="L3372" s="1369"/>
      <c r="M3372" s="1371" t="s">
        <v>495</v>
      </c>
      <c r="N3372" s="1372"/>
      <c r="O3372" s="1372"/>
      <c r="P3372" s="1372"/>
      <c r="Q3372" s="1373"/>
      <c r="R3372" s="362">
        <f>VLOOKUP(A3373,'11 - FINANCEIRO'!_xlnm.Print_Area,8,FALSE)</f>
        <v>2599.9699999999998</v>
      </c>
      <c r="S3372" s="363" t="str">
        <f>L3371</f>
        <v>kg</v>
      </c>
      <c r="T3372" s="359"/>
      <c r="U3372" s="360"/>
      <c r="V3372" s="291">
        <f t="shared" ca="1" si="913"/>
        <v>0</v>
      </c>
      <c r="W3372" s="256">
        <f t="shared" ca="1" si="911"/>
        <v>2</v>
      </c>
      <c r="X3372" s="256">
        <f t="shared" ca="1" si="914"/>
        <v>1</v>
      </c>
      <c r="Y3372" s="256"/>
      <c r="Z3372" s="256"/>
      <c r="AA3372" s="292"/>
      <c r="AB3372" s="292"/>
      <c r="AC3372" s="292"/>
    </row>
    <row r="3373" spans="1:29" s="293" customFormat="1" ht="15.75" hidden="1" customHeight="1" x14ac:dyDescent="0.2">
      <c r="A3373" s="288" t="s">
        <v>214</v>
      </c>
      <c r="B3373" s="364"/>
      <c r="C3373" s="365"/>
      <c r="D3373" s="1354"/>
      <c r="E3373" s="1355"/>
      <c r="F3373" s="1355"/>
      <c r="G3373" s="1355"/>
      <c r="H3373" s="1355"/>
      <c r="I3373" s="1356"/>
      <c r="J3373" s="1367"/>
      <c r="K3373" s="1368"/>
      <c r="L3373" s="1370"/>
      <c r="M3373" s="1371" t="s">
        <v>496</v>
      </c>
      <c r="N3373" s="1372"/>
      <c r="O3373" s="1372"/>
      <c r="P3373" s="1372"/>
      <c r="Q3373" s="1373"/>
      <c r="R3373" s="362">
        <f>R3371-R3372</f>
        <v>0</v>
      </c>
      <c r="S3373" s="363" t="str">
        <f>L3371</f>
        <v>kg</v>
      </c>
      <c r="T3373" s="366"/>
      <c r="U3373" s="367"/>
      <c r="V3373" s="291">
        <f t="shared" ca="1" si="913"/>
        <v>0</v>
      </c>
      <c r="W3373" s="256">
        <f t="shared" ca="1" si="911"/>
        <v>2</v>
      </c>
      <c r="X3373" s="256">
        <f t="shared" ca="1" si="914"/>
        <v>1</v>
      </c>
      <c r="Y3373" s="256"/>
      <c r="Z3373" s="256"/>
      <c r="AA3373" s="292"/>
      <c r="AB3373" s="292"/>
      <c r="AC3373" s="292"/>
    </row>
    <row r="3374" spans="1:29" s="111" customFormat="1" ht="15.75" hidden="1" x14ac:dyDescent="0.2">
      <c r="A3374" s="288"/>
      <c r="B3374" s="368"/>
      <c r="C3374" s="365"/>
      <c r="D3374" s="369"/>
      <c r="E3374" s="370"/>
      <c r="F3374" s="369"/>
      <c r="G3374" s="369"/>
      <c r="H3374" s="369"/>
      <c r="I3374" s="369"/>
      <c r="J3374" s="371"/>
      <c r="K3374" s="372"/>
      <c r="L3374" s="373"/>
      <c r="M3374" s="374"/>
      <c r="N3374" s="374"/>
      <c r="O3374" s="374"/>
      <c r="P3374" s="374"/>
      <c r="Q3374" s="374"/>
      <c r="R3374" s="375"/>
      <c r="S3374" s="376"/>
      <c r="T3374" s="377"/>
      <c r="U3374" s="378"/>
      <c r="V3374" s="379">
        <f ca="1">SUM(V3365:V3373)</f>
        <v>0</v>
      </c>
      <c r="W3374" s="256">
        <f t="shared" ca="1" si="911"/>
        <v>1</v>
      </c>
      <c r="X3374" s="256">
        <f t="shared" ca="1" si="914"/>
        <v>0</v>
      </c>
      <c r="Y3374" s="250"/>
      <c r="Z3374" s="250"/>
    </row>
    <row r="3375" spans="1:29" s="293" customFormat="1" ht="15.75" customHeight="1" x14ac:dyDescent="0.25">
      <c r="A3375" s="288"/>
      <c r="B3375" s="1374" t="str">
        <f>VLOOKUP(A3385,'11 - FINANCEIRO'!_xlnm.Print_Area,1,FALSE)</f>
        <v>4.5.9</v>
      </c>
      <c r="C3375" s="1376" t="str">
        <f>VLOOKUP(A3385,'11 - FINANCEIRO'!_xlnm.Print_Area,3,FALSE)</f>
        <v>Guarda Corpo Em Aço Galvanizado De Altura H=1,10M Pintura Com Tinta Esmalte Suvinil, Linha "Contra Ferrugem" Cor Maracujá, Ref.:C026</v>
      </c>
      <c r="D3375" s="1378" t="s">
        <v>477</v>
      </c>
      <c r="E3375" s="1379"/>
      <c r="F3375" s="1379"/>
      <c r="G3375" s="1379"/>
      <c r="H3375" s="1379"/>
      <c r="I3375" s="1380"/>
      <c r="J3375" s="1338" t="s">
        <v>478</v>
      </c>
      <c r="K3375" s="1338" t="s">
        <v>479</v>
      </c>
      <c r="L3375" s="1338" t="s">
        <v>480</v>
      </c>
      <c r="M3375" s="1338" t="s">
        <v>481</v>
      </c>
      <c r="N3375" s="1338" t="s">
        <v>482</v>
      </c>
      <c r="O3375" s="1338" t="s">
        <v>483</v>
      </c>
      <c r="P3375" s="290" t="s">
        <v>484</v>
      </c>
      <c r="Q3375" s="1338" t="s">
        <v>485</v>
      </c>
      <c r="R3375" s="1336" t="s">
        <v>296</v>
      </c>
      <c r="S3375" s="1338" t="s">
        <v>486</v>
      </c>
      <c r="T3375" s="1338" t="s">
        <v>487</v>
      </c>
      <c r="U3375" s="1340" t="s">
        <v>488</v>
      </c>
      <c r="V3375" s="291">
        <f t="shared" ref="V3375:V3385" ca="1" si="915">IF(OFFSET(V3375,1,1)=1,OFFSET(V3375,0,-4),OFFSET(V3375,1,0))</f>
        <v>6.4399999999999977</v>
      </c>
      <c r="W3375" s="256">
        <f t="shared" ca="1" si="911"/>
        <v>2</v>
      </c>
      <c r="X3375" s="256">
        <f t="shared" ca="1" si="914"/>
        <v>1</v>
      </c>
      <c r="Y3375" s="256"/>
      <c r="Z3375" s="256"/>
      <c r="AA3375" s="292"/>
      <c r="AB3375" s="292"/>
      <c r="AC3375" s="292"/>
    </row>
    <row r="3376" spans="1:29" s="337" customFormat="1" ht="15.75" x14ac:dyDescent="0.2">
      <c r="A3376" s="288"/>
      <c r="B3376" s="1375"/>
      <c r="C3376" s="1377" t="e">
        <f>VLOOKUP(LEFT(#REF!,5),'11 - FINANCEIRO'!_xlnm.Print_Area,2,FALSE)</f>
        <v>#REF!</v>
      </c>
      <c r="D3376" s="1342" t="s">
        <v>489</v>
      </c>
      <c r="E3376" s="1343"/>
      <c r="F3376" s="1344"/>
      <c r="G3376" s="1345" t="s">
        <v>490</v>
      </c>
      <c r="H3376" s="1346"/>
      <c r="I3376" s="1347"/>
      <c r="J3376" s="1339"/>
      <c r="K3376" s="1339"/>
      <c r="L3376" s="1339"/>
      <c r="M3376" s="1339"/>
      <c r="N3376" s="1339"/>
      <c r="O3376" s="1339"/>
      <c r="P3376" s="295" t="s">
        <v>491</v>
      </c>
      <c r="Q3376" s="1339"/>
      <c r="R3376" s="1337"/>
      <c r="S3376" s="1339"/>
      <c r="T3376" s="1339"/>
      <c r="U3376" s="1341"/>
      <c r="V3376" s="291">
        <f t="shared" ca="1" si="915"/>
        <v>6.4399999999999977</v>
      </c>
      <c r="W3376" s="256">
        <f t="shared" ca="1" si="911"/>
        <v>2</v>
      </c>
      <c r="X3376" s="256">
        <f t="shared" ca="1" si="914"/>
        <v>1</v>
      </c>
      <c r="Y3376" s="336"/>
      <c r="Z3376" s="336"/>
    </row>
    <row r="3377" spans="1:29" s="337" customFormat="1" ht="15.75" x14ac:dyDescent="0.2">
      <c r="A3377" s="288"/>
      <c r="B3377" s="296"/>
      <c r="C3377" s="297" t="s">
        <v>1108</v>
      </c>
      <c r="D3377" s="480">
        <v>8</v>
      </c>
      <c r="E3377" s="299" t="s">
        <v>518</v>
      </c>
      <c r="F3377" s="300">
        <v>18</v>
      </c>
      <c r="G3377" s="480">
        <v>8</v>
      </c>
      <c r="H3377" s="299" t="s">
        <v>518</v>
      </c>
      <c r="I3377" s="300">
        <v>18</v>
      </c>
      <c r="J3377" s="304"/>
      <c r="K3377" s="416">
        <v>11.99</v>
      </c>
      <c r="L3377" s="304"/>
      <c r="M3377" s="304"/>
      <c r="N3377" s="304"/>
      <c r="O3377" s="304"/>
      <c r="P3377" s="306"/>
      <c r="Q3377" s="416">
        <v>1</v>
      </c>
      <c r="R3377" s="307">
        <v>11.99</v>
      </c>
      <c r="S3377" s="304"/>
      <c r="T3377" s="309">
        <v>29</v>
      </c>
      <c r="U3377" s="310"/>
      <c r="V3377" s="291">
        <f t="shared" ca="1" si="915"/>
        <v>6.4399999999999977</v>
      </c>
      <c r="W3377" s="256">
        <f t="shared" ca="1" si="911"/>
        <v>2</v>
      </c>
      <c r="X3377" s="256">
        <f t="shared" ca="1" si="914"/>
        <v>1</v>
      </c>
      <c r="Y3377" s="336"/>
      <c r="Z3377" s="336"/>
    </row>
    <row r="3378" spans="1:29" s="111" customFormat="1" ht="15" x14ac:dyDescent="0.2">
      <c r="A3378" s="288"/>
      <c r="B3378" s="322"/>
      <c r="C3378" s="382" t="s">
        <v>1126</v>
      </c>
      <c r="D3378" s="967"/>
      <c r="E3378" s="968"/>
      <c r="F3378" s="969"/>
      <c r="G3378" s="967"/>
      <c r="H3378" s="968"/>
      <c r="I3378" s="969"/>
      <c r="J3378" s="317"/>
      <c r="K3378" s="421">
        <v>36</v>
      </c>
      <c r="L3378" s="328"/>
      <c r="M3378" s="328"/>
      <c r="N3378" s="328"/>
      <c r="O3378" s="334"/>
      <c r="P3378" s="328"/>
      <c r="Q3378" s="433">
        <v>1</v>
      </c>
      <c r="R3378" s="333">
        <v>36</v>
      </c>
      <c r="S3378" s="331"/>
      <c r="T3378" s="320">
        <v>33</v>
      </c>
      <c r="U3378" s="335"/>
      <c r="V3378" s="291">
        <f t="shared" ca="1" si="915"/>
        <v>6.4399999999999977</v>
      </c>
      <c r="W3378" s="256">
        <f t="shared" ref="W3378" ca="1" si="916">IF(LEFT(_xlfn.FORMULATEXT(V3378),3)="=SO",1,IF(COUNTA(A3378:U3378)=0,0,2))</f>
        <v>2</v>
      </c>
      <c r="X3378" s="256">
        <f t="shared" ref="X3378" ca="1" si="917">IF(COUNTA(OFFSET(A3377,1,0))-COUNTA(A3377)=-1,0,1)</f>
        <v>1</v>
      </c>
      <c r="Y3378" s="250"/>
      <c r="Z3378" s="250"/>
    </row>
    <row r="3379" spans="1:29" s="111" customFormat="1" ht="15" x14ac:dyDescent="0.2">
      <c r="A3379" s="288"/>
      <c r="B3379" s="322"/>
      <c r="C3379" s="382" t="s">
        <v>1126</v>
      </c>
      <c r="D3379" s="324"/>
      <c r="E3379" s="325"/>
      <c r="F3379" s="326"/>
      <c r="G3379" s="324"/>
      <c r="H3379" s="325"/>
      <c r="I3379" s="326"/>
      <c r="J3379" s="317"/>
      <c r="K3379" s="421"/>
      <c r="L3379" s="328"/>
      <c r="M3379" s="328"/>
      <c r="N3379" s="328"/>
      <c r="O3379" s="334"/>
      <c r="P3379" s="328"/>
      <c r="Q3379" s="433"/>
      <c r="R3379" s="333">
        <v>8.57</v>
      </c>
      <c r="S3379" s="331"/>
      <c r="T3379" s="320">
        <v>34</v>
      </c>
      <c r="U3379" s="335"/>
      <c r="V3379" s="291">
        <f t="shared" ca="1" si="915"/>
        <v>6.4399999999999977</v>
      </c>
      <c r="W3379" s="256">
        <f t="shared" ref="W3379:W3383" ca="1" si="918">IF(LEFT(_xlfn.FORMULATEXT(V3379),3)="=SO",1,IF(COUNTA(A3379:U3379)=0,0,2))</f>
        <v>2</v>
      </c>
      <c r="X3379" s="256">
        <f t="shared" ref="X3379:X3383" ca="1" si="919">IF(COUNTA(OFFSET(A3378,1,0))-COUNTA(A3378)=-1,0,1)</f>
        <v>1</v>
      </c>
      <c r="Y3379" s="250"/>
      <c r="Z3379" s="250"/>
    </row>
    <row r="3380" spans="1:29" s="111" customFormat="1" ht="15" x14ac:dyDescent="0.2">
      <c r="A3380" s="288"/>
      <c r="B3380" s="494"/>
      <c r="C3380" s="1108" t="s">
        <v>1364</v>
      </c>
      <c r="D3380" s="819"/>
      <c r="E3380" s="820"/>
      <c r="F3380" s="822"/>
      <c r="G3380" s="819"/>
      <c r="H3380" s="820"/>
      <c r="I3380" s="822"/>
      <c r="J3380" s="1109"/>
      <c r="K3380" s="500"/>
      <c r="L3380" s="501"/>
      <c r="M3380" s="760"/>
      <c r="N3380" s="761"/>
      <c r="O3380" s="505"/>
      <c r="P3380" s="501"/>
      <c r="Q3380" s="553"/>
      <c r="R3380" s="1111">
        <v>-11.99</v>
      </c>
      <c r="S3380" s="505"/>
      <c r="T3380" s="506">
        <v>44</v>
      </c>
      <c r="U3380" s="574"/>
      <c r="V3380" s="291">
        <f t="shared" ca="1" si="915"/>
        <v>6.4399999999999977</v>
      </c>
      <c r="W3380" s="256">
        <f t="shared" ca="1" si="918"/>
        <v>2</v>
      </c>
      <c r="X3380" s="256">
        <f t="shared" ca="1" si="919"/>
        <v>1</v>
      </c>
      <c r="Y3380" s="250"/>
      <c r="Z3380" s="250"/>
    </row>
    <row r="3381" spans="1:29" s="111" customFormat="1" ht="15" x14ac:dyDescent="0.2">
      <c r="A3381" s="288"/>
      <c r="B3381" s="494"/>
      <c r="C3381" s="382" t="s">
        <v>1126</v>
      </c>
      <c r="D3381" s="324"/>
      <c r="E3381" s="325"/>
      <c r="F3381" s="326"/>
      <c r="G3381" s="324"/>
      <c r="H3381" s="325"/>
      <c r="I3381" s="326"/>
      <c r="J3381" s="317"/>
      <c r="K3381" s="421"/>
      <c r="L3381" s="328"/>
      <c r="M3381" s="328"/>
      <c r="N3381" s="328"/>
      <c r="O3381" s="334"/>
      <c r="P3381" s="328"/>
      <c r="Q3381" s="433">
        <v>1</v>
      </c>
      <c r="R3381" s="333">
        <v>18.43</v>
      </c>
      <c r="S3381" s="331"/>
      <c r="T3381" s="320">
        <v>44</v>
      </c>
      <c r="U3381" s="574"/>
      <c r="V3381" s="291">
        <f t="shared" ca="1" si="915"/>
        <v>6.4399999999999977</v>
      </c>
      <c r="W3381" s="256">
        <f t="shared" ca="1" si="918"/>
        <v>2</v>
      </c>
      <c r="X3381" s="256">
        <f t="shared" ca="1" si="919"/>
        <v>1</v>
      </c>
      <c r="Y3381" s="250"/>
      <c r="Z3381" s="250"/>
    </row>
    <row r="3382" spans="1:29" s="111" customFormat="1" ht="15" x14ac:dyDescent="0.2">
      <c r="A3382" s="288"/>
      <c r="B3382" s="338"/>
      <c r="C3382" s="339"/>
      <c r="D3382" s="340"/>
      <c r="E3382" s="341"/>
      <c r="F3382" s="342"/>
      <c r="G3382" s="340"/>
      <c r="H3382" s="341"/>
      <c r="I3382" s="342"/>
      <c r="J3382" s="343"/>
      <c r="K3382" s="344"/>
      <c r="L3382" s="345"/>
      <c r="M3382" s="346"/>
      <c r="N3382" s="347"/>
      <c r="O3382" s="348"/>
      <c r="P3382" s="345"/>
      <c r="Q3382" s="349"/>
      <c r="R3382" s="350"/>
      <c r="S3382" s="351"/>
      <c r="T3382" s="352"/>
      <c r="U3382" s="353"/>
      <c r="V3382" s="291">
        <f t="shared" ca="1" si="915"/>
        <v>6.4399999999999977</v>
      </c>
      <c r="W3382" s="256">
        <f t="shared" ca="1" si="918"/>
        <v>0</v>
      </c>
      <c r="X3382" s="256">
        <f t="shared" ca="1" si="919"/>
        <v>1</v>
      </c>
      <c r="Y3382" s="250"/>
      <c r="Z3382" s="250"/>
    </row>
    <row r="3383" spans="1:29" s="111" customFormat="1" ht="15.75" customHeight="1" x14ac:dyDescent="0.2">
      <c r="A3383" s="288"/>
      <c r="B3383" s="354"/>
      <c r="C3383" s="355"/>
      <c r="D3383" s="1354" t="s">
        <v>492</v>
      </c>
      <c r="E3383" s="1355"/>
      <c r="F3383" s="1355"/>
      <c r="G3383" s="1355"/>
      <c r="H3383" s="1355"/>
      <c r="I3383" s="1356"/>
      <c r="J3383" s="1357">
        <f>VLOOKUP(A3385,'11 - FINANCEIRO'!_xlnm.Print_Area,6,FALSE)</f>
        <v>63</v>
      </c>
      <c r="K3383" s="1358"/>
      <c r="L3383" s="356" t="str">
        <f>VLOOKUP(A3385,'11 - FINANCEIRO'!_xlnm.Print_Area,4,FALSE)</f>
        <v>m</v>
      </c>
      <c r="M3383" s="1359" t="s">
        <v>493</v>
      </c>
      <c r="N3383" s="1360"/>
      <c r="O3383" s="1360"/>
      <c r="P3383" s="1360"/>
      <c r="Q3383" s="1361"/>
      <c r="R3383" s="357">
        <f>TRUNC(SUM(R3377:R3382),3)</f>
        <v>63</v>
      </c>
      <c r="S3383" s="358" t="str">
        <f>L3383</f>
        <v>m</v>
      </c>
      <c r="T3383" s="359"/>
      <c r="U3383" s="360"/>
      <c r="V3383" s="291">
        <f t="shared" ca="1" si="915"/>
        <v>6.4399999999999977</v>
      </c>
      <c r="W3383" s="256">
        <f t="shared" ca="1" si="918"/>
        <v>2</v>
      </c>
      <c r="X3383" s="256">
        <f t="shared" ca="1" si="919"/>
        <v>1</v>
      </c>
      <c r="Y3383" s="250"/>
      <c r="Z3383" s="250"/>
    </row>
    <row r="3384" spans="1:29" s="293" customFormat="1" ht="15.75" customHeight="1" x14ac:dyDescent="0.2">
      <c r="A3384" s="288"/>
      <c r="B3384" s="354"/>
      <c r="C3384" s="361"/>
      <c r="D3384" s="1362" t="s">
        <v>494</v>
      </c>
      <c r="E3384" s="1363"/>
      <c r="F3384" s="1363"/>
      <c r="G3384" s="1363"/>
      <c r="H3384" s="1363"/>
      <c r="I3384" s="1364"/>
      <c r="J3384" s="1365">
        <f>R3383/J3383</f>
        <v>1</v>
      </c>
      <c r="K3384" s="1366"/>
      <c r="L3384" s="1369"/>
      <c r="M3384" s="1371" t="s">
        <v>495</v>
      </c>
      <c r="N3384" s="1372"/>
      <c r="O3384" s="1372"/>
      <c r="P3384" s="1372"/>
      <c r="Q3384" s="1373"/>
      <c r="R3384" s="362">
        <f>VLOOKUP(A3385,'11 - FINANCEIRO'!_xlnm.Print_Area,8,FALSE)</f>
        <v>56.56</v>
      </c>
      <c r="S3384" s="363" t="str">
        <f>L3383</f>
        <v>m</v>
      </c>
      <c r="T3384" s="359"/>
      <c r="U3384" s="360"/>
      <c r="V3384" s="291">
        <f t="shared" ca="1" si="915"/>
        <v>6.4399999999999977</v>
      </c>
      <c r="W3384" s="256">
        <f t="shared" ca="1" si="911"/>
        <v>2</v>
      </c>
      <c r="X3384" s="256">
        <f t="shared" ca="1" si="914"/>
        <v>1</v>
      </c>
      <c r="Y3384" s="256"/>
      <c r="Z3384" s="256"/>
      <c r="AA3384" s="292"/>
      <c r="AB3384" s="292"/>
      <c r="AC3384" s="292"/>
    </row>
    <row r="3385" spans="1:29" s="293" customFormat="1" ht="15.75" customHeight="1" x14ac:dyDescent="0.2">
      <c r="A3385" s="288" t="s">
        <v>215</v>
      </c>
      <c r="B3385" s="364"/>
      <c r="C3385" s="365"/>
      <c r="D3385" s="1354"/>
      <c r="E3385" s="1355"/>
      <c r="F3385" s="1355"/>
      <c r="G3385" s="1355"/>
      <c r="H3385" s="1355"/>
      <c r="I3385" s="1356"/>
      <c r="J3385" s="1367"/>
      <c r="K3385" s="1368"/>
      <c r="L3385" s="1370"/>
      <c r="M3385" s="1371" t="s">
        <v>496</v>
      </c>
      <c r="N3385" s="1372"/>
      <c r="O3385" s="1372"/>
      <c r="P3385" s="1372"/>
      <c r="Q3385" s="1373"/>
      <c r="R3385" s="362">
        <f>R3383-R3384</f>
        <v>6.4399999999999977</v>
      </c>
      <c r="S3385" s="363" t="str">
        <f>L3383</f>
        <v>m</v>
      </c>
      <c r="T3385" s="366"/>
      <c r="U3385" s="367"/>
      <c r="V3385" s="291">
        <f t="shared" ca="1" si="915"/>
        <v>6.4399999999999977</v>
      </c>
      <c r="W3385" s="256">
        <f t="shared" ca="1" si="911"/>
        <v>2</v>
      </c>
      <c r="X3385" s="256">
        <f t="shared" ca="1" si="914"/>
        <v>1</v>
      </c>
      <c r="Y3385" s="256"/>
      <c r="Z3385" s="256"/>
      <c r="AA3385" s="292"/>
      <c r="AB3385" s="292"/>
      <c r="AC3385" s="292"/>
    </row>
    <row r="3386" spans="1:29" s="111" customFormat="1" ht="15.75" x14ac:dyDescent="0.2">
      <c r="A3386" s="288"/>
      <c r="B3386" s="368"/>
      <c r="C3386" s="365"/>
      <c r="D3386" s="369"/>
      <c r="E3386" s="370"/>
      <c r="F3386" s="369"/>
      <c r="G3386" s="369"/>
      <c r="H3386" s="369"/>
      <c r="I3386" s="369"/>
      <c r="J3386" s="371"/>
      <c r="K3386" s="372"/>
      <c r="L3386" s="373"/>
      <c r="M3386" s="374"/>
      <c r="N3386" s="374"/>
      <c r="O3386" s="374"/>
      <c r="P3386" s="374"/>
      <c r="Q3386" s="374"/>
      <c r="R3386" s="375"/>
      <c r="S3386" s="376"/>
      <c r="T3386" s="377"/>
      <c r="U3386" s="378"/>
      <c r="V3386" s="379">
        <f ca="1">SUM(V3375:V3385)</f>
        <v>70.839999999999975</v>
      </c>
      <c r="W3386" s="256">
        <f t="shared" ca="1" si="911"/>
        <v>1</v>
      </c>
      <c r="X3386" s="256">
        <f t="shared" ca="1" si="914"/>
        <v>0</v>
      </c>
      <c r="Y3386" s="250"/>
      <c r="Z3386" s="250"/>
    </row>
    <row r="3387" spans="1:29" s="293" customFormat="1" ht="15.75" hidden="1" customHeight="1" x14ac:dyDescent="0.25">
      <c r="A3387" s="288"/>
      <c r="B3387" s="1374" t="str">
        <f>VLOOKUP(A3395,'11 - FINANCEIRO'!_xlnm.Print_Area,1,FALSE)</f>
        <v>4.5.10</v>
      </c>
      <c r="C3387" s="1376" t="str">
        <f>VLOOKUP(A3395,'11 - FINANCEIRO'!_xlnm.Print_Area,3,FALSE)</f>
        <v>Demolição Manual De Construções Provisórias - Sem Reaproveitamento, Incluído Transporte E Destinação</v>
      </c>
      <c r="D3387" s="1378" t="s">
        <v>477</v>
      </c>
      <c r="E3387" s="1379"/>
      <c r="F3387" s="1379"/>
      <c r="G3387" s="1379"/>
      <c r="H3387" s="1379"/>
      <c r="I3387" s="1380"/>
      <c r="J3387" s="1338" t="s">
        <v>478</v>
      </c>
      <c r="K3387" s="1338" t="s">
        <v>479</v>
      </c>
      <c r="L3387" s="1338" t="s">
        <v>480</v>
      </c>
      <c r="M3387" s="1338" t="s">
        <v>481</v>
      </c>
      <c r="N3387" s="1338" t="s">
        <v>482</v>
      </c>
      <c r="O3387" s="1338" t="s">
        <v>483</v>
      </c>
      <c r="P3387" s="290" t="s">
        <v>484</v>
      </c>
      <c r="Q3387" s="1338" t="s">
        <v>485</v>
      </c>
      <c r="R3387" s="1336" t="s">
        <v>296</v>
      </c>
      <c r="S3387" s="1338" t="s">
        <v>486</v>
      </c>
      <c r="T3387" s="1338" t="s">
        <v>487</v>
      </c>
      <c r="U3387" s="1340" t="s">
        <v>488</v>
      </c>
      <c r="V3387" s="291">
        <f t="shared" ref="V3387:V3395" ca="1" si="920">IF(OFFSET(V3387,1,1)=1,OFFSET(V3387,0,-4),OFFSET(V3387,1,0))</f>
        <v>0</v>
      </c>
      <c r="W3387" s="256">
        <f t="shared" ca="1" si="911"/>
        <v>2</v>
      </c>
      <c r="X3387" s="256">
        <f t="shared" ca="1" si="914"/>
        <v>1</v>
      </c>
      <c r="Y3387" s="256"/>
      <c r="Z3387" s="256"/>
      <c r="AA3387" s="292"/>
      <c r="AB3387" s="292"/>
      <c r="AC3387" s="292"/>
    </row>
    <row r="3388" spans="1:29" s="337" customFormat="1" ht="15.75" hidden="1" x14ac:dyDescent="0.2">
      <c r="A3388" s="288"/>
      <c r="B3388" s="1375"/>
      <c r="C3388" s="1377" t="e">
        <f>VLOOKUP(LEFT(#REF!,5),'11 - FINANCEIRO'!_xlnm.Print_Area,2,FALSE)</f>
        <v>#REF!</v>
      </c>
      <c r="D3388" s="1342" t="s">
        <v>489</v>
      </c>
      <c r="E3388" s="1343"/>
      <c r="F3388" s="1344"/>
      <c r="G3388" s="1345" t="s">
        <v>490</v>
      </c>
      <c r="H3388" s="1346"/>
      <c r="I3388" s="1347"/>
      <c r="J3388" s="1339"/>
      <c r="K3388" s="1339"/>
      <c r="L3388" s="1339"/>
      <c r="M3388" s="1339"/>
      <c r="N3388" s="1339"/>
      <c r="O3388" s="1339"/>
      <c r="P3388" s="295" t="s">
        <v>491</v>
      </c>
      <c r="Q3388" s="1339"/>
      <c r="R3388" s="1337"/>
      <c r="S3388" s="1339"/>
      <c r="T3388" s="1339"/>
      <c r="U3388" s="1341"/>
      <c r="V3388" s="291">
        <f t="shared" ca="1" si="920"/>
        <v>0</v>
      </c>
      <c r="W3388" s="256">
        <f t="shared" ca="1" si="911"/>
        <v>2</v>
      </c>
      <c r="X3388" s="256">
        <f t="shared" ca="1" si="914"/>
        <v>1</v>
      </c>
      <c r="Y3388" s="336"/>
      <c r="Z3388" s="336"/>
    </row>
    <row r="3389" spans="1:29" s="337" customFormat="1" ht="15.75" hidden="1" x14ac:dyDescent="0.2">
      <c r="A3389" s="288"/>
      <c r="B3389" s="296"/>
      <c r="C3389" s="297"/>
      <c r="D3389" s="298"/>
      <c r="E3389" s="299"/>
      <c r="F3389" s="300"/>
      <c r="G3389" s="301"/>
      <c r="H3389" s="302"/>
      <c r="I3389" s="303"/>
      <c r="J3389" s="304"/>
      <c r="K3389" s="304"/>
      <c r="L3389" s="304"/>
      <c r="M3389" s="304"/>
      <c r="N3389" s="304"/>
      <c r="O3389" s="304"/>
      <c r="P3389" s="306"/>
      <c r="Q3389" s="304"/>
      <c r="R3389" s="307"/>
      <c r="S3389" s="304"/>
      <c r="T3389" s="309"/>
      <c r="U3389" s="310"/>
      <c r="V3389" s="291">
        <f t="shared" ca="1" si="920"/>
        <v>0</v>
      </c>
      <c r="W3389" s="256">
        <f t="shared" ca="1" si="911"/>
        <v>0</v>
      </c>
      <c r="X3389" s="256">
        <f t="shared" ca="1" si="914"/>
        <v>1</v>
      </c>
      <c r="Y3389" s="336"/>
      <c r="Z3389" s="336"/>
    </row>
    <row r="3390" spans="1:29" s="111" customFormat="1" ht="15.75" hidden="1" x14ac:dyDescent="0.2">
      <c r="A3390" s="288"/>
      <c r="B3390" s="311"/>
      <c r="C3390" s="312"/>
      <c r="D3390" s="313"/>
      <c r="E3390" s="314"/>
      <c r="F3390" s="315"/>
      <c r="G3390" s="380"/>
      <c r="H3390" s="316"/>
      <c r="I3390" s="381"/>
      <c r="J3390" s="317"/>
      <c r="K3390" s="313"/>
      <c r="L3390" s="317"/>
      <c r="M3390" s="315"/>
      <c r="N3390" s="314"/>
      <c r="O3390" s="313"/>
      <c r="P3390" s="318"/>
      <c r="Q3390" s="315"/>
      <c r="R3390" s="319"/>
      <c r="S3390" s="317"/>
      <c r="T3390" s="320"/>
      <c r="U3390" s="321"/>
      <c r="V3390" s="291">
        <f t="shared" ca="1" si="920"/>
        <v>0</v>
      </c>
      <c r="W3390" s="256">
        <f t="shared" ca="1" si="911"/>
        <v>0</v>
      </c>
      <c r="X3390" s="256">
        <f t="shared" ca="1" si="914"/>
        <v>1</v>
      </c>
      <c r="Y3390" s="250"/>
      <c r="Z3390" s="250"/>
    </row>
    <row r="3391" spans="1:29" s="111" customFormat="1" ht="15" hidden="1" x14ac:dyDescent="0.2">
      <c r="A3391" s="288"/>
      <c r="B3391" s="322"/>
      <c r="C3391" s="382"/>
      <c r="D3391" s="324"/>
      <c r="E3391" s="325"/>
      <c r="F3391" s="326"/>
      <c r="G3391" s="324"/>
      <c r="H3391" s="325"/>
      <c r="I3391" s="326"/>
      <c r="J3391" s="317"/>
      <c r="K3391" s="328"/>
      <c r="L3391" s="328"/>
      <c r="M3391" s="328"/>
      <c r="N3391" s="328"/>
      <c r="O3391" s="334"/>
      <c r="P3391" s="328"/>
      <c r="Q3391" s="334"/>
      <c r="R3391" s="333"/>
      <c r="S3391" s="331"/>
      <c r="T3391" s="320"/>
      <c r="U3391" s="335"/>
      <c r="V3391" s="291">
        <f t="shared" ca="1" si="920"/>
        <v>0</v>
      </c>
      <c r="W3391" s="256">
        <f t="shared" ca="1" si="911"/>
        <v>0</v>
      </c>
      <c r="X3391" s="256">
        <f t="shared" ca="1" si="914"/>
        <v>1</v>
      </c>
      <c r="Y3391" s="250"/>
      <c r="Z3391" s="250"/>
    </row>
    <row r="3392" spans="1:29" s="111" customFormat="1" ht="15" hidden="1" x14ac:dyDescent="0.2">
      <c r="A3392" s="288"/>
      <c r="B3392" s="338"/>
      <c r="C3392" s="339"/>
      <c r="D3392" s="340"/>
      <c r="E3392" s="341"/>
      <c r="F3392" s="342"/>
      <c r="G3392" s="340"/>
      <c r="H3392" s="341"/>
      <c r="I3392" s="342"/>
      <c r="J3392" s="343"/>
      <c r="K3392" s="344"/>
      <c r="L3392" s="345"/>
      <c r="M3392" s="346"/>
      <c r="N3392" s="347"/>
      <c r="O3392" s="348"/>
      <c r="P3392" s="345"/>
      <c r="Q3392" s="349"/>
      <c r="R3392" s="350"/>
      <c r="S3392" s="351"/>
      <c r="T3392" s="352"/>
      <c r="U3392" s="353"/>
      <c r="V3392" s="291">
        <f t="shared" ca="1" si="920"/>
        <v>0</v>
      </c>
      <c r="W3392" s="256">
        <f t="shared" ca="1" si="911"/>
        <v>0</v>
      </c>
      <c r="X3392" s="256">
        <f t="shared" ca="1" si="914"/>
        <v>1</v>
      </c>
      <c r="Y3392" s="250"/>
      <c r="Z3392" s="250"/>
    </row>
    <row r="3393" spans="1:29" s="111" customFormat="1" ht="15.75" hidden="1" customHeight="1" x14ac:dyDescent="0.2">
      <c r="A3393" s="288"/>
      <c r="B3393" s="354"/>
      <c r="C3393" s="355"/>
      <c r="D3393" s="1354" t="s">
        <v>492</v>
      </c>
      <c r="E3393" s="1355"/>
      <c r="F3393" s="1355"/>
      <c r="G3393" s="1355"/>
      <c r="H3393" s="1355"/>
      <c r="I3393" s="1356"/>
      <c r="J3393" s="1357">
        <f>VLOOKUP(A3395,'11 - FINANCEIRO'!_xlnm.Print_Area,6,FALSE)</f>
        <v>20</v>
      </c>
      <c r="K3393" s="1358"/>
      <c r="L3393" s="356" t="str">
        <f>VLOOKUP(A3395,'11 - FINANCEIRO'!_xlnm.Print_Area,4,FALSE)</f>
        <v>m²</v>
      </c>
      <c r="M3393" s="1359" t="s">
        <v>493</v>
      </c>
      <c r="N3393" s="1360"/>
      <c r="O3393" s="1360"/>
      <c r="P3393" s="1360"/>
      <c r="Q3393" s="1361"/>
      <c r="R3393" s="357">
        <f>TRUNC(SUM(R3389:R3392),3)</f>
        <v>0</v>
      </c>
      <c r="S3393" s="358" t="str">
        <f>L3393</f>
        <v>m²</v>
      </c>
      <c r="T3393" s="359"/>
      <c r="U3393" s="360"/>
      <c r="V3393" s="291">
        <f t="shared" ca="1" si="920"/>
        <v>0</v>
      </c>
      <c r="W3393" s="256">
        <f t="shared" ca="1" si="911"/>
        <v>2</v>
      </c>
      <c r="X3393" s="256">
        <f t="shared" ca="1" si="914"/>
        <v>1</v>
      </c>
      <c r="Y3393" s="250"/>
      <c r="Z3393" s="250"/>
    </row>
    <row r="3394" spans="1:29" s="293" customFormat="1" ht="15.75" hidden="1" customHeight="1" x14ac:dyDescent="0.2">
      <c r="A3394" s="288"/>
      <c r="B3394" s="354"/>
      <c r="C3394" s="361"/>
      <c r="D3394" s="1362" t="s">
        <v>494</v>
      </c>
      <c r="E3394" s="1363"/>
      <c r="F3394" s="1363"/>
      <c r="G3394" s="1363"/>
      <c r="H3394" s="1363"/>
      <c r="I3394" s="1364"/>
      <c r="J3394" s="1365">
        <f>R3393/J3393</f>
        <v>0</v>
      </c>
      <c r="K3394" s="1366"/>
      <c r="L3394" s="1369"/>
      <c r="M3394" s="1371" t="s">
        <v>495</v>
      </c>
      <c r="N3394" s="1372"/>
      <c r="O3394" s="1372"/>
      <c r="P3394" s="1372"/>
      <c r="Q3394" s="1373"/>
      <c r="R3394" s="362">
        <f>VLOOKUP(A3395,'11 - FINANCEIRO'!_xlnm.Print_Area,8,FALSE)</f>
        <v>0</v>
      </c>
      <c r="S3394" s="363" t="str">
        <f>L3393</f>
        <v>m²</v>
      </c>
      <c r="T3394" s="359"/>
      <c r="U3394" s="360"/>
      <c r="V3394" s="291">
        <f t="shared" ca="1" si="920"/>
        <v>0</v>
      </c>
      <c r="W3394" s="256">
        <f t="shared" ca="1" si="911"/>
        <v>2</v>
      </c>
      <c r="X3394" s="256">
        <f t="shared" ca="1" si="914"/>
        <v>1</v>
      </c>
      <c r="Y3394" s="256"/>
      <c r="Z3394" s="256"/>
      <c r="AA3394" s="292"/>
      <c r="AB3394" s="292"/>
      <c r="AC3394" s="292"/>
    </row>
    <row r="3395" spans="1:29" s="293" customFormat="1" ht="15.75" hidden="1" customHeight="1" x14ac:dyDescent="0.2">
      <c r="A3395" s="288" t="s">
        <v>216</v>
      </c>
      <c r="B3395" s="364"/>
      <c r="C3395" s="365"/>
      <c r="D3395" s="1354"/>
      <c r="E3395" s="1355"/>
      <c r="F3395" s="1355"/>
      <c r="G3395" s="1355"/>
      <c r="H3395" s="1355"/>
      <c r="I3395" s="1356"/>
      <c r="J3395" s="1367"/>
      <c r="K3395" s="1368"/>
      <c r="L3395" s="1370"/>
      <c r="M3395" s="1371" t="s">
        <v>496</v>
      </c>
      <c r="N3395" s="1372"/>
      <c r="O3395" s="1372"/>
      <c r="P3395" s="1372"/>
      <c r="Q3395" s="1373"/>
      <c r="R3395" s="362">
        <f>R3393-R3394</f>
        <v>0</v>
      </c>
      <c r="S3395" s="363" t="str">
        <f>L3393</f>
        <v>m²</v>
      </c>
      <c r="T3395" s="366"/>
      <c r="U3395" s="367"/>
      <c r="V3395" s="291">
        <f t="shared" ca="1" si="920"/>
        <v>0</v>
      </c>
      <c r="W3395" s="256">
        <f t="shared" ca="1" si="911"/>
        <v>2</v>
      </c>
      <c r="X3395" s="256">
        <f t="shared" ca="1" si="914"/>
        <v>1</v>
      </c>
      <c r="Y3395" s="256"/>
      <c r="Z3395" s="256"/>
      <c r="AA3395" s="292"/>
      <c r="AB3395" s="292"/>
      <c r="AC3395" s="292"/>
    </row>
    <row r="3396" spans="1:29" s="111" customFormat="1" ht="15.75" hidden="1" x14ac:dyDescent="0.2">
      <c r="A3396" s="288"/>
      <c r="B3396" s="368"/>
      <c r="C3396" s="365"/>
      <c r="D3396" s="369"/>
      <c r="E3396" s="370"/>
      <c r="F3396" s="369"/>
      <c r="G3396" s="369"/>
      <c r="H3396" s="369"/>
      <c r="I3396" s="369"/>
      <c r="J3396" s="371"/>
      <c r="K3396" s="372"/>
      <c r="L3396" s="373"/>
      <c r="M3396" s="374"/>
      <c r="N3396" s="374"/>
      <c r="O3396" s="374"/>
      <c r="P3396" s="374"/>
      <c r="Q3396" s="374"/>
      <c r="R3396" s="375"/>
      <c r="S3396" s="376"/>
      <c r="T3396" s="377"/>
      <c r="U3396" s="378"/>
      <c r="V3396" s="379">
        <f ca="1">SUM(V3387:V3395)</f>
        <v>0</v>
      </c>
      <c r="W3396" s="256">
        <f t="shared" ca="1" si="911"/>
        <v>1</v>
      </c>
      <c r="X3396" s="256">
        <f t="shared" ca="1" si="914"/>
        <v>0</v>
      </c>
      <c r="Y3396" s="250"/>
      <c r="Z3396" s="250"/>
    </row>
    <row r="3397" spans="1:29" s="293" customFormat="1" ht="15.75" hidden="1" customHeight="1" x14ac:dyDescent="0.25">
      <c r="A3397" s="288"/>
      <c r="B3397" s="1374" t="str">
        <f>VLOOKUP(A3405,'11 - FINANCEIRO'!_xlnm.Print_Area,1,FALSE)</f>
        <v>4.5.11</v>
      </c>
      <c r="C3397" s="1376" t="str">
        <f>VLOOKUP(A3405,'11 - FINANCEIRO'!_xlnm.Print_Area,3,FALSE)</f>
        <v>Armação Em Aço Ca-50 - Fornecimento, Preparo E Colocação</v>
      </c>
      <c r="D3397" s="1378" t="s">
        <v>477</v>
      </c>
      <c r="E3397" s="1379"/>
      <c r="F3397" s="1379"/>
      <c r="G3397" s="1379"/>
      <c r="H3397" s="1379"/>
      <c r="I3397" s="1380"/>
      <c r="J3397" s="1338" t="s">
        <v>478</v>
      </c>
      <c r="K3397" s="1338" t="s">
        <v>479</v>
      </c>
      <c r="L3397" s="1338" t="s">
        <v>480</v>
      </c>
      <c r="M3397" s="1338" t="s">
        <v>481</v>
      </c>
      <c r="N3397" s="1338" t="s">
        <v>482</v>
      </c>
      <c r="O3397" s="1338" t="s">
        <v>483</v>
      </c>
      <c r="P3397" s="290" t="s">
        <v>484</v>
      </c>
      <c r="Q3397" s="1338" t="s">
        <v>485</v>
      </c>
      <c r="R3397" s="1336" t="s">
        <v>296</v>
      </c>
      <c r="S3397" s="1338" t="s">
        <v>486</v>
      </c>
      <c r="T3397" s="1338" t="s">
        <v>487</v>
      </c>
      <c r="U3397" s="1340" t="s">
        <v>488</v>
      </c>
      <c r="V3397" s="291">
        <f t="shared" ref="V3397:V3405" ca="1" si="921">IF(OFFSET(V3397,1,1)=1,OFFSET(V3397,0,-4),OFFSET(V3397,1,0))</f>
        <v>0</v>
      </c>
      <c r="W3397" s="256">
        <f t="shared" ca="1" si="911"/>
        <v>2</v>
      </c>
      <c r="X3397" s="256">
        <f t="shared" ca="1" si="914"/>
        <v>1</v>
      </c>
      <c r="Y3397" s="256"/>
      <c r="Z3397" s="256"/>
      <c r="AA3397" s="292"/>
      <c r="AB3397" s="292"/>
      <c r="AC3397" s="292"/>
    </row>
    <row r="3398" spans="1:29" s="337" customFormat="1" ht="15.75" hidden="1" x14ac:dyDescent="0.2">
      <c r="A3398" s="288"/>
      <c r="B3398" s="1375"/>
      <c r="C3398" s="1377" t="e">
        <f>VLOOKUP(LEFT(#REF!,5),'11 - FINANCEIRO'!_xlnm.Print_Area,2,FALSE)</f>
        <v>#REF!</v>
      </c>
      <c r="D3398" s="1342" t="s">
        <v>489</v>
      </c>
      <c r="E3398" s="1343"/>
      <c r="F3398" s="1344"/>
      <c r="G3398" s="1345" t="s">
        <v>490</v>
      </c>
      <c r="H3398" s="1346"/>
      <c r="I3398" s="1347"/>
      <c r="J3398" s="1339"/>
      <c r="K3398" s="1339"/>
      <c r="L3398" s="1339"/>
      <c r="M3398" s="1339"/>
      <c r="N3398" s="1339"/>
      <c r="O3398" s="1339"/>
      <c r="P3398" s="295" t="s">
        <v>491</v>
      </c>
      <c r="Q3398" s="1339"/>
      <c r="R3398" s="1337"/>
      <c r="S3398" s="1339"/>
      <c r="T3398" s="1339"/>
      <c r="U3398" s="1341"/>
      <c r="V3398" s="291">
        <f t="shared" ca="1" si="921"/>
        <v>0</v>
      </c>
      <c r="W3398" s="256">
        <f t="shared" ca="1" si="911"/>
        <v>2</v>
      </c>
      <c r="X3398" s="256">
        <f t="shared" ca="1" si="914"/>
        <v>1</v>
      </c>
      <c r="Y3398" s="336"/>
      <c r="Z3398" s="336"/>
    </row>
    <row r="3399" spans="1:29" s="337" customFormat="1" ht="15.75" hidden="1" x14ac:dyDescent="0.2">
      <c r="A3399" s="288"/>
      <c r="B3399" s="296"/>
      <c r="C3399" s="297" t="s">
        <v>997</v>
      </c>
      <c r="D3399" s="298"/>
      <c r="E3399" s="299"/>
      <c r="F3399" s="300"/>
      <c r="G3399" s="301"/>
      <c r="H3399" s="302"/>
      <c r="I3399" s="303"/>
      <c r="J3399" s="304"/>
      <c r="K3399" s="304"/>
      <c r="L3399" s="304"/>
      <c r="M3399" s="304"/>
      <c r="N3399" s="304"/>
      <c r="O3399" s="304"/>
      <c r="P3399" s="306"/>
      <c r="Q3399" s="304"/>
      <c r="R3399" s="307">
        <v>49.5</v>
      </c>
      <c r="S3399" s="304"/>
      <c r="T3399" s="309">
        <v>25</v>
      </c>
      <c r="U3399" s="310"/>
      <c r="V3399" s="291">
        <f t="shared" ca="1" si="921"/>
        <v>0</v>
      </c>
      <c r="W3399" s="256">
        <f t="shared" ca="1" si="911"/>
        <v>2</v>
      </c>
      <c r="X3399" s="256">
        <f t="shared" ca="1" si="914"/>
        <v>1</v>
      </c>
      <c r="Y3399" s="336"/>
      <c r="Z3399" s="336"/>
    </row>
    <row r="3400" spans="1:29" s="111" customFormat="1" ht="15.75" hidden="1" x14ac:dyDescent="0.2">
      <c r="A3400" s="288"/>
      <c r="B3400" s="311"/>
      <c r="C3400" s="312" t="s">
        <v>998</v>
      </c>
      <c r="D3400" s="313"/>
      <c r="E3400" s="314"/>
      <c r="F3400" s="315"/>
      <c r="G3400" s="380"/>
      <c r="H3400" s="316"/>
      <c r="I3400" s="381"/>
      <c r="J3400" s="317"/>
      <c r="K3400" s="313"/>
      <c r="L3400" s="317"/>
      <c r="M3400" s="315"/>
      <c r="N3400" s="314"/>
      <c r="O3400" s="313"/>
      <c r="P3400" s="318"/>
      <c r="Q3400" s="315"/>
      <c r="R3400" s="319">
        <v>49.5</v>
      </c>
      <c r="S3400" s="317"/>
      <c r="T3400" s="320">
        <v>25</v>
      </c>
      <c r="U3400" s="321"/>
      <c r="V3400" s="291">
        <f t="shared" ca="1" si="921"/>
        <v>0</v>
      </c>
      <c r="W3400" s="256">
        <f t="shared" ca="1" si="911"/>
        <v>2</v>
      </c>
      <c r="X3400" s="256">
        <f t="shared" ca="1" si="914"/>
        <v>1</v>
      </c>
      <c r="Y3400" s="250"/>
      <c r="Z3400" s="250"/>
    </row>
    <row r="3401" spans="1:29" s="111" customFormat="1" ht="15" hidden="1" x14ac:dyDescent="0.2">
      <c r="A3401" s="288"/>
      <c r="B3401" s="322"/>
      <c r="C3401" s="382"/>
      <c r="D3401" s="324"/>
      <c r="E3401" s="325"/>
      <c r="F3401" s="326"/>
      <c r="G3401" s="324"/>
      <c r="H3401" s="325"/>
      <c r="I3401" s="326"/>
      <c r="J3401" s="317"/>
      <c r="K3401" s="328"/>
      <c r="L3401" s="328"/>
      <c r="M3401" s="328"/>
      <c r="N3401" s="328"/>
      <c r="O3401" s="334"/>
      <c r="P3401" s="328"/>
      <c r="Q3401" s="334"/>
      <c r="R3401" s="333"/>
      <c r="S3401" s="331"/>
      <c r="T3401" s="320"/>
      <c r="U3401" s="335"/>
      <c r="V3401" s="291">
        <f t="shared" ca="1" si="921"/>
        <v>0</v>
      </c>
      <c r="W3401" s="256">
        <f t="shared" ca="1" si="911"/>
        <v>0</v>
      </c>
      <c r="X3401" s="256">
        <f t="shared" ca="1" si="914"/>
        <v>1</v>
      </c>
      <c r="Y3401" s="250"/>
      <c r="Z3401" s="250"/>
    </row>
    <row r="3402" spans="1:29" s="111" customFormat="1" ht="15" hidden="1" x14ac:dyDescent="0.2">
      <c r="A3402" s="288"/>
      <c r="B3402" s="338"/>
      <c r="C3402" s="339"/>
      <c r="D3402" s="340"/>
      <c r="E3402" s="341"/>
      <c r="F3402" s="342"/>
      <c r="G3402" s="340"/>
      <c r="H3402" s="341"/>
      <c r="I3402" s="342"/>
      <c r="J3402" s="343"/>
      <c r="K3402" s="344"/>
      <c r="L3402" s="345"/>
      <c r="M3402" s="346"/>
      <c r="N3402" s="347"/>
      <c r="O3402" s="348"/>
      <c r="P3402" s="345"/>
      <c r="Q3402" s="349"/>
      <c r="R3402" s="350"/>
      <c r="S3402" s="351"/>
      <c r="T3402" s="352"/>
      <c r="U3402" s="353"/>
      <c r="V3402" s="291">
        <f t="shared" ca="1" si="921"/>
        <v>0</v>
      </c>
      <c r="W3402" s="256">
        <f t="shared" ca="1" si="911"/>
        <v>0</v>
      </c>
      <c r="X3402" s="256">
        <f t="shared" ca="1" si="914"/>
        <v>1</v>
      </c>
      <c r="Y3402" s="250"/>
      <c r="Z3402" s="250"/>
    </row>
    <row r="3403" spans="1:29" s="111" customFormat="1" ht="15.75" hidden="1" customHeight="1" x14ac:dyDescent="0.2">
      <c r="A3403" s="288"/>
      <c r="B3403" s="354"/>
      <c r="C3403" s="355"/>
      <c r="D3403" s="1354" t="s">
        <v>492</v>
      </c>
      <c r="E3403" s="1355"/>
      <c r="F3403" s="1355"/>
      <c r="G3403" s="1355"/>
      <c r="H3403" s="1355"/>
      <c r="I3403" s="1356"/>
      <c r="J3403" s="1357">
        <f>VLOOKUP(A3405,'11 - FINANCEIRO'!_xlnm.Print_Area,6,FALSE)</f>
        <v>99</v>
      </c>
      <c r="K3403" s="1358"/>
      <c r="L3403" s="356" t="str">
        <f>VLOOKUP(A3405,'11 - FINANCEIRO'!_xlnm.Print_Area,4,FALSE)</f>
        <v>kg</v>
      </c>
      <c r="M3403" s="1359" t="s">
        <v>493</v>
      </c>
      <c r="N3403" s="1360"/>
      <c r="O3403" s="1360"/>
      <c r="P3403" s="1360"/>
      <c r="Q3403" s="1361"/>
      <c r="R3403" s="357">
        <f>TRUNC(SUM(R3399:R3402),3)</f>
        <v>99</v>
      </c>
      <c r="S3403" s="358" t="str">
        <f>L3403</f>
        <v>kg</v>
      </c>
      <c r="T3403" s="359"/>
      <c r="U3403" s="360"/>
      <c r="V3403" s="291">
        <f t="shared" ca="1" si="921"/>
        <v>0</v>
      </c>
      <c r="W3403" s="256">
        <f t="shared" ca="1" si="911"/>
        <v>2</v>
      </c>
      <c r="X3403" s="256">
        <f t="shared" ca="1" si="914"/>
        <v>1</v>
      </c>
      <c r="Y3403" s="250"/>
      <c r="Z3403" s="250"/>
    </row>
    <row r="3404" spans="1:29" s="293" customFormat="1" ht="15.75" hidden="1" customHeight="1" x14ac:dyDescent="0.2">
      <c r="A3404" s="288"/>
      <c r="B3404" s="354"/>
      <c r="C3404" s="361"/>
      <c r="D3404" s="1362" t="s">
        <v>494</v>
      </c>
      <c r="E3404" s="1363"/>
      <c r="F3404" s="1363"/>
      <c r="G3404" s="1363"/>
      <c r="H3404" s="1363"/>
      <c r="I3404" s="1364"/>
      <c r="J3404" s="1365">
        <f>R3403/J3403</f>
        <v>1</v>
      </c>
      <c r="K3404" s="1366"/>
      <c r="L3404" s="1369"/>
      <c r="M3404" s="1371" t="s">
        <v>495</v>
      </c>
      <c r="N3404" s="1372"/>
      <c r="O3404" s="1372"/>
      <c r="P3404" s="1372"/>
      <c r="Q3404" s="1373"/>
      <c r="R3404" s="362">
        <f>VLOOKUP(A3405,'11 - FINANCEIRO'!_xlnm.Print_Area,8,FALSE)</f>
        <v>99</v>
      </c>
      <c r="S3404" s="363" t="str">
        <f>L3403</f>
        <v>kg</v>
      </c>
      <c r="T3404" s="359"/>
      <c r="U3404" s="360"/>
      <c r="V3404" s="291">
        <f t="shared" ca="1" si="921"/>
        <v>0</v>
      </c>
      <c r="W3404" s="256">
        <f t="shared" ca="1" si="911"/>
        <v>2</v>
      </c>
      <c r="X3404" s="256">
        <f t="shared" ca="1" si="914"/>
        <v>1</v>
      </c>
      <c r="Y3404" s="256"/>
      <c r="Z3404" s="256"/>
      <c r="AA3404" s="292"/>
      <c r="AB3404" s="292"/>
      <c r="AC3404" s="292"/>
    </row>
    <row r="3405" spans="1:29" s="293" customFormat="1" ht="15.75" hidden="1" customHeight="1" x14ac:dyDescent="0.2">
      <c r="A3405" s="288" t="s">
        <v>217</v>
      </c>
      <c r="B3405" s="364"/>
      <c r="C3405" s="365"/>
      <c r="D3405" s="1354"/>
      <c r="E3405" s="1355"/>
      <c r="F3405" s="1355"/>
      <c r="G3405" s="1355"/>
      <c r="H3405" s="1355"/>
      <c r="I3405" s="1356"/>
      <c r="J3405" s="1367"/>
      <c r="K3405" s="1368"/>
      <c r="L3405" s="1370"/>
      <c r="M3405" s="1371" t="s">
        <v>496</v>
      </c>
      <c r="N3405" s="1372"/>
      <c r="O3405" s="1372"/>
      <c r="P3405" s="1372"/>
      <c r="Q3405" s="1373"/>
      <c r="R3405" s="362">
        <f>R3403-R3404</f>
        <v>0</v>
      </c>
      <c r="S3405" s="363" t="str">
        <f>L3403</f>
        <v>kg</v>
      </c>
      <c r="T3405" s="366"/>
      <c r="U3405" s="367"/>
      <c r="V3405" s="291">
        <f t="shared" ca="1" si="921"/>
        <v>0</v>
      </c>
      <c r="W3405" s="256">
        <f t="shared" ca="1" si="911"/>
        <v>2</v>
      </c>
      <c r="X3405" s="256">
        <f t="shared" ca="1" si="914"/>
        <v>1</v>
      </c>
      <c r="Y3405" s="256"/>
      <c r="Z3405" s="256"/>
      <c r="AA3405" s="292"/>
      <c r="AB3405" s="292"/>
      <c r="AC3405" s="292"/>
    </row>
    <row r="3406" spans="1:29" s="111" customFormat="1" ht="15.75" hidden="1" x14ac:dyDescent="0.2">
      <c r="A3406" s="288"/>
      <c r="B3406" s="368"/>
      <c r="C3406" s="365"/>
      <c r="D3406" s="369"/>
      <c r="E3406" s="370"/>
      <c r="F3406" s="369"/>
      <c r="G3406" s="369"/>
      <c r="H3406" s="369"/>
      <c r="I3406" s="369"/>
      <c r="J3406" s="371"/>
      <c r="K3406" s="372"/>
      <c r="L3406" s="373"/>
      <c r="M3406" s="374"/>
      <c r="N3406" s="374"/>
      <c r="O3406" s="374"/>
      <c r="P3406" s="374"/>
      <c r="Q3406" s="374"/>
      <c r="R3406" s="375"/>
      <c r="S3406" s="376"/>
      <c r="T3406" s="377"/>
      <c r="U3406" s="378"/>
      <c r="V3406" s="379">
        <f ca="1">SUM(V3397:V3405)</f>
        <v>0</v>
      </c>
      <c r="W3406" s="256">
        <f t="shared" ca="1" si="911"/>
        <v>1</v>
      </c>
      <c r="X3406" s="256">
        <f t="shared" ca="1" si="914"/>
        <v>0</v>
      </c>
      <c r="Y3406" s="250"/>
      <c r="Z3406" s="250"/>
    </row>
    <row r="3407" spans="1:29" s="293" customFormat="1" ht="15.75" hidden="1" customHeight="1" x14ac:dyDescent="0.25">
      <c r="A3407" s="288"/>
      <c r="B3407" s="1374" t="str">
        <f>VLOOKUP(A3415,'11 - FINANCEIRO'!_xlnm.Print_Area,1,FALSE)</f>
        <v>4.5.12</v>
      </c>
      <c r="C3407" s="1376" t="str">
        <f>VLOOKUP(A3415,'11 - FINANCEIRO'!_xlnm.Print_Area,3,FALSE)</f>
        <v>Concreto Para Bombeamento Fck = 30 Mpa - Confecção Em Central Dosadora De 30 M³/H - Areia E Brita Comerciais</v>
      </c>
      <c r="D3407" s="1378" t="s">
        <v>477</v>
      </c>
      <c r="E3407" s="1379"/>
      <c r="F3407" s="1379"/>
      <c r="G3407" s="1379"/>
      <c r="H3407" s="1379"/>
      <c r="I3407" s="1380"/>
      <c r="J3407" s="1338" t="s">
        <v>478</v>
      </c>
      <c r="K3407" s="1338" t="s">
        <v>479</v>
      </c>
      <c r="L3407" s="1338" t="s">
        <v>480</v>
      </c>
      <c r="M3407" s="1338" t="s">
        <v>481</v>
      </c>
      <c r="N3407" s="1338" t="s">
        <v>482</v>
      </c>
      <c r="O3407" s="1338" t="s">
        <v>483</v>
      </c>
      <c r="P3407" s="290" t="s">
        <v>484</v>
      </c>
      <c r="Q3407" s="1338" t="s">
        <v>485</v>
      </c>
      <c r="R3407" s="1336" t="s">
        <v>296</v>
      </c>
      <c r="S3407" s="1338" t="s">
        <v>486</v>
      </c>
      <c r="T3407" s="1338" t="s">
        <v>487</v>
      </c>
      <c r="U3407" s="1340" t="s">
        <v>488</v>
      </c>
      <c r="V3407" s="291">
        <f t="shared" ref="V3407:V3415" ca="1" si="922">IF(OFFSET(V3407,1,1)=1,OFFSET(V3407,0,-4),OFFSET(V3407,1,0))</f>
        <v>0</v>
      </c>
      <c r="W3407" s="256">
        <f t="shared" ca="1" si="911"/>
        <v>2</v>
      </c>
      <c r="X3407" s="256">
        <f t="shared" ca="1" si="914"/>
        <v>1</v>
      </c>
      <c r="Y3407" s="256"/>
      <c r="Z3407" s="256"/>
      <c r="AA3407" s="292"/>
      <c r="AB3407" s="292"/>
      <c r="AC3407" s="292"/>
    </row>
    <row r="3408" spans="1:29" s="337" customFormat="1" ht="15.75" hidden="1" x14ac:dyDescent="0.2">
      <c r="A3408" s="288"/>
      <c r="B3408" s="1375"/>
      <c r="C3408" s="1377" t="e">
        <f>VLOOKUP(LEFT(#REF!,5),'11 - FINANCEIRO'!_xlnm.Print_Area,2,FALSE)</f>
        <v>#REF!</v>
      </c>
      <c r="D3408" s="1342" t="s">
        <v>489</v>
      </c>
      <c r="E3408" s="1343"/>
      <c r="F3408" s="1344"/>
      <c r="G3408" s="1345" t="s">
        <v>490</v>
      </c>
      <c r="H3408" s="1346"/>
      <c r="I3408" s="1347"/>
      <c r="J3408" s="1339"/>
      <c r="K3408" s="1339"/>
      <c r="L3408" s="1339"/>
      <c r="M3408" s="1339"/>
      <c r="N3408" s="1339"/>
      <c r="O3408" s="1339"/>
      <c r="P3408" s="295" t="s">
        <v>491</v>
      </c>
      <c r="Q3408" s="1339"/>
      <c r="R3408" s="1337"/>
      <c r="S3408" s="1339"/>
      <c r="T3408" s="1339"/>
      <c r="U3408" s="1341"/>
      <c r="V3408" s="291">
        <f t="shared" ca="1" si="922"/>
        <v>0</v>
      </c>
      <c r="W3408" s="256">
        <f t="shared" ca="1" si="911"/>
        <v>2</v>
      </c>
      <c r="X3408" s="256">
        <f t="shared" ca="1" si="914"/>
        <v>1</v>
      </c>
      <c r="Y3408" s="336"/>
      <c r="Z3408" s="336"/>
    </row>
    <row r="3409" spans="1:29" s="337" customFormat="1" ht="15.75" hidden="1" x14ac:dyDescent="0.2">
      <c r="A3409" s="288"/>
      <c r="B3409" s="296"/>
      <c r="C3409" s="297" t="s">
        <v>997</v>
      </c>
      <c r="D3409" s="298"/>
      <c r="E3409" s="299"/>
      <c r="F3409" s="300"/>
      <c r="G3409" s="301"/>
      <c r="H3409" s="302"/>
      <c r="I3409" s="303"/>
      <c r="J3409" s="304"/>
      <c r="K3409" s="304">
        <v>28.4</v>
      </c>
      <c r="L3409" s="304">
        <v>0.2</v>
      </c>
      <c r="M3409" s="304">
        <v>0.3</v>
      </c>
      <c r="N3409" s="304">
        <f>K3409*L3409</f>
        <v>5.68</v>
      </c>
      <c r="O3409" s="304">
        <f>K3409*L3409*M3409</f>
        <v>1.704</v>
      </c>
      <c r="P3409" s="306"/>
      <c r="Q3409" s="304">
        <v>2</v>
      </c>
      <c r="R3409" s="307">
        <f>O3409*Q3409</f>
        <v>3.4079999999999999</v>
      </c>
      <c r="S3409" s="304"/>
      <c r="T3409" s="309">
        <v>25</v>
      </c>
      <c r="U3409" s="310"/>
      <c r="V3409" s="291">
        <f t="shared" ca="1" si="922"/>
        <v>0</v>
      </c>
      <c r="W3409" s="256">
        <f t="shared" ca="1" si="911"/>
        <v>2</v>
      </c>
      <c r="X3409" s="256">
        <f t="shared" ca="1" si="914"/>
        <v>1</v>
      </c>
      <c r="Y3409" s="336"/>
      <c r="Z3409" s="336"/>
    </row>
    <row r="3410" spans="1:29" s="111" customFormat="1" ht="15.75" hidden="1" x14ac:dyDescent="0.2">
      <c r="A3410" s="288"/>
      <c r="B3410" s="311"/>
      <c r="C3410" s="312" t="s">
        <v>998</v>
      </c>
      <c r="D3410" s="313"/>
      <c r="E3410" s="314"/>
      <c r="F3410" s="315"/>
      <c r="G3410" s="380"/>
      <c r="H3410" s="316"/>
      <c r="I3410" s="381"/>
      <c r="J3410" s="317"/>
      <c r="K3410" s="313">
        <v>13</v>
      </c>
      <c r="L3410" s="317">
        <v>1.2</v>
      </c>
      <c r="M3410" s="315">
        <v>0.08</v>
      </c>
      <c r="N3410" s="314">
        <f>K3410*L3410</f>
        <v>15.6</v>
      </c>
      <c r="O3410" s="313"/>
      <c r="P3410" s="318"/>
      <c r="Q3410" s="315">
        <v>2</v>
      </c>
      <c r="R3410" s="319">
        <v>7.0919999999999996</v>
      </c>
      <c r="S3410" s="317"/>
      <c r="T3410" s="320">
        <v>25</v>
      </c>
      <c r="U3410" s="321"/>
      <c r="V3410" s="291">
        <f t="shared" ca="1" si="922"/>
        <v>0</v>
      </c>
      <c r="W3410" s="256">
        <f t="shared" ca="1" si="911"/>
        <v>2</v>
      </c>
      <c r="X3410" s="256">
        <f t="shared" ca="1" si="914"/>
        <v>1</v>
      </c>
      <c r="Y3410" s="250"/>
      <c r="Z3410" s="250"/>
    </row>
    <row r="3411" spans="1:29" s="111" customFormat="1" ht="15" hidden="1" x14ac:dyDescent="0.2">
      <c r="A3411" s="288"/>
      <c r="B3411" s="322"/>
      <c r="C3411" s="382"/>
      <c r="D3411" s="324"/>
      <c r="E3411" s="325"/>
      <c r="F3411" s="326"/>
      <c r="G3411" s="324"/>
      <c r="H3411" s="325"/>
      <c r="I3411" s="326"/>
      <c r="J3411" s="317"/>
      <c r="K3411" s="328"/>
      <c r="L3411" s="328"/>
      <c r="M3411" s="328"/>
      <c r="N3411" s="328"/>
      <c r="O3411" s="334"/>
      <c r="P3411" s="328"/>
      <c r="Q3411" s="334"/>
      <c r="R3411" s="333"/>
      <c r="S3411" s="331"/>
      <c r="T3411" s="320"/>
      <c r="U3411" s="335"/>
      <c r="V3411" s="291">
        <f t="shared" ca="1" si="922"/>
        <v>0</v>
      </c>
      <c r="W3411" s="256">
        <f t="shared" ca="1" si="911"/>
        <v>0</v>
      </c>
      <c r="X3411" s="256">
        <f t="shared" ca="1" si="914"/>
        <v>1</v>
      </c>
      <c r="Y3411" s="250"/>
      <c r="Z3411" s="250"/>
    </row>
    <row r="3412" spans="1:29" s="111" customFormat="1" ht="15" hidden="1" x14ac:dyDescent="0.2">
      <c r="A3412" s="288"/>
      <c r="B3412" s="338"/>
      <c r="C3412" s="339"/>
      <c r="D3412" s="340"/>
      <c r="E3412" s="341"/>
      <c r="F3412" s="342"/>
      <c r="G3412" s="340"/>
      <c r="H3412" s="341"/>
      <c r="I3412" s="342"/>
      <c r="J3412" s="343"/>
      <c r="K3412" s="344"/>
      <c r="L3412" s="345"/>
      <c r="M3412" s="346"/>
      <c r="N3412" s="347"/>
      <c r="O3412" s="348"/>
      <c r="P3412" s="345"/>
      <c r="Q3412" s="349"/>
      <c r="R3412" s="350"/>
      <c r="S3412" s="351"/>
      <c r="T3412" s="352"/>
      <c r="U3412" s="353"/>
      <c r="V3412" s="291">
        <f t="shared" ca="1" si="922"/>
        <v>0</v>
      </c>
      <c r="W3412" s="256">
        <f t="shared" ca="1" si="911"/>
        <v>0</v>
      </c>
      <c r="X3412" s="256">
        <f t="shared" ca="1" si="914"/>
        <v>1</v>
      </c>
      <c r="Y3412" s="250"/>
      <c r="Z3412" s="250"/>
    </row>
    <row r="3413" spans="1:29" s="111" customFormat="1" ht="15.75" hidden="1" customHeight="1" x14ac:dyDescent="0.2">
      <c r="A3413" s="288"/>
      <c r="B3413" s="354"/>
      <c r="C3413" s="355"/>
      <c r="D3413" s="1354" t="s">
        <v>492</v>
      </c>
      <c r="E3413" s="1355"/>
      <c r="F3413" s="1355"/>
      <c r="G3413" s="1355"/>
      <c r="H3413" s="1355"/>
      <c r="I3413" s="1356"/>
      <c r="J3413" s="1357">
        <f>VLOOKUP(A3415,'11 - FINANCEIRO'!_xlnm.Print_Area,6,FALSE)</f>
        <v>10.5</v>
      </c>
      <c r="K3413" s="1358"/>
      <c r="L3413" s="356" t="str">
        <f>VLOOKUP(A3415,'11 - FINANCEIRO'!_xlnm.Print_Area,4,FALSE)</f>
        <v>m³</v>
      </c>
      <c r="M3413" s="1359" t="s">
        <v>493</v>
      </c>
      <c r="N3413" s="1360"/>
      <c r="O3413" s="1360"/>
      <c r="P3413" s="1360"/>
      <c r="Q3413" s="1361"/>
      <c r="R3413" s="357">
        <f>TRUNC(SUM(R3409:R3412),3)</f>
        <v>10.5</v>
      </c>
      <c r="S3413" s="358" t="str">
        <f>L3413</f>
        <v>m³</v>
      </c>
      <c r="T3413" s="359"/>
      <c r="U3413" s="360"/>
      <c r="V3413" s="291">
        <f t="shared" ca="1" si="922"/>
        <v>0</v>
      </c>
      <c r="W3413" s="256">
        <f t="shared" ref="W3413:W3476" ca="1" si="923">IF(LEFT(_xlfn.FORMULATEXT(V3413),3)="=SO",1,IF(COUNTA(A3413:U3413)=0,0,2))</f>
        <v>2</v>
      </c>
      <c r="X3413" s="256">
        <f t="shared" ca="1" si="914"/>
        <v>1</v>
      </c>
      <c r="Y3413" s="250"/>
      <c r="Z3413" s="250"/>
    </row>
    <row r="3414" spans="1:29" s="293" customFormat="1" ht="15.75" hidden="1" customHeight="1" x14ac:dyDescent="0.2">
      <c r="A3414" s="288"/>
      <c r="B3414" s="354"/>
      <c r="C3414" s="361"/>
      <c r="D3414" s="1362" t="s">
        <v>494</v>
      </c>
      <c r="E3414" s="1363"/>
      <c r="F3414" s="1363"/>
      <c r="G3414" s="1363"/>
      <c r="H3414" s="1363"/>
      <c r="I3414" s="1364"/>
      <c r="J3414" s="1365">
        <f>R3413/J3413</f>
        <v>1</v>
      </c>
      <c r="K3414" s="1366"/>
      <c r="L3414" s="1369"/>
      <c r="M3414" s="1371" t="s">
        <v>495</v>
      </c>
      <c r="N3414" s="1372"/>
      <c r="O3414" s="1372"/>
      <c r="P3414" s="1372"/>
      <c r="Q3414" s="1373"/>
      <c r="R3414" s="362">
        <f>VLOOKUP(A3415,'11 - FINANCEIRO'!_xlnm.Print_Area,8,FALSE)</f>
        <v>10.5</v>
      </c>
      <c r="S3414" s="363" t="str">
        <f>L3413</f>
        <v>m³</v>
      </c>
      <c r="T3414" s="359"/>
      <c r="U3414" s="360"/>
      <c r="V3414" s="291">
        <f t="shared" ca="1" si="922"/>
        <v>0</v>
      </c>
      <c r="W3414" s="256">
        <f t="shared" ca="1" si="923"/>
        <v>2</v>
      </c>
      <c r="X3414" s="256">
        <f t="shared" ca="1" si="914"/>
        <v>1</v>
      </c>
      <c r="Y3414" s="256"/>
      <c r="Z3414" s="256"/>
      <c r="AA3414" s="292"/>
      <c r="AB3414" s="292"/>
      <c r="AC3414" s="292"/>
    </row>
    <row r="3415" spans="1:29" s="293" customFormat="1" ht="15.75" hidden="1" customHeight="1" x14ac:dyDescent="0.2">
      <c r="A3415" s="288" t="s">
        <v>218</v>
      </c>
      <c r="B3415" s="364"/>
      <c r="C3415" s="365"/>
      <c r="D3415" s="1354"/>
      <c r="E3415" s="1355"/>
      <c r="F3415" s="1355"/>
      <c r="G3415" s="1355"/>
      <c r="H3415" s="1355"/>
      <c r="I3415" s="1356"/>
      <c r="J3415" s="1367"/>
      <c r="K3415" s="1368"/>
      <c r="L3415" s="1370"/>
      <c r="M3415" s="1371" t="s">
        <v>496</v>
      </c>
      <c r="N3415" s="1372"/>
      <c r="O3415" s="1372"/>
      <c r="P3415" s="1372"/>
      <c r="Q3415" s="1373"/>
      <c r="R3415" s="362">
        <f>R3413-R3414</f>
        <v>0</v>
      </c>
      <c r="S3415" s="363" t="str">
        <f>L3413</f>
        <v>m³</v>
      </c>
      <c r="T3415" s="366"/>
      <c r="U3415" s="367"/>
      <c r="V3415" s="291">
        <f t="shared" ca="1" si="922"/>
        <v>0</v>
      </c>
      <c r="W3415" s="256">
        <f t="shared" ca="1" si="923"/>
        <v>2</v>
      </c>
      <c r="X3415" s="256">
        <f t="shared" ca="1" si="914"/>
        <v>1</v>
      </c>
      <c r="Y3415" s="256"/>
      <c r="Z3415" s="256"/>
      <c r="AA3415" s="292"/>
      <c r="AB3415" s="292"/>
      <c r="AC3415" s="292"/>
    </row>
    <row r="3416" spans="1:29" s="111" customFormat="1" ht="15.75" hidden="1" x14ac:dyDescent="0.2">
      <c r="A3416" s="288"/>
      <c r="B3416" s="368"/>
      <c r="C3416" s="365"/>
      <c r="D3416" s="369"/>
      <c r="E3416" s="370"/>
      <c r="F3416" s="369"/>
      <c r="G3416" s="369"/>
      <c r="H3416" s="369"/>
      <c r="I3416" s="369"/>
      <c r="J3416" s="371"/>
      <c r="K3416" s="372"/>
      <c r="L3416" s="373"/>
      <c r="M3416" s="374"/>
      <c r="N3416" s="374"/>
      <c r="O3416" s="374"/>
      <c r="P3416" s="374"/>
      <c r="Q3416" s="374"/>
      <c r="R3416" s="375"/>
      <c r="S3416" s="376"/>
      <c r="T3416" s="377"/>
      <c r="U3416" s="378"/>
      <c r="V3416" s="379">
        <f ca="1">SUM(V3407:V3415)</f>
        <v>0</v>
      </c>
      <c r="W3416" s="256">
        <f t="shared" ca="1" si="923"/>
        <v>1</v>
      </c>
      <c r="X3416" s="256">
        <f t="shared" ca="1" si="914"/>
        <v>0</v>
      </c>
      <c r="Y3416" s="250"/>
      <c r="Z3416" s="250"/>
    </row>
    <row r="3417" spans="1:29" s="293" customFormat="1" ht="15.75" hidden="1" customHeight="1" x14ac:dyDescent="0.25">
      <c r="A3417" s="288"/>
      <c r="B3417" s="1374" t="str">
        <f>VLOOKUP(A3425,'11 - FINANCEIRO'!_xlnm.Print_Area,1,FALSE)</f>
        <v>4.5.13</v>
      </c>
      <c r="C3417" s="1376" t="str">
        <f>VLOOKUP(A3425,'11 - FINANCEIRO'!_xlnm.Print_Area,3,FALSE)</f>
        <v>Servico De Bombeamento De Concreto Com Consumo Minimo De 40 M3</v>
      </c>
      <c r="D3417" s="1378" t="s">
        <v>477</v>
      </c>
      <c r="E3417" s="1379"/>
      <c r="F3417" s="1379"/>
      <c r="G3417" s="1379"/>
      <c r="H3417" s="1379"/>
      <c r="I3417" s="1380"/>
      <c r="J3417" s="1338" t="s">
        <v>478</v>
      </c>
      <c r="K3417" s="1338" t="s">
        <v>479</v>
      </c>
      <c r="L3417" s="1338" t="s">
        <v>480</v>
      </c>
      <c r="M3417" s="1338" t="s">
        <v>481</v>
      </c>
      <c r="N3417" s="1338" t="s">
        <v>482</v>
      </c>
      <c r="O3417" s="1338" t="s">
        <v>483</v>
      </c>
      <c r="P3417" s="290" t="s">
        <v>484</v>
      </c>
      <c r="Q3417" s="1338" t="s">
        <v>485</v>
      </c>
      <c r="R3417" s="1336" t="s">
        <v>296</v>
      </c>
      <c r="S3417" s="1338" t="s">
        <v>486</v>
      </c>
      <c r="T3417" s="1338" t="s">
        <v>487</v>
      </c>
      <c r="U3417" s="1340" t="s">
        <v>488</v>
      </c>
      <c r="V3417" s="291">
        <f t="shared" ref="V3417:V3425" ca="1" si="924">IF(OFFSET(V3417,1,1)=1,OFFSET(V3417,0,-4),OFFSET(V3417,1,0))</f>
        <v>0</v>
      </c>
      <c r="W3417" s="256">
        <f t="shared" ca="1" si="923"/>
        <v>2</v>
      </c>
      <c r="X3417" s="256">
        <f t="shared" ca="1" si="914"/>
        <v>1</v>
      </c>
      <c r="Y3417" s="256"/>
      <c r="Z3417" s="256"/>
      <c r="AA3417" s="292"/>
      <c r="AB3417" s="292"/>
      <c r="AC3417" s="292"/>
    </row>
    <row r="3418" spans="1:29" s="337" customFormat="1" ht="15.75" hidden="1" x14ac:dyDescent="0.2">
      <c r="A3418" s="288"/>
      <c r="B3418" s="1375"/>
      <c r="C3418" s="1377" t="e">
        <f>VLOOKUP(LEFT(#REF!,5),'11 - FINANCEIRO'!_xlnm.Print_Area,2,FALSE)</f>
        <v>#REF!</v>
      </c>
      <c r="D3418" s="1342" t="s">
        <v>489</v>
      </c>
      <c r="E3418" s="1343"/>
      <c r="F3418" s="1344"/>
      <c r="G3418" s="1345" t="s">
        <v>490</v>
      </c>
      <c r="H3418" s="1346"/>
      <c r="I3418" s="1347"/>
      <c r="J3418" s="1339"/>
      <c r="K3418" s="1339"/>
      <c r="L3418" s="1339"/>
      <c r="M3418" s="1339"/>
      <c r="N3418" s="1339"/>
      <c r="O3418" s="1339"/>
      <c r="P3418" s="295" t="s">
        <v>491</v>
      </c>
      <c r="Q3418" s="1339"/>
      <c r="R3418" s="1337"/>
      <c r="S3418" s="1339"/>
      <c r="T3418" s="1339"/>
      <c r="U3418" s="1341"/>
      <c r="V3418" s="291">
        <f t="shared" ca="1" si="924"/>
        <v>0</v>
      </c>
      <c r="W3418" s="256">
        <f t="shared" ca="1" si="923"/>
        <v>2</v>
      </c>
      <c r="X3418" s="256">
        <f t="shared" ca="1" si="914"/>
        <v>1</v>
      </c>
      <c r="Y3418" s="336"/>
      <c r="Z3418" s="336"/>
    </row>
    <row r="3419" spans="1:29" s="337" customFormat="1" ht="15.75" hidden="1" x14ac:dyDescent="0.2">
      <c r="A3419" s="288"/>
      <c r="B3419" s="296"/>
      <c r="C3419" s="297" t="s">
        <v>997</v>
      </c>
      <c r="D3419" s="298"/>
      <c r="E3419" s="299"/>
      <c r="F3419" s="300"/>
      <c r="G3419" s="301"/>
      <c r="H3419" s="302"/>
      <c r="I3419" s="303"/>
      <c r="J3419" s="304"/>
      <c r="K3419" s="304"/>
      <c r="L3419" s="304"/>
      <c r="M3419" s="304"/>
      <c r="N3419" s="304"/>
      <c r="O3419" s="304"/>
      <c r="P3419" s="306"/>
      <c r="Q3419" s="304"/>
      <c r="R3419" s="307">
        <f>R3409</f>
        <v>3.4079999999999999</v>
      </c>
      <c r="S3419" s="304"/>
      <c r="T3419" s="309">
        <v>25</v>
      </c>
      <c r="U3419" s="310"/>
      <c r="V3419" s="291">
        <f t="shared" ca="1" si="924"/>
        <v>0</v>
      </c>
      <c r="W3419" s="256">
        <f t="shared" ca="1" si="923"/>
        <v>2</v>
      </c>
      <c r="X3419" s="256">
        <f t="shared" ca="1" si="914"/>
        <v>1</v>
      </c>
      <c r="Y3419" s="336"/>
      <c r="Z3419" s="336"/>
    </row>
    <row r="3420" spans="1:29" s="111" customFormat="1" ht="15.75" hidden="1" x14ac:dyDescent="0.2">
      <c r="A3420" s="288"/>
      <c r="B3420" s="311"/>
      <c r="C3420" s="312" t="s">
        <v>998</v>
      </c>
      <c r="D3420" s="313"/>
      <c r="E3420" s="314"/>
      <c r="F3420" s="315"/>
      <c r="G3420" s="380"/>
      <c r="H3420" s="316"/>
      <c r="I3420" s="381"/>
      <c r="J3420" s="317"/>
      <c r="K3420" s="313"/>
      <c r="L3420" s="317"/>
      <c r="M3420" s="315"/>
      <c r="N3420" s="314"/>
      <c r="O3420" s="313"/>
      <c r="P3420" s="318"/>
      <c r="Q3420" s="315"/>
      <c r="R3420" s="319">
        <f>R3410</f>
        <v>7.0919999999999996</v>
      </c>
      <c r="S3420" s="317"/>
      <c r="T3420" s="320">
        <v>25</v>
      </c>
      <c r="U3420" s="321"/>
      <c r="V3420" s="291">
        <f t="shared" ca="1" si="924"/>
        <v>0</v>
      </c>
      <c r="W3420" s="256">
        <f t="shared" ca="1" si="923"/>
        <v>2</v>
      </c>
      <c r="X3420" s="256">
        <f t="shared" ca="1" si="914"/>
        <v>1</v>
      </c>
      <c r="Y3420" s="250"/>
      <c r="Z3420" s="250"/>
    </row>
    <row r="3421" spans="1:29" s="111" customFormat="1" ht="15" hidden="1" x14ac:dyDescent="0.2">
      <c r="A3421" s="288"/>
      <c r="B3421" s="322"/>
      <c r="C3421" s="382"/>
      <c r="D3421" s="324"/>
      <c r="E3421" s="325"/>
      <c r="F3421" s="326"/>
      <c r="G3421" s="324"/>
      <c r="H3421" s="325"/>
      <c r="I3421" s="326"/>
      <c r="J3421" s="317"/>
      <c r="K3421" s="328"/>
      <c r="L3421" s="328"/>
      <c r="M3421" s="328"/>
      <c r="N3421" s="328"/>
      <c r="O3421" s="334"/>
      <c r="P3421" s="328"/>
      <c r="Q3421" s="334"/>
      <c r="R3421" s="333"/>
      <c r="S3421" s="331"/>
      <c r="T3421" s="320"/>
      <c r="U3421" s="335"/>
      <c r="V3421" s="291">
        <f t="shared" ca="1" si="924"/>
        <v>0</v>
      </c>
      <c r="W3421" s="256">
        <f t="shared" ca="1" si="923"/>
        <v>0</v>
      </c>
      <c r="X3421" s="256">
        <f t="shared" ca="1" si="914"/>
        <v>1</v>
      </c>
      <c r="Y3421" s="250"/>
      <c r="Z3421" s="250"/>
    </row>
    <row r="3422" spans="1:29" s="111" customFormat="1" ht="15" hidden="1" x14ac:dyDescent="0.2">
      <c r="A3422" s="288"/>
      <c r="B3422" s="338"/>
      <c r="C3422" s="339"/>
      <c r="D3422" s="340"/>
      <c r="E3422" s="341"/>
      <c r="F3422" s="342"/>
      <c r="G3422" s="340"/>
      <c r="H3422" s="341"/>
      <c r="I3422" s="342"/>
      <c r="J3422" s="343"/>
      <c r="K3422" s="344"/>
      <c r="L3422" s="345"/>
      <c r="M3422" s="346"/>
      <c r="N3422" s="347"/>
      <c r="O3422" s="348"/>
      <c r="P3422" s="345"/>
      <c r="Q3422" s="349"/>
      <c r="R3422" s="350"/>
      <c r="S3422" s="351"/>
      <c r="T3422" s="352"/>
      <c r="U3422" s="353"/>
      <c r="V3422" s="291">
        <f t="shared" ca="1" si="924"/>
        <v>0</v>
      </c>
      <c r="W3422" s="256">
        <f t="shared" ca="1" si="923"/>
        <v>0</v>
      </c>
      <c r="X3422" s="256">
        <f t="shared" ca="1" si="914"/>
        <v>1</v>
      </c>
      <c r="Y3422" s="250"/>
      <c r="Z3422" s="250"/>
    </row>
    <row r="3423" spans="1:29" s="111" customFormat="1" ht="15.75" hidden="1" customHeight="1" x14ac:dyDescent="0.2">
      <c r="A3423" s="288"/>
      <c r="B3423" s="354"/>
      <c r="C3423" s="355"/>
      <c r="D3423" s="1354" t="s">
        <v>492</v>
      </c>
      <c r="E3423" s="1355"/>
      <c r="F3423" s="1355"/>
      <c r="G3423" s="1355"/>
      <c r="H3423" s="1355"/>
      <c r="I3423" s="1356"/>
      <c r="J3423" s="1357">
        <f>VLOOKUP(A3425,'11 - FINANCEIRO'!_xlnm.Print_Area,6,FALSE)</f>
        <v>10.5</v>
      </c>
      <c r="K3423" s="1358"/>
      <c r="L3423" s="356" t="str">
        <f>VLOOKUP(A3425,'11 - FINANCEIRO'!_xlnm.Print_Area,4,FALSE)</f>
        <v xml:space="preserve">m³    </v>
      </c>
      <c r="M3423" s="1359" t="s">
        <v>493</v>
      </c>
      <c r="N3423" s="1360"/>
      <c r="O3423" s="1360"/>
      <c r="P3423" s="1360"/>
      <c r="Q3423" s="1361"/>
      <c r="R3423" s="357">
        <f>TRUNC(SUM(R3419:R3422),3)</f>
        <v>10.5</v>
      </c>
      <c r="S3423" s="358" t="str">
        <f>L3423</f>
        <v xml:space="preserve">m³    </v>
      </c>
      <c r="T3423" s="359"/>
      <c r="U3423" s="360"/>
      <c r="V3423" s="291">
        <f t="shared" ca="1" si="924"/>
        <v>0</v>
      </c>
      <c r="W3423" s="256">
        <f t="shared" ca="1" si="923"/>
        <v>2</v>
      </c>
      <c r="X3423" s="256">
        <f t="shared" ca="1" si="914"/>
        <v>1</v>
      </c>
      <c r="Y3423" s="250"/>
      <c r="Z3423" s="250"/>
    </row>
    <row r="3424" spans="1:29" s="395" customFormat="1" ht="15.75" hidden="1" customHeight="1" x14ac:dyDescent="0.2">
      <c r="A3424" s="276"/>
      <c r="B3424" s="354"/>
      <c r="C3424" s="361"/>
      <c r="D3424" s="1362" t="s">
        <v>494</v>
      </c>
      <c r="E3424" s="1363"/>
      <c r="F3424" s="1363"/>
      <c r="G3424" s="1363"/>
      <c r="H3424" s="1363"/>
      <c r="I3424" s="1364"/>
      <c r="J3424" s="1365">
        <f>R3423/J3423</f>
        <v>1</v>
      </c>
      <c r="K3424" s="1366"/>
      <c r="L3424" s="1369"/>
      <c r="M3424" s="1371" t="s">
        <v>495</v>
      </c>
      <c r="N3424" s="1372"/>
      <c r="O3424" s="1372"/>
      <c r="P3424" s="1372"/>
      <c r="Q3424" s="1373"/>
      <c r="R3424" s="362">
        <f>VLOOKUP(A3425,'11 - FINANCEIRO'!_xlnm.Print_Area,8,FALSE)</f>
        <v>10.5</v>
      </c>
      <c r="S3424" s="363" t="str">
        <f>L3423</f>
        <v xml:space="preserve">m³    </v>
      </c>
      <c r="T3424" s="359"/>
      <c r="U3424" s="360"/>
      <c r="V3424" s="291">
        <f t="shared" ca="1" si="924"/>
        <v>0</v>
      </c>
      <c r="W3424" s="256">
        <f t="shared" ca="1" si="923"/>
        <v>2</v>
      </c>
      <c r="X3424" s="256">
        <f t="shared" ca="1" si="914"/>
        <v>1</v>
      </c>
    </row>
    <row r="3425" spans="1:29" s="293" customFormat="1" ht="15.75" hidden="1" customHeight="1" x14ac:dyDescent="0.2">
      <c r="A3425" s="288" t="s">
        <v>219</v>
      </c>
      <c r="B3425" s="364"/>
      <c r="C3425" s="365"/>
      <c r="D3425" s="1354"/>
      <c r="E3425" s="1355"/>
      <c r="F3425" s="1355"/>
      <c r="G3425" s="1355"/>
      <c r="H3425" s="1355"/>
      <c r="I3425" s="1356"/>
      <c r="J3425" s="1367"/>
      <c r="K3425" s="1368"/>
      <c r="L3425" s="1370"/>
      <c r="M3425" s="1371" t="s">
        <v>496</v>
      </c>
      <c r="N3425" s="1372"/>
      <c r="O3425" s="1372"/>
      <c r="P3425" s="1372"/>
      <c r="Q3425" s="1373"/>
      <c r="R3425" s="362">
        <f>R3423-R3424</f>
        <v>0</v>
      </c>
      <c r="S3425" s="363" t="str">
        <f>L3423</f>
        <v xml:space="preserve">m³    </v>
      </c>
      <c r="T3425" s="366"/>
      <c r="U3425" s="367"/>
      <c r="V3425" s="291">
        <f t="shared" ca="1" si="924"/>
        <v>0</v>
      </c>
      <c r="W3425" s="256">
        <f t="shared" ca="1" si="923"/>
        <v>2</v>
      </c>
      <c r="X3425" s="256">
        <f t="shared" ca="1" si="914"/>
        <v>1</v>
      </c>
      <c r="Y3425" s="256"/>
      <c r="Z3425" s="256"/>
      <c r="AA3425" s="292"/>
      <c r="AB3425" s="292"/>
      <c r="AC3425" s="292"/>
    </row>
    <row r="3426" spans="1:29" s="111" customFormat="1" ht="15.75" hidden="1" x14ac:dyDescent="0.2">
      <c r="A3426" s="288"/>
      <c r="B3426" s="368"/>
      <c r="C3426" s="365"/>
      <c r="D3426" s="369"/>
      <c r="E3426" s="370"/>
      <c r="F3426" s="369"/>
      <c r="G3426" s="369"/>
      <c r="H3426" s="369"/>
      <c r="I3426" s="369"/>
      <c r="J3426" s="371"/>
      <c r="K3426" s="372"/>
      <c r="L3426" s="373"/>
      <c r="M3426" s="374"/>
      <c r="N3426" s="374"/>
      <c r="O3426" s="374"/>
      <c r="P3426" s="374"/>
      <c r="Q3426" s="374"/>
      <c r="R3426" s="375"/>
      <c r="S3426" s="376"/>
      <c r="T3426" s="377"/>
      <c r="U3426" s="378"/>
      <c r="V3426" s="379">
        <f ca="1">SUM(V3417:V3425)</f>
        <v>0</v>
      </c>
      <c r="W3426" s="256">
        <f t="shared" ca="1" si="923"/>
        <v>1</v>
      </c>
      <c r="X3426" s="256">
        <f t="shared" ca="1" si="914"/>
        <v>0</v>
      </c>
      <c r="Y3426" s="250"/>
      <c r="Z3426" s="250"/>
    </row>
    <row r="3427" spans="1:29" s="293" customFormat="1" ht="15.75" x14ac:dyDescent="0.2">
      <c r="A3427" s="288"/>
      <c r="B3427" s="385" t="str">
        <f>LEFT(A3436,3)</f>
        <v>4.6</v>
      </c>
      <c r="C3427" s="386" t="str">
        <f>VLOOKUP(A3435,'11 - FINANCEIRO'!_xlnm.Print_Area,2,FALSE)</f>
        <v>Passarela Sales</v>
      </c>
      <c r="D3427" s="386"/>
      <c r="E3427" s="387"/>
      <c r="F3427" s="386"/>
      <c r="G3427" s="1395"/>
      <c r="H3427" s="1395"/>
      <c r="I3427" s="1395"/>
      <c r="J3427" s="1395"/>
      <c r="K3427" s="1395"/>
      <c r="L3427" s="1395"/>
      <c r="M3427" s="389"/>
      <c r="N3427" s="390"/>
      <c r="O3427" s="389"/>
      <c r="P3427" s="389"/>
      <c r="Q3427" s="389"/>
      <c r="R3427" s="390"/>
      <c r="S3427" s="389"/>
      <c r="T3427" s="389"/>
      <c r="U3427" s="601"/>
      <c r="V3427" s="549">
        <f ca="1">SUM(V3428:V3557)</f>
        <v>583.56000000000017</v>
      </c>
      <c r="W3427" s="256">
        <f t="shared" ca="1" si="923"/>
        <v>1</v>
      </c>
      <c r="X3427" s="256">
        <f t="shared" ca="1" si="914"/>
        <v>1</v>
      </c>
      <c r="Y3427" s="256"/>
      <c r="Z3427" s="256"/>
      <c r="AA3427" s="292"/>
      <c r="AB3427" s="292"/>
      <c r="AC3427" s="292"/>
    </row>
    <row r="3428" spans="1:29" s="293" customFormat="1" ht="15.75" hidden="1" customHeight="1" x14ac:dyDescent="0.25">
      <c r="A3428" s="288"/>
      <c r="B3428" s="1374" t="str">
        <f>VLOOKUP(A3436,'11 - FINANCEIRO'!_xlnm.Print_Area,1,FALSE)</f>
        <v>4.6.1</v>
      </c>
      <c r="C3428" s="1376" t="str">
        <f>VLOOKUP(A3436,'11 - FINANCEIRO'!_xlnm.Print_Area,3,FALSE)</f>
        <v>Preparo E Regularização De Terreno Em Desnível</v>
      </c>
      <c r="D3428" s="1378" t="s">
        <v>477</v>
      </c>
      <c r="E3428" s="1379"/>
      <c r="F3428" s="1379"/>
      <c r="G3428" s="1379"/>
      <c r="H3428" s="1379"/>
      <c r="I3428" s="1380"/>
      <c r="J3428" s="1338" t="s">
        <v>478</v>
      </c>
      <c r="K3428" s="1338" t="s">
        <v>479</v>
      </c>
      <c r="L3428" s="1338" t="s">
        <v>480</v>
      </c>
      <c r="M3428" s="1338" t="s">
        <v>481</v>
      </c>
      <c r="N3428" s="1338" t="s">
        <v>482</v>
      </c>
      <c r="O3428" s="1338" t="s">
        <v>483</v>
      </c>
      <c r="P3428" s="290" t="s">
        <v>484</v>
      </c>
      <c r="Q3428" s="1338" t="s">
        <v>485</v>
      </c>
      <c r="R3428" s="1336" t="s">
        <v>296</v>
      </c>
      <c r="S3428" s="1338" t="s">
        <v>486</v>
      </c>
      <c r="T3428" s="1338" t="s">
        <v>487</v>
      </c>
      <c r="U3428" s="1340" t="s">
        <v>488</v>
      </c>
      <c r="V3428" s="291">
        <f t="shared" ref="V3428:V3436" ca="1" si="925">IF(OFFSET(V3428,1,1)=1,OFFSET(V3428,0,-4),OFFSET(V3428,1,0))</f>
        <v>0</v>
      </c>
      <c r="W3428" s="256">
        <f t="shared" ca="1" si="923"/>
        <v>2</v>
      </c>
      <c r="X3428" s="256">
        <f t="shared" ca="1" si="914"/>
        <v>1</v>
      </c>
      <c r="Y3428" s="256"/>
      <c r="Z3428" s="256"/>
      <c r="AA3428" s="292"/>
      <c r="AB3428" s="292"/>
      <c r="AC3428" s="292"/>
    </row>
    <row r="3429" spans="1:29" s="337" customFormat="1" ht="15.75" hidden="1" x14ac:dyDescent="0.2">
      <c r="A3429" s="288"/>
      <c r="B3429" s="1375"/>
      <c r="C3429" s="1377" t="e">
        <f>VLOOKUP(LEFT(#REF!,5),'11 - FINANCEIRO'!_xlnm.Print_Area,2,FALSE)</f>
        <v>#REF!</v>
      </c>
      <c r="D3429" s="1342" t="s">
        <v>489</v>
      </c>
      <c r="E3429" s="1343"/>
      <c r="F3429" s="1344"/>
      <c r="G3429" s="1345" t="s">
        <v>490</v>
      </c>
      <c r="H3429" s="1346"/>
      <c r="I3429" s="1347"/>
      <c r="J3429" s="1339"/>
      <c r="K3429" s="1339"/>
      <c r="L3429" s="1339"/>
      <c r="M3429" s="1339"/>
      <c r="N3429" s="1339"/>
      <c r="O3429" s="1339"/>
      <c r="P3429" s="295" t="s">
        <v>491</v>
      </c>
      <c r="Q3429" s="1339"/>
      <c r="R3429" s="1337"/>
      <c r="S3429" s="1339"/>
      <c r="T3429" s="1339"/>
      <c r="U3429" s="1341"/>
      <c r="V3429" s="291">
        <f t="shared" ca="1" si="925"/>
        <v>0</v>
      </c>
      <c r="W3429" s="256">
        <f t="shared" ca="1" si="923"/>
        <v>2</v>
      </c>
      <c r="X3429" s="256">
        <f t="shared" ca="1" si="914"/>
        <v>1</v>
      </c>
      <c r="Y3429" s="336"/>
      <c r="Z3429" s="336"/>
    </row>
    <row r="3430" spans="1:29" s="337" customFormat="1" ht="15.75" hidden="1" x14ac:dyDescent="0.2">
      <c r="A3430" s="288"/>
      <c r="B3430" s="296"/>
      <c r="C3430" s="297" t="s">
        <v>1209</v>
      </c>
      <c r="D3430" s="298"/>
      <c r="E3430" s="299"/>
      <c r="F3430" s="300"/>
      <c r="G3430" s="301"/>
      <c r="H3430" s="302"/>
      <c r="I3430" s="303"/>
      <c r="J3430" s="304"/>
      <c r="K3430" s="304"/>
      <c r="L3430" s="304"/>
      <c r="M3430" s="304"/>
      <c r="N3430" s="304"/>
      <c r="O3430" s="304"/>
      <c r="P3430" s="306"/>
      <c r="Q3430" s="304"/>
      <c r="R3430" s="307">
        <v>400</v>
      </c>
      <c r="S3430" s="304"/>
      <c r="T3430" s="309">
        <v>37</v>
      </c>
      <c r="U3430" s="310"/>
      <c r="V3430" s="291">
        <f t="shared" ca="1" si="925"/>
        <v>0</v>
      </c>
      <c r="W3430" s="256">
        <f t="shared" ca="1" si="923"/>
        <v>2</v>
      </c>
      <c r="X3430" s="256">
        <f t="shared" ca="1" si="914"/>
        <v>1</v>
      </c>
      <c r="Y3430" s="336"/>
      <c r="Z3430" s="336"/>
    </row>
    <row r="3431" spans="1:29" s="111" customFormat="1" ht="15.75" hidden="1" x14ac:dyDescent="0.2">
      <c r="A3431" s="288"/>
      <c r="B3431" s="311"/>
      <c r="C3431" s="312"/>
      <c r="D3431" s="313"/>
      <c r="E3431" s="314"/>
      <c r="F3431" s="315"/>
      <c r="G3431" s="380"/>
      <c r="H3431" s="316"/>
      <c r="I3431" s="381"/>
      <c r="J3431" s="317"/>
      <c r="K3431" s="313"/>
      <c r="L3431" s="317"/>
      <c r="M3431" s="315"/>
      <c r="N3431" s="314"/>
      <c r="O3431" s="313"/>
      <c r="P3431" s="318"/>
      <c r="Q3431" s="315"/>
      <c r="R3431" s="319"/>
      <c r="S3431" s="317"/>
      <c r="T3431" s="320"/>
      <c r="U3431" s="321"/>
      <c r="V3431" s="291">
        <f t="shared" ca="1" si="925"/>
        <v>0</v>
      </c>
      <c r="W3431" s="256">
        <f t="shared" ca="1" si="923"/>
        <v>0</v>
      </c>
      <c r="X3431" s="256">
        <f t="shared" ca="1" si="914"/>
        <v>1</v>
      </c>
      <c r="Y3431" s="250"/>
      <c r="Z3431" s="250"/>
    </row>
    <row r="3432" spans="1:29" s="111" customFormat="1" ht="15" hidden="1" x14ac:dyDescent="0.2">
      <c r="A3432" s="288"/>
      <c r="B3432" s="322"/>
      <c r="C3432" s="382"/>
      <c r="D3432" s="324"/>
      <c r="E3432" s="325"/>
      <c r="F3432" s="326"/>
      <c r="G3432" s="324"/>
      <c r="H3432" s="325"/>
      <c r="I3432" s="326"/>
      <c r="J3432" s="317"/>
      <c r="K3432" s="328"/>
      <c r="L3432" s="328"/>
      <c r="M3432" s="328"/>
      <c r="N3432" s="328"/>
      <c r="O3432" s="334"/>
      <c r="P3432" s="328"/>
      <c r="Q3432" s="334"/>
      <c r="R3432" s="333"/>
      <c r="S3432" s="331"/>
      <c r="T3432" s="320"/>
      <c r="U3432" s="335"/>
      <c r="V3432" s="291">
        <f t="shared" ca="1" si="925"/>
        <v>0</v>
      </c>
      <c r="W3432" s="256">
        <f t="shared" ca="1" si="923"/>
        <v>0</v>
      </c>
      <c r="X3432" s="256">
        <f t="shared" ca="1" si="914"/>
        <v>1</v>
      </c>
      <c r="Y3432" s="250"/>
      <c r="Z3432" s="250"/>
    </row>
    <row r="3433" spans="1:29" s="111" customFormat="1" ht="15" hidden="1" x14ac:dyDescent="0.2">
      <c r="A3433" s="288"/>
      <c r="B3433" s="338"/>
      <c r="C3433" s="339"/>
      <c r="D3433" s="340"/>
      <c r="E3433" s="341"/>
      <c r="F3433" s="342"/>
      <c r="G3433" s="340"/>
      <c r="H3433" s="341"/>
      <c r="I3433" s="342"/>
      <c r="J3433" s="343"/>
      <c r="K3433" s="344"/>
      <c r="L3433" s="345"/>
      <c r="M3433" s="346"/>
      <c r="N3433" s="347"/>
      <c r="O3433" s="348"/>
      <c r="P3433" s="345"/>
      <c r="Q3433" s="349"/>
      <c r="R3433" s="350"/>
      <c r="S3433" s="351"/>
      <c r="T3433" s="352"/>
      <c r="U3433" s="353"/>
      <c r="V3433" s="291">
        <f t="shared" ca="1" si="925"/>
        <v>0</v>
      </c>
      <c r="W3433" s="256">
        <f t="shared" ca="1" si="923"/>
        <v>0</v>
      </c>
      <c r="X3433" s="256">
        <f t="shared" ca="1" si="914"/>
        <v>1</v>
      </c>
      <c r="Y3433" s="250"/>
      <c r="Z3433" s="250"/>
    </row>
    <row r="3434" spans="1:29" s="111" customFormat="1" ht="15.75" hidden="1" customHeight="1" x14ac:dyDescent="0.2">
      <c r="A3434" s="288"/>
      <c r="B3434" s="354"/>
      <c r="C3434" s="355"/>
      <c r="D3434" s="1354" t="s">
        <v>492</v>
      </c>
      <c r="E3434" s="1355"/>
      <c r="F3434" s="1355"/>
      <c r="G3434" s="1355"/>
      <c r="H3434" s="1355"/>
      <c r="I3434" s="1356"/>
      <c r="J3434" s="1357">
        <f>VLOOKUP(A3436,'11 - FINANCEIRO'!_xlnm.Print_Area,6,FALSE)</f>
        <v>400</v>
      </c>
      <c r="K3434" s="1358"/>
      <c r="L3434" s="356" t="str">
        <f>VLOOKUP(A3436,'11 - FINANCEIRO'!_xlnm.Print_Area,4,FALSE)</f>
        <v>m²</v>
      </c>
      <c r="M3434" s="1359" t="s">
        <v>493</v>
      </c>
      <c r="N3434" s="1360"/>
      <c r="O3434" s="1360"/>
      <c r="P3434" s="1360"/>
      <c r="Q3434" s="1361"/>
      <c r="R3434" s="357">
        <f>TRUNC(SUM(R3430:R3433),3)</f>
        <v>400</v>
      </c>
      <c r="S3434" s="358" t="str">
        <f>L3434</f>
        <v>m²</v>
      </c>
      <c r="T3434" s="359"/>
      <c r="U3434" s="360"/>
      <c r="V3434" s="291">
        <f t="shared" ca="1" si="925"/>
        <v>0</v>
      </c>
      <c r="W3434" s="256">
        <f t="shared" ca="1" si="923"/>
        <v>2</v>
      </c>
      <c r="X3434" s="256">
        <f t="shared" ca="1" si="914"/>
        <v>1</v>
      </c>
      <c r="Y3434" s="250"/>
      <c r="Z3434" s="250"/>
    </row>
    <row r="3435" spans="1:29" s="293" customFormat="1" ht="15.75" hidden="1" customHeight="1" x14ac:dyDescent="0.2">
      <c r="A3435" s="288" t="s">
        <v>220</v>
      </c>
      <c r="B3435" s="354"/>
      <c r="C3435" s="361"/>
      <c r="D3435" s="1362" t="s">
        <v>494</v>
      </c>
      <c r="E3435" s="1363"/>
      <c r="F3435" s="1363"/>
      <c r="G3435" s="1363"/>
      <c r="H3435" s="1363"/>
      <c r="I3435" s="1364"/>
      <c r="J3435" s="1365">
        <f>R3434/J3434</f>
        <v>1</v>
      </c>
      <c r="K3435" s="1366"/>
      <c r="L3435" s="1369"/>
      <c r="M3435" s="1371" t="s">
        <v>495</v>
      </c>
      <c r="N3435" s="1372"/>
      <c r="O3435" s="1372"/>
      <c r="P3435" s="1372"/>
      <c r="Q3435" s="1373"/>
      <c r="R3435" s="362">
        <f>VLOOKUP(A3436,'11 - FINANCEIRO'!_xlnm.Print_Area,8,FALSE)</f>
        <v>400</v>
      </c>
      <c r="S3435" s="363" t="str">
        <f>L3434</f>
        <v>m²</v>
      </c>
      <c r="T3435" s="359"/>
      <c r="U3435" s="360"/>
      <c r="V3435" s="291">
        <f t="shared" ca="1" si="925"/>
        <v>0</v>
      </c>
      <c r="W3435" s="256">
        <f t="shared" ca="1" si="923"/>
        <v>2</v>
      </c>
      <c r="X3435" s="256">
        <f t="shared" ca="1" si="914"/>
        <v>1</v>
      </c>
      <c r="Y3435" s="256"/>
      <c r="Z3435" s="256"/>
      <c r="AA3435" s="292"/>
      <c r="AB3435" s="292"/>
      <c r="AC3435" s="292"/>
    </row>
    <row r="3436" spans="1:29" s="293" customFormat="1" ht="15.75" hidden="1" customHeight="1" x14ac:dyDescent="0.2">
      <c r="A3436" s="288" t="s">
        <v>221</v>
      </c>
      <c r="B3436" s="364"/>
      <c r="C3436" s="365"/>
      <c r="D3436" s="1354"/>
      <c r="E3436" s="1355"/>
      <c r="F3436" s="1355"/>
      <c r="G3436" s="1355"/>
      <c r="H3436" s="1355"/>
      <c r="I3436" s="1356"/>
      <c r="J3436" s="1367"/>
      <c r="K3436" s="1368"/>
      <c r="L3436" s="1370"/>
      <c r="M3436" s="1371" t="s">
        <v>496</v>
      </c>
      <c r="N3436" s="1372"/>
      <c r="O3436" s="1372"/>
      <c r="P3436" s="1372"/>
      <c r="Q3436" s="1373"/>
      <c r="R3436" s="362">
        <f>R3434-R3435</f>
        <v>0</v>
      </c>
      <c r="S3436" s="363" t="str">
        <f>L3434</f>
        <v>m²</v>
      </c>
      <c r="T3436" s="366"/>
      <c r="U3436" s="367"/>
      <c r="V3436" s="291">
        <f t="shared" ca="1" si="925"/>
        <v>0</v>
      </c>
      <c r="W3436" s="256">
        <f t="shared" ca="1" si="923"/>
        <v>2</v>
      </c>
      <c r="X3436" s="256">
        <f t="shared" ca="1" si="914"/>
        <v>1</v>
      </c>
      <c r="Y3436" s="256"/>
      <c r="Z3436" s="256"/>
      <c r="AA3436" s="292"/>
      <c r="AB3436" s="292"/>
      <c r="AC3436" s="292"/>
    </row>
    <row r="3437" spans="1:29" s="111" customFormat="1" ht="15.75" hidden="1" x14ac:dyDescent="0.2">
      <c r="A3437" s="288"/>
      <c r="B3437" s="368"/>
      <c r="C3437" s="365"/>
      <c r="D3437" s="369"/>
      <c r="E3437" s="370"/>
      <c r="F3437" s="369"/>
      <c r="G3437" s="369"/>
      <c r="H3437" s="369"/>
      <c r="I3437" s="369"/>
      <c r="J3437" s="371"/>
      <c r="K3437" s="372"/>
      <c r="L3437" s="373"/>
      <c r="M3437" s="374"/>
      <c r="N3437" s="374"/>
      <c r="O3437" s="374"/>
      <c r="P3437" s="374"/>
      <c r="Q3437" s="374"/>
      <c r="R3437" s="375"/>
      <c r="S3437" s="376"/>
      <c r="T3437" s="377"/>
      <c r="U3437" s="378"/>
      <c r="V3437" s="379">
        <f ca="1">SUM(V3428:V3436)</f>
        <v>0</v>
      </c>
      <c r="W3437" s="256">
        <f t="shared" ca="1" si="923"/>
        <v>1</v>
      </c>
      <c r="X3437" s="256">
        <f t="shared" ref="X3437:X3500" ca="1" si="926">IF(COUNTA(OFFSET(A3436,1,0))-COUNTA(A3436)=-1,0,1)</f>
        <v>0</v>
      </c>
      <c r="Y3437" s="250"/>
      <c r="Z3437" s="250"/>
    </row>
    <row r="3438" spans="1:29" s="293" customFormat="1" ht="15.75" hidden="1" customHeight="1" x14ac:dyDescent="0.25">
      <c r="A3438" s="288"/>
      <c r="B3438" s="1374" t="str">
        <f>VLOOKUP(A3446,'11 - FINANCEIRO'!_xlnm.Print_Area,1,FALSE)</f>
        <v>4.6.2</v>
      </c>
      <c r="C3438" s="1376" t="str">
        <f>VLOOKUP(A3446,'11 - FINANCEIRO'!_xlnm.Print_Area,3,FALSE)</f>
        <v>Perfuratriz Com Torre Metálica Para Execução De Estaca Hélice Contínua, Profundidade Máxima De 32 M, Diâmetro Máximo De 1000 Mm, Potência Instalada De 350 Hp, Mesa Rotativa Com Torque Máximo De 263 Knm - Chi Diurno. Af_01/2016</v>
      </c>
      <c r="D3438" s="1378" t="s">
        <v>477</v>
      </c>
      <c r="E3438" s="1379"/>
      <c r="F3438" s="1379"/>
      <c r="G3438" s="1379"/>
      <c r="H3438" s="1379"/>
      <c r="I3438" s="1380"/>
      <c r="J3438" s="1338" t="s">
        <v>478</v>
      </c>
      <c r="K3438" s="1338" t="s">
        <v>479</v>
      </c>
      <c r="L3438" s="1338" t="s">
        <v>480</v>
      </c>
      <c r="M3438" s="1338" t="s">
        <v>481</v>
      </c>
      <c r="N3438" s="1338" t="s">
        <v>482</v>
      </c>
      <c r="O3438" s="1338" t="s">
        <v>483</v>
      </c>
      <c r="P3438" s="290" t="s">
        <v>484</v>
      </c>
      <c r="Q3438" s="1338" t="s">
        <v>485</v>
      </c>
      <c r="R3438" s="1336" t="s">
        <v>296</v>
      </c>
      <c r="S3438" s="1338" t="s">
        <v>486</v>
      </c>
      <c r="T3438" s="1338" t="s">
        <v>487</v>
      </c>
      <c r="U3438" s="1340" t="s">
        <v>488</v>
      </c>
      <c r="V3438" s="291">
        <f t="shared" ref="V3438:V3446" ca="1" si="927">IF(OFFSET(V3438,1,1)=1,OFFSET(V3438,0,-4),OFFSET(V3438,1,0))</f>
        <v>0</v>
      </c>
      <c r="W3438" s="256">
        <f t="shared" ca="1" si="923"/>
        <v>2</v>
      </c>
      <c r="X3438" s="256">
        <f t="shared" ca="1" si="926"/>
        <v>1</v>
      </c>
      <c r="Y3438" s="256"/>
      <c r="Z3438" s="256"/>
      <c r="AA3438" s="292"/>
      <c r="AB3438" s="292"/>
      <c r="AC3438" s="292"/>
    </row>
    <row r="3439" spans="1:29" s="337" customFormat="1" ht="15.75" hidden="1" x14ac:dyDescent="0.2">
      <c r="A3439" s="288"/>
      <c r="B3439" s="1375"/>
      <c r="C3439" s="1377" t="e">
        <f>VLOOKUP(LEFT(#REF!,5),'11 - FINANCEIRO'!_xlnm.Print_Area,2,FALSE)</f>
        <v>#REF!</v>
      </c>
      <c r="D3439" s="1342" t="s">
        <v>489</v>
      </c>
      <c r="E3439" s="1343"/>
      <c r="F3439" s="1344"/>
      <c r="G3439" s="1345" t="s">
        <v>490</v>
      </c>
      <c r="H3439" s="1346"/>
      <c r="I3439" s="1347"/>
      <c r="J3439" s="1339"/>
      <c r="K3439" s="1339"/>
      <c r="L3439" s="1339"/>
      <c r="M3439" s="1339"/>
      <c r="N3439" s="1339"/>
      <c r="O3439" s="1339"/>
      <c r="P3439" s="295" t="s">
        <v>491</v>
      </c>
      <c r="Q3439" s="1339"/>
      <c r="R3439" s="1337"/>
      <c r="S3439" s="1339"/>
      <c r="T3439" s="1339"/>
      <c r="U3439" s="1341"/>
      <c r="V3439" s="291">
        <f t="shared" ca="1" si="927"/>
        <v>0</v>
      </c>
      <c r="W3439" s="256">
        <f t="shared" ca="1" si="923"/>
        <v>2</v>
      </c>
      <c r="X3439" s="256">
        <f t="shared" ca="1" si="926"/>
        <v>1</v>
      </c>
      <c r="Y3439" s="336"/>
      <c r="Z3439" s="336"/>
    </row>
    <row r="3440" spans="1:29" s="337" customFormat="1" ht="15.75" hidden="1" x14ac:dyDescent="0.2">
      <c r="A3440" s="288"/>
      <c r="B3440" s="296"/>
      <c r="C3440" s="297"/>
      <c r="D3440" s="298"/>
      <c r="E3440" s="299"/>
      <c r="F3440" s="300"/>
      <c r="G3440" s="301"/>
      <c r="H3440" s="302"/>
      <c r="I3440" s="303"/>
      <c r="J3440" s="304"/>
      <c r="K3440" s="304"/>
      <c r="L3440" s="304"/>
      <c r="M3440" s="304"/>
      <c r="N3440" s="304"/>
      <c r="O3440" s="304"/>
      <c r="P3440" s="306"/>
      <c r="Q3440" s="304"/>
      <c r="R3440" s="307"/>
      <c r="S3440" s="304"/>
      <c r="T3440" s="309"/>
      <c r="U3440" s="310"/>
      <c r="V3440" s="291">
        <f t="shared" ca="1" si="927"/>
        <v>0</v>
      </c>
      <c r="W3440" s="256">
        <f t="shared" ca="1" si="923"/>
        <v>0</v>
      </c>
      <c r="X3440" s="256">
        <f t="shared" ca="1" si="926"/>
        <v>1</v>
      </c>
      <c r="Y3440" s="336"/>
      <c r="Z3440" s="336"/>
    </row>
    <row r="3441" spans="1:29" s="111" customFormat="1" ht="15.75" hidden="1" x14ac:dyDescent="0.2">
      <c r="A3441" s="288"/>
      <c r="B3441" s="311"/>
      <c r="C3441" s="312"/>
      <c r="D3441" s="313"/>
      <c r="E3441" s="314"/>
      <c r="F3441" s="315"/>
      <c r="G3441" s="380"/>
      <c r="H3441" s="316"/>
      <c r="I3441" s="381"/>
      <c r="J3441" s="317"/>
      <c r="K3441" s="313"/>
      <c r="L3441" s="317"/>
      <c r="M3441" s="315"/>
      <c r="N3441" s="314"/>
      <c r="O3441" s="313"/>
      <c r="P3441" s="318"/>
      <c r="Q3441" s="315"/>
      <c r="R3441" s="319"/>
      <c r="S3441" s="317"/>
      <c r="T3441" s="320"/>
      <c r="U3441" s="321"/>
      <c r="V3441" s="291">
        <f t="shared" ca="1" si="927"/>
        <v>0</v>
      </c>
      <c r="W3441" s="256">
        <f t="shared" ca="1" si="923"/>
        <v>0</v>
      </c>
      <c r="X3441" s="256">
        <f t="shared" ca="1" si="926"/>
        <v>1</v>
      </c>
      <c r="Y3441" s="250"/>
      <c r="Z3441" s="250"/>
    </row>
    <row r="3442" spans="1:29" s="111" customFormat="1" ht="15" hidden="1" x14ac:dyDescent="0.2">
      <c r="A3442" s="288"/>
      <c r="B3442" s="322"/>
      <c r="C3442" s="382"/>
      <c r="D3442" s="324"/>
      <c r="E3442" s="325"/>
      <c r="F3442" s="326"/>
      <c r="G3442" s="324"/>
      <c r="H3442" s="325"/>
      <c r="I3442" s="326"/>
      <c r="J3442" s="317"/>
      <c r="K3442" s="328"/>
      <c r="L3442" s="328"/>
      <c r="M3442" s="328"/>
      <c r="N3442" s="328"/>
      <c r="O3442" s="334"/>
      <c r="P3442" s="328"/>
      <c r="Q3442" s="334"/>
      <c r="R3442" s="333"/>
      <c r="S3442" s="331"/>
      <c r="T3442" s="320"/>
      <c r="U3442" s="335"/>
      <c r="V3442" s="291">
        <f t="shared" ca="1" si="927"/>
        <v>0</v>
      </c>
      <c r="W3442" s="256">
        <f t="shared" ca="1" si="923"/>
        <v>0</v>
      </c>
      <c r="X3442" s="256">
        <f t="shared" ca="1" si="926"/>
        <v>1</v>
      </c>
      <c r="Y3442" s="250"/>
      <c r="Z3442" s="250"/>
    </row>
    <row r="3443" spans="1:29" s="111" customFormat="1" ht="15" hidden="1" x14ac:dyDescent="0.2">
      <c r="A3443" s="288"/>
      <c r="B3443" s="338"/>
      <c r="C3443" s="339"/>
      <c r="D3443" s="340"/>
      <c r="E3443" s="341"/>
      <c r="F3443" s="342"/>
      <c r="G3443" s="340"/>
      <c r="H3443" s="341"/>
      <c r="I3443" s="342"/>
      <c r="J3443" s="343"/>
      <c r="K3443" s="344"/>
      <c r="L3443" s="345"/>
      <c r="M3443" s="346"/>
      <c r="N3443" s="347"/>
      <c r="O3443" s="348"/>
      <c r="P3443" s="345"/>
      <c r="Q3443" s="349"/>
      <c r="R3443" s="350"/>
      <c r="S3443" s="351"/>
      <c r="T3443" s="352"/>
      <c r="U3443" s="353"/>
      <c r="V3443" s="291">
        <f t="shared" ca="1" si="927"/>
        <v>0</v>
      </c>
      <c r="W3443" s="256">
        <f t="shared" ca="1" si="923"/>
        <v>0</v>
      </c>
      <c r="X3443" s="256">
        <f t="shared" ca="1" si="926"/>
        <v>1</v>
      </c>
      <c r="Y3443" s="250"/>
      <c r="Z3443" s="250"/>
    </row>
    <row r="3444" spans="1:29" s="111" customFormat="1" ht="15.75" hidden="1" customHeight="1" x14ac:dyDescent="0.2">
      <c r="A3444" s="288"/>
      <c r="B3444" s="354"/>
      <c r="C3444" s="355"/>
      <c r="D3444" s="1354" t="s">
        <v>492</v>
      </c>
      <c r="E3444" s="1355"/>
      <c r="F3444" s="1355"/>
      <c r="G3444" s="1355"/>
      <c r="H3444" s="1355"/>
      <c r="I3444" s="1356"/>
      <c r="J3444" s="1357">
        <f>VLOOKUP(A3446,'11 - FINANCEIRO'!_xlnm.Print_Area,6,FALSE)</f>
        <v>24</v>
      </c>
      <c r="K3444" s="1358"/>
      <c r="L3444" s="356" t="str">
        <f>VLOOKUP(A3446,'11 - FINANCEIRO'!_xlnm.Print_Area,4,FALSE)</f>
        <v>chi</v>
      </c>
      <c r="M3444" s="1359" t="s">
        <v>493</v>
      </c>
      <c r="N3444" s="1360"/>
      <c r="O3444" s="1360"/>
      <c r="P3444" s="1360"/>
      <c r="Q3444" s="1361"/>
      <c r="R3444" s="357">
        <f>TRUNC(SUM(R3440:R3443),3)</f>
        <v>0</v>
      </c>
      <c r="S3444" s="358" t="str">
        <f>L3444</f>
        <v>chi</v>
      </c>
      <c r="T3444" s="359"/>
      <c r="U3444" s="360"/>
      <c r="V3444" s="291">
        <f t="shared" ca="1" si="927"/>
        <v>0</v>
      </c>
      <c r="W3444" s="256">
        <f t="shared" ca="1" si="923"/>
        <v>2</v>
      </c>
      <c r="X3444" s="256">
        <f t="shared" ca="1" si="926"/>
        <v>1</v>
      </c>
      <c r="Y3444" s="250"/>
      <c r="Z3444" s="250"/>
    </row>
    <row r="3445" spans="1:29" s="293" customFormat="1" ht="15.75" hidden="1" customHeight="1" x14ac:dyDescent="0.2">
      <c r="A3445" s="288"/>
      <c r="B3445" s="354"/>
      <c r="C3445" s="361"/>
      <c r="D3445" s="1362" t="s">
        <v>494</v>
      </c>
      <c r="E3445" s="1363"/>
      <c r="F3445" s="1363"/>
      <c r="G3445" s="1363"/>
      <c r="H3445" s="1363"/>
      <c r="I3445" s="1364"/>
      <c r="J3445" s="1365">
        <f>R3444/J3444</f>
        <v>0</v>
      </c>
      <c r="K3445" s="1366"/>
      <c r="L3445" s="1369"/>
      <c r="M3445" s="1371" t="s">
        <v>495</v>
      </c>
      <c r="N3445" s="1372"/>
      <c r="O3445" s="1372"/>
      <c r="P3445" s="1372"/>
      <c r="Q3445" s="1373"/>
      <c r="R3445" s="362">
        <f>VLOOKUP(A3446,'11 - FINANCEIRO'!_xlnm.Print_Area,8,FALSE)</f>
        <v>0</v>
      </c>
      <c r="S3445" s="363" t="str">
        <f>L3444</f>
        <v>chi</v>
      </c>
      <c r="T3445" s="359"/>
      <c r="U3445" s="360"/>
      <c r="V3445" s="291">
        <f t="shared" ca="1" si="927"/>
        <v>0</v>
      </c>
      <c r="W3445" s="256">
        <f t="shared" ca="1" si="923"/>
        <v>2</v>
      </c>
      <c r="X3445" s="256">
        <f t="shared" ca="1" si="926"/>
        <v>1</v>
      </c>
      <c r="Y3445" s="256"/>
      <c r="Z3445" s="256"/>
      <c r="AA3445" s="292"/>
      <c r="AB3445" s="292"/>
      <c r="AC3445" s="292"/>
    </row>
    <row r="3446" spans="1:29" s="293" customFormat="1" ht="15.75" hidden="1" customHeight="1" x14ac:dyDescent="0.2">
      <c r="A3446" s="288" t="s">
        <v>222</v>
      </c>
      <c r="B3446" s="364"/>
      <c r="C3446" s="365"/>
      <c r="D3446" s="1354"/>
      <c r="E3446" s="1355"/>
      <c r="F3446" s="1355"/>
      <c r="G3446" s="1355"/>
      <c r="H3446" s="1355"/>
      <c r="I3446" s="1356"/>
      <c r="J3446" s="1367"/>
      <c r="K3446" s="1368"/>
      <c r="L3446" s="1370"/>
      <c r="M3446" s="1371" t="s">
        <v>496</v>
      </c>
      <c r="N3446" s="1372"/>
      <c r="O3446" s="1372"/>
      <c r="P3446" s="1372"/>
      <c r="Q3446" s="1373"/>
      <c r="R3446" s="362">
        <f>R3444-R3445</f>
        <v>0</v>
      </c>
      <c r="S3446" s="363" t="str">
        <f>L3444</f>
        <v>chi</v>
      </c>
      <c r="T3446" s="366"/>
      <c r="U3446" s="367"/>
      <c r="V3446" s="291">
        <f t="shared" ca="1" si="927"/>
        <v>0</v>
      </c>
      <c r="W3446" s="256">
        <f t="shared" ca="1" si="923"/>
        <v>2</v>
      </c>
      <c r="X3446" s="256">
        <f t="shared" ca="1" si="926"/>
        <v>1</v>
      </c>
      <c r="Y3446" s="256"/>
      <c r="Z3446" s="256"/>
      <c r="AA3446" s="292"/>
      <c r="AB3446" s="292"/>
      <c r="AC3446" s="292"/>
    </row>
    <row r="3447" spans="1:29" s="111" customFormat="1" ht="15.75" hidden="1" x14ac:dyDescent="0.2">
      <c r="A3447" s="288"/>
      <c r="B3447" s="368"/>
      <c r="C3447" s="365"/>
      <c r="D3447" s="369"/>
      <c r="E3447" s="370"/>
      <c r="F3447" s="369"/>
      <c r="G3447" s="369"/>
      <c r="H3447" s="369"/>
      <c r="I3447" s="369"/>
      <c r="J3447" s="371"/>
      <c r="K3447" s="372"/>
      <c r="L3447" s="373"/>
      <c r="M3447" s="374"/>
      <c r="N3447" s="374"/>
      <c r="O3447" s="374"/>
      <c r="P3447" s="374"/>
      <c r="Q3447" s="374"/>
      <c r="R3447" s="375"/>
      <c r="S3447" s="376"/>
      <c r="T3447" s="377"/>
      <c r="U3447" s="378"/>
      <c r="V3447" s="379">
        <f ca="1">SUM(V3438:V3446)</f>
        <v>0</v>
      </c>
      <c r="W3447" s="256">
        <f t="shared" ca="1" si="923"/>
        <v>1</v>
      </c>
      <c r="X3447" s="256">
        <f t="shared" ca="1" si="926"/>
        <v>0</v>
      </c>
      <c r="Y3447" s="250"/>
      <c r="Z3447" s="250"/>
    </row>
    <row r="3448" spans="1:29" s="293" customFormat="1" ht="15.75" hidden="1" customHeight="1" x14ac:dyDescent="0.25">
      <c r="A3448" s="288"/>
      <c r="B3448" s="1374" t="str">
        <f>VLOOKUP(A3456,'11 - FINANCEIRO'!_xlnm.Print_Area,1,FALSE)</f>
        <v>4.6.3</v>
      </c>
      <c r="C3448" s="1376" t="str">
        <f>VLOOKUP(A3456,'11 - FINANCEIRO'!_xlnm.Print_Area,3,FALSE)</f>
        <v>Estaca Hélice Contínua, Diâmetro De 30 Cm, Incluso Concreto Fck=30Mpa E Armadura Mínima (Exclusive Mobilização, Desmobilização E Bombeamento). Af_12/2019</v>
      </c>
      <c r="D3448" s="1378" t="s">
        <v>477</v>
      </c>
      <c r="E3448" s="1379"/>
      <c r="F3448" s="1379"/>
      <c r="G3448" s="1379"/>
      <c r="H3448" s="1379"/>
      <c r="I3448" s="1380"/>
      <c r="J3448" s="1338" t="s">
        <v>478</v>
      </c>
      <c r="K3448" s="1338" t="s">
        <v>479</v>
      </c>
      <c r="L3448" s="1338" t="s">
        <v>480</v>
      </c>
      <c r="M3448" s="1338" t="s">
        <v>481</v>
      </c>
      <c r="N3448" s="1338" t="s">
        <v>482</v>
      </c>
      <c r="O3448" s="1338" t="s">
        <v>483</v>
      </c>
      <c r="P3448" s="290" t="s">
        <v>484</v>
      </c>
      <c r="Q3448" s="1338" t="s">
        <v>485</v>
      </c>
      <c r="R3448" s="1336" t="s">
        <v>296</v>
      </c>
      <c r="S3448" s="1338" t="s">
        <v>486</v>
      </c>
      <c r="T3448" s="1338" t="s">
        <v>487</v>
      </c>
      <c r="U3448" s="1340" t="s">
        <v>488</v>
      </c>
      <c r="V3448" s="291">
        <f t="shared" ref="V3448:V3456" ca="1" si="928">IF(OFFSET(V3448,1,1)=1,OFFSET(V3448,0,-4),OFFSET(V3448,1,0))</f>
        <v>0</v>
      </c>
      <c r="W3448" s="256">
        <f t="shared" ca="1" si="923"/>
        <v>2</v>
      </c>
      <c r="X3448" s="256">
        <f t="shared" ca="1" si="926"/>
        <v>1</v>
      </c>
      <c r="Y3448" s="256"/>
      <c r="Z3448" s="256"/>
      <c r="AA3448" s="292"/>
      <c r="AB3448" s="292"/>
      <c r="AC3448" s="292"/>
    </row>
    <row r="3449" spans="1:29" s="337" customFormat="1" ht="15.75" hidden="1" x14ac:dyDescent="0.2">
      <c r="A3449" s="288"/>
      <c r="B3449" s="1375"/>
      <c r="C3449" s="1377" t="e">
        <f>VLOOKUP(LEFT(#REF!,5),'11 - FINANCEIRO'!_xlnm.Print_Area,2,FALSE)</f>
        <v>#REF!</v>
      </c>
      <c r="D3449" s="1342" t="s">
        <v>489</v>
      </c>
      <c r="E3449" s="1343"/>
      <c r="F3449" s="1344"/>
      <c r="G3449" s="1345" t="s">
        <v>490</v>
      </c>
      <c r="H3449" s="1346"/>
      <c r="I3449" s="1347"/>
      <c r="J3449" s="1339"/>
      <c r="K3449" s="1339"/>
      <c r="L3449" s="1339"/>
      <c r="M3449" s="1339"/>
      <c r="N3449" s="1339"/>
      <c r="O3449" s="1339"/>
      <c r="P3449" s="295" t="s">
        <v>491</v>
      </c>
      <c r="Q3449" s="1339"/>
      <c r="R3449" s="1337"/>
      <c r="S3449" s="1339"/>
      <c r="T3449" s="1339"/>
      <c r="U3449" s="1341"/>
      <c r="V3449" s="291">
        <f t="shared" ca="1" si="928"/>
        <v>0</v>
      </c>
      <c r="W3449" s="256">
        <f t="shared" ca="1" si="923"/>
        <v>2</v>
      </c>
      <c r="X3449" s="256">
        <f t="shared" ca="1" si="926"/>
        <v>1</v>
      </c>
      <c r="Y3449" s="336"/>
      <c r="Z3449" s="336"/>
    </row>
    <row r="3450" spans="1:29" s="337" customFormat="1" ht="15.75" hidden="1" x14ac:dyDescent="0.2">
      <c r="A3450" s="288"/>
      <c r="B3450" s="296"/>
      <c r="C3450" s="297"/>
      <c r="D3450" s="298"/>
      <c r="E3450" s="299"/>
      <c r="F3450" s="300"/>
      <c r="G3450" s="301"/>
      <c r="H3450" s="302"/>
      <c r="I3450" s="303"/>
      <c r="J3450" s="304"/>
      <c r="K3450" s="304"/>
      <c r="L3450" s="304"/>
      <c r="M3450" s="304"/>
      <c r="N3450" s="304"/>
      <c r="O3450" s="304"/>
      <c r="P3450" s="306"/>
      <c r="Q3450" s="304"/>
      <c r="R3450" s="307"/>
      <c r="S3450" s="304"/>
      <c r="T3450" s="309"/>
      <c r="U3450" s="310"/>
      <c r="V3450" s="291">
        <f t="shared" ca="1" si="928"/>
        <v>0</v>
      </c>
      <c r="W3450" s="256">
        <f t="shared" ca="1" si="923"/>
        <v>0</v>
      </c>
      <c r="X3450" s="256">
        <f t="shared" ca="1" si="926"/>
        <v>1</v>
      </c>
      <c r="Y3450" s="336"/>
      <c r="Z3450" s="336"/>
    </row>
    <row r="3451" spans="1:29" s="111" customFormat="1" ht="15.75" hidden="1" x14ac:dyDescent="0.2">
      <c r="A3451" s="288"/>
      <c r="B3451" s="311"/>
      <c r="C3451" s="312"/>
      <c r="D3451" s="313"/>
      <c r="E3451" s="314"/>
      <c r="F3451" s="315"/>
      <c r="G3451" s="380"/>
      <c r="H3451" s="316"/>
      <c r="I3451" s="381"/>
      <c r="J3451" s="317"/>
      <c r="K3451" s="313"/>
      <c r="L3451" s="317"/>
      <c r="M3451" s="315"/>
      <c r="N3451" s="314"/>
      <c r="O3451" s="313"/>
      <c r="P3451" s="318"/>
      <c r="Q3451" s="315"/>
      <c r="R3451" s="319"/>
      <c r="S3451" s="317"/>
      <c r="T3451" s="320"/>
      <c r="U3451" s="321"/>
      <c r="V3451" s="291">
        <f t="shared" ca="1" si="928"/>
        <v>0</v>
      </c>
      <c r="W3451" s="256">
        <f t="shared" ca="1" si="923"/>
        <v>0</v>
      </c>
      <c r="X3451" s="256">
        <f t="shared" ca="1" si="926"/>
        <v>1</v>
      </c>
      <c r="Y3451" s="250"/>
      <c r="Z3451" s="250"/>
    </row>
    <row r="3452" spans="1:29" s="111" customFormat="1" ht="15" hidden="1" x14ac:dyDescent="0.2">
      <c r="A3452" s="288"/>
      <c r="B3452" s="322"/>
      <c r="C3452" s="382"/>
      <c r="D3452" s="324"/>
      <c r="E3452" s="325"/>
      <c r="F3452" s="326"/>
      <c r="G3452" s="324"/>
      <c r="H3452" s="325"/>
      <c r="I3452" s="326"/>
      <c r="J3452" s="317"/>
      <c r="K3452" s="328"/>
      <c r="L3452" s="328"/>
      <c r="M3452" s="328"/>
      <c r="N3452" s="328"/>
      <c r="O3452" s="334"/>
      <c r="P3452" s="328"/>
      <c r="Q3452" s="334"/>
      <c r="R3452" s="333"/>
      <c r="S3452" s="331"/>
      <c r="T3452" s="320"/>
      <c r="U3452" s="335"/>
      <c r="V3452" s="291">
        <f t="shared" ca="1" si="928"/>
        <v>0</v>
      </c>
      <c r="W3452" s="256">
        <f t="shared" ca="1" si="923"/>
        <v>0</v>
      </c>
      <c r="X3452" s="256">
        <f t="shared" ca="1" si="926"/>
        <v>1</v>
      </c>
      <c r="Y3452" s="250"/>
      <c r="Z3452" s="250"/>
    </row>
    <row r="3453" spans="1:29" s="111" customFormat="1" ht="15" hidden="1" x14ac:dyDescent="0.2">
      <c r="A3453" s="288"/>
      <c r="B3453" s="338"/>
      <c r="C3453" s="339"/>
      <c r="D3453" s="340"/>
      <c r="E3453" s="341"/>
      <c r="F3453" s="342"/>
      <c r="G3453" s="340"/>
      <c r="H3453" s="341"/>
      <c r="I3453" s="342"/>
      <c r="J3453" s="343"/>
      <c r="K3453" s="344"/>
      <c r="L3453" s="345"/>
      <c r="M3453" s="346"/>
      <c r="N3453" s="347"/>
      <c r="O3453" s="348"/>
      <c r="P3453" s="345"/>
      <c r="Q3453" s="349"/>
      <c r="R3453" s="350"/>
      <c r="S3453" s="351"/>
      <c r="T3453" s="352"/>
      <c r="U3453" s="353"/>
      <c r="V3453" s="291">
        <f t="shared" ca="1" si="928"/>
        <v>0</v>
      </c>
      <c r="W3453" s="256">
        <f t="shared" ca="1" si="923"/>
        <v>0</v>
      </c>
      <c r="X3453" s="256">
        <f t="shared" ca="1" si="926"/>
        <v>1</v>
      </c>
      <c r="Y3453" s="250"/>
      <c r="Z3453" s="250"/>
    </row>
    <row r="3454" spans="1:29" s="111" customFormat="1" ht="15.75" hidden="1" customHeight="1" x14ac:dyDescent="0.2">
      <c r="A3454" s="288"/>
      <c r="B3454" s="354"/>
      <c r="C3454" s="355"/>
      <c r="D3454" s="1354" t="s">
        <v>492</v>
      </c>
      <c r="E3454" s="1355"/>
      <c r="F3454" s="1355"/>
      <c r="G3454" s="1355"/>
      <c r="H3454" s="1355"/>
      <c r="I3454" s="1356"/>
      <c r="J3454" s="1357">
        <f>VLOOKUP(A3456,'11 - FINANCEIRO'!_xlnm.Print_Area,6,FALSE)</f>
        <v>72</v>
      </c>
      <c r="K3454" s="1358"/>
      <c r="L3454" s="356" t="str">
        <f>VLOOKUP(A3456,'11 - FINANCEIRO'!_xlnm.Print_Area,4,FALSE)</f>
        <v>m</v>
      </c>
      <c r="M3454" s="1359" t="s">
        <v>493</v>
      </c>
      <c r="N3454" s="1360"/>
      <c r="O3454" s="1360"/>
      <c r="P3454" s="1360"/>
      <c r="Q3454" s="1361"/>
      <c r="R3454" s="357">
        <f>TRUNC(SUM(R3450:R3453),3)</f>
        <v>0</v>
      </c>
      <c r="S3454" s="358" t="str">
        <f>L3454</f>
        <v>m</v>
      </c>
      <c r="T3454" s="359"/>
      <c r="U3454" s="360"/>
      <c r="V3454" s="291">
        <f t="shared" ca="1" si="928"/>
        <v>0</v>
      </c>
      <c r="W3454" s="256">
        <f t="shared" ca="1" si="923"/>
        <v>2</v>
      </c>
      <c r="X3454" s="256">
        <f t="shared" ca="1" si="926"/>
        <v>1</v>
      </c>
      <c r="Y3454" s="250"/>
      <c r="Z3454" s="250"/>
    </row>
    <row r="3455" spans="1:29" s="293" customFormat="1" ht="15.75" hidden="1" customHeight="1" x14ac:dyDescent="0.2">
      <c r="A3455" s="288"/>
      <c r="B3455" s="354"/>
      <c r="C3455" s="361"/>
      <c r="D3455" s="1362" t="s">
        <v>494</v>
      </c>
      <c r="E3455" s="1363"/>
      <c r="F3455" s="1363"/>
      <c r="G3455" s="1363"/>
      <c r="H3455" s="1363"/>
      <c r="I3455" s="1364"/>
      <c r="J3455" s="1365">
        <f>R3454/J3454</f>
        <v>0</v>
      </c>
      <c r="K3455" s="1366"/>
      <c r="L3455" s="1369"/>
      <c r="M3455" s="1371" t="s">
        <v>495</v>
      </c>
      <c r="N3455" s="1372"/>
      <c r="O3455" s="1372"/>
      <c r="P3455" s="1372"/>
      <c r="Q3455" s="1373"/>
      <c r="R3455" s="362">
        <f>VLOOKUP(A3456,'11 - FINANCEIRO'!_xlnm.Print_Area,8,FALSE)</f>
        <v>0</v>
      </c>
      <c r="S3455" s="363" t="str">
        <f>L3454</f>
        <v>m</v>
      </c>
      <c r="T3455" s="359"/>
      <c r="U3455" s="360"/>
      <c r="V3455" s="291">
        <f t="shared" ca="1" si="928"/>
        <v>0</v>
      </c>
      <c r="W3455" s="256">
        <f t="shared" ca="1" si="923"/>
        <v>2</v>
      </c>
      <c r="X3455" s="256">
        <f t="shared" ca="1" si="926"/>
        <v>1</v>
      </c>
      <c r="Y3455" s="256"/>
      <c r="Z3455" s="256"/>
      <c r="AA3455" s="292"/>
      <c r="AB3455" s="292"/>
      <c r="AC3455" s="292"/>
    </row>
    <row r="3456" spans="1:29" s="293" customFormat="1" ht="15.75" hidden="1" customHeight="1" x14ac:dyDescent="0.2">
      <c r="A3456" s="288" t="s">
        <v>223</v>
      </c>
      <c r="B3456" s="364"/>
      <c r="C3456" s="365"/>
      <c r="D3456" s="1354"/>
      <c r="E3456" s="1355"/>
      <c r="F3456" s="1355"/>
      <c r="G3456" s="1355"/>
      <c r="H3456" s="1355"/>
      <c r="I3456" s="1356"/>
      <c r="J3456" s="1367"/>
      <c r="K3456" s="1368"/>
      <c r="L3456" s="1370"/>
      <c r="M3456" s="1371" t="s">
        <v>496</v>
      </c>
      <c r="N3456" s="1372"/>
      <c r="O3456" s="1372"/>
      <c r="P3456" s="1372"/>
      <c r="Q3456" s="1373"/>
      <c r="R3456" s="362">
        <f>R3454-R3455</f>
        <v>0</v>
      </c>
      <c r="S3456" s="363" t="str">
        <f>L3454</f>
        <v>m</v>
      </c>
      <c r="T3456" s="366"/>
      <c r="U3456" s="367"/>
      <c r="V3456" s="291">
        <f t="shared" ca="1" si="928"/>
        <v>0</v>
      </c>
      <c r="W3456" s="256">
        <f t="shared" ca="1" si="923"/>
        <v>2</v>
      </c>
      <c r="X3456" s="256">
        <f t="shared" ca="1" si="926"/>
        <v>1</v>
      </c>
      <c r="Y3456" s="256"/>
      <c r="Z3456" s="256"/>
      <c r="AA3456" s="292"/>
      <c r="AB3456" s="292"/>
      <c r="AC3456" s="292"/>
    </row>
    <row r="3457" spans="1:29" s="111" customFormat="1" ht="15.75" hidden="1" x14ac:dyDescent="0.2">
      <c r="A3457" s="288"/>
      <c r="B3457" s="368"/>
      <c r="C3457" s="365"/>
      <c r="D3457" s="369"/>
      <c r="E3457" s="370"/>
      <c r="F3457" s="369"/>
      <c r="G3457" s="369"/>
      <c r="H3457" s="369"/>
      <c r="I3457" s="369"/>
      <c r="J3457" s="371"/>
      <c r="K3457" s="372"/>
      <c r="L3457" s="373"/>
      <c r="M3457" s="374"/>
      <c r="N3457" s="374"/>
      <c r="O3457" s="374"/>
      <c r="P3457" s="374"/>
      <c r="Q3457" s="374"/>
      <c r="R3457" s="375"/>
      <c r="S3457" s="376"/>
      <c r="T3457" s="377"/>
      <c r="U3457" s="378"/>
      <c r="V3457" s="379">
        <f ca="1">SUM(V3448:V3456)</f>
        <v>0</v>
      </c>
      <c r="W3457" s="256">
        <f t="shared" ca="1" si="923"/>
        <v>1</v>
      </c>
      <c r="X3457" s="256">
        <f t="shared" ca="1" si="926"/>
        <v>0</v>
      </c>
      <c r="Y3457" s="250"/>
      <c r="Z3457" s="250"/>
    </row>
    <row r="3458" spans="1:29" s="293" customFormat="1" ht="15.75" hidden="1" customHeight="1" x14ac:dyDescent="0.25">
      <c r="A3458" s="288"/>
      <c r="B3458" s="1374" t="str">
        <f>VLOOKUP(A3466,'11 - FINANCEIRO'!_xlnm.Print_Area,1,FALSE)</f>
        <v>4.6.4</v>
      </c>
      <c r="C3458" s="1376" t="str">
        <f>VLOOKUP(A3466,'11 - FINANCEIRO'!_xlnm.Print_Area,3,FALSE)</f>
        <v>Arrasamento Mecanico De Estaca De Concreto Armado, Diametros De Até 40 Cm. Af_05/2021</v>
      </c>
      <c r="D3458" s="1378" t="s">
        <v>477</v>
      </c>
      <c r="E3458" s="1379"/>
      <c r="F3458" s="1379"/>
      <c r="G3458" s="1379"/>
      <c r="H3458" s="1379"/>
      <c r="I3458" s="1380"/>
      <c r="J3458" s="1338" t="s">
        <v>478</v>
      </c>
      <c r="K3458" s="1338" t="s">
        <v>479</v>
      </c>
      <c r="L3458" s="1338" t="s">
        <v>480</v>
      </c>
      <c r="M3458" s="1338" t="s">
        <v>481</v>
      </c>
      <c r="N3458" s="1338" t="s">
        <v>482</v>
      </c>
      <c r="O3458" s="1338" t="s">
        <v>483</v>
      </c>
      <c r="P3458" s="290" t="s">
        <v>484</v>
      </c>
      <c r="Q3458" s="1338" t="s">
        <v>485</v>
      </c>
      <c r="R3458" s="1336" t="s">
        <v>296</v>
      </c>
      <c r="S3458" s="1338" t="s">
        <v>486</v>
      </c>
      <c r="T3458" s="1338" t="s">
        <v>487</v>
      </c>
      <c r="U3458" s="1340" t="s">
        <v>488</v>
      </c>
      <c r="V3458" s="291">
        <f t="shared" ref="V3458:V3466" ca="1" si="929">IF(OFFSET(V3458,1,1)=1,OFFSET(V3458,0,-4),OFFSET(V3458,1,0))</f>
        <v>0</v>
      </c>
      <c r="W3458" s="256">
        <f t="shared" ca="1" si="923"/>
        <v>2</v>
      </c>
      <c r="X3458" s="256">
        <f t="shared" ca="1" si="926"/>
        <v>1</v>
      </c>
      <c r="Y3458" s="256"/>
      <c r="Z3458" s="256"/>
      <c r="AA3458" s="292"/>
      <c r="AB3458" s="292"/>
      <c r="AC3458" s="292"/>
    </row>
    <row r="3459" spans="1:29" s="337" customFormat="1" ht="15.75" hidden="1" x14ac:dyDescent="0.2">
      <c r="A3459" s="288"/>
      <c r="B3459" s="1375"/>
      <c r="C3459" s="1377" t="e">
        <f>VLOOKUP(LEFT(#REF!,5),'11 - FINANCEIRO'!_xlnm.Print_Area,2,FALSE)</f>
        <v>#REF!</v>
      </c>
      <c r="D3459" s="1342" t="s">
        <v>489</v>
      </c>
      <c r="E3459" s="1343"/>
      <c r="F3459" s="1344"/>
      <c r="G3459" s="1345" t="s">
        <v>490</v>
      </c>
      <c r="H3459" s="1346"/>
      <c r="I3459" s="1347"/>
      <c r="J3459" s="1339"/>
      <c r="K3459" s="1339"/>
      <c r="L3459" s="1339"/>
      <c r="M3459" s="1339"/>
      <c r="N3459" s="1339"/>
      <c r="O3459" s="1339"/>
      <c r="P3459" s="295" t="s">
        <v>491</v>
      </c>
      <c r="Q3459" s="1339"/>
      <c r="R3459" s="1337"/>
      <c r="S3459" s="1339"/>
      <c r="T3459" s="1339"/>
      <c r="U3459" s="1341"/>
      <c r="V3459" s="291">
        <f t="shared" ca="1" si="929"/>
        <v>0</v>
      </c>
      <c r="W3459" s="256">
        <f t="shared" ca="1" si="923"/>
        <v>2</v>
      </c>
      <c r="X3459" s="256">
        <f t="shared" ca="1" si="926"/>
        <v>1</v>
      </c>
      <c r="Y3459" s="336"/>
      <c r="Z3459" s="336"/>
    </row>
    <row r="3460" spans="1:29" s="337" customFormat="1" ht="15.75" hidden="1" x14ac:dyDescent="0.2">
      <c r="A3460" s="288"/>
      <c r="B3460" s="296"/>
      <c r="C3460" s="297"/>
      <c r="D3460" s="298"/>
      <c r="E3460" s="299"/>
      <c r="F3460" s="300"/>
      <c r="G3460" s="301"/>
      <c r="H3460" s="302"/>
      <c r="I3460" s="303"/>
      <c r="J3460" s="304"/>
      <c r="K3460" s="304"/>
      <c r="L3460" s="304"/>
      <c r="M3460" s="304"/>
      <c r="N3460" s="304"/>
      <c r="O3460" s="304"/>
      <c r="P3460" s="306"/>
      <c r="Q3460" s="304"/>
      <c r="R3460" s="307"/>
      <c r="S3460" s="304"/>
      <c r="T3460" s="309"/>
      <c r="U3460" s="310"/>
      <c r="V3460" s="291">
        <f t="shared" ca="1" si="929"/>
        <v>0</v>
      </c>
      <c r="W3460" s="256">
        <f t="shared" ca="1" si="923"/>
        <v>0</v>
      </c>
      <c r="X3460" s="256">
        <f t="shared" ca="1" si="926"/>
        <v>1</v>
      </c>
      <c r="Y3460" s="336"/>
      <c r="Z3460" s="336"/>
    </row>
    <row r="3461" spans="1:29" s="111" customFormat="1" ht="15.75" hidden="1" x14ac:dyDescent="0.2">
      <c r="A3461" s="288"/>
      <c r="B3461" s="311"/>
      <c r="C3461" s="312"/>
      <c r="D3461" s="313"/>
      <c r="E3461" s="314"/>
      <c r="F3461" s="315"/>
      <c r="G3461" s="380"/>
      <c r="H3461" s="316"/>
      <c r="I3461" s="381"/>
      <c r="J3461" s="317"/>
      <c r="K3461" s="313"/>
      <c r="L3461" s="317"/>
      <c r="M3461" s="315"/>
      <c r="N3461" s="314"/>
      <c r="O3461" s="313"/>
      <c r="P3461" s="318"/>
      <c r="Q3461" s="315"/>
      <c r="R3461" s="319"/>
      <c r="S3461" s="317"/>
      <c r="T3461" s="320"/>
      <c r="U3461" s="321"/>
      <c r="V3461" s="291">
        <f t="shared" ca="1" si="929"/>
        <v>0</v>
      </c>
      <c r="W3461" s="256">
        <f t="shared" ca="1" si="923"/>
        <v>0</v>
      </c>
      <c r="X3461" s="256">
        <f t="shared" ca="1" si="926"/>
        <v>1</v>
      </c>
      <c r="Y3461" s="250"/>
      <c r="Z3461" s="250"/>
    </row>
    <row r="3462" spans="1:29" s="111" customFormat="1" ht="15" hidden="1" x14ac:dyDescent="0.2">
      <c r="A3462" s="288"/>
      <c r="B3462" s="322"/>
      <c r="C3462" s="382"/>
      <c r="D3462" s="324"/>
      <c r="E3462" s="325"/>
      <c r="F3462" s="326"/>
      <c r="G3462" s="324"/>
      <c r="H3462" s="325"/>
      <c r="I3462" s="326"/>
      <c r="J3462" s="317"/>
      <c r="K3462" s="328"/>
      <c r="L3462" s="328"/>
      <c r="M3462" s="328"/>
      <c r="N3462" s="328"/>
      <c r="O3462" s="334"/>
      <c r="P3462" s="328"/>
      <c r="Q3462" s="334"/>
      <c r="R3462" s="333"/>
      <c r="S3462" s="331"/>
      <c r="T3462" s="320"/>
      <c r="U3462" s="335"/>
      <c r="V3462" s="291">
        <f t="shared" ca="1" si="929"/>
        <v>0</v>
      </c>
      <c r="W3462" s="256">
        <f t="shared" ca="1" si="923"/>
        <v>0</v>
      </c>
      <c r="X3462" s="256">
        <f t="shared" ca="1" si="926"/>
        <v>1</v>
      </c>
      <c r="Y3462" s="250"/>
      <c r="Z3462" s="250"/>
    </row>
    <row r="3463" spans="1:29" s="111" customFormat="1" ht="15" hidden="1" x14ac:dyDescent="0.2">
      <c r="A3463" s="288"/>
      <c r="B3463" s="338"/>
      <c r="C3463" s="339"/>
      <c r="D3463" s="340"/>
      <c r="E3463" s="341"/>
      <c r="F3463" s="342"/>
      <c r="G3463" s="340"/>
      <c r="H3463" s="341"/>
      <c r="I3463" s="342"/>
      <c r="J3463" s="343"/>
      <c r="K3463" s="344"/>
      <c r="L3463" s="345"/>
      <c r="M3463" s="346"/>
      <c r="N3463" s="347"/>
      <c r="O3463" s="348"/>
      <c r="P3463" s="345"/>
      <c r="Q3463" s="349"/>
      <c r="R3463" s="350"/>
      <c r="S3463" s="351"/>
      <c r="T3463" s="352"/>
      <c r="U3463" s="353"/>
      <c r="V3463" s="291">
        <f t="shared" ca="1" si="929"/>
        <v>0</v>
      </c>
      <c r="W3463" s="256">
        <f t="shared" ca="1" si="923"/>
        <v>0</v>
      </c>
      <c r="X3463" s="256">
        <f t="shared" ca="1" si="926"/>
        <v>1</v>
      </c>
      <c r="Y3463" s="250"/>
      <c r="Z3463" s="250"/>
    </row>
    <row r="3464" spans="1:29" s="111" customFormat="1" ht="15.75" hidden="1" customHeight="1" x14ac:dyDescent="0.2">
      <c r="A3464" s="288"/>
      <c r="B3464" s="354"/>
      <c r="C3464" s="355"/>
      <c r="D3464" s="1354" t="s">
        <v>492</v>
      </c>
      <c r="E3464" s="1355"/>
      <c r="F3464" s="1355"/>
      <c r="G3464" s="1355"/>
      <c r="H3464" s="1355"/>
      <c r="I3464" s="1356"/>
      <c r="J3464" s="1357">
        <f>VLOOKUP(A3466,'11 - FINANCEIRO'!_xlnm.Print_Area,6,FALSE)</f>
        <v>8</v>
      </c>
      <c r="K3464" s="1358"/>
      <c r="L3464" s="356" t="str">
        <f>VLOOKUP(A3466,'11 - FINANCEIRO'!_xlnm.Print_Area,4,FALSE)</f>
        <v>un</v>
      </c>
      <c r="M3464" s="1359" t="s">
        <v>493</v>
      </c>
      <c r="N3464" s="1360"/>
      <c r="O3464" s="1360"/>
      <c r="P3464" s="1360"/>
      <c r="Q3464" s="1361"/>
      <c r="R3464" s="357">
        <f>TRUNC(SUM(R3460:R3463),3)</f>
        <v>0</v>
      </c>
      <c r="S3464" s="358" t="str">
        <f>L3464</f>
        <v>un</v>
      </c>
      <c r="T3464" s="359"/>
      <c r="U3464" s="360"/>
      <c r="V3464" s="291">
        <f t="shared" ca="1" si="929"/>
        <v>0</v>
      </c>
      <c r="W3464" s="256">
        <f t="shared" ca="1" si="923"/>
        <v>2</v>
      </c>
      <c r="X3464" s="256">
        <f t="shared" ca="1" si="926"/>
        <v>1</v>
      </c>
      <c r="Y3464" s="250"/>
      <c r="Z3464" s="250"/>
    </row>
    <row r="3465" spans="1:29" s="293" customFormat="1" ht="15.75" hidden="1" customHeight="1" x14ac:dyDescent="0.2">
      <c r="A3465" s="288"/>
      <c r="B3465" s="354"/>
      <c r="C3465" s="361"/>
      <c r="D3465" s="1362" t="s">
        <v>494</v>
      </c>
      <c r="E3465" s="1363"/>
      <c r="F3465" s="1363"/>
      <c r="G3465" s="1363"/>
      <c r="H3465" s="1363"/>
      <c r="I3465" s="1364"/>
      <c r="J3465" s="1365">
        <f>R3464/J3464</f>
        <v>0</v>
      </c>
      <c r="K3465" s="1366"/>
      <c r="L3465" s="1369"/>
      <c r="M3465" s="1371" t="s">
        <v>495</v>
      </c>
      <c r="N3465" s="1372"/>
      <c r="O3465" s="1372"/>
      <c r="P3465" s="1372"/>
      <c r="Q3465" s="1373"/>
      <c r="R3465" s="362">
        <f>VLOOKUP(A3466,'11 - FINANCEIRO'!_xlnm.Print_Area,8,FALSE)</f>
        <v>0</v>
      </c>
      <c r="S3465" s="363" t="str">
        <f>L3464</f>
        <v>un</v>
      </c>
      <c r="T3465" s="359"/>
      <c r="U3465" s="360"/>
      <c r="V3465" s="291">
        <f t="shared" ca="1" si="929"/>
        <v>0</v>
      </c>
      <c r="W3465" s="256">
        <f t="shared" ca="1" si="923"/>
        <v>2</v>
      </c>
      <c r="X3465" s="256">
        <f t="shared" ca="1" si="926"/>
        <v>1</v>
      </c>
      <c r="Y3465" s="256"/>
      <c r="Z3465" s="256"/>
      <c r="AA3465" s="292"/>
      <c r="AB3465" s="292"/>
      <c r="AC3465" s="292"/>
    </row>
    <row r="3466" spans="1:29" s="293" customFormat="1" ht="15.75" hidden="1" customHeight="1" x14ac:dyDescent="0.2">
      <c r="A3466" s="288" t="s">
        <v>224</v>
      </c>
      <c r="B3466" s="364"/>
      <c r="C3466" s="365"/>
      <c r="D3466" s="1354"/>
      <c r="E3466" s="1355"/>
      <c r="F3466" s="1355"/>
      <c r="G3466" s="1355"/>
      <c r="H3466" s="1355"/>
      <c r="I3466" s="1356"/>
      <c r="J3466" s="1367"/>
      <c r="K3466" s="1368"/>
      <c r="L3466" s="1370"/>
      <c r="M3466" s="1371" t="s">
        <v>496</v>
      </c>
      <c r="N3466" s="1372"/>
      <c r="O3466" s="1372"/>
      <c r="P3466" s="1372"/>
      <c r="Q3466" s="1373"/>
      <c r="R3466" s="362">
        <f>R3464-R3465</f>
        <v>0</v>
      </c>
      <c r="S3466" s="363" t="str">
        <f>L3464</f>
        <v>un</v>
      </c>
      <c r="T3466" s="366"/>
      <c r="U3466" s="367"/>
      <c r="V3466" s="291">
        <f t="shared" ca="1" si="929"/>
        <v>0</v>
      </c>
      <c r="W3466" s="256">
        <f t="shared" ca="1" si="923"/>
        <v>2</v>
      </c>
      <c r="X3466" s="256">
        <f t="shared" ca="1" si="926"/>
        <v>1</v>
      </c>
      <c r="Y3466" s="256"/>
      <c r="Z3466" s="256"/>
      <c r="AA3466" s="292"/>
      <c r="AB3466" s="292"/>
      <c r="AC3466" s="292"/>
    </row>
    <row r="3467" spans="1:29" s="111" customFormat="1" ht="15.75" hidden="1" x14ac:dyDescent="0.2">
      <c r="A3467" s="288"/>
      <c r="B3467" s="368"/>
      <c r="C3467" s="365"/>
      <c r="D3467" s="369"/>
      <c r="E3467" s="370"/>
      <c r="F3467" s="369"/>
      <c r="G3467" s="369"/>
      <c r="H3467" s="369"/>
      <c r="I3467" s="369"/>
      <c r="J3467" s="371"/>
      <c r="K3467" s="372"/>
      <c r="L3467" s="373"/>
      <c r="M3467" s="374"/>
      <c r="N3467" s="374"/>
      <c r="O3467" s="374"/>
      <c r="P3467" s="374"/>
      <c r="Q3467" s="374"/>
      <c r="R3467" s="375"/>
      <c r="S3467" s="376"/>
      <c r="T3467" s="377"/>
      <c r="U3467" s="378"/>
      <c r="V3467" s="379">
        <f ca="1">SUM(V3458:V3466)</f>
        <v>0</v>
      </c>
      <c r="W3467" s="256">
        <f t="shared" ca="1" si="923"/>
        <v>1</v>
      </c>
      <c r="X3467" s="256">
        <f t="shared" ca="1" si="926"/>
        <v>0</v>
      </c>
      <c r="Y3467" s="250"/>
      <c r="Z3467" s="250"/>
    </row>
    <row r="3468" spans="1:29" s="293" customFormat="1" ht="15.75" hidden="1" customHeight="1" x14ac:dyDescent="0.25">
      <c r="A3468" s="288"/>
      <c r="B3468" s="1374" t="str">
        <f>VLOOKUP(A3476,'11 - FINANCEIRO'!_xlnm.Print_Area,1,FALSE)</f>
        <v>4.6.5</v>
      </c>
      <c r="C3468" s="1376" t="str">
        <f>VLOOKUP(A3476,'11 - FINANCEIRO'!_xlnm.Print_Area,3,FALSE)</f>
        <v>Lastro De Concreto Magro, Aplicado Em Blocos De Coroamento Ou Sapatas, Espessura De 5 Cm. Af_08/2017</v>
      </c>
      <c r="D3468" s="1378" t="s">
        <v>477</v>
      </c>
      <c r="E3468" s="1379"/>
      <c r="F3468" s="1379"/>
      <c r="G3468" s="1379"/>
      <c r="H3468" s="1379"/>
      <c r="I3468" s="1380"/>
      <c r="J3468" s="1338" t="s">
        <v>478</v>
      </c>
      <c r="K3468" s="1338" t="s">
        <v>479</v>
      </c>
      <c r="L3468" s="1338" t="s">
        <v>480</v>
      </c>
      <c r="M3468" s="1338" t="s">
        <v>481</v>
      </c>
      <c r="N3468" s="1338" t="s">
        <v>482</v>
      </c>
      <c r="O3468" s="1338" t="s">
        <v>483</v>
      </c>
      <c r="P3468" s="290" t="s">
        <v>484</v>
      </c>
      <c r="Q3468" s="1338" t="s">
        <v>485</v>
      </c>
      <c r="R3468" s="1336" t="s">
        <v>296</v>
      </c>
      <c r="S3468" s="1338" t="s">
        <v>486</v>
      </c>
      <c r="T3468" s="1338" t="s">
        <v>487</v>
      </c>
      <c r="U3468" s="1340" t="s">
        <v>488</v>
      </c>
      <c r="V3468" s="291">
        <f t="shared" ref="V3468:V3476" ca="1" si="930">IF(OFFSET(V3468,1,1)=1,OFFSET(V3468,0,-4),OFFSET(V3468,1,0))</f>
        <v>0</v>
      </c>
      <c r="W3468" s="256">
        <f t="shared" ca="1" si="923"/>
        <v>2</v>
      </c>
      <c r="X3468" s="256">
        <f t="shared" ca="1" si="926"/>
        <v>1</v>
      </c>
      <c r="Y3468" s="256"/>
      <c r="Z3468" s="256"/>
      <c r="AA3468" s="292"/>
      <c r="AB3468" s="292"/>
      <c r="AC3468" s="292"/>
    </row>
    <row r="3469" spans="1:29" s="337" customFormat="1" ht="15.75" hidden="1" x14ac:dyDescent="0.2">
      <c r="A3469" s="288"/>
      <c r="B3469" s="1375"/>
      <c r="C3469" s="1377" t="e">
        <f>VLOOKUP(LEFT(#REF!,5),'11 - FINANCEIRO'!_xlnm.Print_Area,2,FALSE)</f>
        <v>#REF!</v>
      </c>
      <c r="D3469" s="1342" t="s">
        <v>489</v>
      </c>
      <c r="E3469" s="1343"/>
      <c r="F3469" s="1344"/>
      <c r="G3469" s="1345" t="s">
        <v>490</v>
      </c>
      <c r="H3469" s="1346"/>
      <c r="I3469" s="1347"/>
      <c r="J3469" s="1339"/>
      <c r="K3469" s="1339"/>
      <c r="L3469" s="1339"/>
      <c r="M3469" s="1339"/>
      <c r="N3469" s="1339"/>
      <c r="O3469" s="1339"/>
      <c r="P3469" s="295" t="s">
        <v>491</v>
      </c>
      <c r="Q3469" s="1339"/>
      <c r="R3469" s="1337"/>
      <c r="S3469" s="1339"/>
      <c r="T3469" s="1339"/>
      <c r="U3469" s="1341"/>
      <c r="V3469" s="291">
        <f t="shared" ca="1" si="930"/>
        <v>0</v>
      </c>
      <c r="W3469" s="256">
        <f t="shared" ca="1" si="923"/>
        <v>2</v>
      </c>
      <c r="X3469" s="256">
        <f t="shared" ca="1" si="926"/>
        <v>1</v>
      </c>
      <c r="Y3469" s="336"/>
      <c r="Z3469" s="336"/>
    </row>
    <row r="3470" spans="1:29" s="337" customFormat="1" ht="15.75" hidden="1" x14ac:dyDescent="0.2">
      <c r="A3470" s="288"/>
      <c r="B3470" s="296"/>
      <c r="C3470" s="297" t="s">
        <v>1205</v>
      </c>
      <c r="D3470" s="298"/>
      <c r="E3470" s="299"/>
      <c r="F3470" s="300"/>
      <c r="G3470" s="301"/>
      <c r="H3470" s="302"/>
      <c r="I3470" s="303"/>
      <c r="J3470" s="304"/>
      <c r="K3470" s="313">
        <f>9.2+2</f>
        <v>11.2</v>
      </c>
      <c r="L3470" s="317">
        <v>0.05</v>
      </c>
      <c r="M3470" s="315"/>
      <c r="N3470" s="314">
        <f>K3470*L3470</f>
        <v>0.55999999999999994</v>
      </c>
      <c r="O3470" s="304"/>
      <c r="P3470" s="306"/>
      <c r="Q3470" s="315">
        <v>2</v>
      </c>
      <c r="R3470" s="319">
        <f>N3470*Q3470</f>
        <v>1.1199999999999999</v>
      </c>
      <c r="S3470" s="304"/>
      <c r="T3470" s="309">
        <v>37</v>
      </c>
      <c r="U3470" s="310"/>
      <c r="V3470" s="291">
        <f t="shared" ca="1" si="930"/>
        <v>0</v>
      </c>
      <c r="W3470" s="256">
        <f t="shared" ca="1" si="923"/>
        <v>2</v>
      </c>
      <c r="X3470" s="256">
        <f t="shared" ca="1" si="926"/>
        <v>1</v>
      </c>
      <c r="Y3470" s="336"/>
      <c r="Z3470" s="336"/>
    </row>
    <row r="3471" spans="1:29" s="111" customFormat="1" ht="15.75" hidden="1" x14ac:dyDescent="0.2">
      <c r="A3471" s="288"/>
      <c r="B3471" s="311"/>
      <c r="C3471" s="312" t="s">
        <v>1059</v>
      </c>
      <c r="D3471" s="313"/>
      <c r="E3471" s="314"/>
      <c r="F3471" s="315"/>
      <c r="G3471" s="380"/>
      <c r="H3471" s="316"/>
      <c r="I3471" s="381"/>
      <c r="J3471" s="317"/>
      <c r="K3471" s="313">
        <f>19+1.5+3.3</f>
        <v>23.8</v>
      </c>
      <c r="L3471" s="317">
        <v>0.05</v>
      </c>
      <c r="M3471" s="328"/>
      <c r="N3471" s="314">
        <f>K3471*L3471</f>
        <v>1.1900000000000002</v>
      </c>
      <c r="O3471" s="313"/>
      <c r="P3471" s="318"/>
      <c r="Q3471" s="315">
        <v>2</v>
      </c>
      <c r="R3471" s="333">
        <f>N3471*Q3471</f>
        <v>2.3800000000000003</v>
      </c>
      <c r="S3471" s="317"/>
      <c r="T3471" s="320">
        <v>37</v>
      </c>
      <c r="U3471" s="321"/>
      <c r="V3471" s="291">
        <f t="shared" ca="1" si="930"/>
        <v>0</v>
      </c>
      <c r="W3471" s="256">
        <f t="shared" ca="1" si="923"/>
        <v>2</v>
      </c>
      <c r="X3471" s="256">
        <f t="shared" ca="1" si="926"/>
        <v>1</v>
      </c>
      <c r="Y3471" s="250"/>
      <c r="Z3471" s="250"/>
    </row>
    <row r="3472" spans="1:29" s="111" customFormat="1" ht="15" hidden="1" x14ac:dyDescent="0.2">
      <c r="A3472" s="288"/>
      <c r="B3472" s="322"/>
      <c r="C3472" s="382"/>
      <c r="D3472" s="324"/>
      <c r="E3472" s="325"/>
      <c r="F3472" s="326"/>
      <c r="G3472" s="324"/>
      <c r="H3472" s="325"/>
      <c r="I3472" s="326"/>
      <c r="J3472" s="317"/>
      <c r="K3472" s="328"/>
      <c r="L3472" s="328"/>
      <c r="M3472" s="328"/>
      <c r="N3472" s="328"/>
      <c r="O3472" s="334"/>
      <c r="P3472" s="328"/>
      <c r="Q3472" s="334"/>
      <c r="R3472" s="333"/>
      <c r="S3472" s="331"/>
      <c r="T3472" s="320"/>
      <c r="U3472" s="335"/>
      <c r="V3472" s="291">
        <f t="shared" ca="1" si="930"/>
        <v>0</v>
      </c>
      <c r="W3472" s="256">
        <f t="shared" ca="1" si="923"/>
        <v>0</v>
      </c>
      <c r="X3472" s="256">
        <f t="shared" ca="1" si="926"/>
        <v>1</v>
      </c>
      <c r="Y3472" s="250"/>
      <c r="Z3472" s="250"/>
    </row>
    <row r="3473" spans="1:29" s="111" customFormat="1" ht="15" hidden="1" x14ac:dyDescent="0.2">
      <c r="A3473" s="288"/>
      <c r="B3473" s="338"/>
      <c r="C3473" s="339"/>
      <c r="D3473" s="340"/>
      <c r="E3473" s="341"/>
      <c r="F3473" s="342"/>
      <c r="G3473" s="340"/>
      <c r="H3473" s="341"/>
      <c r="I3473" s="342"/>
      <c r="J3473" s="343"/>
      <c r="K3473" s="344"/>
      <c r="L3473" s="345"/>
      <c r="M3473" s="346"/>
      <c r="N3473" s="347"/>
      <c r="O3473" s="348"/>
      <c r="P3473" s="345"/>
      <c r="Q3473" s="349"/>
      <c r="R3473" s="350"/>
      <c r="S3473" s="351"/>
      <c r="T3473" s="352"/>
      <c r="U3473" s="353"/>
      <c r="V3473" s="291">
        <f t="shared" ca="1" si="930"/>
        <v>0</v>
      </c>
      <c r="W3473" s="256">
        <f t="shared" ca="1" si="923"/>
        <v>0</v>
      </c>
      <c r="X3473" s="256">
        <f t="shared" ca="1" si="926"/>
        <v>1</v>
      </c>
      <c r="Y3473" s="250"/>
      <c r="Z3473" s="250"/>
    </row>
    <row r="3474" spans="1:29" s="111" customFormat="1" ht="15.75" hidden="1" customHeight="1" x14ac:dyDescent="0.2">
      <c r="A3474" s="288"/>
      <c r="B3474" s="354"/>
      <c r="C3474" s="355"/>
      <c r="D3474" s="1354" t="s">
        <v>492</v>
      </c>
      <c r="E3474" s="1355"/>
      <c r="F3474" s="1355"/>
      <c r="G3474" s="1355"/>
      <c r="H3474" s="1355"/>
      <c r="I3474" s="1356"/>
      <c r="J3474" s="1357">
        <f>VLOOKUP(A3476,'11 - FINANCEIRO'!_xlnm.Print_Area,6,FALSE)</f>
        <v>3.5</v>
      </c>
      <c r="K3474" s="1358"/>
      <c r="L3474" s="356" t="str">
        <f>VLOOKUP(A3476,'11 - FINANCEIRO'!_xlnm.Print_Area,4,FALSE)</f>
        <v>m²</v>
      </c>
      <c r="M3474" s="1359" t="s">
        <v>493</v>
      </c>
      <c r="N3474" s="1360"/>
      <c r="O3474" s="1360"/>
      <c r="P3474" s="1360"/>
      <c r="Q3474" s="1361"/>
      <c r="R3474" s="357">
        <f>TRUNC(SUM(R3470:R3473),3)</f>
        <v>3.5</v>
      </c>
      <c r="S3474" s="358" t="str">
        <f>L3474</f>
        <v>m²</v>
      </c>
      <c r="T3474" s="359"/>
      <c r="U3474" s="360"/>
      <c r="V3474" s="291">
        <f t="shared" ca="1" si="930"/>
        <v>0</v>
      </c>
      <c r="W3474" s="256">
        <f t="shared" ca="1" si="923"/>
        <v>2</v>
      </c>
      <c r="X3474" s="256">
        <f t="shared" ca="1" si="926"/>
        <v>1</v>
      </c>
      <c r="Y3474" s="250"/>
      <c r="Z3474" s="250"/>
    </row>
    <row r="3475" spans="1:29" s="293" customFormat="1" ht="15.75" hidden="1" customHeight="1" x14ac:dyDescent="0.2">
      <c r="A3475" s="288"/>
      <c r="B3475" s="354"/>
      <c r="C3475" s="361"/>
      <c r="D3475" s="1362" t="s">
        <v>494</v>
      </c>
      <c r="E3475" s="1363"/>
      <c r="F3475" s="1363"/>
      <c r="G3475" s="1363"/>
      <c r="H3475" s="1363"/>
      <c r="I3475" s="1364"/>
      <c r="J3475" s="1365">
        <f>R3474/J3474</f>
        <v>1</v>
      </c>
      <c r="K3475" s="1366"/>
      <c r="L3475" s="1369"/>
      <c r="M3475" s="1371" t="s">
        <v>495</v>
      </c>
      <c r="N3475" s="1372"/>
      <c r="O3475" s="1372"/>
      <c r="P3475" s="1372"/>
      <c r="Q3475" s="1373"/>
      <c r="R3475" s="362">
        <f>VLOOKUP(A3476,'11 - FINANCEIRO'!_xlnm.Print_Area,8,FALSE)</f>
        <v>3.5</v>
      </c>
      <c r="S3475" s="363" t="str">
        <f>L3474</f>
        <v>m²</v>
      </c>
      <c r="T3475" s="359"/>
      <c r="U3475" s="360"/>
      <c r="V3475" s="291">
        <f t="shared" ca="1" si="930"/>
        <v>0</v>
      </c>
      <c r="W3475" s="256">
        <f t="shared" ca="1" si="923"/>
        <v>2</v>
      </c>
      <c r="X3475" s="256">
        <f t="shared" ca="1" si="926"/>
        <v>1</v>
      </c>
      <c r="Y3475" s="256"/>
      <c r="Z3475" s="256"/>
      <c r="AA3475" s="292"/>
      <c r="AB3475" s="292"/>
      <c r="AC3475" s="292"/>
    </row>
    <row r="3476" spans="1:29" s="293" customFormat="1" ht="15.75" hidden="1" customHeight="1" x14ac:dyDescent="0.2">
      <c r="A3476" s="288" t="s">
        <v>225</v>
      </c>
      <c r="B3476" s="364"/>
      <c r="C3476" s="365"/>
      <c r="D3476" s="1354"/>
      <c r="E3476" s="1355"/>
      <c r="F3476" s="1355"/>
      <c r="G3476" s="1355"/>
      <c r="H3476" s="1355"/>
      <c r="I3476" s="1356"/>
      <c r="J3476" s="1367"/>
      <c r="K3476" s="1368"/>
      <c r="L3476" s="1370"/>
      <c r="M3476" s="1371" t="s">
        <v>496</v>
      </c>
      <c r="N3476" s="1372"/>
      <c r="O3476" s="1372"/>
      <c r="P3476" s="1372"/>
      <c r="Q3476" s="1373"/>
      <c r="R3476" s="362">
        <f>R3474-R3475</f>
        <v>0</v>
      </c>
      <c r="S3476" s="363" t="str">
        <f>L3474</f>
        <v>m²</v>
      </c>
      <c r="T3476" s="366"/>
      <c r="U3476" s="367"/>
      <c r="V3476" s="291">
        <f t="shared" ca="1" si="930"/>
        <v>0</v>
      </c>
      <c r="W3476" s="256">
        <f t="shared" ca="1" si="923"/>
        <v>2</v>
      </c>
      <c r="X3476" s="256">
        <f t="shared" ca="1" si="926"/>
        <v>1</v>
      </c>
      <c r="Y3476" s="256"/>
      <c r="Z3476" s="256"/>
      <c r="AA3476" s="292"/>
      <c r="AB3476" s="292"/>
      <c r="AC3476" s="292"/>
    </row>
    <row r="3477" spans="1:29" s="111" customFormat="1" ht="15.75" hidden="1" x14ac:dyDescent="0.2">
      <c r="A3477" s="288"/>
      <c r="B3477" s="368"/>
      <c r="C3477" s="365"/>
      <c r="D3477" s="369"/>
      <c r="E3477" s="370"/>
      <c r="F3477" s="369"/>
      <c r="G3477" s="369"/>
      <c r="H3477" s="369"/>
      <c r="I3477" s="369"/>
      <c r="J3477" s="371"/>
      <c r="K3477" s="372"/>
      <c r="L3477" s="373"/>
      <c r="M3477" s="374"/>
      <c r="N3477" s="374"/>
      <c r="O3477" s="374"/>
      <c r="P3477" s="374"/>
      <c r="Q3477" s="374"/>
      <c r="R3477" s="375"/>
      <c r="S3477" s="376"/>
      <c r="T3477" s="377"/>
      <c r="U3477" s="378"/>
      <c r="V3477" s="379">
        <f ca="1">SUM(V3468:V3476)</f>
        <v>0</v>
      </c>
      <c r="W3477" s="256">
        <f t="shared" ref="W3477:W3540" ca="1" si="931">IF(LEFT(_xlfn.FORMULATEXT(V3477),3)="=SO",1,IF(COUNTA(A3477:U3477)=0,0,2))</f>
        <v>1</v>
      </c>
      <c r="X3477" s="256">
        <f t="shared" ca="1" si="926"/>
        <v>0</v>
      </c>
      <c r="Y3477" s="250"/>
      <c r="Z3477" s="250"/>
    </row>
    <row r="3478" spans="1:29" s="293" customFormat="1" ht="15.75" hidden="1" customHeight="1" x14ac:dyDescent="0.25">
      <c r="A3478" s="288"/>
      <c r="B3478" s="1374" t="str">
        <f>VLOOKUP(A3486,'11 - FINANCEIRO'!_xlnm.Print_Area,1,FALSE)</f>
        <v>4.6.6</v>
      </c>
      <c r="C3478" s="1376" t="str">
        <f>VLOOKUP(A3486,'11 - FINANCEIRO'!_xlnm.Print_Area,3,FALSE)</f>
        <v>Fabricação, Montagem E Desmontagem De Fôrma Para Bloco De Coroamento, Em Chapa De Madeira Compensada Resinada, E=17 Mm, 2 Utilizações. Af_06/2017</v>
      </c>
      <c r="D3478" s="1378" t="s">
        <v>477</v>
      </c>
      <c r="E3478" s="1379"/>
      <c r="F3478" s="1379"/>
      <c r="G3478" s="1379"/>
      <c r="H3478" s="1379"/>
      <c r="I3478" s="1380"/>
      <c r="J3478" s="1338" t="s">
        <v>478</v>
      </c>
      <c r="K3478" s="1338" t="s">
        <v>479</v>
      </c>
      <c r="L3478" s="1338" t="s">
        <v>480</v>
      </c>
      <c r="M3478" s="1338" t="s">
        <v>481</v>
      </c>
      <c r="N3478" s="1338" t="s">
        <v>482</v>
      </c>
      <c r="O3478" s="1338" t="s">
        <v>483</v>
      </c>
      <c r="P3478" s="290" t="s">
        <v>484</v>
      </c>
      <c r="Q3478" s="1338" t="s">
        <v>485</v>
      </c>
      <c r="R3478" s="1336" t="s">
        <v>296</v>
      </c>
      <c r="S3478" s="1338" t="s">
        <v>486</v>
      </c>
      <c r="T3478" s="1338" t="s">
        <v>487</v>
      </c>
      <c r="U3478" s="1340" t="s">
        <v>488</v>
      </c>
      <c r="V3478" s="291">
        <f t="shared" ref="V3478:V3486" ca="1" si="932">IF(OFFSET(V3478,1,1)=1,OFFSET(V3478,0,-4),OFFSET(V3478,1,0))</f>
        <v>0</v>
      </c>
      <c r="W3478" s="256">
        <f t="shared" ca="1" si="931"/>
        <v>2</v>
      </c>
      <c r="X3478" s="256">
        <f t="shared" ca="1" si="926"/>
        <v>1</v>
      </c>
      <c r="Y3478" s="256"/>
      <c r="Z3478" s="256"/>
      <c r="AA3478" s="292"/>
      <c r="AB3478" s="292"/>
      <c r="AC3478" s="292"/>
    </row>
    <row r="3479" spans="1:29" s="337" customFormat="1" ht="15.75" hidden="1" x14ac:dyDescent="0.2">
      <c r="A3479" s="288"/>
      <c r="B3479" s="1375"/>
      <c r="C3479" s="1377" t="e">
        <f>VLOOKUP(LEFT(#REF!,5),'11 - FINANCEIRO'!_xlnm.Print_Area,2,FALSE)</f>
        <v>#REF!</v>
      </c>
      <c r="D3479" s="1342" t="s">
        <v>489</v>
      </c>
      <c r="E3479" s="1343"/>
      <c r="F3479" s="1344"/>
      <c r="G3479" s="1345" t="s">
        <v>490</v>
      </c>
      <c r="H3479" s="1346"/>
      <c r="I3479" s="1347"/>
      <c r="J3479" s="1339"/>
      <c r="K3479" s="1339"/>
      <c r="L3479" s="1339"/>
      <c r="M3479" s="1339"/>
      <c r="N3479" s="1339"/>
      <c r="O3479" s="1339"/>
      <c r="P3479" s="295" t="s">
        <v>491</v>
      </c>
      <c r="Q3479" s="1339"/>
      <c r="R3479" s="1337"/>
      <c r="S3479" s="1339"/>
      <c r="T3479" s="1339"/>
      <c r="U3479" s="1341"/>
      <c r="V3479" s="291">
        <f t="shared" ca="1" si="932"/>
        <v>0</v>
      </c>
      <c r="W3479" s="256">
        <f t="shared" ca="1" si="931"/>
        <v>2</v>
      </c>
      <c r="X3479" s="256">
        <f t="shared" ca="1" si="926"/>
        <v>1</v>
      </c>
      <c r="Y3479" s="336"/>
      <c r="Z3479" s="336"/>
    </row>
    <row r="3480" spans="1:29" s="337" customFormat="1" ht="15.75" hidden="1" x14ac:dyDescent="0.2">
      <c r="A3480" s="288"/>
      <c r="B3480" s="296"/>
      <c r="C3480" s="297" t="s">
        <v>1058</v>
      </c>
      <c r="D3480" s="298"/>
      <c r="E3480" s="299"/>
      <c r="F3480" s="300"/>
      <c r="G3480" s="301"/>
      <c r="H3480" s="302"/>
      <c r="I3480" s="303"/>
      <c r="J3480" s="304"/>
      <c r="K3480" s="976">
        <f>9.2+7.212+4</f>
        <v>20.411999999999999</v>
      </c>
      <c r="L3480" s="317">
        <v>0.3</v>
      </c>
      <c r="M3480" s="315"/>
      <c r="N3480" s="314">
        <f>K3480*L3480</f>
        <v>6.1235999999999997</v>
      </c>
      <c r="O3480" s="313"/>
      <c r="P3480" s="318"/>
      <c r="Q3480" s="315">
        <v>2</v>
      </c>
      <c r="R3480" s="319">
        <f>N3480*Q3480</f>
        <v>12.247199999999999</v>
      </c>
      <c r="S3480" s="304"/>
      <c r="T3480" s="309">
        <v>37</v>
      </c>
      <c r="U3480" s="310"/>
      <c r="V3480" s="291">
        <f t="shared" ca="1" si="932"/>
        <v>0</v>
      </c>
      <c r="W3480" s="256">
        <f t="shared" ca="1" si="931"/>
        <v>2</v>
      </c>
      <c r="X3480" s="256">
        <f t="shared" ca="1" si="926"/>
        <v>1</v>
      </c>
      <c r="Y3480" s="336"/>
      <c r="Z3480" s="336"/>
    </row>
    <row r="3481" spans="1:29" s="111" customFormat="1" ht="15.75" hidden="1" x14ac:dyDescent="0.2">
      <c r="A3481" s="288"/>
      <c r="B3481" s="311"/>
      <c r="C3481" s="312" t="s">
        <v>1059</v>
      </c>
      <c r="D3481" s="313"/>
      <c r="E3481" s="314"/>
      <c r="F3481" s="315"/>
      <c r="G3481" s="380"/>
      <c r="H3481" s="316"/>
      <c r="I3481" s="381"/>
      <c r="J3481" s="317"/>
      <c r="K3481" s="976">
        <f>19+3+5+2.9+1.007</f>
        <v>30.907</v>
      </c>
      <c r="L3481" s="317">
        <v>0.25</v>
      </c>
      <c r="M3481" s="328"/>
      <c r="N3481" s="314">
        <f>K3481*L3481</f>
        <v>7.72675</v>
      </c>
      <c r="O3481" s="334"/>
      <c r="P3481" s="328"/>
      <c r="Q3481" s="315">
        <v>2</v>
      </c>
      <c r="R3481" s="319">
        <f>N3481*Q3481</f>
        <v>15.4535</v>
      </c>
      <c r="S3481" s="317"/>
      <c r="T3481" s="320">
        <v>37</v>
      </c>
      <c r="U3481" s="321"/>
      <c r="V3481" s="291">
        <f t="shared" ca="1" si="932"/>
        <v>0</v>
      </c>
      <c r="W3481" s="256">
        <f t="shared" ca="1" si="931"/>
        <v>2</v>
      </c>
      <c r="X3481" s="256">
        <f t="shared" ca="1" si="926"/>
        <v>1</v>
      </c>
      <c r="Y3481" s="250"/>
      <c r="Z3481" s="250"/>
    </row>
    <row r="3482" spans="1:29" s="111" customFormat="1" ht="15" hidden="1" x14ac:dyDescent="0.2">
      <c r="A3482" s="288"/>
      <c r="B3482" s="322"/>
      <c r="C3482" s="382"/>
      <c r="D3482" s="324"/>
      <c r="E3482" s="325"/>
      <c r="F3482" s="326"/>
      <c r="G3482" s="324"/>
      <c r="H3482" s="325"/>
      <c r="I3482" s="326"/>
      <c r="J3482" s="317"/>
      <c r="K3482" s="328"/>
      <c r="L3482" s="328"/>
      <c r="M3482" s="328"/>
      <c r="N3482" s="328"/>
      <c r="O3482" s="334"/>
      <c r="P3482" s="328"/>
      <c r="Q3482" s="334"/>
      <c r="R3482" s="333"/>
      <c r="S3482" s="331"/>
      <c r="T3482" s="320"/>
      <c r="U3482" s="335"/>
      <c r="V3482" s="291">
        <f t="shared" ca="1" si="932"/>
        <v>0</v>
      </c>
      <c r="W3482" s="256">
        <f t="shared" ca="1" si="931"/>
        <v>0</v>
      </c>
      <c r="X3482" s="256">
        <f t="shared" ca="1" si="926"/>
        <v>1</v>
      </c>
      <c r="Y3482" s="250"/>
      <c r="Z3482" s="250"/>
    </row>
    <row r="3483" spans="1:29" s="111" customFormat="1" ht="15" hidden="1" x14ac:dyDescent="0.2">
      <c r="A3483" s="288"/>
      <c r="B3483" s="338"/>
      <c r="C3483" s="339"/>
      <c r="D3483" s="340"/>
      <c r="E3483" s="341"/>
      <c r="F3483" s="342"/>
      <c r="G3483" s="340"/>
      <c r="H3483" s="341"/>
      <c r="I3483" s="342"/>
      <c r="J3483" s="343"/>
      <c r="K3483" s="344"/>
      <c r="L3483" s="345"/>
      <c r="M3483" s="346"/>
      <c r="N3483" s="347"/>
      <c r="O3483" s="348"/>
      <c r="P3483" s="345"/>
      <c r="Q3483" s="349"/>
      <c r="R3483" s="350"/>
      <c r="S3483" s="351"/>
      <c r="T3483" s="352"/>
      <c r="U3483" s="353"/>
      <c r="V3483" s="291">
        <f t="shared" ca="1" si="932"/>
        <v>0</v>
      </c>
      <c r="W3483" s="256">
        <f t="shared" ca="1" si="931"/>
        <v>0</v>
      </c>
      <c r="X3483" s="256">
        <f t="shared" ca="1" si="926"/>
        <v>1</v>
      </c>
      <c r="Y3483" s="250"/>
      <c r="Z3483" s="250"/>
    </row>
    <row r="3484" spans="1:29" s="111" customFormat="1" ht="15.75" hidden="1" customHeight="1" x14ac:dyDescent="0.2">
      <c r="A3484" s="288"/>
      <c r="B3484" s="354"/>
      <c r="C3484" s="355"/>
      <c r="D3484" s="1354" t="s">
        <v>492</v>
      </c>
      <c r="E3484" s="1355"/>
      <c r="F3484" s="1355"/>
      <c r="G3484" s="1355"/>
      <c r="H3484" s="1355"/>
      <c r="I3484" s="1356"/>
      <c r="J3484" s="1357">
        <f>VLOOKUP(A3486,'11 - FINANCEIRO'!_xlnm.Print_Area,6,FALSE)</f>
        <v>27.7</v>
      </c>
      <c r="K3484" s="1358"/>
      <c r="L3484" s="356" t="str">
        <f>VLOOKUP(A3486,'11 - FINANCEIRO'!_xlnm.Print_Area,4,FALSE)</f>
        <v>m²</v>
      </c>
      <c r="M3484" s="1359" t="s">
        <v>493</v>
      </c>
      <c r="N3484" s="1360"/>
      <c r="O3484" s="1360"/>
      <c r="P3484" s="1360"/>
      <c r="Q3484" s="1361"/>
      <c r="R3484" s="357">
        <f>TRUNC(SUM(R3480:R3483),3)</f>
        <v>27.7</v>
      </c>
      <c r="S3484" s="358" t="str">
        <f>L3484</f>
        <v>m²</v>
      </c>
      <c r="T3484" s="359"/>
      <c r="U3484" s="360"/>
      <c r="V3484" s="291">
        <f t="shared" ca="1" si="932"/>
        <v>0</v>
      </c>
      <c r="W3484" s="256">
        <f t="shared" ca="1" si="931"/>
        <v>2</v>
      </c>
      <c r="X3484" s="256">
        <f t="shared" ca="1" si="926"/>
        <v>1</v>
      </c>
      <c r="Y3484" s="250"/>
      <c r="Z3484" s="250"/>
    </row>
    <row r="3485" spans="1:29" s="293" customFormat="1" ht="15.75" hidden="1" customHeight="1" x14ac:dyDescent="0.2">
      <c r="A3485" s="288"/>
      <c r="B3485" s="354"/>
      <c r="C3485" s="361"/>
      <c r="D3485" s="1362" t="s">
        <v>494</v>
      </c>
      <c r="E3485" s="1363"/>
      <c r="F3485" s="1363"/>
      <c r="G3485" s="1363"/>
      <c r="H3485" s="1363"/>
      <c r="I3485" s="1364"/>
      <c r="J3485" s="1365">
        <f>R3484/J3484</f>
        <v>1</v>
      </c>
      <c r="K3485" s="1366"/>
      <c r="L3485" s="1369"/>
      <c r="M3485" s="1371" t="s">
        <v>495</v>
      </c>
      <c r="N3485" s="1372"/>
      <c r="O3485" s="1372"/>
      <c r="P3485" s="1372"/>
      <c r="Q3485" s="1373"/>
      <c r="R3485" s="362">
        <f>VLOOKUP(A3486,'11 - FINANCEIRO'!_xlnm.Print_Area,8,FALSE)</f>
        <v>27.7</v>
      </c>
      <c r="S3485" s="363" t="str">
        <f>L3484</f>
        <v>m²</v>
      </c>
      <c r="T3485" s="359"/>
      <c r="U3485" s="360"/>
      <c r="V3485" s="291">
        <f t="shared" ca="1" si="932"/>
        <v>0</v>
      </c>
      <c r="W3485" s="256">
        <f t="shared" ca="1" si="931"/>
        <v>2</v>
      </c>
      <c r="X3485" s="256">
        <f t="shared" ca="1" si="926"/>
        <v>1</v>
      </c>
      <c r="Y3485" s="256"/>
      <c r="Z3485" s="256"/>
      <c r="AA3485" s="292"/>
      <c r="AB3485" s="292"/>
      <c r="AC3485" s="292"/>
    </row>
    <row r="3486" spans="1:29" s="293" customFormat="1" ht="15.75" hidden="1" customHeight="1" x14ac:dyDescent="0.2">
      <c r="A3486" s="288" t="s">
        <v>226</v>
      </c>
      <c r="B3486" s="364"/>
      <c r="C3486" s="365"/>
      <c r="D3486" s="1354"/>
      <c r="E3486" s="1355"/>
      <c r="F3486" s="1355"/>
      <c r="G3486" s="1355"/>
      <c r="H3486" s="1355"/>
      <c r="I3486" s="1356"/>
      <c r="J3486" s="1367"/>
      <c r="K3486" s="1368"/>
      <c r="L3486" s="1370"/>
      <c r="M3486" s="1371" t="s">
        <v>496</v>
      </c>
      <c r="N3486" s="1372"/>
      <c r="O3486" s="1372"/>
      <c r="P3486" s="1372"/>
      <c r="Q3486" s="1373"/>
      <c r="R3486" s="362">
        <f>R3484-R3485</f>
        <v>0</v>
      </c>
      <c r="S3486" s="363" t="str">
        <f>L3484</f>
        <v>m²</v>
      </c>
      <c r="T3486" s="366"/>
      <c r="U3486" s="367"/>
      <c r="V3486" s="291">
        <f t="shared" ca="1" si="932"/>
        <v>0</v>
      </c>
      <c r="W3486" s="256">
        <f t="shared" ca="1" si="931"/>
        <v>2</v>
      </c>
      <c r="X3486" s="256">
        <f t="shared" ca="1" si="926"/>
        <v>1</v>
      </c>
      <c r="Y3486" s="256"/>
      <c r="Z3486" s="256"/>
      <c r="AA3486" s="292"/>
      <c r="AB3486" s="292"/>
      <c r="AC3486" s="292"/>
    </row>
    <row r="3487" spans="1:29" s="111" customFormat="1" ht="15.75" hidden="1" x14ac:dyDescent="0.2">
      <c r="A3487" s="288"/>
      <c r="B3487" s="368"/>
      <c r="C3487" s="365"/>
      <c r="D3487" s="369"/>
      <c r="E3487" s="370"/>
      <c r="F3487" s="369"/>
      <c r="G3487" s="369"/>
      <c r="H3487" s="369"/>
      <c r="I3487" s="369"/>
      <c r="J3487" s="371"/>
      <c r="K3487" s="372"/>
      <c r="L3487" s="373"/>
      <c r="M3487" s="374"/>
      <c r="N3487" s="374"/>
      <c r="O3487" s="374"/>
      <c r="P3487" s="374"/>
      <c r="Q3487" s="374"/>
      <c r="R3487" s="375"/>
      <c r="S3487" s="376"/>
      <c r="T3487" s="377"/>
      <c r="U3487" s="378"/>
      <c r="V3487" s="379">
        <f ca="1">SUM(V3478:V3486)</f>
        <v>0</v>
      </c>
      <c r="W3487" s="256">
        <f t="shared" ca="1" si="931"/>
        <v>1</v>
      </c>
      <c r="X3487" s="256">
        <f t="shared" ca="1" si="926"/>
        <v>0</v>
      </c>
      <c r="Y3487" s="250"/>
      <c r="Z3487" s="250"/>
    </row>
    <row r="3488" spans="1:29" s="293" customFormat="1" ht="15.75" hidden="1" customHeight="1" x14ac:dyDescent="0.25">
      <c r="A3488" s="288"/>
      <c r="B3488" s="1374" t="str">
        <f>VLOOKUP(A3496,'11 - FINANCEIRO'!_xlnm.Print_Area,1,FALSE)</f>
        <v>4.6.7</v>
      </c>
      <c r="C3488" s="1376" t="str">
        <f>VLOOKUP(A3496,'11 - FINANCEIRO'!_xlnm.Print_Area,3,FALSE)</f>
        <v>Chumbador Tipo Espera Em Aço Ca-25 Para Fixação De Estrutura Metálica Em Concreto - Fornecimento E Instalação</v>
      </c>
      <c r="D3488" s="1378" t="s">
        <v>477</v>
      </c>
      <c r="E3488" s="1379"/>
      <c r="F3488" s="1379"/>
      <c r="G3488" s="1379"/>
      <c r="H3488" s="1379"/>
      <c r="I3488" s="1380"/>
      <c r="J3488" s="1338" t="s">
        <v>478</v>
      </c>
      <c r="K3488" s="1338" t="s">
        <v>479</v>
      </c>
      <c r="L3488" s="1338" t="s">
        <v>480</v>
      </c>
      <c r="M3488" s="1338" t="s">
        <v>481</v>
      </c>
      <c r="N3488" s="1338" t="s">
        <v>482</v>
      </c>
      <c r="O3488" s="1338" t="s">
        <v>483</v>
      </c>
      <c r="P3488" s="290" t="s">
        <v>484</v>
      </c>
      <c r="Q3488" s="1338" t="s">
        <v>485</v>
      </c>
      <c r="R3488" s="1336" t="s">
        <v>296</v>
      </c>
      <c r="S3488" s="1338" t="s">
        <v>486</v>
      </c>
      <c r="T3488" s="1338" t="s">
        <v>487</v>
      </c>
      <c r="U3488" s="1340" t="s">
        <v>488</v>
      </c>
      <c r="V3488" s="291">
        <f t="shared" ref="V3488:V3496" ca="1" si="933">IF(OFFSET(V3488,1,1)=1,OFFSET(V3488,0,-4),OFFSET(V3488,1,0))</f>
        <v>0</v>
      </c>
      <c r="W3488" s="256">
        <f t="shared" ca="1" si="931"/>
        <v>2</v>
      </c>
      <c r="X3488" s="256">
        <f t="shared" ca="1" si="926"/>
        <v>1</v>
      </c>
      <c r="Y3488" s="256"/>
      <c r="Z3488" s="256"/>
      <c r="AA3488" s="292"/>
      <c r="AB3488" s="292"/>
      <c r="AC3488" s="292"/>
    </row>
    <row r="3489" spans="1:29" s="337" customFormat="1" ht="15.75" hidden="1" x14ac:dyDescent="0.2">
      <c r="A3489" s="288"/>
      <c r="B3489" s="1375"/>
      <c r="C3489" s="1377" t="e">
        <f>VLOOKUP(LEFT(#REF!,5),'11 - FINANCEIRO'!_xlnm.Print_Area,2,FALSE)</f>
        <v>#REF!</v>
      </c>
      <c r="D3489" s="1342" t="s">
        <v>489</v>
      </c>
      <c r="E3489" s="1343"/>
      <c r="F3489" s="1344"/>
      <c r="G3489" s="1345" t="s">
        <v>490</v>
      </c>
      <c r="H3489" s="1346"/>
      <c r="I3489" s="1347"/>
      <c r="J3489" s="1339"/>
      <c r="K3489" s="1339"/>
      <c r="L3489" s="1339"/>
      <c r="M3489" s="1339"/>
      <c r="N3489" s="1339"/>
      <c r="O3489" s="1339"/>
      <c r="P3489" s="295" t="s">
        <v>491</v>
      </c>
      <c r="Q3489" s="1339"/>
      <c r="R3489" s="1337"/>
      <c r="S3489" s="1339"/>
      <c r="T3489" s="1339"/>
      <c r="U3489" s="1341"/>
      <c r="V3489" s="291">
        <f t="shared" ca="1" si="933"/>
        <v>0</v>
      </c>
      <c r="W3489" s="256">
        <f t="shared" ca="1" si="931"/>
        <v>2</v>
      </c>
      <c r="X3489" s="256">
        <f t="shared" ca="1" si="926"/>
        <v>1</v>
      </c>
      <c r="Y3489" s="336"/>
      <c r="Z3489" s="336"/>
    </row>
    <row r="3490" spans="1:29" s="337" customFormat="1" ht="15.75" hidden="1" x14ac:dyDescent="0.2">
      <c r="A3490" s="288"/>
      <c r="B3490" s="296"/>
      <c r="C3490" s="297" t="s">
        <v>996</v>
      </c>
      <c r="D3490" s="298"/>
      <c r="E3490" s="299"/>
      <c r="F3490" s="300"/>
      <c r="G3490" s="301"/>
      <c r="H3490" s="302"/>
      <c r="I3490" s="303"/>
      <c r="J3490" s="304" t="s">
        <v>620</v>
      </c>
      <c r="K3490" s="304"/>
      <c r="L3490" s="304"/>
      <c r="M3490" s="304"/>
      <c r="N3490" s="304"/>
      <c r="O3490" s="304"/>
      <c r="P3490" s="306"/>
      <c r="Q3490" s="304"/>
      <c r="R3490" s="307">
        <v>6.4</v>
      </c>
      <c r="S3490" s="304"/>
      <c r="T3490" s="309">
        <v>37</v>
      </c>
      <c r="U3490" s="310"/>
      <c r="V3490" s="291">
        <f t="shared" ca="1" si="933"/>
        <v>0</v>
      </c>
      <c r="W3490" s="256">
        <f t="shared" ca="1" si="931"/>
        <v>2</v>
      </c>
      <c r="X3490" s="256">
        <f t="shared" ca="1" si="926"/>
        <v>1</v>
      </c>
      <c r="Y3490" s="336"/>
      <c r="Z3490" s="336"/>
    </row>
    <row r="3491" spans="1:29" s="111" customFormat="1" ht="15.75" hidden="1" x14ac:dyDescent="0.2">
      <c r="A3491" s="288"/>
      <c r="B3491" s="311"/>
      <c r="C3491" s="312" t="s">
        <v>996</v>
      </c>
      <c r="D3491" s="313"/>
      <c r="E3491" s="314"/>
      <c r="F3491" s="315"/>
      <c r="G3491" s="380"/>
      <c r="H3491" s="316"/>
      <c r="I3491" s="381"/>
      <c r="J3491" s="317" t="s">
        <v>621</v>
      </c>
      <c r="K3491" s="313"/>
      <c r="L3491" s="317"/>
      <c r="M3491" s="315"/>
      <c r="N3491" s="314"/>
      <c r="O3491" s="313"/>
      <c r="P3491" s="318"/>
      <c r="Q3491" s="315"/>
      <c r="R3491" s="319">
        <v>6.4</v>
      </c>
      <c r="S3491" s="317"/>
      <c r="T3491" s="320">
        <v>37</v>
      </c>
      <c r="U3491" s="321"/>
      <c r="V3491" s="291">
        <f t="shared" ca="1" si="933"/>
        <v>0</v>
      </c>
      <c r="W3491" s="256">
        <f t="shared" ca="1" si="931"/>
        <v>2</v>
      </c>
      <c r="X3491" s="256">
        <f t="shared" ca="1" si="926"/>
        <v>1</v>
      </c>
      <c r="Y3491" s="250"/>
      <c r="Z3491" s="250"/>
    </row>
    <row r="3492" spans="1:29" s="111" customFormat="1" ht="15" hidden="1" x14ac:dyDescent="0.2">
      <c r="A3492" s="288"/>
      <c r="B3492" s="322"/>
      <c r="C3492" s="382"/>
      <c r="D3492" s="324"/>
      <c r="E3492" s="325"/>
      <c r="F3492" s="326"/>
      <c r="G3492" s="324"/>
      <c r="H3492" s="325"/>
      <c r="I3492" s="326"/>
      <c r="J3492" s="317"/>
      <c r="K3492" s="328"/>
      <c r="L3492" s="328"/>
      <c r="M3492" s="328"/>
      <c r="N3492" s="328"/>
      <c r="O3492" s="334"/>
      <c r="P3492" s="328"/>
      <c r="Q3492" s="334"/>
      <c r="R3492" s="333"/>
      <c r="S3492" s="331"/>
      <c r="T3492" s="320"/>
      <c r="U3492" s="335"/>
      <c r="V3492" s="291">
        <f t="shared" ca="1" si="933"/>
        <v>0</v>
      </c>
      <c r="W3492" s="256">
        <f t="shared" ca="1" si="931"/>
        <v>0</v>
      </c>
      <c r="X3492" s="256">
        <f t="shared" ca="1" si="926"/>
        <v>1</v>
      </c>
      <c r="Y3492" s="250"/>
      <c r="Z3492" s="250"/>
    </row>
    <row r="3493" spans="1:29" s="111" customFormat="1" ht="15" hidden="1" x14ac:dyDescent="0.2">
      <c r="A3493" s="288"/>
      <c r="B3493" s="338"/>
      <c r="C3493" s="339"/>
      <c r="D3493" s="340"/>
      <c r="E3493" s="341"/>
      <c r="F3493" s="342"/>
      <c r="G3493" s="340"/>
      <c r="H3493" s="341"/>
      <c r="I3493" s="342"/>
      <c r="J3493" s="343"/>
      <c r="K3493" s="344"/>
      <c r="L3493" s="345"/>
      <c r="M3493" s="346"/>
      <c r="N3493" s="347"/>
      <c r="O3493" s="348"/>
      <c r="P3493" s="345"/>
      <c r="Q3493" s="349"/>
      <c r="R3493" s="350"/>
      <c r="S3493" s="351"/>
      <c r="T3493" s="352"/>
      <c r="U3493" s="353"/>
      <c r="V3493" s="291">
        <f t="shared" ca="1" si="933"/>
        <v>0</v>
      </c>
      <c r="W3493" s="256">
        <f t="shared" ca="1" si="931"/>
        <v>0</v>
      </c>
      <c r="X3493" s="256">
        <f t="shared" ca="1" si="926"/>
        <v>1</v>
      </c>
      <c r="Y3493" s="250"/>
      <c r="Z3493" s="250"/>
    </row>
    <row r="3494" spans="1:29" s="111" customFormat="1" ht="15.75" hidden="1" customHeight="1" x14ac:dyDescent="0.2">
      <c r="A3494" s="288"/>
      <c r="B3494" s="354"/>
      <c r="C3494" s="355"/>
      <c r="D3494" s="1354" t="s">
        <v>492</v>
      </c>
      <c r="E3494" s="1355"/>
      <c r="F3494" s="1355"/>
      <c r="G3494" s="1355"/>
      <c r="H3494" s="1355"/>
      <c r="I3494" s="1356"/>
      <c r="J3494" s="1357">
        <f>VLOOKUP(A3496,'11 - FINANCEIRO'!_xlnm.Print_Area,6,FALSE)</f>
        <v>12.8</v>
      </c>
      <c r="K3494" s="1358"/>
      <c r="L3494" s="356" t="str">
        <f>VLOOKUP(A3496,'11 - FINANCEIRO'!_xlnm.Print_Area,4,FALSE)</f>
        <v>kg</v>
      </c>
      <c r="M3494" s="1359" t="s">
        <v>493</v>
      </c>
      <c r="N3494" s="1360"/>
      <c r="O3494" s="1360"/>
      <c r="P3494" s="1360"/>
      <c r="Q3494" s="1361"/>
      <c r="R3494" s="357">
        <f>TRUNC(SUM(R3490:R3493),3)</f>
        <v>12.8</v>
      </c>
      <c r="S3494" s="358" t="str">
        <f>L3494</f>
        <v>kg</v>
      </c>
      <c r="T3494" s="359"/>
      <c r="U3494" s="360"/>
      <c r="V3494" s="291">
        <f t="shared" ca="1" si="933"/>
        <v>0</v>
      </c>
      <c r="W3494" s="256">
        <f t="shared" ca="1" si="931"/>
        <v>2</v>
      </c>
      <c r="X3494" s="256">
        <f t="shared" ca="1" si="926"/>
        <v>1</v>
      </c>
      <c r="Y3494" s="250"/>
      <c r="Z3494" s="250"/>
    </row>
    <row r="3495" spans="1:29" s="293" customFormat="1" ht="15.75" hidden="1" customHeight="1" x14ac:dyDescent="0.2">
      <c r="A3495" s="288"/>
      <c r="B3495" s="354"/>
      <c r="C3495" s="361"/>
      <c r="D3495" s="1362" t="s">
        <v>494</v>
      </c>
      <c r="E3495" s="1363"/>
      <c r="F3495" s="1363"/>
      <c r="G3495" s="1363"/>
      <c r="H3495" s="1363"/>
      <c r="I3495" s="1364"/>
      <c r="J3495" s="1365">
        <f>R3494/J3494</f>
        <v>1</v>
      </c>
      <c r="K3495" s="1366"/>
      <c r="L3495" s="1369"/>
      <c r="M3495" s="1371" t="s">
        <v>495</v>
      </c>
      <c r="N3495" s="1372"/>
      <c r="O3495" s="1372"/>
      <c r="P3495" s="1372"/>
      <c r="Q3495" s="1373"/>
      <c r="R3495" s="362">
        <f>VLOOKUP(A3496,'11 - FINANCEIRO'!_xlnm.Print_Area,8,FALSE)</f>
        <v>12.8</v>
      </c>
      <c r="S3495" s="363" t="str">
        <f>L3494</f>
        <v>kg</v>
      </c>
      <c r="T3495" s="359"/>
      <c r="U3495" s="360"/>
      <c r="V3495" s="291">
        <f t="shared" ca="1" si="933"/>
        <v>0</v>
      </c>
      <c r="W3495" s="256">
        <f t="shared" ca="1" si="931"/>
        <v>2</v>
      </c>
      <c r="X3495" s="256">
        <f t="shared" ca="1" si="926"/>
        <v>1</v>
      </c>
      <c r="Y3495" s="256"/>
      <c r="Z3495" s="256"/>
      <c r="AA3495" s="292"/>
      <c r="AB3495" s="292"/>
      <c r="AC3495" s="292"/>
    </row>
    <row r="3496" spans="1:29" s="293" customFormat="1" ht="15.75" hidden="1" customHeight="1" x14ac:dyDescent="0.2">
      <c r="A3496" s="288" t="s">
        <v>227</v>
      </c>
      <c r="B3496" s="364"/>
      <c r="C3496" s="365"/>
      <c r="D3496" s="1354"/>
      <c r="E3496" s="1355"/>
      <c r="F3496" s="1355"/>
      <c r="G3496" s="1355"/>
      <c r="H3496" s="1355"/>
      <c r="I3496" s="1356"/>
      <c r="J3496" s="1367"/>
      <c r="K3496" s="1368"/>
      <c r="L3496" s="1370"/>
      <c r="M3496" s="1371" t="s">
        <v>496</v>
      </c>
      <c r="N3496" s="1372"/>
      <c r="O3496" s="1372"/>
      <c r="P3496" s="1372"/>
      <c r="Q3496" s="1373"/>
      <c r="R3496" s="362">
        <f>R3494-R3495</f>
        <v>0</v>
      </c>
      <c r="S3496" s="363" t="str">
        <f>L3494</f>
        <v>kg</v>
      </c>
      <c r="T3496" s="366"/>
      <c r="U3496" s="367"/>
      <c r="V3496" s="291">
        <f t="shared" ca="1" si="933"/>
        <v>0</v>
      </c>
      <c r="W3496" s="256">
        <f t="shared" ca="1" si="931"/>
        <v>2</v>
      </c>
      <c r="X3496" s="256">
        <f t="shared" ca="1" si="926"/>
        <v>1</v>
      </c>
      <c r="Y3496" s="256"/>
      <c r="Z3496" s="256"/>
      <c r="AA3496" s="292"/>
      <c r="AB3496" s="292"/>
      <c r="AC3496" s="292"/>
    </row>
    <row r="3497" spans="1:29" s="111" customFormat="1" ht="15.75" hidden="1" x14ac:dyDescent="0.2">
      <c r="A3497" s="288"/>
      <c r="B3497" s="368"/>
      <c r="C3497" s="365"/>
      <c r="D3497" s="369"/>
      <c r="E3497" s="370"/>
      <c r="F3497" s="369"/>
      <c r="G3497" s="369"/>
      <c r="H3497" s="369"/>
      <c r="I3497" s="369"/>
      <c r="J3497" s="371"/>
      <c r="K3497" s="372"/>
      <c r="L3497" s="373"/>
      <c r="M3497" s="374"/>
      <c r="N3497" s="374"/>
      <c r="O3497" s="374"/>
      <c r="P3497" s="374"/>
      <c r="Q3497" s="374"/>
      <c r="R3497" s="375"/>
      <c r="S3497" s="376"/>
      <c r="T3497" s="377"/>
      <c r="U3497" s="378"/>
      <c r="V3497" s="379">
        <f ca="1">SUM(V3488:V3496)</f>
        <v>0</v>
      </c>
      <c r="W3497" s="256">
        <f t="shared" ca="1" si="931"/>
        <v>1</v>
      </c>
      <c r="X3497" s="256">
        <f t="shared" ca="1" si="926"/>
        <v>0</v>
      </c>
      <c r="Y3497" s="250"/>
      <c r="Z3497" s="250"/>
    </row>
    <row r="3498" spans="1:29" s="293" customFormat="1" ht="15.75" hidden="1" customHeight="1" x14ac:dyDescent="0.25">
      <c r="A3498" s="288"/>
      <c r="B3498" s="1374" t="str">
        <f>VLOOKUP(A3506,'11 - FINANCEIRO'!_xlnm.Print_Area,1,FALSE)</f>
        <v>4.6.8</v>
      </c>
      <c r="C3498" s="1376" t="str">
        <f>VLOOKUP(A3506,'11 - FINANCEIRO'!_xlnm.Print_Area,3,FALSE)</f>
        <v>Viga Metálica Em Perfil Laminado Ou Soldado Em Aço Estrutural, Com Conexões Soldadas, Inclusos Mão De Obra, Transporte E Içamento Utilizando Guindaste - Fornecimento E Instalação. Af_01/2020_P</v>
      </c>
      <c r="D3498" s="1378" t="s">
        <v>477</v>
      </c>
      <c r="E3498" s="1379"/>
      <c r="F3498" s="1379"/>
      <c r="G3498" s="1379"/>
      <c r="H3498" s="1379"/>
      <c r="I3498" s="1380"/>
      <c r="J3498" s="1338" t="s">
        <v>478</v>
      </c>
      <c r="K3498" s="1338" t="s">
        <v>479</v>
      </c>
      <c r="L3498" s="1338" t="s">
        <v>480</v>
      </c>
      <c r="M3498" s="1338" t="s">
        <v>481</v>
      </c>
      <c r="N3498" s="1338" t="s">
        <v>482</v>
      </c>
      <c r="O3498" s="1338" t="s">
        <v>483</v>
      </c>
      <c r="P3498" s="290" t="s">
        <v>484</v>
      </c>
      <c r="Q3498" s="1338" t="s">
        <v>485</v>
      </c>
      <c r="R3498" s="1336" t="s">
        <v>296</v>
      </c>
      <c r="S3498" s="1338" t="s">
        <v>486</v>
      </c>
      <c r="T3498" s="1338" t="s">
        <v>487</v>
      </c>
      <c r="U3498" s="1340" t="s">
        <v>488</v>
      </c>
      <c r="V3498" s="291">
        <f t="shared" ref="V3498:V3506" ca="1" si="934">IF(OFFSET(V3498,1,1)=1,OFFSET(V3498,0,-4),OFFSET(V3498,1,0))</f>
        <v>0</v>
      </c>
      <c r="W3498" s="256">
        <f t="shared" ca="1" si="931"/>
        <v>2</v>
      </c>
      <c r="X3498" s="256">
        <f t="shared" ca="1" si="926"/>
        <v>1</v>
      </c>
      <c r="Y3498" s="256"/>
      <c r="Z3498" s="256"/>
      <c r="AA3498" s="292"/>
      <c r="AB3498" s="292"/>
      <c r="AC3498" s="292"/>
    </row>
    <row r="3499" spans="1:29" s="337" customFormat="1" ht="15.75" hidden="1" x14ac:dyDescent="0.2">
      <c r="A3499" s="288"/>
      <c r="B3499" s="1375"/>
      <c r="C3499" s="1377" t="e">
        <f>VLOOKUP(LEFT(#REF!,5),'11 - FINANCEIRO'!_xlnm.Print_Area,2,FALSE)</f>
        <v>#REF!</v>
      </c>
      <c r="D3499" s="1342" t="s">
        <v>489</v>
      </c>
      <c r="E3499" s="1343"/>
      <c r="F3499" s="1344"/>
      <c r="G3499" s="1345" t="s">
        <v>490</v>
      </c>
      <c r="H3499" s="1346"/>
      <c r="I3499" s="1347"/>
      <c r="J3499" s="1339"/>
      <c r="K3499" s="1339"/>
      <c r="L3499" s="1339"/>
      <c r="M3499" s="1339"/>
      <c r="N3499" s="1339"/>
      <c r="O3499" s="1339"/>
      <c r="P3499" s="295" t="s">
        <v>491</v>
      </c>
      <c r="Q3499" s="1339"/>
      <c r="R3499" s="1337"/>
      <c r="S3499" s="1339"/>
      <c r="T3499" s="1339"/>
      <c r="U3499" s="1341"/>
      <c r="V3499" s="291">
        <f t="shared" ca="1" si="934"/>
        <v>0</v>
      </c>
      <c r="W3499" s="256">
        <f t="shared" ca="1" si="931"/>
        <v>2</v>
      </c>
      <c r="X3499" s="256">
        <f t="shared" ca="1" si="926"/>
        <v>1</v>
      </c>
      <c r="Y3499" s="336"/>
      <c r="Z3499" s="336"/>
    </row>
    <row r="3500" spans="1:29" s="337" customFormat="1" ht="31.5" hidden="1" x14ac:dyDescent="0.2">
      <c r="A3500" s="288"/>
      <c r="B3500" s="296"/>
      <c r="C3500" s="297" t="s">
        <v>1184</v>
      </c>
      <c r="D3500" s="298">
        <v>60</v>
      </c>
      <c r="E3500" s="299" t="s">
        <v>518</v>
      </c>
      <c r="F3500" s="413">
        <v>0</v>
      </c>
      <c r="G3500" s="301">
        <v>60</v>
      </c>
      <c r="H3500" s="302" t="s">
        <v>518</v>
      </c>
      <c r="I3500" s="415">
        <v>0</v>
      </c>
      <c r="J3500" s="304"/>
      <c r="K3500" s="304"/>
      <c r="L3500" s="304"/>
      <c r="M3500" s="304"/>
      <c r="N3500" s="304"/>
      <c r="O3500" s="304"/>
      <c r="P3500" s="306"/>
      <c r="Q3500" s="304"/>
      <c r="R3500" s="307">
        <v>2761</v>
      </c>
      <c r="S3500" s="304"/>
      <c r="T3500" s="309">
        <v>36</v>
      </c>
      <c r="U3500" s="310" t="s">
        <v>1189</v>
      </c>
      <c r="V3500" s="291">
        <f t="shared" ca="1" si="934"/>
        <v>0</v>
      </c>
      <c r="W3500" s="256">
        <f t="shared" ca="1" si="931"/>
        <v>2</v>
      </c>
      <c r="X3500" s="256">
        <f t="shared" ca="1" si="926"/>
        <v>1</v>
      </c>
      <c r="Y3500" s="336"/>
      <c r="Z3500" s="336"/>
    </row>
    <row r="3501" spans="1:29" s="111" customFormat="1" ht="15.75" hidden="1" x14ac:dyDescent="0.2">
      <c r="A3501" s="288"/>
      <c r="B3501" s="311"/>
      <c r="C3501" s="312"/>
      <c r="D3501" s="313"/>
      <c r="E3501" s="314"/>
      <c r="F3501" s="315"/>
      <c r="G3501" s="380"/>
      <c r="H3501" s="316"/>
      <c r="I3501" s="381"/>
      <c r="J3501" s="317"/>
      <c r="K3501" s="313"/>
      <c r="L3501" s="317"/>
      <c r="M3501" s="315"/>
      <c r="N3501" s="314"/>
      <c r="O3501" s="313"/>
      <c r="P3501" s="318"/>
      <c r="Q3501" s="315"/>
      <c r="R3501" s="319"/>
      <c r="S3501" s="317"/>
      <c r="T3501" s="320"/>
      <c r="U3501" s="321"/>
      <c r="V3501" s="291">
        <f t="shared" ca="1" si="934"/>
        <v>0</v>
      </c>
      <c r="W3501" s="256">
        <f t="shared" ca="1" si="931"/>
        <v>0</v>
      </c>
      <c r="X3501" s="256">
        <f t="shared" ref="X3501:X3564" ca="1" si="935">IF(COUNTA(OFFSET(A3500,1,0))-COUNTA(A3500)=-1,0,1)</f>
        <v>1</v>
      </c>
      <c r="Y3501" s="250"/>
      <c r="Z3501" s="250"/>
    </row>
    <row r="3502" spans="1:29" s="111" customFormat="1" ht="15" hidden="1" x14ac:dyDescent="0.2">
      <c r="A3502" s="288"/>
      <c r="B3502" s="322"/>
      <c r="C3502" s="382"/>
      <c r="D3502" s="324"/>
      <c r="E3502" s="325"/>
      <c r="F3502" s="326"/>
      <c r="G3502" s="324"/>
      <c r="H3502" s="325"/>
      <c r="I3502" s="326"/>
      <c r="J3502" s="317"/>
      <c r="K3502" s="328"/>
      <c r="L3502" s="328"/>
      <c r="M3502" s="328"/>
      <c r="N3502" s="328"/>
      <c r="O3502" s="334"/>
      <c r="P3502" s="328"/>
      <c r="Q3502" s="334"/>
      <c r="R3502" s="333"/>
      <c r="S3502" s="331"/>
      <c r="T3502" s="320"/>
      <c r="U3502" s="335"/>
      <c r="V3502" s="291">
        <f t="shared" ca="1" si="934"/>
        <v>0</v>
      </c>
      <c r="W3502" s="256">
        <f t="shared" ca="1" si="931"/>
        <v>0</v>
      </c>
      <c r="X3502" s="256">
        <f t="shared" ca="1" si="935"/>
        <v>1</v>
      </c>
      <c r="Y3502" s="250"/>
      <c r="Z3502" s="250"/>
    </row>
    <row r="3503" spans="1:29" s="111" customFormat="1" ht="15" hidden="1" x14ac:dyDescent="0.2">
      <c r="A3503" s="288"/>
      <c r="B3503" s="338"/>
      <c r="C3503" s="339"/>
      <c r="D3503" s="340"/>
      <c r="E3503" s="341"/>
      <c r="F3503" s="342"/>
      <c r="G3503" s="340"/>
      <c r="H3503" s="341"/>
      <c r="I3503" s="342"/>
      <c r="J3503" s="343"/>
      <c r="K3503" s="344"/>
      <c r="L3503" s="345"/>
      <c r="M3503" s="346"/>
      <c r="N3503" s="347"/>
      <c r="O3503" s="348"/>
      <c r="P3503" s="345"/>
      <c r="Q3503" s="349"/>
      <c r="R3503" s="350"/>
      <c r="S3503" s="351"/>
      <c r="T3503" s="352"/>
      <c r="U3503" s="353"/>
      <c r="V3503" s="291">
        <f t="shared" ca="1" si="934"/>
        <v>0</v>
      </c>
      <c r="W3503" s="256">
        <f t="shared" ca="1" si="931"/>
        <v>0</v>
      </c>
      <c r="X3503" s="256">
        <f t="shared" ca="1" si="935"/>
        <v>1</v>
      </c>
      <c r="Y3503" s="250"/>
      <c r="Z3503" s="250"/>
    </row>
    <row r="3504" spans="1:29" s="111" customFormat="1" ht="15.75" hidden="1" customHeight="1" x14ac:dyDescent="0.2">
      <c r="A3504" s="288"/>
      <c r="B3504" s="354"/>
      <c r="C3504" s="355"/>
      <c r="D3504" s="1354" t="s">
        <v>492</v>
      </c>
      <c r="E3504" s="1355"/>
      <c r="F3504" s="1355"/>
      <c r="G3504" s="1355"/>
      <c r="H3504" s="1355"/>
      <c r="I3504" s="1356"/>
      <c r="J3504" s="1357">
        <f>VLOOKUP(A3506,'11 - FINANCEIRO'!_xlnm.Print_Area,6,FALSE)</f>
        <v>3285.64</v>
      </c>
      <c r="K3504" s="1358"/>
      <c r="L3504" s="356" t="str">
        <f>VLOOKUP(A3506,'11 - FINANCEIRO'!_xlnm.Print_Area,4,FALSE)</f>
        <v>kg</v>
      </c>
      <c r="M3504" s="1359" t="s">
        <v>493</v>
      </c>
      <c r="N3504" s="1360"/>
      <c r="O3504" s="1360"/>
      <c r="P3504" s="1360"/>
      <c r="Q3504" s="1361"/>
      <c r="R3504" s="357">
        <f>TRUNC(SUM(R3500:R3503),3)</f>
        <v>2761</v>
      </c>
      <c r="S3504" s="358" t="str">
        <f>L3504</f>
        <v>kg</v>
      </c>
      <c r="T3504" s="359"/>
      <c r="U3504" s="360"/>
      <c r="V3504" s="291">
        <f t="shared" ca="1" si="934"/>
        <v>0</v>
      </c>
      <c r="W3504" s="256">
        <f t="shared" ca="1" si="931"/>
        <v>2</v>
      </c>
      <c r="X3504" s="256">
        <f t="shared" ca="1" si="935"/>
        <v>1</v>
      </c>
      <c r="Y3504" s="250"/>
      <c r="Z3504" s="250"/>
    </row>
    <row r="3505" spans="1:29" s="293" customFormat="1" ht="15.75" hidden="1" customHeight="1" x14ac:dyDescent="0.2">
      <c r="A3505" s="288"/>
      <c r="B3505" s="354"/>
      <c r="C3505" s="361"/>
      <c r="D3505" s="1362" t="s">
        <v>494</v>
      </c>
      <c r="E3505" s="1363"/>
      <c r="F3505" s="1363"/>
      <c r="G3505" s="1363"/>
      <c r="H3505" s="1363"/>
      <c r="I3505" s="1364"/>
      <c r="J3505" s="1365">
        <f>R3504/J3504</f>
        <v>0.84032334644087614</v>
      </c>
      <c r="K3505" s="1366"/>
      <c r="L3505" s="1369"/>
      <c r="M3505" s="1371" t="s">
        <v>495</v>
      </c>
      <c r="N3505" s="1372"/>
      <c r="O3505" s="1372"/>
      <c r="P3505" s="1372"/>
      <c r="Q3505" s="1373"/>
      <c r="R3505" s="362">
        <f>VLOOKUP(A3506,'11 - FINANCEIRO'!_xlnm.Print_Area,8,FALSE)</f>
        <v>2761</v>
      </c>
      <c r="S3505" s="363" t="str">
        <f>L3504</f>
        <v>kg</v>
      </c>
      <c r="T3505" s="359"/>
      <c r="U3505" s="360"/>
      <c r="V3505" s="291">
        <f t="shared" ca="1" si="934"/>
        <v>0</v>
      </c>
      <c r="W3505" s="256">
        <f t="shared" ca="1" si="931"/>
        <v>2</v>
      </c>
      <c r="X3505" s="256">
        <f t="shared" ca="1" si="935"/>
        <v>1</v>
      </c>
      <c r="Y3505" s="256"/>
      <c r="Z3505" s="256"/>
      <c r="AA3505" s="292"/>
      <c r="AB3505" s="292"/>
      <c r="AC3505" s="292"/>
    </row>
    <row r="3506" spans="1:29" s="293" customFormat="1" ht="15.75" hidden="1" customHeight="1" x14ac:dyDescent="0.2">
      <c r="A3506" s="288" t="s">
        <v>228</v>
      </c>
      <c r="B3506" s="364"/>
      <c r="C3506" s="365"/>
      <c r="D3506" s="1354"/>
      <c r="E3506" s="1355"/>
      <c r="F3506" s="1355"/>
      <c r="G3506" s="1355"/>
      <c r="H3506" s="1355"/>
      <c r="I3506" s="1356"/>
      <c r="J3506" s="1367"/>
      <c r="K3506" s="1368"/>
      <c r="L3506" s="1370"/>
      <c r="M3506" s="1371" t="s">
        <v>496</v>
      </c>
      <c r="N3506" s="1372"/>
      <c r="O3506" s="1372"/>
      <c r="P3506" s="1372"/>
      <c r="Q3506" s="1373"/>
      <c r="R3506" s="362">
        <f>R3504-R3505</f>
        <v>0</v>
      </c>
      <c r="S3506" s="363" t="str">
        <f>L3504</f>
        <v>kg</v>
      </c>
      <c r="T3506" s="366"/>
      <c r="U3506" s="367"/>
      <c r="V3506" s="291">
        <f t="shared" ca="1" si="934"/>
        <v>0</v>
      </c>
      <c r="W3506" s="256">
        <f t="shared" ca="1" si="931"/>
        <v>2</v>
      </c>
      <c r="X3506" s="256">
        <f t="shared" ca="1" si="935"/>
        <v>1</v>
      </c>
      <c r="Y3506" s="256"/>
      <c r="Z3506" s="256"/>
      <c r="AA3506" s="292"/>
      <c r="AB3506" s="292"/>
      <c r="AC3506" s="292"/>
    </row>
    <row r="3507" spans="1:29" s="111" customFormat="1" ht="15.75" hidden="1" x14ac:dyDescent="0.2">
      <c r="A3507" s="288"/>
      <c r="B3507" s="368"/>
      <c r="C3507" s="365"/>
      <c r="D3507" s="369"/>
      <c r="E3507" s="370"/>
      <c r="F3507" s="369"/>
      <c r="G3507" s="369"/>
      <c r="H3507" s="369"/>
      <c r="I3507" s="369"/>
      <c r="J3507" s="371"/>
      <c r="K3507" s="372"/>
      <c r="L3507" s="373"/>
      <c r="M3507" s="374"/>
      <c r="N3507" s="374"/>
      <c r="O3507" s="374"/>
      <c r="P3507" s="374"/>
      <c r="Q3507" s="374"/>
      <c r="R3507" s="375"/>
      <c r="S3507" s="376"/>
      <c r="T3507" s="377"/>
      <c r="U3507" s="378"/>
      <c r="V3507" s="379">
        <f ca="1">SUM(V3498:V3506)</f>
        <v>0</v>
      </c>
      <c r="W3507" s="256">
        <f t="shared" ca="1" si="931"/>
        <v>1</v>
      </c>
      <c r="X3507" s="256">
        <f t="shared" ca="1" si="935"/>
        <v>0</v>
      </c>
      <c r="Y3507" s="250"/>
      <c r="Z3507" s="250"/>
    </row>
    <row r="3508" spans="1:29" s="293" customFormat="1" ht="15.75" customHeight="1" x14ac:dyDescent="0.25">
      <c r="A3508" s="288"/>
      <c r="B3508" s="1374" t="str">
        <f>VLOOKUP(A3516,'11 - FINANCEIRO'!_xlnm.Print_Area,1,FALSE)</f>
        <v>4.6.9</v>
      </c>
      <c r="C3508" s="1376" t="str">
        <f>VLOOKUP(A3516,'11 - FINANCEIRO'!_xlnm.Print_Area,3,FALSE)</f>
        <v>Guarda Corpo Em Aço Galvanizado De Altura H=1,10M Pintura Com Tinta Esmalte Suvinil, Linha "Contra Ferrugem" Cor Maracujá, Ref.:C026</v>
      </c>
      <c r="D3508" s="1378" t="s">
        <v>477</v>
      </c>
      <c r="E3508" s="1379"/>
      <c r="F3508" s="1379"/>
      <c r="G3508" s="1379"/>
      <c r="H3508" s="1379"/>
      <c r="I3508" s="1380"/>
      <c r="J3508" s="1338" t="s">
        <v>478</v>
      </c>
      <c r="K3508" s="1338" t="s">
        <v>479</v>
      </c>
      <c r="L3508" s="1338" t="s">
        <v>480</v>
      </c>
      <c r="M3508" s="1338" t="s">
        <v>481</v>
      </c>
      <c r="N3508" s="1338" t="s">
        <v>482</v>
      </c>
      <c r="O3508" s="1338" t="s">
        <v>483</v>
      </c>
      <c r="P3508" s="290" t="s">
        <v>484</v>
      </c>
      <c r="Q3508" s="1338" t="s">
        <v>485</v>
      </c>
      <c r="R3508" s="1336" t="s">
        <v>296</v>
      </c>
      <c r="S3508" s="1338" t="s">
        <v>486</v>
      </c>
      <c r="T3508" s="1338" t="s">
        <v>487</v>
      </c>
      <c r="U3508" s="1340" t="s">
        <v>488</v>
      </c>
      <c r="V3508" s="291">
        <f t="shared" ref="V3508:V3516" ca="1" si="936">IF(OFFSET(V3508,1,1)=1,OFFSET(V3508,0,-4),OFFSET(V3508,1,0))</f>
        <v>32.42</v>
      </c>
      <c r="W3508" s="256">
        <f t="shared" ca="1" si="931"/>
        <v>2</v>
      </c>
      <c r="X3508" s="256">
        <f t="shared" ca="1" si="935"/>
        <v>1</v>
      </c>
      <c r="Y3508" s="256"/>
      <c r="Z3508" s="256"/>
      <c r="AA3508" s="292"/>
      <c r="AB3508" s="292"/>
      <c r="AC3508" s="292"/>
    </row>
    <row r="3509" spans="1:29" s="337" customFormat="1" ht="15.75" x14ac:dyDescent="0.2">
      <c r="A3509" s="288"/>
      <c r="B3509" s="1375"/>
      <c r="C3509" s="1377" t="e">
        <f>VLOOKUP(LEFT(#REF!,5),'11 - FINANCEIRO'!_xlnm.Print_Area,2,FALSE)</f>
        <v>#REF!</v>
      </c>
      <c r="D3509" s="1342" t="s">
        <v>489</v>
      </c>
      <c r="E3509" s="1343"/>
      <c r="F3509" s="1344"/>
      <c r="G3509" s="1345" t="s">
        <v>490</v>
      </c>
      <c r="H3509" s="1346"/>
      <c r="I3509" s="1347"/>
      <c r="J3509" s="1339"/>
      <c r="K3509" s="1339"/>
      <c r="L3509" s="1339"/>
      <c r="M3509" s="1339"/>
      <c r="N3509" s="1339"/>
      <c r="O3509" s="1339"/>
      <c r="P3509" s="295" t="s">
        <v>491</v>
      </c>
      <c r="Q3509" s="1339"/>
      <c r="R3509" s="1337"/>
      <c r="S3509" s="1339"/>
      <c r="T3509" s="1339"/>
      <c r="U3509" s="1341"/>
      <c r="V3509" s="291">
        <f t="shared" ca="1" si="936"/>
        <v>32.42</v>
      </c>
      <c r="W3509" s="256">
        <f t="shared" ca="1" si="931"/>
        <v>2</v>
      </c>
      <c r="X3509" s="256">
        <f t="shared" ca="1" si="935"/>
        <v>1</v>
      </c>
      <c r="Y3509" s="336"/>
      <c r="Z3509" s="336"/>
    </row>
    <row r="3510" spans="1:29" s="337" customFormat="1" ht="15.75" x14ac:dyDescent="0.2">
      <c r="A3510" s="288"/>
      <c r="B3510" s="296"/>
      <c r="C3510" s="297" t="s">
        <v>1248</v>
      </c>
      <c r="D3510" s="298"/>
      <c r="E3510" s="299"/>
      <c r="F3510" s="300"/>
      <c r="G3510" s="301"/>
      <c r="H3510" s="302"/>
      <c r="I3510" s="303"/>
      <c r="J3510" s="304"/>
      <c r="K3510" s="304">
        <v>24</v>
      </c>
      <c r="L3510" s="304"/>
      <c r="M3510" s="304"/>
      <c r="N3510" s="304"/>
      <c r="O3510" s="304"/>
      <c r="P3510" s="306"/>
      <c r="Q3510" s="304"/>
      <c r="R3510" s="307">
        <f>K3510</f>
        <v>24</v>
      </c>
      <c r="S3510" s="304" t="s">
        <v>301</v>
      </c>
      <c r="T3510" s="309">
        <v>39</v>
      </c>
      <c r="U3510" s="310"/>
      <c r="V3510" s="291">
        <f t="shared" ca="1" si="936"/>
        <v>32.42</v>
      </c>
      <c r="W3510" s="256">
        <f t="shared" ca="1" si="931"/>
        <v>2</v>
      </c>
      <c r="X3510" s="256">
        <f t="shared" ca="1" si="935"/>
        <v>1</v>
      </c>
      <c r="Y3510" s="336"/>
      <c r="Z3510" s="336"/>
    </row>
    <row r="3511" spans="1:29" s="111" customFormat="1" ht="15.75" x14ac:dyDescent="0.2">
      <c r="A3511" s="288"/>
      <c r="B3511" s="311"/>
      <c r="C3511" s="312" t="s">
        <v>1297</v>
      </c>
      <c r="D3511" s="313"/>
      <c r="E3511" s="314"/>
      <c r="F3511" s="315"/>
      <c r="G3511" s="380"/>
      <c r="H3511" s="316"/>
      <c r="I3511" s="381"/>
      <c r="J3511" s="317"/>
      <c r="K3511" s="313">
        <v>53.5</v>
      </c>
      <c r="L3511" s="317"/>
      <c r="M3511" s="315"/>
      <c r="N3511" s="314"/>
      <c r="O3511" s="313"/>
      <c r="P3511" s="318"/>
      <c r="Q3511" s="315"/>
      <c r="R3511" s="319">
        <v>53.5</v>
      </c>
      <c r="S3511" s="304" t="s">
        <v>301</v>
      </c>
      <c r="T3511" s="320">
        <v>44</v>
      </c>
      <c r="U3511" s="321" t="s">
        <v>1365</v>
      </c>
      <c r="V3511" s="291">
        <f t="shared" ca="1" si="936"/>
        <v>32.42</v>
      </c>
      <c r="W3511" s="256">
        <f t="shared" ca="1" si="931"/>
        <v>2</v>
      </c>
      <c r="X3511" s="256">
        <f t="shared" ca="1" si="935"/>
        <v>1</v>
      </c>
      <c r="Y3511" s="250"/>
      <c r="Z3511" s="250"/>
    </row>
    <row r="3512" spans="1:29" s="111" customFormat="1" ht="15" x14ac:dyDescent="0.2">
      <c r="A3512" s="288"/>
      <c r="B3512" s="322"/>
      <c r="C3512" s="382"/>
      <c r="D3512" s="324"/>
      <c r="E3512" s="325"/>
      <c r="F3512" s="326"/>
      <c r="G3512" s="324"/>
      <c r="H3512" s="325"/>
      <c r="I3512" s="326"/>
      <c r="J3512" s="317"/>
      <c r="K3512" s="328"/>
      <c r="L3512" s="328"/>
      <c r="M3512" s="328"/>
      <c r="N3512" s="328"/>
      <c r="O3512" s="334"/>
      <c r="P3512" s="328"/>
      <c r="Q3512" s="334"/>
      <c r="R3512" s="333"/>
      <c r="S3512" s="331"/>
      <c r="T3512" s="320"/>
      <c r="U3512" s="335"/>
      <c r="V3512" s="291">
        <f t="shared" ca="1" si="936"/>
        <v>32.42</v>
      </c>
      <c r="W3512" s="256">
        <f t="shared" ca="1" si="931"/>
        <v>0</v>
      </c>
      <c r="X3512" s="256">
        <f t="shared" ca="1" si="935"/>
        <v>1</v>
      </c>
      <c r="Y3512" s="250"/>
      <c r="Z3512" s="250"/>
    </row>
    <row r="3513" spans="1:29" s="111" customFormat="1" ht="15" x14ac:dyDescent="0.2">
      <c r="A3513" s="288"/>
      <c r="B3513" s="338"/>
      <c r="C3513" s="339"/>
      <c r="D3513" s="340"/>
      <c r="E3513" s="341"/>
      <c r="F3513" s="342"/>
      <c r="G3513" s="340"/>
      <c r="H3513" s="341"/>
      <c r="I3513" s="342"/>
      <c r="J3513" s="343"/>
      <c r="K3513" s="344"/>
      <c r="L3513" s="345"/>
      <c r="M3513" s="346"/>
      <c r="N3513" s="347"/>
      <c r="O3513" s="348"/>
      <c r="P3513" s="345"/>
      <c r="Q3513" s="349"/>
      <c r="R3513" s="350"/>
      <c r="S3513" s="351"/>
      <c r="T3513" s="352"/>
      <c r="U3513" s="353"/>
      <c r="V3513" s="291">
        <f t="shared" ca="1" si="936"/>
        <v>32.42</v>
      </c>
      <c r="W3513" s="256">
        <f t="shared" ca="1" si="931"/>
        <v>0</v>
      </c>
      <c r="X3513" s="256">
        <f t="shared" ca="1" si="935"/>
        <v>1</v>
      </c>
      <c r="Y3513" s="250"/>
      <c r="Z3513" s="250"/>
    </row>
    <row r="3514" spans="1:29" s="111" customFormat="1" ht="15.75" customHeight="1" x14ac:dyDescent="0.2">
      <c r="A3514" s="288"/>
      <c r="B3514" s="354"/>
      <c r="C3514" s="355"/>
      <c r="D3514" s="1354" t="s">
        <v>492</v>
      </c>
      <c r="E3514" s="1355"/>
      <c r="F3514" s="1355"/>
      <c r="G3514" s="1355"/>
      <c r="H3514" s="1355"/>
      <c r="I3514" s="1356"/>
      <c r="J3514" s="1357">
        <f>VLOOKUP(A3516,'11 - FINANCEIRO'!_xlnm.Print_Area,6,FALSE)</f>
        <v>77.5</v>
      </c>
      <c r="K3514" s="1358"/>
      <c r="L3514" s="356" t="str">
        <f>VLOOKUP(A3516,'11 - FINANCEIRO'!_xlnm.Print_Area,4,FALSE)</f>
        <v>m</v>
      </c>
      <c r="M3514" s="1359" t="s">
        <v>493</v>
      </c>
      <c r="N3514" s="1360"/>
      <c r="O3514" s="1360"/>
      <c r="P3514" s="1360"/>
      <c r="Q3514" s="1361"/>
      <c r="R3514" s="357">
        <f>TRUNC(SUM(R3510:R3513),3)</f>
        <v>77.5</v>
      </c>
      <c r="S3514" s="358" t="str">
        <f>L3514</f>
        <v>m</v>
      </c>
      <c r="T3514" s="1384"/>
      <c r="U3514" s="1385"/>
      <c r="V3514" s="291">
        <f t="shared" ca="1" si="936"/>
        <v>32.42</v>
      </c>
      <c r="W3514" s="256">
        <f t="shared" ca="1" si="931"/>
        <v>2</v>
      </c>
      <c r="X3514" s="256">
        <f t="shared" ca="1" si="935"/>
        <v>1</v>
      </c>
      <c r="Y3514" s="1046">
        <f>J3514-R3515</f>
        <v>32.42</v>
      </c>
      <c r="Z3514" s="250"/>
    </row>
    <row r="3515" spans="1:29" s="293" customFormat="1" ht="15.75" customHeight="1" x14ac:dyDescent="0.2">
      <c r="A3515" s="288"/>
      <c r="B3515" s="354"/>
      <c r="C3515" s="361"/>
      <c r="D3515" s="1362" t="s">
        <v>494</v>
      </c>
      <c r="E3515" s="1363"/>
      <c r="F3515" s="1363"/>
      <c r="G3515" s="1363"/>
      <c r="H3515" s="1363"/>
      <c r="I3515" s="1364"/>
      <c r="J3515" s="1365">
        <f>R3514/J3514</f>
        <v>1</v>
      </c>
      <c r="K3515" s="1366"/>
      <c r="L3515" s="1369"/>
      <c r="M3515" s="1371" t="s">
        <v>495</v>
      </c>
      <c r="N3515" s="1372"/>
      <c r="O3515" s="1372"/>
      <c r="P3515" s="1372"/>
      <c r="Q3515" s="1373"/>
      <c r="R3515" s="362">
        <f>VLOOKUP(A3516,'11 - FINANCEIRO'!_xlnm.Print_Area,8,FALSE)</f>
        <v>45.08</v>
      </c>
      <c r="S3515" s="363" t="str">
        <f>L3514</f>
        <v>m</v>
      </c>
      <c r="T3515" s="1386"/>
      <c r="U3515" s="1387"/>
      <c r="V3515" s="291">
        <f t="shared" ca="1" si="936"/>
        <v>32.42</v>
      </c>
      <c r="W3515" s="256">
        <f t="shared" ca="1" si="931"/>
        <v>2</v>
      </c>
      <c r="X3515" s="256">
        <f t="shared" ca="1" si="935"/>
        <v>1</v>
      </c>
      <c r="Y3515" s="256"/>
      <c r="Z3515" s="256"/>
      <c r="AA3515" s="292"/>
      <c r="AB3515" s="292"/>
      <c r="AC3515" s="292"/>
    </row>
    <row r="3516" spans="1:29" s="293" customFormat="1" ht="15.75" customHeight="1" x14ac:dyDescent="0.2">
      <c r="A3516" s="288" t="s">
        <v>229</v>
      </c>
      <c r="B3516" s="364"/>
      <c r="C3516" s="365"/>
      <c r="D3516" s="1354"/>
      <c r="E3516" s="1355"/>
      <c r="F3516" s="1355"/>
      <c r="G3516" s="1355"/>
      <c r="H3516" s="1355"/>
      <c r="I3516" s="1356"/>
      <c r="J3516" s="1367"/>
      <c r="K3516" s="1368"/>
      <c r="L3516" s="1370"/>
      <c r="M3516" s="1371" t="s">
        <v>496</v>
      </c>
      <c r="N3516" s="1372"/>
      <c r="O3516" s="1372"/>
      <c r="P3516" s="1372"/>
      <c r="Q3516" s="1373"/>
      <c r="R3516" s="362">
        <f>R3514-R3515</f>
        <v>32.42</v>
      </c>
      <c r="S3516" s="363" t="str">
        <f>L3514</f>
        <v>m</v>
      </c>
      <c r="T3516" s="1388"/>
      <c r="U3516" s="1389"/>
      <c r="V3516" s="291">
        <f t="shared" ca="1" si="936"/>
        <v>32.42</v>
      </c>
      <c r="W3516" s="256">
        <f t="shared" ca="1" si="931"/>
        <v>2</v>
      </c>
      <c r="X3516" s="256">
        <f t="shared" ca="1" si="935"/>
        <v>1</v>
      </c>
      <c r="Y3516" s="256"/>
      <c r="Z3516" s="256"/>
      <c r="AA3516" s="292"/>
      <c r="AB3516" s="292"/>
      <c r="AC3516" s="292"/>
    </row>
    <row r="3517" spans="1:29" s="111" customFormat="1" ht="15.75" x14ac:dyDescent="0.2">
      <c r="A3517" s="288"/>
      <c r="B3517" s="368"/>
      <c r="C3517" s="365"/>
      <c r="D3517" s="369"/>
      <c r="E3517" s="370"/>
      <c r="F3517" s="369"/>
      <c r="G3517" s="369"/>
      <c r="H3517" s="369"/>
      <c r="I3517" s="369"/>
      <c r="J3517" s="371"/>
      <c r="K3517" s="372"/>
      <c r="L3517" s="373"/>
      <c r="M3517" s="374"/>
      <c r="N3517" s="374"/>
      <c r="O3517" s="374"/>
      <c r="P3517" s="374"/>
      <c r="Q3517" s="374"/>
      <c r="R3517" s="375"/>
      <c r="S3517" s="376"/>
      <c r="T3517" s="377"/>
      <c r="U3517" s="378"/>
      <c r="V3517" s="379">
        <f ca="1">SUM(V3508:V3516)</f>
        <v>291.78000000000009</v>
      </c>
      <c r="W3517" s="256">
        <f t="shared" ca="1" si="931"/>
        <v>1</v>
      </c>
      <c r="X3517" s="256">
        <f t="shared" ca="1" si="935"/>
        <v>0</v>
      </c>
      <c r="Y3517" s="250"/>
      <c r="Z3517" s="250"/>
    </row>
    <row r="3518" spans="1:29" s="293" customFormat="1" ht="15.75" hidden="1" customHeight="1" x14ac:dyDescent="0.25">
      <c r="A3518" s="288"/>
      <c r="B3518" s="1374" t="str">
        <f>VLOOKUP(A3526,'11 - FINANCEIRO'!_xlnm.Print_Area,1,FALSE)</f>
        <v>4.6.10</v>
      </c>
      <c r="C3518" s="1376" t="str">
        <f>VLOOKUP(A3526,'11 - FINANCEIRO'!_xlnm.Print_Area,3,FALSE)</f>
        <v>Demolição Manual De Construções Provisórias - Sem Reaproveitamento, Incluído Transporte E Destinação</v>
      </c>
      <c r="D3518" s="1378" t="s">
        <v>477</v>
      </c>
      <c r="E3518" s="1379"/>
      <c r="F3518" s="1379"/>
      <c r="G3518" s="1379"/>
      <c r="H3518" s="1379"/>
      <c r="I3518" s="1380"/>
      <c r="J3518" s="1338" t="s">
        <v>478</v>
      </c>
      <c r="K3518" s="1338" t="s">
        <v>479</v>
      </c>
      <c r="L3518" s="1338" t="s">
        <v>480</v>
      </c>
      <c r="M3518" s="1338" t="s">
        <v>481</v>
      </c>
      <c r="N3518" s="1338" t="s">
        <v>482</v>
      </c>
      <c r="O3518" s="1338" t="s">
        <v>483</v>
      </c>
      <c r="P3518" s="290" t="s">
        <v>484</v>
      </c>
      <c r="Q3518" s="1338" t="s">
        <v>485</v>
      </c>
      <c r="R3518" s="1336" t="s">
        <v>296</v>
      </c>
      <c r="S3518" s="1338" t="s">
        <v>486</v>
      </c>
      <c r="T3518" s="1338" t="s">
        <v>487</v>
      </c>
      <c r="U3518" s="1340" t="s">
        <v>488</v>
      </c>
      <c r="V3518" s="291">
        <f t="shared" ref="V3518:V3526" ca="1" si="937">IF(OFFSET(V3518,1,1)=1,OFFSET(V3518,0,-4),OFFSET(V3518,1,0))</f>
        <v>0</v>
      </c>
      <c r="W3518" s="256">
        <f t="shared" ca="1" si="931"/>
        <v>2</v>
      </c>
      <c r="X3518" s="256">
        <f t="shared" ca="1" si="935"/>
        <v>1</v>
      </c>
      <c r="Y3518" s="256"/>
      <c r="Z3518" s="256"/>
      <c r="AA3518" s="292"/>
      <c r="AB3518" s="292"/>
      <c r="AC3518" s="292"/>
    </row>
    <row r="3519" spans="1:29" s="337" customFormat="1" ht="15.75" hidden="1" x14ac:dyDescent="0.2">
      <c r="A3519" s="288"/>
      <c r="B3519" s="1375"/>
      <c r="C3519" s="1377" t="e">
        <f>VLOOKUP(LEFT(#REF!,5),'11 - FINANCEIRO'!_xlnm.Print_Area,2,FALSE)</f>
        <v>#REF!</v>
      </c>
      <c r="D3519" s="1342" t="s">
        <v>489</v>
      </c>
      <c r="E3519" s="1343"/>
      <c r="F3519" s="1344"/>
      <c r="G3519" s="1345" t="s">
        <v>490</v>
      </c>
      <c r="H3519" s="1346"/>
      <c r="I3519" s="1347"/>
      <c r="J3519" s="1339"/>
      <c r="K3519" s="1339"/>
      <c r="L3519" s="1339"/>
      <c r="M3519" s="1339"/>
      <c r="N3519" s="1339"/>
      <c r="O3519" s="1339"/>
      <c r="P3519" s="295" t="s">
        <v>491</v>
      </c>
      <c r="Q3519" s="1339"/>
      <c r="R3519" s="1337"/>
      <c r="S3519" s="1339"/>
      <c r="T3519" s="1339"/>
      <c r="U3519" s="1341"/>
      <c r="V3519" s="291">
        <f t="shared" ca="1" si="937"/>
        <v>0</v>
      </c>
      <c r="W3519" s="256">
        <f t="shared" ca="1" si="931"/>
        <v>2</v>
      </c>
      <c r="X3519" s="256">
        <f t="shared" ca="1" si="935"/>
        <v>1</v>
      </c>
      <c r="Y3519" s="336"/>
      <c r="Z3519" s="336"/>
    </row>
    <row r="3520" spans="1:29" s="337" customFormat="1" ht="15.75" hidden="1" x14ac:dyDescent="0.2">
      <c r="A3520" s="288"/>
      <c r="B3520" s="296"/>
      <c r="C3520" s="297"/>
      <c r="D3520" s="298"/>
      <c r="E3520" s="299"/>
      <c r="F3520" s="300"/>
      <c r="G3520" s="301"/>
      <c r="H3520" s="302"/>
      <c r="I3520" s="303"/>
      <c r="J3520" s="304"/>
      <c r="K3520" s="304"/>
      <c r="L3520" s="304"/>
      <c r="M3520" s="304"/>
      <c r="N3520" s="304"/>
      <c r="O3520" s="304"/>
      <c r="P3520" s="306"/>
      <c r="Q3520" s="304"/>
      <c r="R3520" s="307"/>
      <c r="S3520" s="304"/>
      <c r="T3520" s="309"/>
      <c r="U3520" s="310"/>
      <c r="V3520" s="291">
        <f t="shared" ca="1" si="937"/>
        <v>0</v>
      </c>
      <c r="W3520" s="256">
        <f t="shared" ca="1" si="931"/>
        <v>0</v>
      </c>
      <c r="X3520" s="256">
        <f t="shared" ca="1" si="935"/>
        <v>1</v>
      </c>
      <c r="Y3520" s="336"/>
      <c r="Z3520" s="336"/>
    </row>
    <row r="3521" spans="1:29" s="111" customFormat="1" ht="15.75" hidden="1" x14ac:dyDescent="0.2">
      <c r="A3521" s="288"/>
      <c r="B3521" s="311"/>
      <c r="C3521" s="312"/>
      <c r="D3521" s="313"/>
      <c r="E3521" s="314"/>
      <c r="F3521" s="315"/>
      <c r="G3521" s="380"/>
      <c r="H3521" s="316"/>
      <c r="I3521" s="381"/>
      <c r="J3521" s="317"/>
      <c r="K3521" s="313"/>
      <c r="L3521" s="317"/>
      <c r="M3521" s="315"/>
      <c r="N3521" s="314"/>
      <c r="O3521" s="313"/>
      <c r="P3521" s="318"/>
      <c r="Q3521" s="315"/>
      <c r="R3521" s="319"/>
      <c r="S3521" s="317"/>
      <c r="T3521" s="320"/>
      <c r="U3521" s="321"/>
      <c r="V3521" s="291">
        <f t="shared" ca="1" si="937"/>
        <v>0</v>
      </c>
      <c r="W3521" s="256">
        <f t="shared" ca="1" si="931"/>
        <v>0</v>
      </c>
      <c r="X3521" s="256">
        <f t="shared" ca="1" si="935"/>
        <v>1</v>
      </c>
      <c r="Y3521" s="250"/>
      <c r="Z3521" s="250"/>
    </row>
    <row r="3522" spans="1:29" s="111" customFormat="1" ht="15" hidden="1" x14ac:dyDescent="0.2">
      <c r="A3522" s="288"/>
      <c r="B3522" s="322"/>
      <c r="C3522" s="382"/>
      <c r="D3522" s="324"/>
      <c r="E3522" s="325"/>
      <c r="F3522" s="326"/>
      <c r="G3522" s="324"/>
      <c r="H3522" s="325"/>
      <c r="I3522" s="326"/>
      <c r="J3522" s="317"/>
      <c r="K3522" s="328"/>
      <c r="L3522" s="328"/>
      <c r="M3522" s="328"/>
      <c r="N3522" s="328"/>
      <c r="O3522" s="334"/>
      <c r="P3522" s="328"/>
      <c r="Q3522" s="334"/>
      <c r="R3522" s="333"/>
      <c r="S3522" s="331"/>
      <c r="T3522" s="320"/>
      <c r="U3522" s="335"/>
      <c r="V3522" s="291">
        <f t="shared" ca="1" si="937"/>
        <v>0</v>
      </c>
      <c r="W3522" s="256">
        <f t="shared" ca="1" si="931"/>
        <v>0</v>
      </c>
      <c r="X3522" s="256">
        <f t="shared" ca="1" si="935"/>
        <v>1</v>
      </c>
      <c r="Y3522" s="250"/>
      <c r="Z3522" s="250"/>
    </row>
    <row r="3523" spans="1:29" s="111" customFormat="1" ht="15" hidden="1" x14ac:dyDescent="0.2">
      <c r="A3523" s="288"/>
      <c r="B3523" s="338"/>
      <c r="C3523" s="339"/>
      <c r="D3523" s="340"/>
      <c r="E3523" s="341"/>
      <c r="F3523" s="342"/>
      <c r="G3523" s="340"/>
      <c r="H3523" s="341"/>
      <c r="I3523" s="342"/>
      <c r="J3523" s="343"/>
      <c r="K3523" s="344"/>
      <c r="L3523" s="345"/>
      <c r="M3523" s="346"/>
      <c r="N3523" s="347"/>
      <c r="O3523" s="348"/>
      <c r="P3523" s="345"/>
      <c r="Q3523" s="349"/>
      <c r="R3523" s="350"/>
      <c r="S3523" s="351"/>
      <c r="T3523" s="352"/>
      <c r="U3523" s="353"/>
      <c r="V3523" s="291">
        <f t="shared" ca="1" si="937"/>
        <v>0</v>
      </c>
      <c r="W3523" s="256">
        <f t="shared" ca="1" si="931"/>
        <v>0</v>
      </c>
      <c r="X3523" s="256">
        <f t="shared" ca="1" si="935"/>
        <v>1</v>
      </c>
      <c r="Y3523" s="250"/>
      <c r="Z3523" s="250"/>
    </row>
    <row r="3524" spans="1:29" s="111" customFormat="1" ht="15.75" hidden="1" customHeight="1" x14ac:dyDescent="0.2">
      <c r="A3524" s="288"/>
      <c r="B3524" s="354"/>
      <c r="C3524" s="355"/>
      <c r="D3524" s="1354" t="s">
        <v>492</v>
      </c>
      <c r="E3524" s="1355"/>
      <c r="F3524" s="1355"/>
      <c r="G3524" s="1355"/>
      <c r="H3524" s="1355"/>
      <c r="I3524" s="1356"/>
      <c r="J3524" s="1357">
        <f>VLOOKUP(A3526,'11 - FINANCEIRO'!_xlnm.Print_Area,6,FALSE)</f>
        <v>32</v>
      </c>
      <c r="K3524" s="1358"/>
      <c r="L3524" s="356" t="str">
        <f>VLOOKUP(A3526,'11 - FINANCEIRO'!_xlnm.Print_Area,4,FALSE)</f>
        <v>m²</v>
      </c>
      <c r="M3524" s="1359" t="s">
        <v>493</v>
      </c>
      <c r="N3524" s="1360"/>
      <c r="O3524" s="1360"/>
      <c r="P3524" s="1360"/>
      <c r="Q3524" s="1361"/>
      <c r="R3524" s="357">
        <f>TRUNC(SUM(R3520:R3523),3)</f>
        <v>0</v>
      </c>
      <c r="S3524" s="358" t="str">
        <f>L3524</f>
        <v>m²</v>
      </c>
      <c r="T3524" s="359"/>
      <c r="U3524" s="360"/>
      <c r="V3524" s="291">
        <f t="shared" ca="1" si="937"/>
        <v>0</v>
      </c>
      <c r="W3524" s="256">
        <f t="shared" ca="1" si="931"/>
        <v>2</v>
      </c>
      <c r="X3524" s="256">
        <f t="shared" ca="1" si="935"/>
        <v>1</v>
      </c>
      <c r="Y3524" s="250"/>
      <c r="Z3524" s="250"/>
    </row>
    <row r="3525" spans="1:29" s="293" customFormat="1" ht="15.75" hidden="1" customHeight="1" x14ac:dyDescent="0.2">
      <c r="A3525" s="288"/>
      <c r="B3525" s="354"/>
      <c r="C3525" s="361"/>
      <c r="D3525" s="1362" t="s">
        <v>494</v>
      </c>
      <c r="E3525" s="1363"/>
      <c r="F3525" s="1363"/>
      <c r="G3525" s="1363"/>
      <c r="H3525" s="1363"/>
      <c r="I3525" s="1364"/>
      <c r="J3525" s="1365">
        <f>R3524/J3524</f>
        <v>0</v>
      </c>
      <c r="K3525" s="1366"/>
      <c r="L3525" s="1369"/>
      <c r="M3525" s="1371" t="s">
        <v>495</v>
      </c>
      <c r="N3525" s="1372"/>
      <c r="O3525" s="1372"/>
      <c r="P3525" s="1372"/>
      <c r="Q3525" s="1373"/>
      <c r="R3525" s="362">
        <f>VLOOKUP(A3526,'11 - FINANCEIRO'!_xlnm.Print_Area,8,FALSE)</f>
        <v>0</v>
      </c>
      <c r="S3525" s="363" t="str">
        <f>L3524</f>
        <v>m²</v>
      </c>
      <c r="T3525" s="359"/>
      <c r="U3525" s="360"/>
      <c r="V3525" s="291">
        <f t="shared" ca="1" si="937"/>
        <v>0</v>
      </c>
      <c r="W3525" s="256">
        <f t="shared" ca="1" si="931"/>
        <v>2</v>
      </c>
      <c r="X3525" s="256">
        <f t="shared" ca="1" si="935"/>
        <v>1</v>
      </c>
      <c r="Y3525" s="256"/>
      <c r="Z3525" s="256"/>
      <c r="AA3525" s="292"/>
      <c r="AB3525" s="292"/>
      <c r="AC3525" s="292"/>
    </row>
    <row r="3526" spans="1:29" s="293" customFormat="1" ht="15.75" hidden="1" customHeight="1" x14ac:dyDescent="0.2">
      <c r="A3526" s="288" t="s">
        <v>230</v>
      </c>
      <c r="B3526" s="364"/>
      <c r="C3526" s="365"/>
      <c r="D3526" s="1354"/>
      <c r="E3526" s="1355"/>
      <c r="F3526" s="1355"/>
      <c r="G3526" s="1355"/>
      <c r="H3526" s="1355"/>
      <c r="I3526" s="1356"/>
      <c r="J3526" s="1367"/>
      <c r="K3526" s="1368"/>
      <c r="L3526" s="1370"/>
      <c r="M3526" s="1371" t="s">
        <v>496</v>
      </c>
      <c r="N3526" s="1372"/>
      <c r="O3526" s="1372"/>
      <c r="P3526" s="1372"/>
      <c r="Q3526" s="1373"/>
      <c r="R3526" s="362">
        <f>R3524-R3525</f>
        <v>0</v>
      </c>
      <c r="S3526" s="363" t="str">
        <f>L3524</f>
        <v>m²</v>
      </c>
      <c r="T3526" s="366"/>
      <c r="U3526" s="367"/>
      <c r="V3526" s="291">
        <f t="shared" ca="1" si="937"/>
        <v>0</v>
      </c>
      <c r="W3526" s="256">
        <f t="shared" ca="1" si="931"/>
        <v>2</v>
      </c>
      <c r="X3526" s="256">
        <f t="shared" ca="1" si="935"/>
        <v>1</v>
      </c>
      <c r="Y3526" s="256"/>
      <c r="Z3526" s="256"/>
      <c r="AA3526" s="292"/>
      <c r="AB3526" s="292"/>
      <c r="AC3526" s="292"/>
    </row>
    <row r="3527" spans="1:29" s="111" customFormat="1" ht="15.75" hidden="1" x14ac:dyDescent="0.2">
      <c r="A3527" s="288"/>
      <c r="B3527" s="368"/>
      <c r="C3527" s="365"/>
      <c r="D3527" s="369"/>
      <c r="E3527" s="370"/>
      <c r="F3527" s="369"/>
      <c r="G3527" s="369"/>
      <c r="H3527" s="369"/>
      <c r="I3527" s="369"/>
      <c r="J3527" s="371"/>
      <c r="K3527" s="372"/>
      <c r="L3527" s="373"/>
      <c r="M3527" s="374"/>
      <c r="N3527" s="374"/>
      <c r="O3527" s="374"/>
      <c r="P3527" s="374"/>
      <c r="Q3527" s="374"/>
      <c r="R3527" s="375"/>
      <c r="S3527" s="376"/>
      <c r="T3527" s="377"/>
      <c r="U3527" s="378"/>
      <c r="V3527" s="379">
        <f ca="1">SUM(V3518:V3526)</f>
        <v>0</v>
      </c>
      <c r="W3527" s="256">
        <f t="shared" ca="1" si="931"/>
        <v>1</v>
      </c>
      <c r="X3527" s="256">
        <f t="shared" ca="1" si="935"/>
        <v>0</v>
      </c>
      <c r="Y3527" s="250"/>
      <c r="Z3527" s="250"/>
    </row>
    <row r="3528" spans="1:29" s="293" customFormat="1" ht="15.75" hidden="1" customHeight="1" x14ac:dyDescent="0.25">
      <c r="A3528" s="288"/>
      <c r="B3528" s="1374" t="str">
        <f>VLOOKUP(A3536,'11 - FINANCEIRO'!_xlnm.Print_Area,1,FALSE)</f>
        <v>4.6.11</v>
      </c>
      <c r="C3528" s="1376" t="str">
        <f>VLOOKUP(A3536,'11 - FINANCEIRO'!_xlnm.Print_Area,3,FALSE)</f>
        <v>Armação Em Aço Ca-50 - Fornecimento, Preparo E Colocação</v>
      </c>
      <c r="D3528" s="1378" t="s">
        <v>477</v>
      </c>
      <c r="E3528" s="1379"/>
      <c r="F3528" s="1379"/>
      <c r="G3528" s="1379"/>
      <c r="H3528" s="1379"/>
      <c r="I3528" s="1380"/>
      <c r="J3528" s="1338" t="s">
        <v>478</v>
      </c>
      <c r="K3528" s="1338" t="s">
        <v>479</v>
      </c>
      <c r="L3528" s="1338" t="s">
        <v>480</v>
      </c>
      <c r="M3528" s="1338" t="s">
        <v>481</v>
      </c>
      <c r="N3528" s="1338" t="s">
        <v>482</v>
      </c>
      <c r="O3528" s="1338" t="s">
        <v>483</v>
      </c>
      <c r="P3528" s="290" t="s">
        <v>484</v>
      </c>
      <c r="Q3528" s="1338" t="s">
        <v>485</v>
      </c>
      <c r="R3528" s="1336" t="s">
        <v>296</v>
      </c>
      <c r="S3528" s="1338" t="s">
        <v>486</v>
      </c>
      <c r="T3528" s="1338" t="s">
        <v>487</v>
      </c>
      <c r="U3528" s="1340" t="s">
        <v>488</v>
      </c>
      <c r="V3528" s="291">
        <f t="shared" ref="V3528:V3536" ca="1" si="938">IF(OFFSET(V3528,1,1)=1,OFFSET(V3528,0,-4),OFFSET(V3528,1,0))</f>
        <v>0</v>
      </c>
      <c r="W3528" s="256">
        <f t="shared" ca="1" si="931"/>
        <v>2</v>
      </c>
      <c r="X3528" s="256">
        <f t="shared" ca="1" si="935"/>
        <v>1</v>
      </c>
      <c r="Y3528" s="256"/>
      <c r="Z3528" s="256"/>
      <c r="AA3528" s="292"/>
      <c r="AB3528" s="292"/>
      <c r="AC3528" s="292"/>
    </row>
    <row r="3529" spans="1:29" s="337" customFormat="1" ht="15.75" hidden="1" x14ac:dyDescent="0.2">
      <c r="A3529" s="288"/>
      <c r="B3529" s="1375"/>
      <c r="C3529" s="1377" t="e">
        <f>VLOOKUP(LEFT(#REF!,5),'11 - FINANCEIRO'!_xlnm.Print_Area,2,FALSE)</f>
        <v>#REF!</v>
      </c>
      <c r="D3529" s="1342" t="s">
        <v>489</v>
      </c>
      <c r="E3529" s="1343"/>
      <c r="F3529" s="1344"/>
      <c r="G3529" s="1345" t="s">
        <v>490</v>
      </c>
      <c r="H3529" s="1346"/>
      <c r="I3529" s="1347"/>
      <c r="J3529" s="1339"/>
      <c r="K3529" s="1339"/>
      <c r="L3529" s="1339"/>
      <c r="M3529" s="1339"/>
      <c r="N3529" s="1339"/>
      <c r="O3529" s="1339"/>
      <c r="P3529" s="295" t="s">
        <v>491</v>
      </c>
      <c r="Q3529" s="1339"/>
      <c r="R3529" s="1337"/>
      <c r="S3529" s="1339"/>
      <c r="T3529" s="1339"/>
      <c r="U3529" s="1341"/>
      <c r="V3529" s="291">
        <f t="shared" ca="1" si="938"/>
        <v>0</v>
      </c>
      <c r="W3529" s="256">
        <f t="shared" ca="1" si="931"/>
        <v>2</v>
      </c>
      <c r="X3529" s="256">
        <f t="shared" ca="1" si="935"/>
        <v>1</v>
      </c>
      <c r="Y3529" s="336"/>
      <c r="Z3529" s="336"/>
    </row>
    <row r="3530" spans="1:29" s="337" customFormat="1" ht="15.75" hidden="1" x14ac:dyDescent="0.2">
      <c r="A3530" s="288"/>
      <c r="B3530" s="296"/>
      <c r="C3530" s="297" t="s">
        <v>1207</v>
      </c>
      <c r="D3530" s="298"/>
      <c r="E3530" s="299"/>
      <c r="F3530" s="300"/>
      <c r="G3530" s="301"/>
      <c r="H3530" s="302"/>
      <c r="I3530" s="303"/>
      <c r="J3530" s="304"/>
      <c r="K3530" s="304"/>
      <c r="L3530" s="304"/>
      <c r="M3530" s="304"/>
      <c r="N3530" s="304"/>
      <c r="O3530" s="304"/>
      <c r="P3530" s="306"/>
      <c r="Q3530" s="304"/>
      <c r="R3530" s="307">
        <v>49.5</v>
      </c>
      <c r="S3530" s="304"/>
      <c r="T3530" s="309">
        <v>37</v>
      </c>
      <c r="U3530" s="310"/>
      <c r="V3530" s="291">
        <f t="shared" ca="1" si="938"/>
        <v>0</v>
      </c>
      <c r="W3530" s="256">
        <f t="shared" ca="1" si="931"/>
        <v>2</v>
      </c>
      <c r="X3530" s="256">
        <f t="shared" ca="1" si="935"/>
        <v>1</v>
      </c>
      <c r="Y3530" s="336"/>
      <c r="Z3530" s="336"/>
    </row>
    <row r="3531" spans="1:29" s="111" customFormat="1" ht="15.75" hidden="1" x14ac:dyDescent="0.2">
      <c r="A3531" s="288"/>
      <c r="B3531" s="311"/>
      <c r="C3531" s="312" t="s">
        <v>1208</v>
      </c>
      <c r="D3531" s="313"/>
      <c r="E3531" s="314"/>
      <c r="F3531" s="315"/>
      <c r="G3531" s="380"/>
      <c r="H3531" s="316"/>
      <c r="I3531" s="381"/>
      <c r="J3531" s="317"/>
      <c r="K3531" s="313"/>
      <c r="L3531" s="317"/>
      <c r="M3531" s="315"/>
      <c r="N3531" s="314"/>
      <c r="O3531" s="313"/>
      <c r="P3531" s="318"/>
      <c r="Q3531" s="315"/>
      <c r="R3531" s="319">
        <v>49.5</v>
      </c>
      <c r="S3531" s="317"/>
      <c r="T3531" s="320">
        <v>37</v>
      </c>
      <c r="U3531" s="321"/>
      <c r="V3531" s="291">
        <f t="shared" ca="1" si="938"/>
        <v>0</v>
      </c>
      <c r="W3531" s="256">
        <f t="shared" ca="1" si="931"/>
        <v>2</v>
      </c>
      <c r="X3531" s="256">
        <f t="shared" ca="1" si="935"/>
        <v>1</v>
      </c>
      <c r="Y3531" s="250"/>
      <c r="Z3531" s="250"/>
    </row>
    <row r="3532" spans="1:29" s="111" customFormat="1" ht="15" hidden="1" x14ac:dyDescent="0.2">
      <c r="A3532" s="288"/>
      <c r="B3532" s="322"/>
      <c r="C3532" s="382"/>
      <c r="D3532" s="324"/>
      <c r="E3532" s="325"/>
      <c r="F3532" s="326"/>
      <c r="G3532" s="324"/>
      <c r="H3532" s="325"/>
      <c r="I3532" s="326"/>
      <c r="J3532" s="317"/>
      <c r="K3532" s="328"/>
      <c r="L3532" s="328"/>
      <c r="M3532" s="328"/>
      <c r="N3532" s="328"/>
      <c r="O3532" s="334"/>
      <c r="P3532" s="328"/>
      <c r="Q3532" s="334"/>
      <c r="R3532" s="333"/>
      <c r="S3532" s="331"/>
      <c r="T3532" s="320"/>
      <c r="U3532" s="335"/>
      <c r="V3532" s="291">
        <f t="shared" ca="1" si="938"/>
        <v>0</v>
      </c>
      <c r="W3532" s="256">
        <f t="shared" ca="1" si="931"/>
        <v>0</v>
      </c>
      <c r="X3532" s="256">
        <f t="shared" ca="1" si="935"/>
        <v>1</v>
      </c>
      <c r="Y3532" s="250"/>
      <c r="Z3532" s="250"/>
    </row>
    <row r="3533" spans="1:29" s="111" customFormat="1" ht="15" hidden="1" x14ac:dyDescent="0.2">
      <c r="A3533" s="288"/>
      <c r="B3533" s="338"/>
      <c r="C3533" s="339"/>
      <c r="D3533" s="340"/>
      <c r="E3533" s="341"/>
      <c r="F3533" s="342"/>
      <c r="G3533" s="340"/>
      <c r="H3533" s="341"/>
      <c r="I3533" s="342"/>
      <c r="J3533" s="343"/>
      <c r="K3533" s="344"/>
      <c r="L3533" s="345"/>
      <c r="M3533" s="346"/>
      <c r="N3533" s="347"/>
      <c r="O3533" s="348"/>
      <c r="P3533" s="345"/>
      <c r="Q3533" s="349"/>
      <c r="R3533" s="350"/>
      <c r="S3533" s="351"/>
      <c r="T3533" s="352"/>
      <c r="U3533" s="353"/>
      <c r="V3533" s="291">
        <f t="shared" ca="1" si="938"/>
        <v>0</v>
      </c>
      <c r="W3533" s="256">
        <f t="shared" ca="1" si="931"/>
        <v>0</v>
      </c>
      <c r="X3533" s="256">
        <f t="shared" ca="1" si="935"/>
        <v>1</v>
      </c>
      <c r="Y3533" s="250"/>
      <c r="Z3533" s="250"/>
    </row>
    <row r="3534" spans="1:29" s="111" customFormat="1" ht="15.75" hidden="1" customHeight="1" x14ac:dyDescent="0.2">
      <c r="A3534" s="288"/>
      <c r="B3534" s="354"/>
      <c r="C3534" s="355"/>
      <c r="D3534" s="1354" t="s">
        <v>492</v>
      </c>
      <c r="E3534" s="1355"/>
      <c r="F3534" s="1355"/>
      <c r="G3534" s="1355"/>
      <c r="H3534" s="1355"/>
      <c r="I3534" s="1356"/>
      <c r="J3534" s="1357">
        <f>VLOOKUP(A3536,'11 - FINANCEIRO'!_xlnm.Print_Area,6,FALSE)</f>
        <v>99</v>
      </c>
      <c r="K3534" s="1358"/>
      <c r="L3534" s="356" t="str">
        <f>VLOOKUP(A3536,'11 - FINANCEIRO'!_xlnm.Print_Area,4,FALSE)</f>
        <v>kg</v>
      </c>
      <c r="M3534" s="1359" t="s">
        <v>493</v>
      </c>
      <c r="N3534" s="1360"/>
      <c r="O3534" s="1360"/>
      <c r="P3534" s="1360"/>
      <c r="Q3534" s="1361"/>
      <c r="R3534" s="357">
        <f>TRUNC(SUM(R3530:R3533),3)</f>
        <v>99</v>
      </c>
      <c r="S3534" s="358" t="str">
        <f>L3534</f>
        <v>kg</v>
      </c>
      <c r="T3534" s="359"/>
      <c r="U3534" s="360"/>
      <c r="V3534" s="291">
        <f t="shared" ca="1" si="938"/>
        <v>0</v>
      </c>
      <c r="W3534" s="256">
        <f t="shared" ca="1" si="931"/>
        <v>2</v>
      </c>
      <c r="X3534" s="256">
        <f t="shared" ca="1" si="935"/>
        <v>1</v>
      </c>
      <c r="Y3534" s="250"/>
      <c r="Z3534" s="250"/>
    </row>
    <row r="3535" spans="1:29" s="293" customFormat="1" ht="15.75" hidden="1" customHeight="1" x14ac:dyDescent="0.2">
      <c r="A3535" s="288"/>
      <c r="B3535" s="354"/>
      <c r="C3535" s="361"/>
      <c r="D3535" s="1362" t="s">
        <v>494</v>
      </c>
      <c r="E3535" s="1363"/>
      <c r="F3535" s="1363"/>
      <c r="G3535" s="1363"/>
      <c r="H3535" s="1363"/>
      <c r="I3535" s="1364"/>
      <c r="J3535" s="1365">
        <f>R3534/J3534</f>
        <v>1</v>
      </c>
      <c r="K3535" s="1366"/>
      <c r="L3535" s="1369"/>
      <c r="M3535" s="1371" t="s">
        <v>495</v>
      </c>
      <c r="N3535" s="1372"/>
      <c r="O3535" s="1372"/>
      <c r="P3535" s="1372"/>
      <c r="Q3535" s="1373"/>
      <c r="R3535" s="362">
        <f>VLOOKUP(A3536,'11 - FINANCEIRO'!_xlnm.Print_Area,8,FALSE)</f>
        <v>99</v>
      </c>
      <c r="S3535" s="363" t="str">
        <f>L3534</f>
        <v>kg</v>
      </c>
      <c r="T3535" s="359"/>
      <c r="U3535" s="360"/>
      <c r="V3535" s="291">
        <f t="shared" ca="1" si="938"/>
        <v>0</v>
      </c>
      <c r="W3535" s="256">
        <f t="shared" ca="1" si="931"/>
        <v>2</v>
      </c>
      <c r="X3535" s="256">
        <f t="shared" ca="1" si="935"/>
        <v>1</v>
      </c>
      <c r="Y3535" s="256"/>
      <c r="Z3535" s="256"/>
      <c r="AA3535" s="292"/>
      <c r="AB3535" s="292"/>
      <c r="AC3535" s="292"/>
    </row>
    <row r="3536" spans="1:29" s="293" customFormat="1" ht="15.75" hidden="1" customHeight="1" x14ac:dyDescent="0.2">
      <c r="A3536" s="288" t="s">
        <v>231</v>
      </c>
      <c r="B3536" s="364"/>
      <c r="C3536" s="365"/>
      <c r="D3536" s="1354"/>
      <c r="E3536" s="1355"/>
      <c r="F3536" s="1355"/>
      <c r="G3536" s="1355"/>
      <c r="H3536" s="1355"/>
      <c r="I3536" s="1356"/>
      <c r="J3536" s="1367"/>
      <c r="K3536" s="1368"/>
      <c r="L3536" s="1370"/>
      <c r="M3536" s="1371" t="s">
        <v>496</v>
      </c>
      <c r="N3536" s="1372"/>
      <c r="O3536" s="1372"/>
      <c r="P3536" s="1372"/>
      <c r="Q3536" s="1373"/>
      <c r="R3536" s="362">
        <f>R3534-R3535</f>
        <v>0</v>
      </c>
      <c r="S3536" s="363" t="str">
        <f>L3534</f>
        <v>kg</v>
      </c>
      <c r="T3536" s="366"/>
      <c r="U3536" s="367"/>
      <c r="V3536" s="291">
        <f t="shared" ca="1" si="938"/>
        <v>0</v>
      </c>
      <c r="W3536" s="256">
        <f t="shared" ca="1" si="931"/>
        <v>2</v>
      </c>
      <c r="X3536" s="256">
        <f t="shared" ca="1" si="935"/>
        <v>1</v>
      </c>
      <c r="Y3536" s="256"/>
      <c r="Z3536" s="256"/>
      <c r="AA3536" s="292"/>
      <c r="AB3536" s="292"/>
      <c r="AC3536" s="292"/>
    </row>
    <row r="3537" spans="1:29" s="111" customFormat="1" ht="15.75" hidden="1" x14ac:dyDescent="0.2">
      <c r="A3537" s="288"/>
      <c r="B3537" s="368"/>
      <c r="C3537" s="365"/>
      <c r="D3537" s="369"/>
      <c r="E3537" s="370"/>
      <c r="F3537" s="369"/>
      <c r="G3537" s="369"/>
      <c r="H3537" s="369"/>
      <c r="I3537" s="369"/>
      <c r="J3537" s="371"/>
      <c r="K3537" s="372"/>
      <c r="L3537" s="373"/>
      <c r="M3537" s="374"/>
      <c r="N3537" s="374"/>
      <c r="O3537" s="374"/>
      <c r="P3537" s="374"/>
      <c r="Q3537" s="374"/>
      <c r="R3537" s="375"/>
      <c r="S3537" s="376"/>
      <c r="T3537" s="377"/>
      <c r="U3537" s="378"/>
      <c r="V3537" s="379">
        <f ca="1">SUM(V3528:V3536)</f>
        <v>0</v>
      </c>
      <c r="W3537" s="256">
        <f t="shared" ca="1" si="931"/>
        <v>1</v>
      </c>
      <c r="X3537" s="256">
        <f t="shared" ca="1" si="935"/>
        <v>0</v>
      </c>
      <c r="Y3537" s="250"/>
      <c r="Z3537" s="250"/>
    </row>
    <row r="3538" spans="1:29" s="293" customFormat="1" ht="15.75" hidden="1" customHeight="1" x14ac:dyDescent="0.25">
      <c r="A3538" s="288"/>
      <c r="B3538" s="1374" t="str">
        <f>VLOOKUP(A3546,'11 - FINANCEIRO'!_xlnm.Print_Area,1,FALSE)</f>
        <v>4.6.12</v>
      </c>
      <c r="C3538" s="1376" t="str">
        <f>VLOOKUP(A3546,'11 - FINANCEIRO'!_xlnm.Print_Area,3,FALSE)</f>
        <v>Concreto Para Bombeamento Fck = 30 Mpa - Confecção Em Central Dosadora De 30 M³/H - Areia E Brita Comerciais</v>
      </c>
      <c r="D3538" s="1378" t="s">
        <v>477</v>
      </c>
      <c r="E3538" s="1379"/>
      <c r="F3538" s="1379"/>
      <c r="G3538" s="1379"/>
      <c r="H3538" s="1379"/>
      <c r="I3538" s="1380"/>
      <c r="J3538" s="1338" t="s">
        <v>478</v>
      </c>
      <c r="K3538" s="1338" t="s">
        <v>479</v>
      </c>
      <c r="L3538" s="1338" t="s">
        <v>480</v>
      </c>
      <c r="M3538" s="1338" t="s">
        <v>481</v>
      </c>
      <c r="N3538" s="1338" t="s">
        <v>482</v>
      </c>
      <c r="O3538" s="1338" t="s">
        <v>483</v>
      </c>
      <c r="P3538" s="290" t="s">
        <v>484</v>
      </c>
      <c r="Q3538" s="1338" t="s">
        <v>485</v>
      </c>
      <c r="R3538" s="1336" t="s">
        <v>296</v>
      </c>
      <c r="S3538" s="1338" t="s">
        <v>486</v>
      </c>
      <c r="T3538" s="1338" t="s">
        <v>487</v>
      </c>
      <c r="U3538" s="1340" t="s">
        <v>488</v>
      </c>
      <c r="V3538" s="291">
        <f t="shared" ref="V3538:V3546" ca="1" si="939">IF(OFFSET(V3538,1,1)=1,OFFSET(V3538,0,-4),OFFSET(V3538,1,0))</f>
        <v>0</v>
      </c>
      <c r="W3538" s="256">
        <f t="shared" ca="1" si="931"/>
        <v>2</v>
      </c>
      <c r="X3538" s="256">
        <f t="shared" ca="1" si="935"/>
        <v>1</v>
      </c>
      <c r="Y3538" s="256"/>
      <c r="Z3538" s="256"/>
      <c r="AA3538" s="292"/>
      <c r="AB3538" s="292"/>
      <c r="AC3538" s="292"/>
    </row>
    <row r="3539" spans="1:29" s="337" customFormat="1" ht="15.75" hidden="1" x14ac:dyDescent="0.2">
      <c r="A3539" s="288"/>
      <c r="B3539" s="1375"/>
      <c r="C3539" s="1377" t="e">
        <f>VLOOKUP(LEFT(#REF!,5),'11 - FINANCEIRO'!_xlnm.Print_Area,2,FALSE)</f>
        <v>#REF!</v>
      </c>
      <c r="D3539" s="1342" t="s">
        <v>489</v>
      </c>
      <c r="E3539" s="1343"/>
      <c r="F3539" s="1344"/>
      <c r="G3539" s="1345" t="s">
        <v>490</v>
      </c>
      <c r="H3539" s="1346"/>
      <c r="I3539" s="1347"/>
      <c r="J3539" s="1339"/>
      <c r="K3539" s="1339"/>
      <c r="L3539" s="1339"/>
      <c r="M3539" s="1339"/>
      <c r="N3539" s="1339"/>
      <c r="O3539" s="1339"/>
      <c r="P3539" s="295" t="s">
        <v>491</v>
      </c>
      <c r="Q3539" s="1339"/>
      <c r="R3539" s="1337"/>
      <c r="S3539" s="1339"/>
      <c r="T3539" s="1339"/>
      <c r="U3539" s="1341"/>
      <c r="V3539" s="291">
        <f t="shared" ca="1" si="939"/>
        <v>0</v>
      </c>
      <c r="W3539" s="256">
        <f t="shared" ca="1" si="931"/>
        <v>2</v>
      </c>
      <c r="X3539" s="256">
        <f t="shared" ca="1" si="935"/>
        <v>1</v>
      </c>
      <c r="Y3539" s="336"/>
      <c r="Z3539" s="336"/>
    </row>
    <row r="3540" spans="1:29" s="337" customFormat="1" ht="15.75" hidden="1" x14ac:dyDescent="0.2">
      <c r="A3540" s="288"/>
      <c r="B3540" s="296"/>
      <c r="C3540" s="297" t="s">
        <v>997</v>
      </c>
      <c r="D3540" s="298"/>
      <c r="E3540" s="299"/>
      <c r="F3540" s="300"/>
      <c r="G3540" s="301"/>
      <c r="H3540" s="302"/>
      <c r="I3540" s="303"/>
      <c r="J3540" s="304"/>
      <c r="K3540" s="976">
        <f>19</f>
        <v>19</v>
      </c>
      <c r="L3540" s="416">
        <v>1.5</v>
      </c>
      <c r="M3540" s="416">
        <v>0.08</v>
      </c>
      <c r="N3540" s="531">
        <f>K3540*L3540</f>
        <v>28.5</v>
      </c>
      <c r="O3540" s="531">
        <f>K3540*L3540*M3540</f>
        <v>2.2800000000000002</v>
      </c>
      <c r="P3540" s="306"/>
      <c r="Q3540" s="304">
        <v>2</v>
      </c>
      <c r="R3540" s="307">
        <f>O3540*Q3540</f>
        <v>4.5600000000000005</v>
      </c>
      <c r="S3540" s="304"/>
      <c r="T3540" s="309">
        <v>37</v>
      </c>
      <c r="U3540" s="310"/>
      <c r="V3540" s="291">
        <f t="shared" ca="1" si="939"/>
        <v>0</v>
      </c>
      <c r="W3540" s="256">
        <f t="shared" ca="1" si="931"/>
        <v>2</v>
      </c>
      <c r="X3540" s="256">
        <f t="shared" ca="1" si="935"/>
        <v>1</v>
      </c>
      <c r="Y3540" s="336"/>
      <c r="Z3540" s="336"/>
    </row>
    <row r="3541" spans="1:29" s="111" customFormat="1" ht="15.75" hidden="1" x14ac:dyDescent="0.2">
      <c r="A3541" s="288"/>
      <c r="B3541" s="311"/>
      <c r="C3541" s="312" t="s">
        <v>998</v>
      </c>
      <c r="D3541" s="313"/>
      <c r="E3541" s="314"/>
      <c r="F3541" s="315"/>
      <c r="G3541" s="380"/>
      <c r="H3541" s="316"/>
      <c r="I3541" s="381"/>
      <c r="J3541" s="317"/>
      <c r="K3541" s="976">
        <f>9.2+4.3</f>
        <v>13.5</v>
      </c>
      <c r="L3541" s="433">
        <v>1.5</v>
      </c>
      <c r="M3541" s="430">
        <v>0.08</v>
      </c>
      <c r="N3541" s="1052">
        <f>K3541*L3541</f>
        <v>20.25</v>
      </c>
      <c r="O3541" s="1053">
        <f>K3541*L3541*M3541</f>
        <v>1.62</v>
      </c>
      <c r="P3541" s="428"/>
      <c r="Q3541" s="513">
        <v>2</v>
      </c>
      <c r="R3541" s="524">
        <f>O3541*Q3541</f>
        <v>3.24</v>
      </c>
      <c r="S3541" s="317"/>
      <c r="T3541" s="320">
        <v>37</v>
      </c>
      <c r="U3541" s="321"/>
      <c r="V3541" s="291">
        <f t="shared" ca="1" si="939"/>
        <v>0</v>
      </c>
      <c r="W3541" s="256">
        <f t="shared" ref="W3541:W3604" ca="1" si="940">IF(LEFT(_xlfn.FORMULATEXT(V3541),3)="=SO",1,IF(COUNTA(A3541:U3541)=0,0,2))</f>
        <v>2</v>
      </c>
      <c r="X3541" s="256">
        <f t="shared" ca="1" si="935"/>
        <v>1</v>
      </c>
      <c r="Y3541" s="250"/>
      <c r="Z3541" s="250"/>
    </row>
    <row r="3542" spans="1:29" s="111" customFormat="1" ht="15" hidden="1" x14ac:dyDescent="0.2">
      <c r="A3542" s="288"/>
      <c r="B3542" s="322"/>
      <c r="C3542" s="382"/>
      <c r="D3542" s="324"/>
      <c r="E3542" s="325"/>
      <c r="F3542" s="326"/>
      <c r="G3542" s="324"/>
      <c r="H3542" s="325"/>
      <c r="I3542" s="326"/>
      <c r="J3542" s="317"/>
      <c r="K3542" s="328"/>
      <c r="L3542" s="328"/>
      <c r="M3542" s="328"/>
      <c r="N3542" s="328"/>
      <c r="O3542" s="334"/>
      <c r="P3542" s="328"/>
      <c r="Q3542" s="334"/>
      <c r="R3542" s="333"/>
      <c r="S3542" s="331"/>
      <c r="T3542" s="320"/>
      <c r="U3542" s="335"/>
      <c r="V3542" s="291">
        <f t="shared" ca="1" si="939"/>
        <v>0</v>
      </c>
      <c r="W3542" s="256">
        <f t="shared" ca="1" si="940"/>
        <v>0</v>
      </c>
      <c r="X3542" s="256">
        <f t="shared" ca="1" si="935"/>
        <v>1</v>
      </c>
      <c r="Y3542" s="250"/>
      <c r="Z3542" s="250"/>
    </row>
    <row r="3543" spans="1:29" s="111" customFormat="1" ht="15" hidden="1" x14ac:dyDescent="0.2">
      <c r="A3543" s="288"/>
      <c r="B3543" s="338"/>
      <c r="C3543" s="339"/>
      <c r="D3543" s="340"/>
      <c r="E3543" s="341"/>
      <c r="F3543" s="342"/>
      <c r="G3543" s="340"/>
      <c r="H3543" s="341"/>
      <c r="I3543" s="342"/>
      <c r="J3543" s="343"/>
      <c r="K3543" s="344"/>
      <c r="L3543" s="345"/>
      <c r="M3543" s="346"/>
      <c r="N3543" s="347"/>
      <c r="O3543" s="348"/>
      <c r="P3543" s="345"/>
      <c r="Q3543" s="349"/>
      <c r="R3543" s="350"/>
      <c r="S3543" s="351"/>
      <c r="T3543" s="352"/>
      <c r="U3543" s="353"/>
      <c r="V3543" s="291">
        <f t="shared" ca="1" si="939"/>
        <v>0</v>
      </c>
      <c r="W3543" s="256">
        <f t="shared" ca="1" si="940"/>
        <v>0</v>
      </c>
      <c r="X3543" s="256">
        <f t="shared" ca="1" si="935"/>
        <v>1</v>
      </c>
      <c r="Y3543" s="250"/>
      <c r="Z3543" s="250"/>
    </row>
    <row r="3544" spans="1:29" s="111" customFormat="1" ht="15.75" hidden="1" customHeight="1" x14ac:dyDescent="0.2">
      <c r="A3544" s="288"/>
      <c r="B3544" s="354"/>
      <c r="C3544" s="355"/>
      <c r="D3544" s="1354" t="s">
        <v>492</v>
      </c>
      <c r="E3544" s="1355"/>
      <c r="F3544" s="1355"/>
      <c r="G3544" s="1355"/>
      <c r="H3544" s="1355"/>
      <c r="I3544" s="1356"/>
      <c r="J3544" s="1357">
        <f>VLOOKUP(A3546,'11 - FINANCEIRO'!_xlnm.Print_Area,6,FALSE)</f>
        <v>7.8</v>
      </c>
      <c r="K3544" s="1358"/>
      <c r="L3544" s="356" t="str">
        <f>VLOOKUP(A3546,'11 - FINANCEIRO'!_xlnm.Print_Area,4,FALSE)</f>
        <v>m³</v>
      </c>
      <c r="M3544" s="1359" t="s">
        <v>493</v>
      </c>
      <c r="N3544" s="1360"/>
      <c r="O3544" s="1360"/>
      <c r="P3544" s="1360"/>
      <c r="Q3544" s="1361"/>
      <c r="R3544" s="357">
        <f>TRUNC(SUM(R3540:R3543),3)</f>
        <v>7.8</v>
      </c>
      <c r="S3544" s="358" t="str">
        <f>L3544</f>
        <v>m³</v>
      </c>
      <c r="T3544" s="359"/>
      <c r="U3544" s="360"/>
      <c r="V3544" s="291">
        <f t="shared" ca="1" si="939"/>
        <v>0</v>
      </c>
      <c r="W3544" s="256">
        <f t="shared" ca="1" si="940"/>
        <v>2</v>
      </c>
      <c r="X3544" s="256">
        <f t="shared" ca="1" si="935"/>
        <v>1</v>
      </c>
      <c r="Y3544" s="250"/>
      <c r="Z3544" s="250"/>
    </row>
    <row r="3545" spans="1:29" s="293" customFormat="1" ht="15.75" hidden="1" customHeight="1" x14ac:dyDescent="0.2">
      <c r="A3545" s="288"/>
      <c r="B3545" s="354"/>
      <c r="C3545" s="361"/>
      <c r="D3545" s="1362" t="s">
        <v>494</v>
      </c>
      <c r="E3545" s="1363"/>
      <c r="F3545" s="1363"/>
      <c r="G3545" s="1363"/>
      <c r="H3545" s="1363"/>
      <c r="I3545" s="1364"/>
      <c r="J3545" s="1365">
        <f>R3544/J3544</f>
        <v>1</v>
      </c>
      <c r="K3545" s="1366"/>
      <c r="L3545" s="1369"/>
      <c r="M3545" s="1371" t="s">
        <v>495</v>
      </c>
      <c r="N3545" s="1372"/>
      <c r="O3545" s="1372"/>
      <c r="P3545" s="1372"/>
      <c r="Q3545" s="1373"/>
      <c r="R3545" s="362">
        <f>VLOOKUP(A3546,'11 - FINANCEIRO'!_xlnm.Print_Area,8,FALSE)</f>
        <v>7.8</v>
      </c>
      <c r="S3545" s="363" t="str">
        <f>L3544</f>
        <v>m³</v>
      </c>
      <c r="T3545" s="359"/>
      <c r="U3545" s="360"/>
      <c r="V3545" s="291">
        <f t="shared" ca="1" si="939"/>
        <v>0</v>
      </c>
      <c r="W3545" s="256">
        <f t="shared" ca="1" si="940"/>
        <v>2</v>
      </c>
      <c r="X3545" s="256">
        <f t="shared" ca="1" si="935"/>
        <v>1</v>
      </c>
      <c r="Y3545" s="256"/>
      <c r="Z3545" s="256"/>
      <c r="AA3545" s="292"/>
      <c r="AB3545" s="292"/>
      <c r="AC3545" s="292"/>
    </row>
    <row r="3546" spans="1:29" s="293" customFormat="1" ht="15.75" hidden="1" customHeight="1" x14ac:dyDescent="0.2">
      <c r="A3546" s="288" t="s">
        <v>232</v>
      </c>
      <c r="B3546" s="364"/>
      <c r="C3546" s="365"/>
      <c r="D3546" s="1354"/>
      <c r="E3546" s="1355"/>
      <c r="F3546" s="1355"/>
      <c r="G3546" s="1355"/>
      <c r="H3546" s="1355"/>
      <c r="I3546" s="1356"/>
      <c r="J3546" s="1367"/>
      <c r="K3546" s="1368"/>
      <c r="L3546" s="1370"/>
      <c r="M3546" s="1371" t="s">
        <v>496</v>
      </c>
      <c r="N3546" s="1372"/>
      <c r="O3546" s="1372"/>
      <c r="P3546" s="1372"/>
      <c r="Q3546" s="1373"/>
      <c r="R3546" s="362">
        <f>R3544-R3545</f>
        <v>0</v>
      </c>
      <c r="S3546" s="363" t="str">
        <f>L3544</f>
        <v>m³</v>
      </c>
      <c r="T3546" s="366"/>
      <c r="U3546" s="367"/>
      <c r="V3546" s="291">
        <f t="shared" ca="1" si="939"/>
        <v>0</v>
      </c>
      <c r="W3546" s="256">
        <f t="shared" ca="1" si="940"/>
        <v>2</v>
      </c>
      <c r="X3546" s="256">
        <f t="shared" ca="1" si="935"/>
        <v>1</v>
      </c>
      <c r="Y3546" s="256"/>
      <c r="Z3546" s="256"/>
      <c r="AA3546" s="292"/>
      <c r="AB3546" s="292"/>
      <c r="AC3546" s="292"/>
    </row>
    <row r="3547" spans="1:29" s="111" customFormat="1" ht="15.75" hidden="1" x14ac:dyDescent="0.2">
      <c r="A3547" s="288"/>
      <c r="B3547" s="368"/>
      <c r="C3547" s="365"/>
      <c r="D3547" s="369"/>
      <c r="E3547" s="370"/>
      <c r="F3547" s="369"/>
      <c r="G3547" s="369"/>
      <c r="H3547" s="369"/>
      <c r="I3547" s="369"/>
      <c r="J3547" s="371"/>
      <c r="K3547" s="372"/>
      <c r="L3547" s="373"/>
      <c r="M3547" s="374"/>
      <c r="N3547" s="374"/>
      <c r="O3547" s="374"/>
      <c r="P3547" s="374"/>
      <c r="Q3547" s="374"/>
      <c r="R3547" s="375"/>
      <c r="S3547" s="376"/>
      <c r="T3547" s="377"/>
      <c r="U3547" s="378"/>
      <c r="V3547" s="379">
        <f ca="1">SUM(V3538:V3546)</f>
        <v>0</v>
      </c>
      <c r="W3547" s="256">
        <f t="shared" ca="1" si="940"/>
        <v>1</v>
      </c>
      <c r="X3547" s="256">
        <f t="shared" ca="1" si="935"/>
        <v>0</v>
      </c>
      <c r="Y3547" s="250"/>
      <c r="Z3547" s="250"/>
    </row>
    <row r="3548" spans="1:29" s="293" customFormat="1" ht="15.75" hidden="1" customHeight="1" x14ac:dyDescent="0.25">
      <c r="A3548" s="288"/>
      <c r="B3548" s="1374" t="str">
        <f>VLOOKUP(A3556,'11 - FINANCEIRO'!_xlnm.Print_Area,1,FALSE)</f>
        <v>4.6.13</v>
      </c>
      <c r="C3548" s="1376" t="str">
        <f>VLOOKUP(A3556,'11 - FINANCEIRO'!_xlnm.Print_Area,3,FALSE)</f>
        <v>Servico De Bombeamento De Concreto Com Consumo Minimo De 40 M3</v>
      </c>
      <c r="D3548" s="1378" t="s">
        <v>477</v>
      </c>
      <c r="E3548" s="1379"/>
      <c r="F3548" s="1379"/>
      <c r="G3548" s="1379"/>
      <c r="H3548" s="1379"/>
      <c r="I3548" s="1380"/>
      <c r="J3548" s="1338" t="s">
        <v>478</v>
      </c>
      <c r="K3548" s="1338" t="s">
        <v>479</v>
      </c>
      <c r="L3548" s="1338" t="s">
        <v>480</v>
      </c>
      <c r="M3548" s="1338" t="s">
        <v>481</v>
      </c>
      <c r="N3548" s="1338" t="s">
        <v>482</v>
      </c>
      <c r="O3548" s="1338" t="s">
        <v>483</v>
      </c>
      <c r="P3548" s="290" t="s">
        <v>484</v>
      </c>
      <c r="Q3548" s="1338" t="s">
        <v>485</v>
      </c>
      <c r="R3548" s="1336" t="s">
        <v>296</v>
      </c>
      <c r="S3548" s="1338" t="s">
        <v>486</v>
      </c>
      <c r="T3548" s="1338" t="s">
        <v>487</v>
      </c>
      <c r="U3548" s="1340" t="s">
        <v>488</v>
      </c>
      <c r="V3548" s="291">
        <f t="shared" ref="V3548:V3556" ca="1" si="941">IF(OFFSET(V3548,1,1)=1,OFFSET(V3548,0,-4),OFFSET(V3548,1,0))</f>
        <v>0</v>
      </c>
      <c r="W3548" s="256">
        <f t="shared" ca="1" si="940"/>
        <v>2</v>
      </c>
      <c r="X3548" s="256">
        <f t="shared" ca="1" si="935"/>
        <v>1</v>
      </c>
      <c r="Y3548" s="256"/>
      <c r="Z3548" s="256"/>
      <c r="AA3548" s="292"/>
      <c r="AB3548" s="292"/>
      <c r="AC3548" s="292"/>
    </row>
    <row r="3549" spans="1:29" s="337" customFormat="1" ht="15.75" hidden="1" x14ac:dyDescent="0.2">
      <c r="A3549" s="288"/>
      <c r="B3549" s="1375"/>
      <c r="C3549" s="1377" t="e">
        <f>VLOOKUP(LEFT(#REF!,5),'11 - FINANCEIRO'!_xlnm.Print_Area,2,FALSE)</f>
        <v>#REF!</v>
      </c>
      <c r="D3549" s="1342" t="s">
        <v>489</v>
      </c>
      <c r="E3549" s="1343"/>
      <c r="F3549" s="1344"/>
      <c r="G3549" s="1345" t="s">
        <v>490</v>
      </c>
      <c r="H3549" s="1346"/>
      <c r="I3549" s="1347"/>
      <c r="J3549" s="1339"/>
      <c r="K3549" s="1339"/>
      <c r="L3549" s="1339"/>
      <c r="M3549" s="1339"/>
      <c r="N3549" s="1339"/>
      <c r="O3549" s="1339"/>
      <c r="P3549" s="295" t="s">
        <v>491</v>
      </c>
      <c r="Q3549" s="1339"/>
      <c r="R3549" s="1337"/>
      <c r="S3549" s="1339"/>
      <c r="T3549" s="1339"/>
      <c r="U3549" s="1341"/>
      <c r="V3549" s="291">
        <f t="shared" ca="1" si="941"/>
        <v>0</v>
      </c>
      <c r="W3549" s="256">
        <f t="shared" ca="1" si="940"/>
        <v>2</v>
      </c>
      <c r="X3549" s="256">
        <f t="shared" ca="1" si="935"/>
        <v>1</v>
      </c>
      <c r="Y3549" s="336"/>
      <c r="Z3549" s="336"/>
    </row>
    <row r="3550" spans="1:29" s="337" customFormat="1" ht="15.75" hidden="1" x14ac:dyDescent="0.2">
      <c r="A3550" s="288"/>
      <c r="B3550" s="296"/>
      <c r="C3550" s="297" t="s">
        <v>1210</v>
      </c>
      <c r="D3550" s="298"/>
      <c r="E3550" s="299"/>
      <c r="F3550" s="300"/>
      <c r="G3550" s="301"/>
      <c r="H3550" s="302"/>
      <c r="I3550" s="303"/>
      <c r="J3550" s="304"/>
      <c r="K3550" s="976">
        <f>19</f>
        <v>19</v>
      </c>
      <c r="L3550" s="416">
        <v>1.5</v>
      </c>
      <c r="M3550" s="416">
        <v>0.08</v>
      </c>
      <c r="N3550" s="531">
        <f>K3550*L3550</f>
        <v>28.5</v>
      </c>
      <c r="O3550" s="531">
        <f>K3550*L3550*M3550</f>
        <v>2.2800000000000002</v>
      </c>
      <c r="P3550" s="306"/>
      <c r="Q3550" s="304">
        <v>2</v>
      </c>
      <c r="R3550" s="307">
        <f>O3550*Q3550</f>
        <v>4.5600000000000005</v>
      </c>
      <c r="S3550" s="304"/>
      <c r="T3550" s="309">
        <v>37</v>
      </c>
      <c r="U3550" s="310"/>
      <c r="V3550" s="291">
        <f t="shared" ca="1" si="941"/>
        <v>0</v>
      </c>
      <c r="W3550" s="256">
        <f t="shared" ca="1" si="940"/>
        <v>2</v>
      </c>
      <c r="X3550" s="256">
        <f t="shared" ca="1" si="935"/>
        <v>1</v>
      </c>
      <c r="Y3550" s="336"/>
      <c r="Z3550" s="336"/>
    </row>
    <row r="3551" spans="1:29" s="111" customFormat="1" ht="15.75" hidden="1" x14ac:dyDescent="0.2">
      <c r="A3551" s="288"/>
      <c r="B3551" s="311"/>
      <c r="C3551" s="312"/>
      <c r="D3551" s="313"/>
      <c r="E3551" s="314"/>
      <c r="F3551" s="315"/>
      <c r="G3551" s="380"/>
      <c r="H3551" s="316"/>
      <c r="I3551" s="381"/>
      <c r="J3551" s="317"/>
      <c r="K3551" s="976">
        <f>9.2+4.3</f>
        <v>13.5</v>
      </c>
      <c r="L3551" s="433">
        <v>1.5</v>
      </c>
      <c r="M3551" s="430">
        <v>0.08</v>
      </c>
      <c r="N3551" s="1052">
        <f>K3551*L3551</f>
        <v>20.25</v>
      </c>
      <c r="O3551" s="1053">
        <f>K3551*L3551*M3551</f>
        <v>1.62</v>
      </c>
      <c r="P3551" s="428"/>
      <c r="Q3551" s="513">
        <v>2</v>
      </c>
      <c r="R3551" s="524">
        <f>O3551*Q3551</f>
        <v>3.24</v>
      </c>
      <c r="S3551" s="317"/>
      <c r="T3551" s="320">
        <v>37</v>
      </c>
      <c r="U3551" s="321"/>
      <c r="V3551" s="291">
        <f t="shared" ca="1" si="941"/>
        <v>0</v>
      </c>
      <c r="W3551" s="256">
        <f t="shared" ca="1" si="940"/>
        <v>2</v>
      </c>
      <c r="X3551" s="256">
        <f t="shared" ca="1" si="935"/>
        <v>1</v>
      </c>
      <c r="Y3551" s="250"/>
      <c r="Z3551" s="250"/>
    </row>
    <row r="3552" spans="1:29" s="111" customFormat="1" ht="15" hidden="1" x14ac:dyDescent="0.2">
      <c r="A3552" s="288"/>
      <c r="B3552" s="322"/>
      <c r="C3552" s="382"/>
      <c r="D3552" s="324"/>
      <c r="E3552" s="325"/>
      <c r="F3552" s="326"/>
      <c r="G3552" s="324"/>
      <c r="H3552" s="325"/>
      <c r="I3552" s="326"/>
      <c r="J3552" s="317"/>
      <c r="K3552" s="328"/>
      <c r="L3552" s="328"/>
      <c r="M3552" s="328"/>
      <c r="N3552" s="328"/>
      <c r="O3552" s="334"/>
      <c r="P3552" s="328"/>
      <c r="Q3552" s="334"/>
      <c r="R3552" s="333"/>
      <c r="S3552" s="331"/>
      <c r="T3552" s="320"/>
      <c r="U3552" s="335"/>
      <c r="V3552" s="291">
        <f t="shared" ca="1" si="941"/>
        <v>0</v>
      </c>
      <c r="W3552" s="256">
        <f t="shared" ca="1" si="940"/>
        <v>0</v>
      </c>
      <c r="X3552" s="256">
        <f t="shared" ca="1" si="935"/>
        <v>1</v>
      </c>
      <c r="Y3552" s="250"/>
      <c r="Z3552" s="250"/>
    </row>
    <row r="3553" spans="1:29" s="111" customFormat="1" ht="15" hidden="1" x14ac:dyDescent="0.2">
      <c r="A3553" s="288"/>
      <c r="B3553" s="338"/>
      <c r="C3553" s="339"/>
      <c r="D3553" s="340"/>
      <c r="E3553" s="341"/>
      <c r="F3553" s="342"/>
      <c r="G3553" s="340"/>
      <c r="H3553" s="341"/>
      <c r="I3553" s="342"/>
      <c r="J3553" s="343"/>
      <c r="K3553" s="344"/>
      <c r="L3553" s="345"/>
      <c r="M3553" s="346"/>
      <c r="N3553" s="347"/>
      <c r="O3553" s="348"/>
      <c r="P3553" s="345"/>
      <c r="Q3553" s="349"/>
      <c r="R3553" s="350"/>
      <c r="S3553" s="351"/>
      <c r="T3553" s="352"/>
      <c r="U3553" s="353"/>
      <c r="V3553" s="291">
        <f t="shared" ca="1" si="941"/>
        <v>0</v>
      </c>
      <c r="W3553" s="256">
        <f t="shared" ca="1" si="940"/>
        <v>0</v>
      </c>
      <c r="X3553" s="256">
        <f t="shared" ca="1" si="935"/>
        <v>1</v>
      </c>
      <c r="Y3553" s="250"/>
      <c r="Z3553" s="250"/>
    </row>
    <row r="3554" spans="1:29" s="111" customFormat="1" ht="15.75" hidden="1" customHeight="1" x14ac:dyDescent="0.2">
      <c r="A3554" s="288"/>
      <c r="B3554" s="354"/>
      <c r="C3554" s="355"/>
      <c r="D3554" s="1354" t="s">
        <v>492</v>
      </c>
      <c r="E3554" s="1355"/>
      <c r="F3554" s="1355"/>
      <c r="G3554" s="1355"/>
      <c r="H3554" s="1355"/>
      <c r="I3554" s="1356"/>
      <c r="J3554" s="1357">
        <f>VLOOKUP(A3556,'11 - FINANCEIRO'!_xlnm.Print_Area,6,FALSE)</f>
        <v>7.8</v>
      </c>
      <c r="K3554" s="1358"/>
      <c r="L3554" s="356" t="str">
        <f>VLOOKUP(A3556,'11 - FINANCEIRO'!_xlnm.Print_Area,4,FALSE)</f>
        <v xml:space="preserve"> m³</v>
      </c>
      <c r="M3554" s="1359" t="s">
        <v>493</v>
      </c>
      <c r="N3554" s="1360"/>
      <c r="O3554" s="1360"/>
      <c r="P3554" s="1360"/>
      <c r="Q3554" s="1361"/>
      <c r="R3554" s="357">
        <f>TRUNC(SUM(R3550:R3553),3)</f>
        <v>7.8</v>
      </c>
      <c r="S3554" s="358" t="str">
        <f>L3554</f>
        <v xml:space="preserve"> m³</v>
      </c>
      <c r="T3554" s="359"/>
      <c r="U3554" s="360"/>
      <c r="V3554" s="291">
        <f t="shared" ca="1" si="941"/>
        <v>0</v>
      </c>
      <c r="W3554" s="256">
        <f t="shared" ca="1" si="940"/>
        <v>2</v>
      </c>
      <c r="X3554" s="256">
        <f t="shared" ca="1" si="935"/>
        <v>1</v>
      </c>
      <c r="Y3554" s="250"/>
      <c r="Z3554" s="250"/>
    </row>
    <row r="3555" spans="1:29" s="395" customFormat="1" ht="15.75" hidden="1" customHeight="1" x14ac:dyDescent="0.2">
      <c r="A3555" s="276"/>
      <c r="B3555" s="354"/>
      <c r="C3555" s="361"/>
      <c r="D3555" s="1362" t="s">
        <v>494</v>
      </c>
      <c r="E3555" s="1363"/>
      <c r="F3555" s="1363"/>
      <c r="G3555" s="1363"/>
      <c r="H3555" s="1363"/>
      <c r="I3555" s="1364"/>
      <c r="J3555" s="1365">
        <f>R3554/J3554</f>
        <v>1</v>
      </c>
      <c r="K3555" s="1366"/>
      <c r="L3555" s="1369"/>
      <c r="M3555" s="1371" t="s">
        <v>495</v>
      </c>
      <c r="N3555" s="1372"/>
      <c r="O3555" s="1372"/>
      <c r="P3555" s="1372"/>
      <c r="Q3555" s="1373"/>
      <c r="R3555" s="362">
        <f>VLOOKUP(A3556,'11 - FINANCEIRO'!_xlnm.Print_Area,8,FALSE)</f>
        <v>7.8</v>
      </c>
      <c r="S3555" s="363" t="str">
        <f>L3554</f>
        <v xml:space="preserve"> m³</v>
      </c>
      <c r="T3555" s="359"/>
      <c r="U3555" s="360"/>
      <c r="V3555" s="291">
        <f t="shared" ca="1" si="941"/>
        <v>0</v>
      </c>
      <c r="W3555" s="256">
        <f t="shared" ca="1" si="940"/>
        <v>2</v>
      </c>
      <c r="X3555" s="256">
        <f t="shared" ca="1" si="935"/>
        <v>1</v>
      </c>
    </row>
    <row r="3556" spans="1:29" s="293" customFormat="1" ht="15.75" hidden="1" customHeight="1" x14ac:dyDescent="0.2">
      <c r="A3556" s="288" t="s">
        <v>233</v>
      </c>
      <c r="B3556" s="364"/>
      <c r="C3556" s="365"/>
      <c r="D3556" s="1354"/>
      <c r="E3556" s="1355"/>
      <c r="F3556" s="1355"/>
      <c r="G3556" s="1355"/>
      <c r="H3556" s="1355"/>
      <c r="I3556" s="1356"/>
      <c r="J3556" s="1367"/>
      <c r="K3556" s="1368"/>
      <c r="L3556" s="1370"/>
      <c r="M3556" s="1371" t="s">
        <v>496</v>
      </c>
      <c r="N3556" s="1372"/>
      <c r="O3556" s="1372"/>
      <c r="P3556" s="1372"/>
      <c r="Q3556" s="1373"/>
      <c r="R3556" s="362">
        <f>R3554-R3555</f>
        <v>0</v>
      </c>
      <c r="S3556" s="363" t="str">
        <f>L3554</f>
        <v xml:space="preserve"> m³</v>
      </c>
      <c r="T3556" s="366"/>
      <c r="U3556" s="367"/>
      <c r="V3556" s="291">
        <f t="shared" ca="1" si="941"/>
        <v>0</v>
      </c>
      <c r="W3556" s="256">
        <f t="shared" ca="1" si="940"/>
        <v>2</v>
      </c>
      <c r="X3556" s="256">
        <f t="shared" ca="1" si="935"/>
        <v>1</v>
      </c>
      <c r="Y3556" s="256"/>
      <c r="Z3556" s="256"/>
      <c r="AA3556" s="292"/>
      <c r="AB3556" s="292"/>
      <c r="AC3556" s="292"/>
    </row>
    <row r="3557" spans="1:29" s="111" customFormat="1" ht="15.75" hidden="1" x14ac:dyDescent="0.2">
      <c r="A3557" s="288"/>
      <c r="B3557" s="368"/>
      <c r="C3557" s="365"/>
      <c r="D3557" s="369"/>
      <c r="E3557" s="370"/>
      <c r="F3557" s="369"/>
      <c r="G3557" s="369"/>
      <c r="H3557" s="369"/>
      <c r="I3557" s="369"/>
      <c r="J3557" s="371"/>
      <c r="K3557" s="372"/>
      <c r="L3557" s="373"/>
      <c r="M3557" s="374"/>
      <c r="N3557" s="374"/>
      <c r="O3557" s="374"/>
      <c r="P3557" s="374"/>
      <c r="Q3557" s="374"/>
      <c r="R3557" s="375"/>
      <c r="S3557" s="376"/>
      <c r="T3557" s="377"/>
      <c r="U3557" s="378"/>
      <c r="V3557" s="379">
        <f ca="1">SUM(V3548:V3556)</f>
        <v>0</v>
      </c>
      <c r="W3557" s="256">
        <f t="shared" ca="1" si="940"/>
        <v>1</v>
      </c>
      <c r="X3557" s="256">
        <f t="shared" ca="1" si="935"/>
        <v>0</v>
      </c>
      <c r="Y3557" s="250"/>
      <c r="Z3557" s="250"/>
    </row>
    <row r="3558" spans="1:29" s="293" customFormat="1" ht="15.75" x14ac:dyDescent="0.2">
      <c r="A3558" s="288"/>
      <c r="B3558" s="385" t="str">
        <f>LEFT(A3566,9)</f>
        <v>4.7</v>
      </c>
      <c r="C3558" s="386" t="str">
        <f>VLOOKUP(LEFT(A3566,9),'11 - FINANCEIRO'!_xlnm.Print_Area,2,FALSE)</f>
        <v>Passarela Sul</v>
      </c>
      <c r="D3558" s="386"/>
      <c r="E3558" s="387"/>
      <c r="F3558" s="386"/>
      <c r="G3558" s="1395"/>
      <c r="H3558" s="1395"/>
      <c r="I3558" s="1395"/>
      <c r="J3558" s="1395"/>
      <c r="K3558" s="1395"/>
      <c r="L3558" s="1395"/>
      <c r="M3558" s="389"/>
      <c r="N3558" s="390"/>
      <c r="O3558" s="389"/>
      <c r="P3558" s="389"/>
      <c r="Q3558" s="389"/>
      <c r="R3558" s="390"/>
      <c r="S3558" s="389"/>
      <c r="T3558" s="389"/>
      <c r="U3558" s="601"/>
      <c r="V3558" s="549">
        <f ca="1">SUM(V3559:V3688)</f>
        <v>-300.59999999999997</v>
      </c>
      <c r="W3558" s="256">
        <f t="shared" ca="1" si="940"/>
        <v>1</v>
      </c>
      <c r="X3558" s="256">
        <f t="shared" ca="1" si="935"/>
        <v>1</v>
      </c>
      <c r="Y3558" s="256"/>
      <c r="Z3558" s="256"/>
      <c r="AA3558" s="292"/>
      <c r="AB3558" s="292"/>
      <c r="AC3558" s="292"/>
    </row>
    <row r="3559" spans="1:29" s="293" customFormat="1" ht="15.75" hidden="1" customHeight="1" x14ac:dyDescent="0.25">
      <c r="A3559" s="288"/>
      <c r="B3559" s="1374" t="str">
        <f>VLOOKUP(A3567,'11 - FINANCEIRO'!_xlnm.Print_Area,1,FALSE)</f>
        <v>4.7.1</v>
      </c>
      <c r="C3559" s="1376" t="str">
        <f>VLOOKUP(A3567,'11 - FINANCEIRO'!_xlnm.Print_Area,3,FALSE)</f>
        <v>Preparo E Regularização De Terreno Em Desnível</v>
      </c>
      <c r="D3559" s="1378" t="s">
        <v>477</v>
      </c>
      <c r="E3559" s="1379"/>
      <c r="F3559" s="1379"/>
      <c r="G3559" s="1379"/>
      <c r="H3559" s="1379"/>
      <c r="I3559" s="1380"/>
      <c r="J3559" s="1338" t="s">
        <v>478</v>
      </c>
      <c r="K3559" s="1338" t="s">
        <v>479</v>
      </c>
      <c r="L3559" s="1338" t="s">
        <v>480</v>
      </c>
      <c r="M3559" s="1338" t="s">
        <v>481</v>
      </c>
      <c r="N3559" s="1338" t="s">
        <v>482</v>
      </c>
      <c r="O3559" s="1338" t="s">
        <v>483</v>
      </c>
      <c r="P3559" s="290" t="s">
        <v>484</v>
      </c>
      <c r="Q3559" s="1338" t="s">
        <v>485</v>
      </c>
      <c r="R3559" s="1336" t="s">
        <v>296</v>
      </c>
      <c r="S3559" s="1338" t="s">
        <v>486</v>
      </c>
      <c r="T3559" s="1338" t="s">
        <v>487</v>
      </c>
      <c r="U3559" s="1340" t="s">
        <v>488</v>
      </c>
      <c r="V3559" s="291">
        <f t="shared" ref="V3559:V3567" ca="1" si="942">IF(OFFSET(V3559,1,1)=1,OFFSET(V3559,0,-4),OFFSET(V3559,1,0))</f>
        <v>0</v>
      </c>
      <c r="W3559" s="256">
        <f t="shared" ca="1" si="940"/>
        <v>2</v>
      </c>
      <c r="X3559" s="256">
        <f t="shared" ca="1" si="935"/>
        <v>1</v>
      </c>
      <c r="Y3559" s="256"/>
      <c r="Z3559" s="256"/>
      <c r="AA3559" s="292"/>
      <c r="AB3559" s="292"/>
      <c r="AC3559" s="292"/>
    </row>
    <row r="3560" spans="1:29" s="337" customFormat="1" ht="15.75" hidden="1" x14ac:dyDescent="0.2">
      <c r="A3560" s="288"/>
      <c r="B3560" s="1375"/>
      <c r="C3560" s="1377" t="e">
        <f>VLOOKUP(LEFT(#REF!,5),'11 - FINANCEIRO'!_xlnm.Print_Area,2,FALSE)</f>
        <v>#REF!</v>
      </c>
      <c r="D3560" s="1342" t="s">
        <v>489</v>
      </c>
      <c r="E3560" s="1343"/>
      <c r="F3560" s="1344"/>
      <c r="G3560" s="1345" t="s">
        <v>490</v>
      </c>
      <c r="H3560" s="1346"/>
      <c r="I3560" s="1347"/>
      <c r="J3560" s="1339"/>
      <c r="K3560" s="1339"/>
      <c r="L3560" s="1339"/>
      <c r="M3560" s="1339"/>
      <c r="N3560" s="1339"/>
      <c r="O3560" s="1339"/>
      <c r="P3560" s="295" t="s">
        <v>491</v>
      </c>
      <c r="Q3560" s="1339"/>
      <c r="R3560" s="1337"/>
      <c r="S3560" s="1339"/>
      <c r="T3560" s="1339"/>
      <c r="U3560" s="1341"/>
      <c r="V3560" s="291">
        <f t="shared" ca="1" si="942"/>
        <v>0</v>
      </c>
      <c r="W3560" s="256">
        <f t="shared" ca="1" si="940"/>
        <v>2</v>
      </c>
      <c r="X3560" s="256">
        <f t="shared" ca="1" si="935"/>
        <v>1</v>
      </c>
      <c r="Y3560" s="336"/>
      <c r="Z3560" s="336"/>
    </row>
    <row r="3561" spans="1:29" s="337" customFormat="1" ht="15.75" hidden="1" x14ac:dyDescent="0.2">
      <c r="A3561" s="288"/>
      <c r="B3561" s="296"/>
      <c r="C3561" s="297"/>
      <c r="D3561" s="298"/>
      <c r="E3561" s="299"/>
      <c r="F3561" s="300"/>
      <c r="G3561" s="301"/>
      <c r="H3561" s="302"/>
      <c r="I3561" s="303"/>
      <c r="J3561" s="304"/>
      <c r="K3561" s="304"/>
      <c r="L3561" s="304"/>
      <c r="M3561" s="304"/>
      <c r="N3561" s="304"/>
      <c r="O3561" s="304"/>
      <c r="P3561" s="306"/>
      <c r="Q3561" s="304"/>
      <c r="R3561" s="307"/>
      <c r="S3561" s="304"/>
      <c r="T3561" s="309"/>
      <c r="U3561" s="310"/>
      <c r="V3561" s="291">
        <f t="shared" ca="1" si="942"/>
        <v>0</v>
      </c>
      <c r="W3561" s="256">
        <f t="shared" ca="1" si="940"/>
        <v>0</v>
      </c>
      <c r="X3561" s="256">
        <f t="shared" ca="1" si="935"/>
        <v>1</v>
      </c>
      <c r="Y3561" s="336"/>
      <c r="Z3561" s="336"/>
    </row>
    <row r="3562" spans="1:29" s="111" customFormat="1" ht="15.75" hidden="1" x14ac:dyDescent="0.2">
      <c r="A3562" s="288"/>
      <c r="B3562" s="311"/>
      <c r="C3562" s="312"/>
      <c r="D3562" s="313"/>
      <c r="E3562" s="314"/>
      <c r="F3562" s="315"/>
      <c r="G3562" s="380"/>
      <c r="H3562" s="316"/>
      <c r="I3562" s="381"/>
      <c r="J3562" s="317"/>
      <c r="K3562" s="313"/>
      <c r="L3562" s="317"/>
      <c r="M3562" s="315"/>
      <c r="N3562" s="314"/>
      <c r="O3562" s="313"/>
      <c r="P3562" s="318"/>
      <c r="Q3562" s="315"/>
      <c r="R3562" s="319"/>
      <c r="S3562" s="317"/>
      <c r="T3562" s="320"/>
      <c r="U3562" s="321"/>
      <c r="V3562" s="291">
        <f t="shared" ca="1" si="942"/>
        <v>0</v>
      </c>
      <c r="W3562" s="256">
        <f t="shared" ca="1" si="940"/>
        <v>0</v>
      </c>
      <c r="X3562" s="256">
        <f t="shared" ca="1" si="935"/>
        <v>1</v>
      </c>
      <c r="Y3562" s="250"/>
      <c r="Z3562" s="250"/>
    </row>
    <row r="3563" spans="1:29" s="111" customFormat="1" ht="15" hidden="1" x14ac:dyDescent="0.2">
      <c r="A3563" s="288"/>
      <c r="B3563" s="322"/>
      <c r="C3563" s="382"/>
      <c r="D3563" s="324"/>
      <c r="E3563" s="325"/>
      <c r="F3563" s="326"/>
      <c r="G3563" s="324"/>
      <c r="H3563" s="325"/>
      <c r="I3563" s="326"/>
      <c r="J3563" s="317"/>
      <c r="K3563" s="328"/>
      <c r="L3563" s="328"/>
      <c r="M3563" s="328"/>
      <c r="N3563" s="328"/>
      <c r="O3563" s="334"/>
      <c r="P3563" s="328"/>
      <c r="Q3563" s="334"/>
      <c r="R3563" s="333"/>
      <c r="S3563" s="331"/>
      <c r="T3563" s="320"/>
      <c r="U3563" s="335"/>
      <c r="V3563" s="291">
        <f t="shared" ca="1" si="942"/>
        <v>0</v>
      </c>
      <c r="W3563" s="256">
        <f t="shared" ca="1" si="940"/>
        <v>0</v>
      </c>
      <c r="X3563" s="256">
        <f t="shared" ca="1" si="935"/>
        <v>1</v>
      </c>
      <c r="Y3563" s="250"/>
      <c r="Z3563" s="250"/>
    </row>
    <row r="3564" spans="1:29" s="111" customFormat="1" ht="15" hidden="1" x14ac:dyDescent="0.2">
      <c r="A3564" s="288"/>
      <c r="B3564" s="338"/>
      <c r="C3564" s="339"/>
      <c r="D3564" s="340"/>
      <c r="E3564" s="341"/>
      <c r="F3564" s="342"/>
      <c r="G3564" s="340"/>
      <c r="H3564" s="341"/>
      <c r="I3564" s="342"/>
      <c r="J3564" s="343"/>
      <c r="K3564" s="344"/>
      <c r="L3564" s="345"/>
      <c r="M3564" s="346"/>
      <c r="N3564" s="347"/>
      <c r="O3564" s="348"/>
      <c r="P3564" s="345"/>
      <c r="Q3564" s="349"/>
      <c r="R3564" s="350"/>
      <c r="S3564" s="351"/>
      <c r="T3564" s="352"/>
      <c r="U3564" s="353"/>
      <c r="V3564" s="291">
        <f t="shared" ca="1" si="942"/>
        <v>0</v>
      </c>
      <c r="W3564" s="256">
        <f t="shared" ca="1" si="940"/>
        <v>0</v>
      </c>
      <c r="X3564" s="256">
        <f t="shared" ca="1" si="935"/>
        <v>1</v>
      </c>
      <c r="Y3564" s="250"/>
      <c r="Z3564" s="250"/>
    </row>
    <row r="3565" spans="1:29" s="111" customFormat="1" ht="15.75" hidden="1" customHeight="1" x14ac:dyDescent="0.2">
      <c r="A3565" s="288"/>
      <c r="B3565" s="354"/>
      <c r="C3565" s="355"/>
      <c r="D3565" s="1354" t="s">
        <v>492</v>
      </c>
      <c r="E3565" s="1355"/>
      <c r="F3565" s="1355"/>
      <c r="G3565" s="1355"/>
      <c r="H3565" s="1355"/>
      <c r="I3565" s="1356"/>
      <c r="J3565" s="1357">
        <f>VLOOKUP(A3567,'11 - FINANCEIRO'!_xlnm.Print_Area,6,FALSE)</f>
        <v>400</v>
      </c>
      <c r="K3565" s="1358"/>
      <c r="L3565" s="356" t="str">
        <f>VLOOKUP(A3567,'11 - FINANCEIRO'!_xlnm.Print_Area,4,FALSE)</f>
        <v>m²</v>
      </c>
      <c r="M3565" s="1359" t="s">
        <v>493</v>
      </c>
      <c r="N3565" s="1360"/>
      <c r="O3565" s="1360"/>
      <c r="P3565" s="1360"/>
      <c r="Q3565" s="1361"/>
      <c r="R3565" s="357">
        <f>TRUNC(SUM(R3561:R3564),3)</f>
        <v>0</v>
      </c>
      <c r="S3565" s="358" t="str">
        <f>L3565</f>
        <v>m²</v>
      </c>
      <c r="T3565" s="359"/>
      <c r="U3565" s="360"/>
      <c r="V3565" s="291">
        <f t="shared" ca="1" si="942"/>
        <v>0</v>
      </c>
      <c r="W3565" s="256">
        <f t="shared" ca="1" si="940"/>
        <v>2</v>
      </c>
      <c r="X3565" s="256">
        <f t="shared" ref="X3565:X3628" ca="1" si="943">IF(COUNTA(OFFSET(A3564,1,0))-COUNTA(A3564)=-1,0,1)</f>
        <v>1</v>
      </c>
      <c r="Y3565" s="250"/>
      <c r="Z3565" s="250"/>
    </row>
    <row r="3566" spans="1:29" s="293" customFormat="1" ht="15.75" hidden="1" customHeight="1" x14ac:dyDescent="0.2">
      <c r="A3566" s="288" t="s">
        <v>234</v>
      </c>
      <c r="B3566" s="354"/>
      <c r="C3566" s="361"/>
      <c r="D3566" s="1362" t="s">
        <v>494</v>
      </c>
      <c r="E3566" s="1363"/>
      <c r="F3566" s="1363"/>
      <c r="G3566" s="1363"/>
      <c r="H3566" s="1363"/>
      <c r="I3566" s="1364"/>
      <c r="J3566" s="1365">
        <f>R3565/J3565</f>
        <v>0</v>
      </c>
      <c r="K3566" s="1366"/>
      <c r="L3566" s="1369"/>
      <c r="M3566" s="1371" t="s">
        <v>495</v>
      </c>
      <c r="N3566" s="1372"/>
      <c r="O3566" s="1372"/>
      <c r="P3566" s="1372"/>
      <c r="Q3566" s="1373"/>
      <c r="R3566" s="362">
        <f>VLOOKUP(A3567,'11 - FINANCEIRO'!_xlnm.Print_Area,8,FALSE)</f>
        <v>0</v>
      </c>
      <c r="S3566" s="363" t="str">
        <f>L3565</f>
        <v>m²</v>
      </c>
      <c r="T3566" s="359"/>
      <c r="U3566" s="360"/>
      <c r="V3566" s="291">
        <f t="shared" ca="1" si="942"/>
        <v>0</v>
      </c>
      <c r="W3566" s="256">
        <f t="shared" ca="1" si="940"/>
        <v>2</v>
      </c>
      <c r="X3566" s="256">
        <f t="shared" ca="1" si="943"/>
        <v>1</v>
      </c>
      <c r="Y3566" s="256"/>
      <c r="Z3566" s="256"/>
      <c r="AA3566" s="292"/>
      <c r="AB3566" s="292"/>
      <c r="AC3566" s="292"/>
    </row>
    <row r="3567" spans="1:29" s="293" customFormat="1" ht="15.75" hidden="1" customHeight="1" x14ac:dyDescent="0.2">
      <c r="A3567" s="288" t="s">
        <v>235</v>
      </c>
      <c r="B3567" s="364"/>
      <c r="C3567" s="365"/>
      <c r="D3567" s="1354"/>
      <c r="E3567" s="1355"/>
      <c r="F3567" s="1355"/>
      <c r="G3567" s="1355"/>
      <c r="H3567" s="1355"/>
      <c r="I3567" s="1356"/>
      <c r="J3567" s="1367"/>
      <c r="K3567" s="1368"/>
      <c r="L3567" s="1370"/>
      <c r="M3567" s="1371" t="s">
        <v>496</v>
      </c>
      <c r="N3567" s="1372"/>
      <c r="O3567" s="1372"/>
      <c r="P3567" s="1372"/>
      <c r="Q3567" s="1373"/>
      <c r="R3567" s="362">
        <f>R3565-R3566</f>
        <v>0</v>
      </c>
      <c r="S3567" s="363" t="str">
        <f>L3565</f>
        <v>m²</v>
      </c>
      <c r="T3567" s="366"/>
      <c r="U3567" s="367"/>
      <c r="V3567" s="291">
        <f t="shared" ca="1" si="942"/>
        <v>0</v>
      </c>
      <c r="W3567" s="256">
        <f t="shared" ca="1" si="940"/>
        <v>2</v>
      </c>
      <c r="X3567" s="256">
        <f t="shared" ca="1" si="943"/>
        <v>1</v>
      </c>
      <c r="Y3567" s="256"/>
      <c r="Z3567" s="256"/>
      <c r="AA3567" s="292"/>
      <c r="AB3567" s="292"/>
      <c r="AC3567" s="292"/>
    </row>
    <row r="3568" spans="1:29" s="111" customFormat="1" ht="15.75" hidden="1" x14ac:dyDescent="0.2">
      <c r="A3568" s="288"/>
      <c r="B3568" s="368"/>
      <c r="C3568" s="365"/>
      <c r="D3568" s="369"/>
      <c r="E3568" s="370"/>
      <c r="F3568" s="369"/>
      <c r="G3568" s="369"/>
      <c r="H3568" s="369"/>
      <c r="I3568" s="369"/>
      <c r="J3568" s="371"/>
      <c r="K3568" s="372"/>
      <c r="L3568" s="373"/>
      <c r="M3568" s="374"/>
      <c r="N3568" s="374"/>
      <c r="O3568" s="374"/>
      <c r="P3568" s="374"/>
      <c r="Q3568" s="374"/>
      <c r="R3568" s="375"/>
      <c r="S3568" s="376"/>
      <c r="T3568" s="377"/>
      <c r="U3568" s="378"/>
      <c r="V3568" s="379">
        <f ca="1">SUM(V3559:V3567)</f>
        <v>0</v>
      </c>
      <c r="W3568" s="256">
        <f t="shared" ca="1" si="940"/>
        <v>1</v>
      </c>
      <c r="X3568" s="256">
        <f t="shared" ca="1" si="943"/>
        <v>0</v>
      </c>
      <c r="Y3568" s="250"/>
      <c r="Z3568" s="250"/>
    </row>
    <row r="3569" spans="1:29" s="293" customFormat="1" ht="15.75" hidden="1" customHeight="1" x14ac:dyDescent="0.25">
      <c r="A3569" s="288"/>
      <c r="B3569" s="1374" t="str">
        <f>VLOOKUP(A3577,'11 - FINANCEIRO'!_xlnm.Print_Area,1,FALSE)</f>
        <v>4.7.2</v>
      </c>
      <c r="C3569" s="1376" t="str">
        <f>VLOOKUP(A3577,'11 - FINANCEIRO'!_xlnm.Print_Area,3,FALSE)</f>
        <v>Perfuratriz Com Torre Metálica Para Execução De Estaca Hélice Contínua, Profundidade Máxima De 32 M, Diâmetro Máximo De 1000 Mm, Potência Instalada De 350 Hp, Mesa Rotativa Com Torque Máximo De 263 Knm - Chi Diurno. Af_01/2016</v>
      </c>
      <c r="D3569" s="1378" t="s">
        <v>477</v>
      </c>
      <c r="E3569" s="1379"/>
      <c r="F3569" s="1379"/>
      <c r="G3569" s="1379"/>
      <c r="H3569" s="1379"/>
      <c r="I3569" s="1380"/>
      <c r="J3569" s="1338" t="s">
        <v>478</v>
      </c>
      <c r="K3569" s="1338" t="s">
        <v>479</v>
      </c>
      <c r="L3569" s="1338" t="s">
        <v>480</v>
      </c>
      <c r="M3569" s="1338" t="s">
        <v>481</v>
      </c>
      <c r="N3569" s="1338" t="s">
        <v>482</v>
      </c>
      <c r="O3569" s="1338" t="s">
        <v>483</v>
      </c>
      <c r="P3569" s="290" t="s">
        <v>484</v>
      </c>
      <c r="Q3569" s="1338" t="s">
        <v>485</v>
      </c>
      <c r="R3569" s="1336" t="s">
        <v>296</v>
      </c>
      <c r="S3569" s="1338" t="s">
        <v>486</v>
      </c>
      <c r="T3569" s="1338" t="s">
        <v>487</v>
      </c>
      <c r="U3569" s="1340" t="s">
        <v>488</v>
      </c>
      <c r="V3569" s="291">
        <f t="shared" ref="V3569:V3577" ca="1" si="944">IF(OFFSET(V3569,1,1)=1,OFFSET(V3569,0,-4),OFFSET(V3569,1,0))</f>
        <v>0</v>
      </c>
      <c r="W3569" s="256">
        <f t="shared" ca="1" si="940"/>
        <v>2</v>
      </c>
      <c r="X3569" s="256">
        <f t="shared" ca="1" si="943"/>
        <v>1</v>
      </c>
      <c r="Y3569" s="256"/>
      <c r="Z3569" s="256"/>
      <c r="AA3569" s="292"/>
      <c r="AB3569" s="292"/>
      <c r="AC3569" s="292"/>
    </row>
    <row r="3570" spans="1:29" s="337" customFormat="1" ht="15.75" hidden="1" x14ac:dyDescent="0.2">
      <c r="A3570" s="288"/>
      <c r="B3570" s="1375"/>
      <c r="C3570" s="1377" t="e">
        <f>VLOOKUP(LEFT(#REF!,5),'11 - FINANCEIRO'!_xlnm.Print_Area,2,FALSE)</f>
        <v>#REF!</v>
      </c>
      <c r="D3570" s="1342" t="s">
        <v>489</v>
      </c>
      <c r="E3570" s="1343"/>
      <c r="F3570" s="1344"/>
      <c r="G3570" s="1345" t="s">
        <v>490</v>
      </c>
      <c r="H3570" s="1346"/>
      <c r="I3570" s="1347"/>
      <c r="J3570" s="1339"/>
      <c r="K3570" s="1339"/>
      <c r="L3570" s="1339"/>
      <c r="M3570" s="1339"/>
      <c r="N3570" s="1339"/>
      <c r="O3570" s="1339"/>
      <c r="P3570" s="295" t="s">
        <v>491</v>
      </c>
      <c r="Q3570" s="1339"/>
      <c r="R3570" s="1337"/>
      <c r="S3570" s="1339"/>
      <c r="T3570" s="1339"/>
      <c r="U3570" s="1341"/>
      <c r="V3570" s="291">
        <f t="shared" ca="1" si="944"/>
        <v>0</v>
      </c>
      <c r="W3570" s="256">
        <f t="shared" ca="1" si="940"/>
        <v>2</v>
      </c>
      <c r="X3570" s="256">
        <f t="shared" ca="1" si="943"/>
        <v>1</v>
      </c>
      <c r="Y3570" s="336"/>
      <c r="Z3570" s="336"/>
    </row>
    <row r="3571" spans="1:29" s="337" customFormat="1" ht="15.75" hidden="1" x14ac:dyDescent="0.2">
      <c r="A3571" s="288"/>
      <c r="B3571" s="296"/>
      <c r="C3571" s="297"/>
      <c r="D3571" s="298"/>
      <c r="E3571" s="299"/>
      <c r="F3571" s="300"/>
      <c r="G3571" s="301"/>
      <c r="H3571" s="302"/>
      <c r="I3571" s="303"/>
      <c r="J3571" s="304"/>
      <c r="K3571" s="304"/>
      <c r="L3571" s="304"/>
      <c r="M3571" s="304"/>
      <c r="N3571" s="304"/>
      <c r="O3571" s="304"/>
      <c r="P3571" s="306"/>
      <c r="Q3571" s="304"/>
      <c r="R3571" s="307"/>
      <c r="S3571" s="304"/>
      <c r="T3571" s="309"/>
      <c r="U3571" s="310"/>
      <c r="V3571" s="291">
        <f t="shared" ca="1" si="944"/>
        <v>0</v>
      </c>
      <c r="W3571" s="256">
        <f t="shared" ca="1" si="940"/>
        <v>0</v>
      </c>
      <c r="X3571" s="256">
        <f t="shared" ca="1" si="943"/>
        <v>1</v>
      </c>
      <c r="Y3571" s="336"/>
      <c r="Z3571" s="336"/>
    </row>
    <row r="3572" spans="1:29" s="111" customFormat="1" ht="15.75" hidden="1" x14ac:dyDescent="0.2">
      <c r="A3572" s="288"/>
      <c r="B3572" s="311"/>
      <c r="C3572" s="312"/>
      <c r="D3572" s="313"/>
      <c r="E3572" s="314"/>
      <c r="F3572" s="315"/>
      <c r="G3572" s="380"/>
      <c r="H3572" s="316"/>
      <c r="I3572" s="381"/>
      <c r="J3572" s="317"/>
      <c r="K3572" s="313"/>
      <c r="L3572" s="317"/>
      <c r="M3572" s="315"/>
      <c r="N3572" s="314"/>
      <c r="O3572" s="313"/>
      <c r="P3572" s="318"/>
      <c r="Q3572" s="315"/>
      <c r="R3572" s="319"/>
      <c r="S3572" s="317"/>
      <c r="T3572" s="320"/>
      <c r="U3572" s="321"/>
      <c r="V3572" s="291">
        <f t="shared" ca="1" si="944"/>
        <v>0</v>
      </c>
      <c r="W3572" s="256">
        <f t="shared" ca="1" si="940"/>
        <v>0</v>
      </c>
      <c r="X3572" s="256">
        <f t="shared" ca="1" si="943"/>
        <v>1</v>
      </c>
      <c r="Y3572" s="250"/>
      <c r="Z3572" s="250"/>
    </row>
    <row r="3573" spans="1:29" s="111" customFormat="1" ht="15" hidden="1" x14ac:dyDescent="0.2">
      <c r="A3573" s="288"/>
      <c r="B3573" s="322"/>
      <c r="C3573" s="382"/>
      <c r="D3573" s="324"/>
      <c r="E3573" s="325"/>
      <c r="F3573" s="326"/>
      <c r="G3573" s="324"/>
      <c r="H3573" s="325"/>
      <c r="I3573" s="326"/>
      <c r="J3573" s="317"/>
      <c r="K3573" s="328"/>
      <c r="L3573" s="328"/>
      <c r="M3573" s="328"/>
      <c r="N3573" s="328"/>
      <c r="O3573" s="334"/>
      <c r="P3573" s="328"/>
      <c r="Q3573" s="334"/>
      <c r="R3573" s="333"/>
      <c r="S3573" s="331"/>
      <c r="T3573" s="320"/>
      <c r="U3573" s="335"/>
      <c r="V3573" s="291">
        <f t="shared" ca="1" si="944"/>
        <v>0</v>
      </c>
      <c r="W3573" s="256">
        <f t="shared" ca="1" si="940"/>
        <v>0</v>
      </c>
      <c r="X3573" s="256">
        <f t="shared" ca="1" si="943"/>
        <v>1</v>
      </c>
      <c r="Y3573" s="250"/>
      <c r="Z3573" s="250"/>
    </row>
    <row r="3574" spans="1:29" s="111" customFormat="1" ht="15" hidden="1" x14ac:dyDescent="0.2">
      <c r="A3574" s="288"/>
      <c r="B3574" s="338"/>
      <c r="C3574" s="339"/>
      <c r="D3574" s="340"/>
      <c r="E3574" s="341"/>
      <c r="F3574" s="342"/>
      <c r="G3574" s="340"/>
      <c r="H3574" s="341"/>
      <c r="I3574" s="342"/>
      <c r="J3574" s="343"/>
      <c r="K3574" s="344"/>
      <c r="L3574" s="345"/>
      <c r="M3574" s="346"/>
      <c r="N3574" s="347"/>
      <c r="O3574" s="348"/>
      <c r="P3574" s="345"/>
      <c r="Q3574" s="349"/>
      <c r="R3574" s="350"/>
      <c r="S3574" s="351"/>
      <c r="T3574" s="352"/>
      <c r="U3574" s="353"/>
      <c r="V3574" s="291">
        <f t="shared" ca="1" si="944"/>
        <v>0</v>
      </c>
      <c r="W3574" s="256">
        <f t="shared" ca="1" si="940"/>
        <v>0</v>
      </c>
      <c r="X3574" s="256">
        <f t="shared" ca="1" si="943"/>
        <v>1</v>
      </c>
      <c r="Y3574" s="250"/>
      <c r="Z3574" s="250"/>
    </row>
    <row r="3575" spans="1:29" s="111" customFormat="1" ht="15.75" hidden="1" customHeight="1" x14ac:dyDescent="0.2">
      <c r="A3575" s="288"/>
      <c r="B3575" s="354"/>
      <c r="C3575" s="355"/>
      <c r="D3575" s="1354" t="s">
        <v>492</v>
      </c>
      <c r="E3575" s="1355"/>
      <c r="F3575" s="1355"/>
      <c r="G3575" s="1355"/>
      <c r="H3575" s="1355"/>
      <c r="I3575" s="1356"/>
      <c r="J3575" s="1357">
        <f>VLOOKUP(A3577,'11 - FINANCEIRO'!_xlnm.Print_Area,6,FALSE)</f>
        <v>24</v>
      </c>
      <c r="K3575" s="1358"/>
      <c r="L3575" s="356" t="str">
        <f>VLOOKUP(A3577,'11 - FINANCEIRO'!_xlnm.Print_Area,4,FALSE)</f>
        <v>chi</v>
      </c>
      <c r="M3575" s="1359" t="s">
        <v>493</v>
      </c>
      <c r="N3575" s="1360"/>
      <c r="O3575" s="1360"/>
      <c r="P3575" s="1360"/>
      <c r="Q3575" s="1361"/>
      <c r="R3575" s="357">
        <f>TRUNC(SUM(R3571:R3574),3)</f>
        <v>0</v>
      </c>
      <c r="S3575" s="358" t="str">
        <f>L3575</f>
        <v>chi</v>
      </c>
      <c r="T3575" s="359"/>
      <c r="U3575" s="360"/>
      <c r="V3575" s="291">
        <f t="shared" ca="1" si="944"/>
        <v>0</v>
      </c>
      <c r="W3575" s="256">
        <f t="shared" ca="1" si="940"/>
        <v>2</v>
      </c>
      <c r="X3575" s="256">
        <f t="shared" ca="1" si="943"/>
        <v>1</v>
      </c>
      <c r="Y3575" s="250"/>
      <c r="Z3575" s="250"/>
    </row>
    <row r="3576" spans="1:29" s="293" customFormat="1" ht="15.75" hidden="1" customHeight="1" x14ac:dyDescent="0.2">
      <c r="A3576" s="288"/>
      <c r="B3576" s="354"/>
      <c r="C3576" s="361"/>
      <c r="D3576" s="1362" t="s">
        <v>494</v>
      </c>
      <c r="E3576" s="1363"/>
      <c r="F3576" s="1363"/>
      <c r="G3576" s="1363"/>
      <c r="H3576" s="1363"/>
      <c r="I3576" s="1364"/>
      <c r="J3576" s="1365">
        <f>R3575/J3575</f>
        <v>0</v>
      </c>
      <c r="K3576" s="1366"/>
      <c r="L3576" s="1369"/>
      <c r="M3576" s="1371" t="s">
        <v>495</v>
      </c>
      <c r="N3576" s="1372"/>
      <c r="O3576" s="1372"/>
      <c r="P3576" s="1372"/>
      <c r="Q3576" s="1373"/>
      <c r="R3576" s="362">
        <f>VLOOKUP(A3577,'11 - FINANCEIRO'!_xlnm.Print_Area,8,FALSE)</f>
        <v>0</v>
      </c>
      <c r="S3576" s="363" t="str">
        <f>L3575</f>
        <v>chi</v>
      </c>
      <c r="T3576" s="359"/>
      <c r="U3576" s="360"/>
      <c r="V3576" s="291">
        <f t="shared" ca="1" si="944"/>
        <v>0</v>
      </c>
      <c r="W3576" s="256">
        <f t="shared" ca="1" si="940"/>
        <v>2</v>
      </c>
      <c r="X3576" s="256">
        <f t="shared" ca="1" si="943"/>
        <v>1</v>
      </c>
      <c r="Y3576" s="256"/>
      <c r="Z3576" s="256"/>
      <c r="AA3576" s="292"/>
      <c r="AB3576" s="292"/>
      <c r="AC3576" s="292"/>
    </row>
    <row r="3577" spans="1:29" s="293" customFormat="1" ht="15.75" hidden="1" customHeight="1" x14ac:dyDescent="0.2">
      <c r="A3577" s="288" t="s">
        <v>236</v>
      </c>
      <c r="B3577" s="364"/>
      <c r="C3577" s="365"/>
      <c r="D3577" s="1354"/>
      <c r="E3577" s="1355"/>
      <c r="F3577" s="1355"/>
      <c r="G3577" s="1355"/>
      <c r="H3577" s="1355"/>
      <c r="I3577" s="1356"/>
      <c r="J3577" s="1367"/>
      <c r="K3577" s="1368"/>
      <c r="L3577" s="1370"/>
      <c r="M3577" s="1371" t="s">
        <v>496</v>
      </c>
      <c r="N3577" s="1372"/>
      <c r="O3577" s="1372"/>
      <c r="P3577" s="1372"/>
      <c r="Q3577" s="1373"/>
      <c r="R3577" s="362">
        <f>R3575-R3576</f>
        <v>0</v>
      </c>
      <c r="S3577" s="363" t="str">
        <f>L3575</f>
        <v>chi</v>
      </c>
      <c r="T3577" s="366"/>
      <c r="U3577" s="367"/>
      <c r="V3577" s="291">
        <f t="shared" ca="1" si="944"/>
        <v>0</v>
      </c>
      <c r="W3577" s="256">
        <f t="shared" ca="1" si="940"/>
        <v>2</v>
      </c>
      <c r="X3577" s="256">
        <f t="shared" ca="1" si="943"/>
        <v>1</v>
      </c>
      <c r="Y3577" s="256"/>
      <c r="Z3577" s="256"/>
      <c r="AA3577" s="292"/>
      <c r="AB3577" s="292"/>
      <c r="AC3577" s="292"/>
    </row>
    <row r="3578" spans="1:29" s="111" customFormat="1" ht="15.75" hidden="1" x14ac:dyDescent="0.2">
      <c r="A3578" s="288"/>
      <c r="B3578" s="368"/>
      <c r="C3578" s="365"/>
      <c r="D3578" s="369"/>
      <c r="E3578" s="370"/>
      <c r="F3578" s="369"/>
      <c r="G3578" s="369"/>
      <c r="H3578" s="369"/>
      <c r="I3578" s="369"/>
      <c r="J3578" s="371"/>
      <c r="K3578" s="372"/>
      <c r="L3578" s="373"/>
      <c r="M3578" s="374"/>
      <c r="N3578" s="374"/>
      <c r="O3578" s="374"/>
      <c r="P3578" s="374"/>
      <c r="Q3578" s="374"/>
      <c r="R3578" s="375"/>
      <c r="S3578" s="376"/>
      <c r="T3578" s="377"/>
      <c r="U3578" s="378"/>
      <c r="V3578" s="379">
        <f ca="1">SUM(V3569:V3577)</f>
        <v>0</v>
      </c>
      <c r="W3578" s="256">
        <f t="shared" ca="1" si="940"/>
        <v>1</v>
      </c>
      <c r="X3578" s="256">
        <f t="shared" ca="1" si="943"/>
        <v>0</v>
      </c>
      <c r="Y3578" s="250"/>
      <c r="Z3578" s="250"/>
    </row>
    <row r="3579" spans="1:29" s="293" customFormat="1" ht="15.75" hidden="1" customHeight="1" x14ac:dyDescent="0.25">
      <c r="A3579" s="288"/>
      <c r="B3579" s="1374" t="str">
        <f>VLOOKUP(A3587,'11 - FINANCEIRO'!_xlnm.Print_Area,1,FALSE)</f>
        <v>4.7.3</v>
      </c>
      <c r="C3579" s="1376" t="str">
        <f>VLOOKUP(A3587,'11 - FINANCEIRO'!_xlnm.Print_Area,3,FALSE)</f>
        <v>Estaca Hélice Contínua, Diâmetro De 30 Cm, Incluso Concreto Fck=30Mpa E Armadura Mínima (Exclusive Mobilização, Desmobilização E Bombeamento). Af_12/2019</v>
      </c>
      <c r="D3579" s="1378" t="s">
        <v>477</v>
      </c>
      <c r="E3579" s="1379"/>
      <c r="F3579" s="1379"/>
      <c r="G3579" s="1379"/>
      <c r="H3579" s="1379"/>
      <c r="I3579" s="1380"/>
      <c r="J3579" s="1338" t="s">
        <v>478</v>
      </c>
      <c r="K3579" s="1338" t="s">
        <v>479</v>
      </c>
      <c r="L3579" s="1338" t="s">
        <v>480</v>
      </c>
      <c r="M3579" s="1338" t="s">
        <v>481</v>
      </c>
      <c r="N3579" s="1338" t="s">
        <v>482</v>
      </c>
      <c r="O3579" s="1338" t="s">
        <v>483</v>
      </c>
      <c r="P3579" s="290" t="s">
        <v>484</v>
      </c>
      <c r="Q3579" s="1338" t="s">
        <v>485</v>
      </c>
      <c r="R3579" s="1336" t="s">
        <v>296</v>
      </c>
      <c r="S3579" s="1338" t="s">
        <v>486</v>
      </c>
      <c r="T3579" s="1338" t="s">
        <v>487</v>
      </c>
      <c r="U3579" s="1340" t="s">
        <v>488</v>
      </c>
      <c r="V3579" s="291">
        <f t="shared" ref="V3579:V3587" ca="1" si="945">IF(OFFSET(V3579,1,1)=1,OFFSET(V3579,0,-4),OFFSET(V3579,1,0))</f>
        <v>0</v>
      </c>
      <c r="W3579" s="256">
        <f t="shared" ca="1" si="940"/>
        <v>2</v>
      </c>
      <c r="X3579" s="256">
        <f t="shared" ca="1" si="943"/>
        <v>1</v>
      </c>
      <c r="Y3579" s="256"/>
      <c r="Z3579" s="256"/>
      <c r="AA3579" s="292"/>
      <c r="AB3579" s="292"/>
      <c r="AC3579" s="292"/>
    </row>
    <row r="3580" spans="1:29" s="337" customFormat="1" ht="15.75" hidden="1" x14ac:dyDescent="0.2">
      <c r="A3580" s="288"/>
      <c r="B3580" s="1375"/>
      <c r="C3580" s="1377" t="e">
        <f>VLOOKUP(LEFT(#REF!,5),'11 - FINANCEIRO'!_xlnm.Print_Area,2,FALSE)</f>
        <v>#REF!</v>
      </c>
      <c r="D3580" s="1342" t="s">
        <v>489</v>
      </c>
      <c r="E3580" s="1343"/>
      <c r="F3580" s="1344"/>
      <c r="G3580" s="1345" t="s">
        <v>490</v>
      </c>
      <c r="H3580" s="1346"/>
      <c r="I3580" s="1347"/>
      <c r="J3580" s="1339"/>
      <c r="K3580" s="1339"/>
      <c r="L3580" s="1339"/>
      <c r="M3580" s="1339"/>
      <c r="N3580" s="1339"/>
      <c r="O3580" s="1339"/>
      <c r="P3580" s="295" t="s">
        <v>491</v>
      </c>
      <c r="Q3580" s="1339"/>
      <c r="R3580" s="1337"/>
      <c r="S3580" s="1339"/>
      <c r="T3580" s="1339"/>
      <c r="U3580" s="1341"/>
      <c r="V3580" s="291">
        <f t="shared" ca="1" si="945"/>
        <v>0</v>
      </c>
      <c r="W3580" s="256">
        <f t="shared" ca="1" si="940"/>
        <v>2</v>
      </c>
      <c r="X3580" s="256">
        <f t="shared" ca="1" si="943"/>
        <v>1</v>
      </c>
      <c r="Y3580" s="336"/>
      <c r="Z3580" s="336"/>
    </row>
    <row r="3581" spans="1:29" s="337" customFormat="1" ht="15.75" hidden="1" x14ac:dyDescent="0.2">
      <c r="A3581" s="288"/>
      <c r="B3581" s="296"/>
      <c r="C3581" s="297"/>
      <c r="D3581" s="298"/>
      <c r="E3581" s="299"/>
      <c r="F3581" s="300"/>
      <c r="G3581" s="301"/>
      <c r="H3581" s="302"/>
      <c r="I3581" s="303"/>
      <c r="J3581" s="304"/>
      <c r="K3581" s="304"/>
      <c r="L3581" s="304"/>
      <c r="M3581" s="304"/>
      <c r="N3581" s="304"/>
      <c r="O3581" s="304"/>
      <c r="P3581" s="306"/>
      <c r="Q3581" s="304"/>
      <c r="R3581" s="307"/>
      <c r="S3581" s="304"/>
      <c r="T3581" s="309"/>
      <c r="U3581" s="310"/>
      <c r="V3581" s="291">
        <f t="shared" ca="1" si="945"/>
        <v>0</v>
      </c>
      <c r="W3581" s="256">
        <f t="shared" ca="1" si="940"/>
        <v>0</v>
      </c>
      <c r="X3581" s="256">
        <f t="shared" ca="1" si="943"/>
        <v>1</v>
      </c>
      <c r="Y3581" s="336"/>
      <c r="Z3581" s="336"/>
    </row>
    <row r="3582" spans="1:29" s="111" customFormat="1" ht="15.75" hidden="1" x14ac:dyDescent="0.2">
      <c r="A3582" s="288"/>
      <c r="B3582" s="311"/>
      <c r="C3582" s="312"/>
      <c r="D3582" s="313"/>
      <c r="E3582" s="314"/>
      <c r="F3582" s="315"/>
      <c r="G3582" s="380"/>
      <c r="H3582" s="316"/>
      <c r="I3582" s="381"/>
      <c r="J3582" s="317"/>
      <c r="K3582" s="313"/>
      <c r="L3582" s="317"/>
      <c r="M3582" s="315"/>
      <c r="N3582" s="314"/>
      <c r="O3582" s="313"/>
      <c r="P3582" s="318"/>
      <c r="Q3582" s="315"/>
      <c r="R3582" s="319"/>
      <c r="S3582" s="317"/>
      <c r="T3582" s="320"/>
      <c r="U3582" s="321"/>
      <c r="V3582" s="291">
        <f t="shared" ca="1" si="945"/>
        <v>0</v>
      </c>
      <c r="W3582" s="256">
        <f t="shared" ca="1" si="940"/>
        <v>0</v>
      </c>
      <c r="X3582" s="256">
        <f t="shared" ca="1" si="943"/>
        <v>1</v>
      </c>
      <c r="Y3582" s="250"/>
      <c r="Z3582" s="250"/>
    </row>
    <row r="3583" spans="1:29" s="111" customFormat="1" ht="15" hidden="1" x14ac:dyDescent="0.2">
      <c r="A3583" s="288"/>
      <c r="B3583" s="322"/>
      <c r="C3583" s="382"/>
      <c r="D3583" s="324"/>
      <c r="E3583" s="325"/>
      <c r="F3583" s="326"/>
      <c r="G3583" s="324"/>
      <c r="H3583" s="325"/>
      <c r="I3583" s="326"/>
      <c r="J3583" s="317"/>
      <c r="K3583" s="328"/>
      <c r="L3583" s="328"/>
      <c r="M3583" s="328"/>
      <c r="N3583" s="328"/>
      <c r="O3583" s="334"/>
      <c r="P3583" s="328"/>
      <c r="Q3583" s="334"/>
      <c r="R3583" s="333"/>
      <c r="S3583" s="331"/>
      <c r="T3583" s="320"/>
      <c r="U3583" s="335"/>
      <c r="V3583" s="291">
        <f t="shared" ca="1" si="945"/>
        <v>0</v>
      </c>
      <c r="W3583" s="256">
        <f t="shared" ca="1" si="940"/>
        <v>0</v>
      </c>
      <c r="X3583" s="256">
        <f t="shared" ca="1" si="943"/>
        <v>1</v>
      </c>
      <c r="Y3583" s="250"/>
      <c r="Z3583" s="250"/>
    </row>
    <row r="3584" spans="1:29" s="111" customFormat="1" ht="15" hidden="1" x14ac:dyDescent="0.2">
      <c r="A3584" s="288"/>
      <c r="B3584" s="338"/>
      <c r="C3584" s="339"/>
      <c r="D3584" s="340"/>
      <c r="E3584" s="341"/>
      <c r="F3584" s="342"/>
      <c r="G3584" s="340"/>
      <c r="H3584" s="341"/>
      <c r="I3584" s="342"/>
      <c r="J3584" s="343"/>
      <c r="K3584" s="344"/>
      <c r="L3584" s="345"/>
      <c r="M3584" s="346"/>
      <c r="N3584" s="347"/>
      <c r="O3584" s="348"/>
      <c r="P3584" s="345"/>
      <c r="Q3584" s="349"/>
      <c r="R3584" s="350"/>
      <c r="S3584" s="351"/>
      <c r="T3584" s="352"/>
      <c r="U3584" s="353"/>
      <c r="V3584" s="291">
        <f t="shared" ca="1" si="945"/>
        <v>0</v>
      </c>
      <c r="W3584" s="256">
        <f t="shared" ca="1" si="940"/>
        <v>0</v>
      </c>
      <c r="X3584" s="256">
        <f t="shared" ca="1" si="943"/>
        <v>1</v>
      </c>
      <c r="Y3584" s="250"/>
      <c r="Z3584" s="250"/>
    </row>
    <row r="3585" spans="1:29" s="111" customFormat="1" ht="15.75" hidden="1" customHeight="1" x14ac:dyDescent="0.2">
      <c r="A3585" s="288"/>
      <c r="B3585" s="354"/>
      <c r="C3585" s="355"/>
      <c r="D3585" s="1354" t="s">
        <v>492</v>
      </c>
      <c r="E3585" s="1355"/>
      <c r="F3585" s="1355"/>
      <c r="G3585" s="1355"/>
      <c r="H3585" s="1355"/>
      <c r="I3585" s="1356"/>
      <c r="J3585" s="1357">
        <f>VLOOKUP(A3587,'11 - FINANCEIRO'!_xlnm.Print_Area,6,FALSE)</f>
        <v>80</v>
      </c>
      <c r="K3585" s="1358"/>
      <c r="L3585" s="356" t="str">
        <f>VLOOKUP(A3587,'11 - FINANCEIRO'!_xlnm.Print_Area,4,FALSE)</f>
        <v>m</v>
      </c>
      <c r="M3585" s="1359" t="s">
        <v>493</v>
      </c>
      <c r="N3585" s="1360"/>
      <c r="O3585" s="1360"/>
      <c r="P3585" s="1360"/>
      <c r="Q3585" s="1361"/>
      <c r="R3585" s="357">
        <f>TRUNC(SUM(R3581:R3584),3)</f>
        <v>0</v>
      </c>
      <c r="S3585" s="358" t="str">
        <f>L3585</f>
        <v>m</v>
      </c>
      <c r="T3585" s="359"/>
      <c r="U3585" s="360"/>
      <c r="V3585" s="291">
        <f t="shared" ca="1" si="945"/>
        <v>0</v>
      </c>
      <c r="W3585" s="256">
        <f t="shared" ca="1" si="940"/>
        <v>2</v>
      </c>
      <c r="X3585" s="256">
        <f t="shared" ca="1" si="943"/>
        <v>1</v>
      </c>
      <c r="Y3585" s="250"/>
      <c r="Z3585" s="250"/>
    </row>
    <row r="3586" spans="1:29" s="293" customFormat="1" ht="15.75" hidden="1" customHeight="1" x14ac:dyDescent="0.2">
      <c r="A3586" s="288"/>
      <c r="B3586" s="354"/>
      <c r="C3586" s="361"/>
      <c r="D3586" s="1362" t="s">
        <v>494</v>
      </c>
      <c r="E3586" s="1363"/>
      <c r="F3586" s="1363"/>
      <c r="G3586" s="1363"/>
      <c r="H3586" s="1363"/>
      <c r="I3586" s="1364"/>
      <c r="J3586" s="1365">
        <f>R3585/J3585</f>
        <v>0</v>
      </c>
      <c r="K3586" s="1366"/>
      <c r="L3586" s="1369"/>
      <c r="M3586" s="1371" t="s">
        <v>495</v>
      </c>
      <c r="N3586" s="1372"/>
      <c r="O3586" s="1372"/>
      <c r="P3586" s="1372"/>
      <c r="Q3586" s="1373"/>
      <c r="R3586" s="362">
        <f>VLOOKUP(A3587,'11 - FINANCEIRO'!_xlnm.Print_Area,8,FALSE)</f>
        <v>0</v>
      </c>
      <c r="S3586" s="363" t="str">
        <f>L3585</f>
        <v>m</v>
      </c>
      <c r="T3586" s="359"/>
      <c r="U3586" s="360"/>
      <c r="V3586" s="291">
        <f t="shared" ca="1" si="945"/>
        <v>0</v>
      </c>
      <c r="W3586" s="256">
        <f t="shared" ca="1" si="940"/>
        <v>2</v>
      </c>
      <c r="X3586" s="256">
        <f t="shared" ca="1" si="943"/>
        <v>1</v>
      </c>
      <c r="Y3586" s="256"/>
      <c r="Z3586" s="256"/>
      <c r="AA3586" s="292"/>
      <c r="AB3586" s="292"/>
      <c r="AC3586" s="292"/>
    </row>
    <row r="3587" spans="1:29" s="293" customFormat="1" ht="15.75" hidden="1" customHeight="1" x14ac:dyDescent="0.2">
      <c r="A3587" s="288" t="s">
        <v>237</v>
      </c>
      <c r="B3587" s="364"/>
      <c r="C3587" s="365"/>
      <c r="D3587" s="1354"/>
      <c r="E3587" s="1355"/>
      <c r="F3587" s="1355"/>
      <c r="G3587" s="1355"/>
      <c r="H3587" s="1355"/>
      <c r="I3587" s="1356"/>
      <c r="J3587" s="1367"/>
      <c r="K3587" s="1368"/>
      <c r="L3587" s="1370"/>
      <c r="M3587" s="1371" t="s">
        <v>496</v>
      </c>
      <c r="N3587" s="1372"/>
      <c r="O3587" s="1372"/>
      <c r="P3587" s="1372"/>
      <c r="Q3587" s="1373"/>
      <c r="R3587" s="362">
        <f>R3585-R3586</f>
        <v>0</v>
      </c>
      <c r="S3587" s="363" t="str">
        <f>L3585</f>
        <v>m</v>
      </c>
      <c r="T3587" s="366"/>
      <c r="U3587" s="367"/>
      <c r="V3587" s="291">
        <f t="shared" ca="1" si="945"/>
        <v>0</v>
      </c>
      <c r="W3587" s="256">
        <f t="shared" ca="1" si="940"/>
        <v>2</v>
      </c>
      <c r="X3587" s="256">
        <f t="shared" ca="1" si="943"/>
        <v>1</v>
      </c>
      <c r="Y3587" s="256"/>
      <c r="Z3587" s="256"/>
      <c r="AA3587" s="292"/>
      <c r="AB3587" s="292"/>
      <c r="AC3587" s="292"/>
    </row>
    <row r="3588" spans="1:29" s="111" customFormat="1" ht="15.75" hidden="1" x14ac:dyDescent="0.2">
      <c r="A3588" s="288"/>
      <c r="B3588" s="368"/>
      <c r="C3588" s="365"/>
      <c r="D3588" s="369"/>
      <c r="E3588" s="370"/>
      <c r="F3588" s="369"/>
      <c r="G3588" s="369"/>
      <c r="H3588" s="369"/>
      <c r="I3588" s="369"/>
      <c r="J3588" s="371"/>
      <c r="K3588" s="372"/>
      <c r="L3588" s="373"/>
      <c r="M3588" s="374"/>
      <c r="N3588" s="374"/>
      <c r="O3588" s="374"/>
      <c r="P3588" s="374"/>
      <c r="Q3588" s="374"/>
      <c r="R3588" s="375"/>
      <c r="S3588" s="376"/>
      <c r="T3588" s="377"/>
      <c r="U3588" s="378"/>
      <c r="V3588" s="379">
        <f ca="1">SUM(V3579:V3587)</f>
        <v>0</v>
      </c>
      <c r="W3588" s="256">
        <f t="shared" ca="1" si="940"/>
        <v>1</v>
      </c>
      <c r="X3588" s="256">
        <f t="shared" ca="1" si="943"/>
        <v>0</v>
      </c>
      <c r="Y3588" s="250"/>
      <c r="Z3588" s="250"/>
    </row>
    <row r="3589" spans="1:29" s="293" customFormat="1" ht="15.75" hidden="1" customHeight="1" x14ac:dyDescent="0.25">
      <c r="A3589" s="288"/>
      <c r="B3589" s="1374" t="str">
        <f>VLOOKUP(A3597,'11 - FINANCEIRO'!_xlnm.Print_Area,1,FALSE)</f>
        <v>4.7.4</v>
      </c>
      <c r="C3589" s="1376" t="str">
        <f>VLOOKUP(A3597,'11 - FINANCEIRO'!_xlnm.Print_Area,3,FALSE)</f>
        <v>Arrasamento Mecanico De Estaca De Concreto Armado, Diametros De Até 40 Cm. Af_05/2021</v>
      </c>
      <c r="D3589" s="1378" t="s">
        <v>477</v>
      </c>
      <c r="E3589" s="1379"/>
      <c r="F3589" s="1379"/>
      <c r="G3589" s="1379"/>
      <c r="H3589" s="1379"/>
      <c r="I3589" s="1380"/>
      <c r="J3589" s="1338" t="s">
        <v>478</v>
      </c>
      <c r="K3589" s="1338" t="s">
        <v>479</v>
      </c>
      <c r="L3589" s="1338" t="s">
        <v>480</v>
      </c>
      <c r="M3589" s="1338" t="s">
        <v>481</v>
      </c>
      <c r="N3589" s="1338" t="s">
        <v>482</v>
      </c>
      <c r="O3589" s="1338" t="s">
        <v>483</v>
      </c>
      <c r="P3589" s="290" t="s">
        <v>484</v>
      </c>
      <c r="Q3589" s="1338" t="s">
        <v>485</v>
      </c>
      <c r="R3589" s="1336" t="s">
        <v>296</v>
      </c>
      <c r="S3589" s="1338" t="s">
        <v>486</v>
      </c>
      <c r="T3589" s="1338" t="s">
        <v>487</v>
      </c>
      <c r="U3589" s="1340" t="s">
        <v>488</v>
      </c>
      <c r="V3589" s="291">
        <f t="shared" ref="V3589:V3597" ca="1" si="946">IF(OFFSET(V3589,1,1)=1,OFFSET(V3589,0,-4),OFFSET(V3589,1,0))</f>
        <v>0</v>
      </c>
      <c r="W3589" s="256">
        <f t="shared" ca="1" si="940"/>
        <v>2</v>
      </c>
      <c r="X3589" s="256">
        <f t="shared" ca="1" si="943"/>
        <v>1</v>
      </c>
      <c r="Y3589" s="256"/>
      <c r="Z3589" s="256"/>
      <c r="AA3589" s="292"/>
      <c r="AB3589" s="292"/>
      <c r="AC3589" s="292"/>
    </row>
    <row r="3590" spans="1:29" s="337" customFormat="1" ht="15.75" hidden="1" x14ac:dyDescent="0.2">
      <c r="A3590" s="288"/>
      <c r="B3590" s="1375"/>
      <c r="C3590" s="1377" t="e">
        <f>VLOOKUP(LEFT(#REF!,5),'11 - FINANCEIRO'!_xlnm.Print_Area,2,FALSE)</f>
        <v>#REF!</v>
      </c>
      <c r="D3590" s="1342" t="s">
        <v>489</v>
      </c>
      <c r="E3590" s="1343"/>
      <c r="F3590" s="1344"/>
      <c r="G3590" s="1345" t="s">
        <v>490</v>
      </c>
      <c r="H3590" s="1346"/>
      <c r="I3590" s="1347"/>
      <c r="J3590" s="1339"/>
      <c r="K3590" s="1339"/>
      <c r="L3590" s="1339"/>
      <c r="M3590" s="1339"/>
      <c r="N3590" s="1339"/>
      <c r="O3590" s="1339"/>
      <c r="P3590" s="295" t="s">
        <v>491</v>
      </c>
      <c r="Q3590" s="1339"/>
      <c r="R3590" s="1337"/>
      <c r="S3590" s="1339"/>
      <c r="T3590" s="1339"/>
      <c r="U3590" s="1341"/>
      <c r="V3590" s="291">
        <f t="shared" ca="1" si="946"/>
        <v>0</v>
      </c>
      <c r="W3590" s="256">
        <f t="shared" ca="1" si="940"/>
        <v>2</v>
      </c>
      <c r="X3590" s="256">
        <f t="shared" ca="1" si="943"/>
        <v>1</v>
      </c>
      <c r="Y3590" s="336"/>
      <c r="Z3590" s="336"/>
    </row>
    <row r="3591" spans="1:29" s="337" customFormat="1" ht="15.75" hidden="1" x14ac:dyDescent="0.2">
      <c r="A3591" s="288"/>
      <c r="B3591" s="296"/>
      <c r="C3591" s="297"/>
      <c r="D3591" s="298"/>
      <c r="E3591" s="299"/>
      <c r="F3591" s="300"/>
      <c r="G3591" s="301"/>
      <c r="H3591" s="302"/>
      <c r="I3591" s="303"/>
      <c r="J3591" s="304"/>
      <c r="K3591" s="304"/>
      <c r="L3591" s="304"/>
      <c r="M3591" s="304"/>
      <c r="N3591" s="304"/>
      <c r="O3591" s="304"/>
      <c r="P3591" s="306"/>
      <c r="Q3591" s="304"/>
      <c r="R3591" s="307"/>
      <c r="S3591" s="304"/>
      <c r="T3591" s="309"/>
      <c r="U3591" s="310"/>
      <c r="V3591" s="291">
        <f t="shared" ca="1" si="946"/>
        <v>0</v>
      </c>
      <c r="W3591" s="256">
        <f t="shared" ca="1" si="940"/>
        <v>0</v>
      </c>
      <c r="X3591" s="256">
        <f t="shared" ca="1" si="943"/>
        <v>1</v>
      </c>
      <c r="Y3591" s="336"/>
      <c r="Z3591" s="336"/>
    </row>
    <row r="3592" spans="1:29" s="111" customFormat="1" ht="15.75" hidden="1" x14ac:dyDescent="0.2">
      <c r="A3592" s="288"/>
      <c r="B3592" s="311"/>
      <c r="C3592" s="312"/>
      <c r="D3592" s="313"/>
      <c r="E3592" s="314"/>
      <c r="F3592" s="315"/>
      <c r="G3592" s="380"/>
      <c r="H3592" s="316"/>
      <c r="I3592" s="381"/>
      <c r="J3592" s="317"/>
      <c r="K3592" s="313"/>
      <c r="L3592" s="317"/>
      <c r="M3592" s="315"/>
      <c r="N3592" s="314"/>
      <c r="O3592" s="313"/>
      <c r="P3592" s="318"/>
      <c r="Q3592" s="315"/>
      <c r="R3592" s="319"/>
      <c r="S3592" s="317"/>
      <c r="T3592" s="320"/>
      <c r="U3592" s="321"/>
      <c r="V3592" s="291">
        <f t="shared" ca="1" si="946"/>
        <v>0</v>
      </c>
      <c r="W3592" s="256">
        <f t="shared" ca="1" si="940"/>
        <v>0</v>
      </c>
      <c r="X3592" s="256">
        <f t="shared" ca="1" si="943"/>
        <v>1</v>
      </c>
      <c r="Y3592" s="250"/>
      <c r="Z3592" s="250"/>
    </row>
    <row r="3593" spans="1:29" s="111" customFormat="1" ht="15" hidden="1" x14ac:dyDescent="0.2">
      <c r="A3593" s="288"/>
      <c r="B3593" s="322"/>
      <c r="C3593" s="382"/>
      <c r="D3593" s="324"/>
      <c r="E3593" s="325"/>
      <c r="F3593" s="326"/>
      <c r="G3593" s="324"/>
      <c r="H3593" s="325"/>
      <c r="I3593" s="326"/>
      <c r="J3593" s="317"/>
      <c r="K3593" s="328"/>
      <c r="L3593" s="328"/>
      <c r="M3593" s="328"/>
      <c r="N3593" s="328"/>
      <c r="O3593" s="334"/>
      <c r="P3593" s="328"/>
      <c r="Q3593" s="334"/>
      <c r="R3593" s="333"/>
      <c r="S3593" s="331"/>
      <c r="T3593" s="320"/>
      <c r="U3593" s="335"/>
      <c r="V3593" s="291">
        <f t="shared" ca="1" si="946"/>
        <v>0</v>
      </c>
      <c r="W3593" s="256">
        <f t="shared" ca="1" si="940"/>
        <v>0</v>
      </c>
      <c r="X3593" s="256">
        <f t="shared" ca="1" si="943"/>
        <v>1</v>
      </c>
      <c r="Y3593" s="250"/>
      <c r="Z3593" s="250"/>
    </row>
    <row r="3594" spans="1:29" s="111" customFormat="1" ht="15" hidden="1" x14ac:dyDescent="0.2">
      <c r="A3594" s="288"/>
      <c r="B3594" s="338"/>
      <c r="C3594" s="339"/>
      <c r="D3594" s="340"/>
      <c r="E3594" s="341"/>
      <c r="F3594" s="342"/>
      <c r="G3594" s="340"/>
      <c r="H3594" s="341"/>
      <c r="I3594" s="342"/>
      <c r="J3594" s="343"/>
      <c r="K3594" s="344"/>
      <c r="L3594" s="345"/>
      <c r="M3594" s="346"/>
      <c r="N3594" s="347"/>
      <c r="O3594" s="348"/>
      <c r="P3594" s="345"/>
      <c r="Q3594" s="349"/>
      <c r="R3594" s="350"/>
      <c r="S3594" s="351"/>
      <c r="T3594" s="352"/>
      <c r="U3594" s="353"/>
      <c r="V3594" s="291">
        <f t="shared" ca="1" si="946"/>
        <v>0</v>
      </c>
      <c r="W3594" s="256">
        <f t="shared" ca="1" si="940"/>
        <v>0</v>
      </c>
      <c r="X3594" s="256">
        <f t="shared" ca="1" si="943"/>
        <v>1</v>
      </c>
      <c r="Y3594" s="250"/>
      <c r="Z3594" s="250"/>
    </row>
    <row r="3595" spans="1:29" s="111" customFormat="1" ht="15.75" hidden="1" customHeight="1" x14ac:dyDescent="0.2">
      <c r="A3595" s="288"/>
      <c r="B3595" s="354"/>
      <c r="C3595" s="355"/>
      <c r="D3595" s="1354" t="s">
        <v>492</v>
      </c>
      <c r="E3595" s="1355"/>
      <c r="F3595" s="1355"/>
      <c r="G3595" s="1355"/>
      <c r="H3595" s="1355"/>
      <c r="I3595" s="1356"/>
      <c r="J3595" s="1357">
        <f>VLOOKUP(A3597,'11 - FINANCEIRO'!_xlnm.Print_Area,6,FALSE)</f>
        <v>8</v>
      </c>
      <c r="K3595" s="1358"/>
      <c r="L3595" s="356" t="str">
        <f>VLOOKUP(A3597,'11 - FINANCEIRO'!_xlnm.Print_Area,4,FALSE)</f>
        <v>un</v>
      </c>
      <c r="M3595" s="1359" t="s">
        <v>493</v>
      </c>
      <c r="N3595" s="1360"/>
      <c r="O3595" s="1360"/>
      <c r="P3595" s="1360"/>
      <c r="Q3595" s="1361"/>
      <c r="R3595" s="357">
        <f>TRUNC(SUM(R3591:R3594),3)</f>
        <v>0</v>
      </c>
      <c r="S3595" s="358" t="str">
        <f>L3595</f>
        <v>un</v>
      </c>
      <c r="T3595" s="359"/>
      <c r="U3595" s="360"/>
      <c r="V3595" s="291">
        <f t="shared" ca="1" si="946"/>
        <v>0</v>
      </c>
      <c r="W3595" s="256">
        <f t="shared" ca="1" si="940"/>
        <v>2</v>
      </c>
      <c r="X3595" s="256">
        <f t="shared" ca="1" si="943"/>
        <v>1</v>
      </c>
      <c r="Y3595" s="250"/>
      <c r="Z3595" s="250"/>
    </row>
    <row r="3596" spans="1:29" s="293" customFormat="1" ht="15.75" hidden="1" customHeight="1" x14ac:dyDescent="0.2">
      <c r="A3596" s="288"/>
      <c r="B3596" s="354"/>
      <c r="C3596" s="361"/>
      <c r="D3596" s="1362" t="s">
        <v>494</v>
      </c>
      <c r="E3596" s="1363"/>
      <c r="F3596" s="1363"/>
      <c r="G3596" s="1363"/>
      <c r="H3596" s="1363"/>
      <c r="I3596" s="1364"/>
      <c r="J3596" s="1365">
        <f>R3595/J3595</f>
        <v>0</v>
      </c>
      <c r="K3596" s="1366"/>
      <c r="L3596" s="1369"/>
      <c r="M3596" s="1371" t="s">
        <v>495</v>
      </c>
      <c r="N3596" s="1372"/>
      <c r="O3596" s="1372"/>
      <c r="P3596" s="1372"/>
      <c r="Q3596" s="1373"/>
      <c r="R3596" s="362">
        <f>VLOOKUP(A3597,'11 - FINANCEIRO'!_xlnm.Print_Area,8,FALSE)</f>
        <v>0</v>
      </c>
      <c r="S3596" s="363" t="str">
        <f>L3595</f>
        <v>un</v>
      </c>
      <c r="T3596" s="359"/>
      <c r="U3596" s="360"/>
      <c r="V3596" s="291">
        <f t="shared" ca="1" si="946"/>
        <v>0</v>
      </c>
      <c r="W3596" s="256">
        <f t="shared" ca="1" si="940"/>
        <v>2</v>
      </c>
      <c r="X3596" s="256">
        <f t="shared" ca="1" si="943"/>
        <v>1</v>
      </c>
      <c r="Y3596" s="256"/>
      <c r="Z3596" s="256"/>
      <c r="AA3596" s="292"/>
      <c r="AB3596" s="292"/>
      <c r="AC3596" s="292"/>
    </row>
    <row r="3597" spans="1:29" s="293" customFormat="1" ht="15.75" hidden="1" customHeight="1" x14ac:dyDescent="0.2">
      <c r="A3597" s="288" t="s">
        <v>238</v>
      </c>
      <c r="B3597" s="364"/>
      <c r="C3597" s="365"/>
      <c r="D3597" s="1354"/>
      <c r="E3597" s="1355"/>
      <c r="F3597" s="1355"/>
      <c r="G3597" s="1355"/>
      <c r="H3597" s="1355"/>
      <c r="I3597" s="1356"/>
      <c r="J3597" s="1367"/>
      <c r="K3597" s="1368"/>
      <c r="L3597" s="1370"/>
      <c r="M3597" s="1371" t="s">
        <v>496</v>
      </c>
      <c r="N3597" s="1372"/>
      <c r="O3597" s="1372"/>
      <c r="P3597" s="1372"/>
      <c r="Q3597" s="1373"/>
      <c r="R3597" s="362">
        <f>R3595-R3596</f>
        <v>0</v>
      </c>
      <c r="S3597" s="363" t="str">
        <f>L3595</f>
        <v>un</v>
      </c>
      <c r="T3597" s="366"/>
      <c r="U3597" s="367"/>
      <c r="V3597" s="291">
        <f t="shared" ca="1" si="946"/>
        <v>0</v>
      </c>
      <c r="W3597" s="256">
        <f t="shared" ca="1" si="940"/>
        <v>2</v>
      </c>
      <c r="X3597" s="256">
        <f t="shared" ca="1" si="943"/>
        <v>1</v>
      </c>
      <c r="Y3597" s="256"/>
      <c r="Z3597" s="256"/>
      <c r="AA3597" s="292"/>
      <c r="AB3597" s="292"/>
      <c r="AC3597" s="292"/>
    </row>
    <row r="3598" spans="1:29" s="111" customFormat="1" ht="15.75" hidden="1" x14ac:dyDescent="0.2">
      <c r="A3598" s="288"/>
      <c r="B3598" s="368"/>
      <c r="C3598" s="365"/>
      <c r="D3598" s="369"/>
      <c r="E3598" s="370"/>
      <c r="F3598" s="369"/>
      <c r="G3598" s="369"/>
      <c r="H3598" s="369"/>
      <c r="I3598" s="369"/>
      <c r="J3598" s="371"/>
      <c r="K3598" s="372"/>
      <c r="L3598" s="373"/>
      <c r="M3598" s="374"/>
      <c r="N3598" s="374"/>
      <c r="O3598" s="374"/>
      <c r="P3598" s="374"/>
      <c r="Q3598" s="374"/>
      <c r="R3598" s="375"/>
      <c r="S3598" s="376"/>
      <c r="T3598" s="377"/>
      <c r="U3598" s="378"/>
      <c r="V3598" s="379">
        <f ca="1">SUM(V3589:V3597)</f>
        <v>0</v>
      </c>
      <c r="W3598" s="256">
        <f t="shared" ca="1" si="940"/>
        <v>1</v>
      </c>
      <c r="X3598" s="256">
        <f t="shared" ca="1" si="943"/>
        <v>0</v>
      </c>
      <c r="Y3598" s="250"/>
      <c r="Z3598" s="250"/>
    </row>
    <row r="3599" spans="1:29" s="293" customFormat="1" ht="15.75" hidden="1" customHeight="1" x14ac:dyDescent="0.25">
      <c r="A3599" s="288"/>
      <c r="B3599" s="1374" t="str">
        <f>VLOOKUP(A3607,'11 - FINANCEIRO'!_xlnm.Print_Area,1,FALSE)</f>
        <v>4.7.5</v>
      </c>
      <c r="C3599" s="1376" t="str">
        <f>VLOOKUP(A3607,'11 - FINANCEIRO'!_xlnm.Print_Area,3,FALSE)</f>
        <v>Lastro De Concreto Magro, Aplicado Em Blocos De Coroamento Ou Sapatas, Espessura De 5 Cm. Af_08/2017</v>
      </c>
      <c r="D3599" s="1378" t="s">
        <v>477</v>
      </c>
      <c r="E3599" s="1379"/>
      <c r="F3599" s="1379"/>
      <c r="G3599" s="1379"/>
      <c r="H3599" s="1379"/>
      <c r="I3599" s="1380"/>
      <c r="J3599" s="1338" t="s">
        <v>478</v>
      </c>
      <c r="K3599" s="1338" t="s">
        <v>479</v>
      </c>
      <c r="L3599" s="1338" t="s">
        <v>480</v>
      </c>
      <c r="M3599" s="1338" t="s">
        <v>481</v>
      </c>
      <c r="N3599" s="1338" t="s">
        <v>482</v>
      </c>
      <c r="O3599" s="1338" t="s">
        <v>483</v>
      </c>
      <c r="P3599" s="290" t="s">
        <v>484</v>
      </c>
      <c r="Q3599" s="1338" t="s">
        <v>485</v>
      </c>
      <c r="R3599" s="1336" t="s">
        <v>296</v>
      </c>
      <c r="S3599" s="1338" t="s">
        <v>486</v>
      </c>
      <c r="T3599" s="1338" t="s">
        <v>487</v>
      </c>
      <c r="U3599" s="1340" t="s">
        <v>488</v>
      </c>
      <c r="V3599" s="291">
        <f t="shared" ref="V3599:V3607" ca="1" si="947">IF(OFFSET(V3599,1,1)=1,OFFSET(V3599,0,-4),OFFSET(V3599,1,0))</f>
        <v>0</v>
      </c>
      <c r="W3599" s="256">
        <f t="shared" ca="1" si="940"/>
        <v>2</v>
      </c>
      <c r="X3599" s="256">
        <f t="shared" ca="1" si="943"/>
        <v>1</v>
      </c>
      <c r="Y3599" s="256"/>
      <c r="Z3599" s="256"/>
      <c r="AA3599" s="292"/>
      <c r="AB3599" s="292"/>
      <c r="AC3599" s="292"/>
    </row>
    <row r="3600" spans="1:29" s="337" customFormat="1" ht="15.75" hidden="1" x14ac:dyDescent="0.2">
      <c r="A3600" s="288"/>
      <c r="B3600" s="1375"/>
      <c r="C3600" s="1377" t="e">
        <f>VLOOKUP(LEFT(#REF!,5),'11 - FINANCEIRO'!_xlnm.Print_Area,2,FALSE)</f>
        <v>#REF!</v>
      </c>
      <c r="D3600" s="1342" t="s">
        <v>489</v>
      </c>
      <c r="E3600" s="1343"/>
      <c r="F3600" s="1344"/>
      <c r="G3600" s="1345" t="s">
        <v>490</v>
      </c>
      <c r="H3600" s="1346"/>
      <c r="I3600" s="1347"/>
      <c r="J3600" s="1339"/>
      <c r="K3600" s="1339"/>
      <c r="L3600" s="1339"/>
      <c r="M3600" s="1339"/>
      <c r="N3600" s="1339"/>
      <c r="O3600" s="1339"/>
      <c r="P3600" s="295" t="s">
        <v>491</v>
      </c>
      <c r="Q3600" s="1339"/>
      <c r="R3600" s="1337"/>
      <c r="S3600" s="1339"/>
      <c r="T3600" s="1339"/>
      <c r="U3600" s="1341"/>
      <c r="V3600" s="291">
        <f t="shared" ca="1" si="947"/>
        <v>0</v>
      </c>
      <c r="W3600" s="256">
        <f t="shared" ca="1" si="940"/>
        <v>2</v>
      </c>
      <c r="X3600" s="256">
        <f t="shared" ca="1" si="943"/>
        <v>1</v>
      </c>
      <c r="Y3600" s="336"/>
      <c r="Z3600" s="336"/>
    </row>
    <row r="3601" spans="1:29" s="337" customFormat="1" ht="15.75" hidden="1" x14ac:dyDescent="0.2">
      <c r="A3601" s="288"/>
      <c r="B3601" s="296"/>
      <c r="C3601" s="297"/>
      <c r="D3601" s="298"/>
      <c r="E3601" s="299"/>
      <c r="F3601" s="300"/>
      <c r="G3601" s="301"/>
      <c r="H3601" s="302"/>
      <c r="I3601" s="303"/>
      <c r="J3601" s="304"/>
      <c r="K3601" s="304"/>
      <c r="L3601" s="304"/>
      <c r="M3601" s="304"/>
      <c r="N3601" s="304"/>
      <c r="O3601" s="304"/>
      <c r="P3601" s="306"/>
      <c r="Q3601" s="304"/>
      <c r="R3601" s="307"/>
      <c r="S3601" s="304"/>
      <c r="T3601" s="309"/>
      <c r="U3601" s="310"/>
      <c r="V3601" s="291">
        <f t="shared" ca="1" si="947"/>
        <v>0</v>
      </c>
      <c r="W3601" s="256">
        <f t="shared" ca="1" si="940"/>
        <v>0</v>
      </c>
      <c r="X3601" s="256">
        <f t="shared" ca="1" si="943"/>
        <v>1</v>
      </c>
      <c r="Y3601" s="336"/>
      <c r="Z3601" s="336"/>
    </row>
    <row r="3602" spans="1:29" s="111" customFormat="1" ht="15.75" hidden="1" x14ac:dyDescent="0.2">
      <c r="A3602" s="288"/>
      <c r="B3602" s="311"/>
      <c r="C3602" s="312"/>
      <c r="D3602" s="313"/>
      <c r="E3602" s="314"/>
      <c r="F3602" s="315"/>
      <c r="G3602" s="380"/>
      <c r="H3602" s="316"/>
      <c r="I3602" s="381"/>
      <c r="J3602" s="317"/>
      <c r="K3602" s="313"/>
      <c r="L3602" s="317"/>
      <c r="M3602" s="315"/>
      <c r="N3602" s="314"/>
      <c r="O3602" s="313"/>
      <c r="P3602" s="318"/>
      <c r="Q3602" s="315"/>
      <c r="R3602" s="319"/>
      <c r="S3602" s="317"/>
      <c r="T3602" s="320"/>
      <c r="U3602" s="321"/>
      <c r="V3602" s="291">
        <f t="shared" ca="1" si="947"/>
        <v>0</v>
      </c>
      <c r="W3602" s="256">
        <f t="shared" ca="1" si="940"/>
        <v>0</v>
      </c>
      <c r="X3602" s="256">
        <f t="shared" ca="1" si="943"/>
        <v>1</v>
      </c>
      <c r="Y3602" s="250"/>
      <c r="Z3602" s="250"/>
    </row>
    <row r="3603" spans="1:29" s="111" customFormat="1" ht="15" hidden="1" x14ac:dyDescent="0.2">
      <c r="A3603" s="288"/>
      <c r="B3603" s="322"/>
      <c r="C3603" s="382"/>
      <c r="D3603" s="324"/>
      <c r="E3603" s="325"/>
      <c r="F3603" s="326"/>
      <c r="G3603" s="324"/>
      <c r="H3603" s="325"/>
      <c r="I3603" s="326"/>
      <c r="J3603" s="317"/>
      <c r="K3603" s="328"/>
      <c r="L3603" s="328"/>
      <c r="M3603" s="328"/>
      <c r="N3603" s="328"/>
      <c r="O3603" s="334"/>
      <c r="P3603" s="328"/>
      <c r="Q3603" s="334"/>
      <c r="R3603" s="333"/>
      <c r="S3603" s="331"/>
      <c r="T3603" s="320"/>
      <c r="U3603" s="335"/>
      <c r="V3603" s="291">
        <f t="shared" ca="1" si="947"/>
        <v>0</v>
      </c>
      <c r="W3603" s="256">
        <f t="shared" ca="1" si="940"/>
        <v>0</v>
      </c>
      <c r="X3603" s="256">
        <f t="shared" ca="1" si="943"/>
        <v>1</v>
      </c>
      <c r="Y3603" s="250"/>
      <c r="Z3603" s="250"/>
    </row>
    <row r="3604" spans="1:29" s="111" customFormat="1" ht="15" hidden="1" x14ac:dyDescent="0.2">
      <c r="A3604" s="288"/>
      <c r="B3604" s="338"/>
      <c r="C3604" s="339"/>
      <c r="D3604" s="340"/>
      <c r="E3604" s="341"/>
      <c r="F3604" s="342"/>
      <c r="G3604" s="340"/>
      <c r="H3604" s="341"/>
      <c r="I3604" s="342"/>
      <c r="J3604" s="343"/>
      <c r="K3604" s="344"/>
      <c r="L3604" s="345"/>
      <c r="M3604" s="346"/>
      <c r="N3604" s="347"/>
      <c r="O3604" s="348"/>
      <c r="P3604" s="345"/>
      <c r="Q3604" s="349"/>
      <c r="R3604" s="350"/>
      <c r="S3604" s="351"/>
      <c r="T3604" s="352"/>
      <c r="U3604" s="353"/>
      <c r="V3604" s="291">
        <f t="shared" ca="1" si="947"/>
        <v>0</v>
      </c>
      <c r="W3604" s="256">
        <f t="shared" ca="1" si="940"/>
        <v>0</v>
      </c>
      <c r="X3604" s="256">
        <f t="shared" ca="1" si="943"/>
        <v>1</v>
      </c>
      <c r="Y3604" s="250"/>
      <c r="Z3604" s="250"/>
    </row>
    <row r="3605" spans="1:29" s="111" customFormat="1" ht="15.75" hidden="1" customHeight="1" x14ac:dyDescent="0.2">
      <c r="A3605" s="288"/>
      <c r="B3605" s="354"/>
      <c r="C3605" s="355"/>
      <c r="D3605" s="1354" t="s">
        <v>492</v>
      </c>
      <c r="E3605" s="1355"/>
      <c r="F3605" s="1355"/>
      <c r="G3605" s="1355"/>
      <c r="H3605" s="1355"/>
      <c r="I3605" s="1356"/>
      <c r="J3605" s="1357">
        <f>VLOOKUP(A3607,'11 - FINANCEIRO'!_xlnm.Print_Area,6,FALSE)</f>
        <v>3.5</v>
      </c>
      <c r="K3605" s="1358"/>
      <c r="L3605" s="356" t="str">
        <f>VLOOKUP(A3607,'11 - FINANCEIRO'!_xlnm.Print_Area,4,FALSE)</f>
        <v>m²</v>
      </c>
      <c r="M3605" s="1359" t="s">
        <v>493</v>
      </c>
      <c r="N3605" s="1360"/>
      <c r="O3605" s="1360"/>
      <c r="P3605" s="1360"/>
      <c r="Q3605" s="1361"/>
      <c r="R3605" s="357">
        <f>TRUNC(SUM(R3601:R3604),3)</f>
        <v>0</v>
      </c>
      <c r="S3605" s="358" t="str">
        <f>L3605</f>
        <v>m²</v>
      </c>
      <c r="T3605" s="359"/>
      <c r="U3605" s="360"/>
      <c r="V3605" s="291">
        <f t="shared" ca="1" si="947"/>
        <v>0</v>
      </c>
      <c r="W3605" s="256">
        <f t="shared" ref="W3605:W3668" ca="1" si="948">IF(LEFT(_xlfn.FORMULATEXT(V3605),3)="=SO",1,IF(COUNTA(A3605:U3605)=0,0,2))</f>
        <v>2</v>
      </c>
      <c r="X3605" s="256">
        <f t="shared" ca="1" si="943"/>
        <v>1</v>
      </c>
      <c r="Y3605" s="250"/>
      <c r="Z3605" s="250"/>
    </row>
    <row r="3606" spans="1:29" s="293" customFormat="1" ht="15.75" hidden="1" customHeight="1" x14ac:dyDescent="0.2">
      <c r="A3606" s="288"/>
      <c r="B3606" s="354"/>
      <c r="C3606" s="361"/>
      <c r="D3606" s="1362" t="s">
        <v>494</v>
      </c>
      <c r="E3606" s="1363"/>
      <c r="F3606" s="1363"/>
      <c r="G3606" s="1363"/>
      <c r="H3606" s="1363"/>
      <c r="I3606" s="1364"/>
      <c r="J3606" s="1365">
        <f>R3605/J3605</f>
        <v>0</v>
      </c>
      <c r="K3606" s="1366"/>
      <c r="L3606" s="1369"/>
      <c r="M3606" s="1371" t="s">
        <v>495</v>
      </c>
      <c r="N3606" s="1372"/>
      <c r="O3606" s="1372"/>
      <c r="P3606" s="1372"/>
      <c r="Q3606" s="1373"/>
      <c r="R3606" s="362">
        <f>VLOOKUP(A3607,'11 - FINANCEIRO'!_xlnm.Print_Area,8,FALSE)</f>
        <v>0</v>
      </c>
      <c r="S3606" s="363" t="str">
        <f>L3605</f>
        <v>m²</v>
      </c>
      <c r="T3606" s="359"/>
      <c r="U3606" s="360"/>
      <c r="V3606" s="291">
        <f t="shared" ca="1" si="947"/>
        <v>0</v>
      </c>
      <c r="W3606" s="256">
        <f t="shared" ca="1" si="948"/>
        <v>2</v>
      </c>
      <c r="X3606" s="256">
        <f t="shared" ca="1" si="943"/>
        <v>1</v>
      </c>
      <c r="Y3606" s="256"/>
      <c r="Z3606" s="256"/>
      <c r="AA3606" s="292"/>
      <c r="AB3606" s="292"/>
      <c r="AC3606" s="292"/>
    </row>
    <row r="3607" spans="1:29" s="293" customFormat="1" ht="15.75" hidden="1" customHeight="1" x14ac:dyDescent="0.2">
      <c r="A3607" s="288" t="s">
        <v>239</v>
      </c>
      <c r="B3607" s="364"/>
      <c r="C3607" s="365"/>
      <c r="D3607" s="1354"/>
      <c r="E3607" s="1355"/>
      <c r="F3607" s="1355"/>
      <c r="G3607" s="1355"/>
      <c r="H3607" s="1355"/>
      <c r="I3607" s="1356"/>
      <c r="J3607" s="1367"/>
      <c r="K3607" s="1368"/>
      <c r="L3607" s="1370"/>
      <c r="M3607" s="1371" t="s">
        <v>496</v>
      </c>
      <c r="N3607" s="1372"/>
      <c r="O3607" s="1372"/>
      <c r="P3607" s="1372"/>
      <c r="Q3607" s="1373"/>
      <c r="R3607" s="362">
        <f>R3605-R3606</f>
        <v>0</v>
      </c>
      <c r="S3607" s="363" t="str">
        <f>L3605</f>
        <v>m²</v>
      </c>
      <c r="T3607" s="366"/>
      <c r="U3607" s="367"/>
      <c r="V3607" s="291">
        <f t="shared" ca="1" si="947"/>
        <v>0</v>
      </c>
      <c r="W3607" s="256">
        <f t="shared" ca="1" si="948"/>
        <v>2</v>
      </c>
      <c r="X3607" s="256">
        <f t="shared" ca="1" si="943"/>
        <v>1</v>
      </c>
      <c r="Y3607" s="256"/>
      <c r="Z3607" s="256"/>
      <c r="AA3607" s="292"/>
      <c r="AB3607" s="292"/>
      <c r="AC3607" s="292"/>
    </row>
    <row r="3608" spans="1:29" s="111" customFormat="1" ht="15.75" hidden="1" x14ac:dyDescent="0.2">
      <c r="A3608" s="288"/>
      <c r="B3608" s="368"/>
      <c r="C3608" s="365"/>
      <c r="D3608" s="369"/>
      <c r="E3608" s="370"/>
      <c r="F3608" s="369"/>
      <c r="G3608" s="369"/>
      <c r="H3608" s="369"/>
      <c r="I3608" s="369"/>
      <c r="J3608" s="371"/>
      <c r="K3608" s="372"/>
      <c r="L3608" s="373"/>
      <c r="M3608" s="374"/>
      <c r="N3608" s="374"/>
      <c r="O3608" s="374"/>
      <c r="P3608" s="374"/>
      <c r="Q3608" s="374"/>
      <c r="R3608" s="375"/>
      <c r="S3608" s="376"/>
      <c r="T3608" s="377"/>
      <c r="U3608" s="378"/>
      <c r="V3608" s="379">
        <f ca="1">SUM(V3599:V3607)</f>
        <v>0</v>
      </c>
      <c r="W3608" s="256">
        <f t="shared" ca="1" si="948"/>
        <v>1</v>
      </c>
      <c r="X3608" s="256">
        <f t="shared" ca="1" si="943"/>
        <v>0</v>
      </c>
      <c r="Y3608" s="250"/>
      <c r="Z3608" s="250"/>
    </row>
    <row r="3609" spans="1:29" s="293" customFormat="1" ht="15.75" hidden="1" customHeight="1" x14ac:dyDescent="0.25">
      <c r="A3609" s="288"/>
      <c r="B3609" s="1374" t="str">
        <f>VLOOKUP(A3617,'11 - FINANCEIRO'!_xlnm.Print_Area,1,FALSE)</f>
        <v>4.7.6</v>
      </c>
      <c r="C3609" s="1376" t="str">
        <f>VLOOKUP(A3617,'11 - FINANCEIRO'!_xlnm.Print_Area,3,FALSE)</f>
        <v>Fabricação, Montagem E Desmontagem De Fôrma Para Bloco De Coroamento, Em Chapa De Madeira Compensada Resinada, E=17 Mm, 2 Utilizações. Af_06/2017</v>
      </c>
      <c r="D3609" s="1378" t="s">
        <v>477</v>
      </c>
      <c r="E3609" s="1379"/>
      <c r="F3609" s="1379"/>
      <c r="G3609" s="1379"/>
      <c r="H3609" s="1379"/>
      <c r="I3609" s="1380"/>
      <c r="J3609" s="1338" t="s">
        <v>478</v>
      </c>
      <c r="K3609" s="1338" t="s">
        <v>479</v>
      </c>
      <c r="L3609" s="1338" t="s">
        <v>480</v>
      </c>
      <c r="M3609" s="1338" t="s">
        <v>481</v>
      </c>
      <c r="N3609" s="1338" t="s">
        <v>482</v>
      </c>
      <c r="O3609" s="1338" t="s">
        <v>483</v>
      </c>
      <c r="P3609" s="290" t="s">
        <v>484</v>
      </c>
      <c r="Q3609" s="1338" t="s">
        <v>485</v>
      </c>
      <c r="R3609" s="1336" t="s">
        <v>296</v>
      </c>
      <c r="S3609" s="1338" t="s">
        <v>486</v>
      </c>
      <c r="T3609" s="1338" t="s">
        <v>487</v>
      </c>
      <c r="U3609" s="1340" t="s">
        <v>488</v>
      </c>
      <c r="V3609" s="291">
        <f t="shared" ref="V3609:V3617" ca="1" si="949">IF(OFFSET(V3609,1,1)=1,OFFSET(V3609,0,-4),OFFSET(V3609,1,0))</f>
        <v>0</v>
      </c>
      <c r="W3609" s="256">
        <f t="shared" ca="1" si="948"/>
        <v>2</v>
      </c>
      <c r="X3609" s="256">
        <f t="shared" ca="1" si="943"/>
        <v>1</v>
      </c>
      <c r="Y3609" s="256"/>
      <c r="Z3609" s="256"/>
      <c r="AA3609" s="292"/>
      <c r="AB3609" s="292"/>
      <c r="AC3609" s="292"/>
    </row>
    <row r="3610" spans="1:29" s="337" customFormat="1" ht="15.75" hidden="1" x14ac:dyDescent="0.2">
      <c r="A3610" s="288"/>
      <c r="B3610" s="1375"/>
      <c r="C3610" s="1377" t="e">
        <f>VLOOKUP(LEFT(#REF!,5),'11 - FINANCEIRO'!_xlnm.Print_Area,2,FALSE)</f>
        <v>#REF!</v>
      </c>
      <c r="D3610" s="1342" t="s">
        <v>489</v>
      </c>
      <c r="E3610" s="1343"/>
      <c r="F3610" s="1344"/>
      <c r="G3610" s="1345" t="s">
        <v>490</v>
      </c>
      <c r="H3610" s="1346"/>
      <c r="I3610" s="1347"/>
      <c r="J3610" s="1339"/>
      <c r="K3610" s="1339"/>
      <c r="L3610" s="1339"/>
      <c r="M3610" s="1339"/>
      <c r="N3610" s="1339"/>
      <c r="O3610" s="1339"/>
      <c r="P3610" s="295" t="s">
        <v>491</v>
      </c>
      <c r="Q3610" s="1339"/>
      <c r="R3610" s="1337"/>
      <c r="S3610" s="1339"/>
      <c r="T3610" s="1339"/>
      <c r="U3610" s="1341"/>
      <c r="V3610" s="291">
        <f t="shared" ca="1" si="949"/>
        <v>0</v>
      </c>
      <c r="W3610" s="256">
        <f t="shared" ca="1" si="948"/>
        <v>2</v>
      </c>
      <c r="X3610" s="256">
        <f t="shared" ca="1" si="943"/>
        <v>1</v>
      </c>
      <c r="Y3610" s="336"/>
      <c r="Z3610" s="336"/>
    </row>
    <row r="3611" spans="1:29" s="337" customFormat="1" ht="15.75" hidden="1" x14ac:dyDescent="0.2">
      <c r="A3611" s="288"/>
      <c r="B3611" s="296"/>
      <c r="C3611" s="297"/>
      <c r="D3611" s="298"/>
      <c r="E3611" s="299"/>
      <c r="F3611" s="300"/>
      <c r="G3611" s="301"/>
      <c r="H3611" s="302"/>
      <c r="I3611" s="303"/>
      <c r="J3611" s="304"/>
      <c r="K3611" s="304"/>
      <c r="L3611" s="304"/>
      <c r="M3611" s="304"/>
      <c r="N3611" s="304"/>
      <c r="O3611" s="304"/>
      <c r="P3611" s="306"/>
      <c r="Q3611" s="304"/>
      <c r="R3611" s="307"/>
      <c r="S3611" s="304"/>
      <c r="T3611" s="309"/>
      <c r="U3611" s="310"/>
      <c r="V3611" s="291">
        <f t="shared" ca="1" si="949"/>
        <v>0</v>
      </c>
      <c r="W3611" s="256">
        <f t="shared" ca="1" si="948"/>
        <v>0</v>
      </c>
      <c r="X3611" s="256">
        <f t="shared" ca="1" si="943"/>
        <v>1</v>
      </c>
      <c r="Y3611" s="336"/>
      <c r="Z3611" s="336"/>
    </row>
    <row r="3612" spans="1:29" s="111" customFormat="1" ht="15.75" hidden="1" x14ac:dyDescent="0.2">
      <c r="A3612" s="288"/>
      <c r="B3612" s="311"/>
      <c r="C3612" s="312"/>
      <c r="D3612" s="313"/>
      <c r="E3612" s="314"/>
      <c r="F3612" s="315"/>
      <c r="G3612" s="380"/>
      <c r="H3612" s="316"/>
      <c r="I3612" s="381"/>
      <c r="J3612" s="317"/>
      <c r="K3612" s="313"/>
      <c r="L3612" s="317"/>
      <c r="M3612" s="315"/>
      <c r="N3612" s="314"/>
      <c r="O3612" s="313"/>
      <c r="P3612" s="318"/>
      <c r="Q3612" s="315"/>
      <c r="R3612" s="319"/>
      <c r="S3612" s="317"/>
      <c r="T3612" s="320"/>
      <c r="U3612" s="321"/>
      <c r="V3612" s="291">
        <f t="shared" ca="1" si="949"/>
        <v>0</v>
      </c>
      <c r="W3612" s="256">
        <f t="shared" ca="1" si="948"/>
        <v>0</v>
      </c>
      <c r="X3612" s="256">
        <f t="shared" ca="1" si="943"/>
        <v>1</v>
      </c>
      <c r="Y3612" s="250"/>
      <c r="Z3612" s="250"/>
    </row>
    <row r="3613" spans="1:29" s="111" customFormat="1" ht="15" hidden="1" x14ac:dyDescent="0.2">
      <c r="A3613" s="288"/>
      <c r="B3613" s="322"/>
      <c r="C3613" s="382"/>
      <c r="D3613" s="324"/>
      <c r="E3613" s="325"/>
      <c r="F3613" s="326"/>
      <c r="G3613" s="324"/>
      <c r="H3613" s="325"/>
      <c r="I3613" s="326"/>
      <c r="J3613" s="317"/>
      <c r="K3613" s="328"/>
      <c r="L3613" s="328"/>
      <c r="M3613" s="328"/>
      <c r="N3613" s="328"/>
      <c r="O3613" s="334"/>
      <c r="P3613" s="328"/>
      <c r="Q3613" s="334"/>
      <c r="R3613" s="333"/>
      <c r="S3613" s="331"/>
      <c r="T3613" s="320"/>
      <c r="U3613" s="335"/>
      <c r="V3613" s="291">
        <f t="shared" ca="1" si="949"/>
        <v>0</v>
      </c>
      <c r="W3613" s="256">
        <f t="shared" ca="1" si="948"/>
        <v>0</v>
      </c>
      <c r="X3613" s="256">
        <f t="shared" ca="1" si="943"/>
        <v>1</v>
      </c>
      <c r="Y3613" s="250"/>
      <c r="Z3613" s="250"/>
    </row>
    <row r="3614" spans="1:29" s="111" customFormat="1" ht="15" hidden="1" x14ac:dyDescent="0.2">
      <c r="A3614" s="288"/>
      <c r="B3614" s="338"/>
      <c r="C3614" s="339"/>
      <c r="D3614" s="340"/>
      <c r="E3614" s="341"/>
      <c r="F3614" s="342"/>
      <c r="G3614" s="340"/>
      <c r="H3614" s="341"/>
      <c r="I3614" s="342"/>
      <c r="J3614" s="343"/>
      <c r="K3614" s="344"/>
      <c r="L3614" s="345"/>
      <c r="M3614" s="346"/>
      <c r="N3614" s="347"/>
      <c r="O3614" s="348"/>
      <c r="P3614" s="345"/>
      <c r="Q3614" s="349"/>
      <c r="R3614" s="350"/>
      <c r="S3614" s="351"/>
      <c r="T3614" s="352"/>
      <c r="U3614" s="353"/>
      <c r="V3614" s="291">
        <f t="shared" ca="1" si="949"/>
        <v>0</v>
      </c>
      <c r="W3614" s="256">
        <f t="shared" ca="1" si="948"/>
        <v>0</v>
      </c>
      <c r="X3614" s="256">
        <f t="shared" ca="1" si="943"/>
        <v>1</v>
      </c>
      <c r="Y3614" s="250"/>
      <c r="Z3614" s="250"/>
    </row>
    <row r="3615" spans="1:29" s="111" customFormat="1" ht="15.75" hidden="1" customHeight="1" x14ac:dyDescent="0.2">
      <c r="A3615" s="288"/>
      <c r="B3615" s="354"/>
      <c r="C3615" s="355"/>
      <c r="D3615" s="1354" t="s">
        <v>492</v>
      </c>
      <c r="E3615" s="1355"/>
      <c r="F3615" s="1355"/>
      <c r="G3615" s="1355"/>
      <c r="H3615" s="1355"/>
      <c r="I3615" s="1356"/>
      <c r="J3615" s="1357">
        <f>VLOOKUP(A3617,'11 - FINANCEIRO'!_xlnm.Print_Area,6,FALSE)</f>
        <v>36.799999999999997</v>
      </c>
      <c r="K3615" s="1358"/>
      <c r="L3615" s="356" t="str">
        <f>VLOOKUP(A3617,'11 - FINANCEIRO'!_xlnm.Print_Area,4,FALSE)</f>
        <v>m²</v>
      </c>
      <c r="M3615" s="1359" t="s">
        <v>493</v>
      </c>
      <c r="N3615" s="1360"/>
      <c r="O3615" s="1360"/>
      <c r="P3615" s="1360"/>
      <c r="Q3615" s="1361"/>
      <c r="R3615" s="357">
        <f>TRUNC(SUM(R3611:R3614),3)</f>
        <v>0</v>
      </c>
      <c r="S3615" s="358" t="str">
        <f>L3615</f>
        <v>m²</v>
      </c>
      <c r="T3615" s="359"/>
      <c r="U3615" s="360"/>
      <c r="V3615" s="291">
        <f t="shared" ca="1" si="949"/>
        <v>0</v>
      </c>
      <c r="W3615" s="256">
        <f t="shared" ca="1" si="948"/>
        <v>2</v>
      </c>
      <c r="X3615" s="256">
        <f t="shared" ca="1" si="943"/>
        <v>1</v>
      </c>
      <c r="Y3615" s="250"/>
      <c r="Z3615" s="250"/>
    </row>
    <row r="3616" spans="1:29" s="293" customFormat="1" ht="15.75" hidden="1" customHeight="1" x14ac:dyDescent="0.2">
      <c r="A3616" s="288"/>
      <c r="B3616" s="354"/>
      <c r="C3616" s="361"/>
      <c r="D3616" s="1362" t="s">
        <v>494</v>
      </c>
      <c r="E3616" s="1363"/>
      <c r="F3616" s="1363"/>
      <c r="G3616" s="1363"/>
      <c r="H3616" s="1363"/>
      <c r="I3616" s="1364"/>
      <c r="J3616" s="1365">
        <f>R3615/J3615</f>
        <v>0</v>
      </c>
      <c r="K3616" s="1366"/>
      <c r="L3616" s="1369"/>
      <c r="M3616" s="1371" t="s">
        <v>495</v>
      </c>
      <c r="N3616" s="1372"/>
      <c r="O3616" s="1372"/>
      <c r="P3616" s="1372"/>
      <c r="Q3616" s="1373"/>
      <c r="R3616" s="362">
        <f>VLOOKUP(A3617,'11 - FINANCEIRO'!_xlnm.Print_Area,8,FALSE)</f>
        <v>0</v>
      </c>
      <c r="S3616" s="363" t="str">
        <f>L3615</f>
        <v>m²</v>
      </c>
      <c r="T3616" s="359"/>
      <c r="U3616" s="360"/>
      <c r="V3616" s="291">
        <f t="shared" ca="1" si="949"/>
        <v>0</v>
      </c>
      <c r="W3616" s="256">
        <f t="shared" ca="1" si="948"/>
        <v>2</v>
      </c>
      <c r="X3616" s="256">
        <f t="shared" ca="1" si="943"/>
        <v>1</v>
      </c>
      <c r="Y3616" s="256"/>
      <c r="Z3616" s="256"/>
      <c r="AA3616" s="292"/>
      <c r="AB3616" s="292"/>
      <c r="AC3616" s="292"/>
    </row>
    <row r="3617" spans="1:29" s="293" customFormat="1" ht="15.75" hidden="1" customHeight="1" x14ac:dyDescent="0.2">
      <c r="A3617" s="288" t="s">
        <v>240</v>
      </c>
      <c r="B3617" s="364"/>
      <c r="C3617" s="365"/>
      <c r="D3617" s="1354"/>
      <c r="E3617" s="1355"/>
      <c r="F3617" s="1355"/>
      <c r="G3617" s="1355"/>
      <c r="H3617" s="1355"/>
      <c r="I3617" s="1356"/>
      <c r="J3617" s="1367"/>
      <c r="K3617" s="1368"/>
      <c r="L3617" s="1370"/>
      <c r="M3617" s="1371" t="s">
        <v>496</v>
      </c>
      <c r="N3617" s="1372"/>
      <c r="O3617" s="1372"/>
      <c r="P3617" s="1372"/>
      <c r="Q3617" s="1373"/>
      <c r="R3617" s="362">
        <f>R3615-R3616</f>
        <v>0</v>
      </c>
      <c r="S3617" s="363" t="str">
        <f>L3615</f>
        <v>m²</v>
      </c>
      <c r="T3617" s="366"/>
      <c r="U3617" s="367"/>
      <c r="V3617" s="291">
        <f t="shared" ca="1" si="949"/>
        <v>0</v>
      </c>
      <c r="W3617" s="256">
        <f t="shared" ca="1" si="948"/>
        <v>2</v>
      </c>
      <c r="X3617" s="256">
        <f t="shared" ca="1" si="943"/>
        <v>1</v>
      </c>
      <c r="Y3617" s="256"/>
      <c r="Z3617" s="256"/>
      <c r="AA3617" s="292"/>
      <c r="AB3617" s="292"/>
      <c r="AC3617" s="292"/>
    </row>
    <row r="3618" spans="1:29" s="111" customFormat="1" ht="15.75" hidden="1" x14ac:dyDescent="0.2">
      <c r="A3618" s="288"/>
      <c r="B3618" s="368"/>
      <c r="C3618" s="365"/>
      <c r="D3618" s="369"/>
      <c r="E3618" s="370"/>
      <c r="F3618" s="369"/>
      <c r="G3618" s="369"/>
      <c r="H3618" s="369"/>
      <c r="I3618" s="369"/>
      <c r="J3618" s="371"/>
      <c r="K3618" s="372"/>
      <c r="L3618" s="373"/>
      <c r="M3618" s="374"/>
      <c r="N3618" s="374"/>
      <c r="O3618" s="374"/>
      <c r="P3618" s="374"/>
      <c r="Q3618" s="374"/>
      <c r="R3618" s="375"/>
      <c r="S3618" s="376"/>
      <c r="T3618" s="377"/>
      <c r="U3618" s="378"/>
      <c r="V3618" s="379">
        <f ca="1">SUM(V3609:V3617)</f>
        <v>0</v>
      </c>
      <c r="W3618" s="256">
        <f t="shared" ca="1" si="948"/>
        <v>1</v>
      </c>
      <c r="X3618" s="256">
        <f t="shared" ca="1" si="943"/>
        <v>0</v>
      </c>
      <c r="Y3618" s="250"/>
      <c r="Z3618" s="250"/>
    </row>
    <row r="3619" spans="1:29" s="293" customFormat="1" ht="15.75" hidden="1" customHeight="1" x14ac:dyDescent="0.25">
      <c r="A3619" s="288"/>
      <c r="B3619" s="1374" t="str">
        <f>VLOOKUP(A3627,'11 - FINANCEIRO'!_xlnm.Print_Area,1,FALSE)</f>
        <v>4.7.7</v>
      </c>
      <c r="C3619" s="1376" t="str">
        <f>VLOOKUP(A3627,'11 - FINANCEIRO'!_xlnm.Print_Area,3,FALSE)</f>
        <v>Chumbador Tipo Espera Em Aço Ca-25 Para Fixação De Estrutura Metálica Em Concreto - Fornecimento E Instalação</v>
      </c>
      <c r="D3619" s="1378" t="s">
        <v>477</v>
      </c>
      <c r="E3619" s="1379"/>
      <c r="F3619" s="1379"/>
      <c r="G3619" s="1379"/>
      <c r="H3619" s="1379"/>
      <c r="I3619" s="1380"/>
      <c r="J3619" s="1338" t="s">
        <v>478</v>
      </c>
      <c r="K3619" s="1338" t="s">
        <v>479</v>
      </c>
      <c r="L3619" s="1338" t="s">
        <v>480</v>
      </c>
      <c r="M3619" s="1338" t="s">
        <v>481</v>
      </c>
      <c r="N3619" s="1338" t="s">
        <v>482</v>
      </c>
      <c r="O3619" s="1338" t="s">
        <v>483</v>
      </c>
      <c r="P3619" s="290" t="s">
        <v>484</v>
      </c>
      <c r="Q3619" s="1338" t="s">
        <v>485</v>
      </c>
      <c r="R3619" s="1336" t="s">
        <v>296</v>
      </c>
      <c r="S3619" s="1338" t="s">
        <v>486</v>
      </c>
      <c r="T3619" s="1338" t="s">
        <v>487</v>
      </c>
      <c r="U3619" s="1340" t="s">
        <v>488</v>
      </c>
      <c r="V3619" s="291">
        <f t="shared" ref="V3619:V3627" ca="1" si="950">IF(OFFSET(V3619,1,1)=1,OFFSET(V3619,0,-4),OFFSET(V3619,1,0))</f>
        <v>0</v>
      </c>
      <c r="W3619" s="256">
        <f t="shared" ca="1" si="948"/>
        <v>2</v>
      </c>
      <c r="X3619" s="256">
        <f t="shared" ca="1" si="943"/>
        <v>1</v>
      </c>
      <c r="Y3619" s="256"/>
      <c r="Z3619" s="256"/>
      <c r="AA3619" s="292"/>
      <c r="AB3619" s="292"/>
      <c r="AC3619" s="292"/>
    </row>
    <row r="3620" spans="1:29" s="337" customFormat="1" ht="15.75" hidden="1" x14ac:dyDescent="0.2">
      <c r="A3620" s="288"/>
      <c r="B3620" s="1375"/>
      <c r="C3620" s="1377" t="e">
        <f>VLOOKUP(LEFT(#REF!,5),'11 - FINANCEIRO'!_xlnm.Print_Area,2,FALSE)</f>
        <v>#REF!</v>
      </c>
      <c r="D3620" s="1342" t="s">
        <v>489</v>
      </c>
      <c r="E3620" s="1343"/>
      <c r="F3620" s="1344"/>
      <c r="G3620" s="1345" t="s">
        <v>490</v>
      </c>
      <c r="H3620" s="1346"/>
      <c r="I3620" s="1347"/>
      <c r="J3620" s="1339"/>
      <c r="K3620" s="1339"/>
      <c r="L3620" s="1339"/>
      <c r="M3620" s="1339"/>
      <c r="N3620" s="1339"/>
      <c r="O3620" s="1339"/>
      <c r="P3620" s="295" t="s">
        <v>491</v>
      </c>
      <c r="Q3620" s="1339"/>
      <c r="R3620" s="1337"/>
      <c r="S3620" s="1339"/>
      <c r="T3620" s="1339"/>
      <c r="U3620" s="1341"/>
      <c r="V3620" s="291">
        <f t="shared" ca="1" si="950"/>
        <v>0</v>
      </c>
      <c r="W3620" s="256">
        <f t="shared" ca="1" si="948"/>
        <v>2</v>
      </c>
      <c r="X3620" s="256">
        <f t="shared" ca="1" si="943"/>
        <v>1</v>
      </c>
      <c r="Y3620" s="336"/>
      <c r="Z3620" s="336"/>
    </row>
    <row r="3621" spans="1:29" s="337" customFormat="1" ht="15.75" hidden="1" x14ac:dyDescent="0.2">
      <c r="A3621" s="288"/>
      <c r="B3621" s="296"/>
      <c r="C3621" s="297"/>
      <c r="D3621" s="298"/>
      <c r="E3621" s="299"/>
      <c r="F3621" s="300"/>
      <c r="G3621" s="301"/>
      <c r="H3621" s="302"/>
      <c r="I3621" s="303"/>
      <c r="J3621" s="304"/>
      <c r="K3621" s="304"/>
      <c r="L3621" s="304"/>
      <c r="M3621" s="304"/>
      <c r="N3621" s="304"/>
      <c r="O3621" s="304"/>
      <c r="P3621" s="306"/>
      <c r="Q3621" s="304"/>
      <c r="R3621" s="307"/>
      <c r="S3621" s="304"/>
      <c r="T3621" s="309"/>
      <c r="U3621" s="310"/>
      <c r="V3621" s="291">
        <f t="shared" ca="1" si="950"/>
        <v>0</v>
      </c>
      <c r="W3621" s="256">
        <f t="shared" ca="1" si="948"/>
        <v>0</v>
      </c>
      <c r="X3621" s="256">
        <f t="shared" ca="1" si="943"/>
        <v>1</v>
      </c>
      <c r="Y3621" s="336"/>
      <c r="Z3621" s="336"/>
    </row>
    <row r="3622" spans="1:29" s="111" customFormat="1" ht="15.75" hidden="1" x14ac:dyDescent="0.2">
      <c r="A3622" s="288"/>
      <c r="B3622" s="311"/>
      <c r="C3622" s="312"/>
      <c r="D3622" s="313"/>
      <c r="E3622" s="314"/>
      <c r="F3622" s="315"/>
      <c r="G3622" s="380"/>
      <c r="H3622" s="316"/>
      <c r="I3622" s="381"/>
      <c r="J3622" s="317"/>
      <c r="K3622" s="313"/>
      <c r="L3622" s="317"/>
      <c r="M3622" s="315"/>
      <c r="N3622" s="314"/>
      <c r="O3622" s="313"/>
      <c r="P3622" s="318"/>
      <c r="Q3622" s="315"/>
      <c r="R3622" s="319"/>
      <c r="S3622" s="317"/>
      <c r="T3622" s="320"/>
      <c r="U3622" s="321"/>
      <c r="V3622" s="291">
        <f t="shared" ca="1" si="950"/>
        <v>0</v>
      </c>
      <c r="W3622" s="256">
        <f t="shared" ca="1" si="948"/>
        <v>0</v>
      </c>
      <c r="X3622" s="256">
        <f t="shared" ca="1" si="943"/>
        <v>1</v>
      </c>
      <c r="Y3622" s="250"/>
      <c r="Z3622" s="250"/>
    </row>
    <row r="3623" spans="1:29" s="111" customFormat="1" ht="15" hidden="1" x14ac:dyDescent="0.2">
      <c r="A3623" s="288"/>
      <c r="B3623" s="322"/>
      <c r="C3623" s="382"/>
      <c r="D3623" s="324"/>
      <c r="E3623" s="325"/>
      <c r="F3623" s="326"/>
      <c r="G3623" s="324"/>
      <c r="H3623" s="325"/>
      <c r="I3623" s="326"/>
      <c r="J3623" s="317"/>
      <c r="K3623" s="328"/>
      <c r="L3623" s="328"/>
      <c r="M3623" s="328"/>
      <c r="N3623" s="328"/>
      <c r="O3623" s="334"/>
      <c r="P3623" s="328"/>
      <c r="Q3623" s="334"/>
      <c r="R3623" s="333"/>
      <c r="S3623" s="331"/>
      <c r="T3623" s="320"/>
      <c r="U3623" s="335"/>
      <c r="V3623" s="291">
        <f t="shared" ca="1" si="950"/>
        <v>0</v>
      </c>
      <c r="W3623" s="256">
        <f t="shared" ca="1" si="948"/>
        <v>0</v>
      </c>
      <c r="X3623" s="256">
        <f t="shared" ca="1" si="943"/>
        <v>1</v>
      </c>
      <c r="Y3623" s="250"/>
      <c r="Z3623" s="250"/>
    </row>
    <row r="3624" spans="1:29" s="111" customFormat="1" ht="15" hidden="1" x14ac:dyDescent="0.2">
      <c r="A3624" s="288"/>
      <c r="B3624" s="338"/>
      <c r="C3624" s="339"/>
      <c r="D3624" s="340"/>
      <c r="E3624" s="341"/>
      <c r="F3624" s="342"/>
      <c r="G3624" s="340"/>
      <c r="H3624" s="341"/>
      <c r="I3624" s="342"/>
      <c r="J3624" s="343"/>
      <c r="K3624" s="344"/>
      <c r="L3624" s="345"/>
      <c r="M3624" s="346"/>
      <c r="N3624" s="347"/>
      <c r="O3624" s="348"/>
      <c r="P3624" s="345"/>
      <c r="Q3624" s="349"/>
      <c r="R3624" s="350"/>
      <c r="S3624" s="351"/>
      <c r="T3624" s="352"/>
      <c r="U3624" s="353"/>
      <c r="V3624" s="291">
        <f t="shared" ca="1" si="950"/>
        <v>0</v>
      </c>
      <c r="W3624" s="256">
        <f t="shared" ca="1" si="948"/>
        <v>0</v>
      </c>
      <c r="X3624" s="256">
        <f t="shared" ca="1" si="943"/>
        <v>1</v>
      </c>
      <c r="Y3624" s="250"/>
      <c r="Z3624" s="250"/>
    </row>
    <row r="3625" spans="1:29" s="111" customFormat="1" ht="15.75" hidden="1" customHeight="1" x14ac:dyDescent="0.2">
      <c r="A3625" s="288"/>
      <c r="B3625" s="354"/>
      <c r="C3625" s="355"/>
      <c r="D3625" s="1354" t="s">
        <v>492</v>
      </c>
      <c r="E3625" s="1355"/>
      <c r="F3625" s="1355"/>
      <c r="G3625" s="1355"/>
      <c r="H3625" s="1355"/>
      <c r="I3625" s="1356"/>
      <c r="J3625" s="1357">
        <f>VLOOKUP(A3627,'11 - FINANCEIRO'!_xlnm.Print_Area,6,FALSE)</f>
        <v>12.8</v>
      </c>
      <c r="K3625" s="1358"/>
      <c r="L3625" s="356" t="str">
        <f>VLOOKUP(A3627,'11 - FINANCEIRO'!_xlnm.Print_Area,4,FALSE)</f>
        <v>kg</v>
      </c>
      <c r="M3625" s="1359" t="s">
        <v>493</v>
      </c>
      <c r="N3625" s="1360"/>
      <c r="O3625" s="1360"/>
      <c r="P3625" s="1360"/>
      <c r="Q3625" s="1361"/>
      <c r="R3625" s="357">
        <f>TRUNC(SUM(R3621:R3624),3)</f>
        <v>0</v>
      </c>
      <c r="S3625" s="358" t="str">
        <f>L3625</f>
        <v>kg</v>
      </c>
      <c r="T3625" s="359"/>
      <c r="U3625" s="360"/>
      <c r="V3625" s="291">
        <f t="shared" ca="1" si="950"/>
        <v>0</v>
      </c>
      <c r="W3625" s="256">
        <f t="shared" ca="1" si="948"/>
        <v>2</v>
      </c>
      <c r="X3625" s="256">
        <f t="shared" ca="1" si="943"/>
        <v>1</v>
      </c>
      <c r="Y3625" s="250"/>
      <c r="Z3625" s="250"/>
    </row>
    <row r="3626" spans="1:29" s="293" customFormat="1" ht="15.75" hidden="1" customHeight="1" x14ac:dyDescent="0.2">
      <c r="A3626" s="288"/>
      <c r="B3626" s="354"/>
      <c r="C3626" s="361"/>
      <c r="D3626" s="1362" t="s">
        <v>494</v>
      </c>
      <c r="E3626" s="1363"/>
      <c r="F3626" s="1363"/>
      <c r="G3626" s="1363"/>
      <c r="H3626" s="1363"/>
      <c r="I3626" s="1364"/>
      <c r="J3626" s="1365">
        <f>R3625/J3625</f>
        <v>0</v>
      </c>
      <c r="K3626" s="1366"/>
      <c r="L3626" s="1369"/>
      <c r="M3626" s="1371" t="s">
        <v>495</v>
      </c>
      <c r="N3626" s="1372"/>
      <c r="O3626" s="1372"/>
      <c r="P3626" s="1372"/>
      <c r="Q3626" s="1373"/>
      <c r="R3626" s="362">
        <f>VLOOKUP(A3627,'11 - FINANCEIRO'!_xlnm.Print_Area,8,FALSE)</f>
        <v>0</v>
      </c>
      <c r="S3626" s="363" t="str">
        <f>L3625</f>
        <v>kg</v>
      </c>
      <c r="T3626" s="359"/>
      <c r="U3626" s="360"/>
      <c r="V3626" s="291">
        <f t="shared" ca="1" si="950"/>
        <v>0</v>
      </c>
      <c r="W3626" s="256">
        <f t="shared" ca="1" si="948"/>
        <v>2</v>
      </c>
      <c r="X3626" s="256">
        <f t="shared" ca="1" si="943"/>
        <v>1</v>
      </c>
      <c r="Y3626" s="256"/>
      <c r="Z3626" s="256"/>
      <c r="AA3626" s="292"/>
      <c r="AB3626" s="292"/>
      <c r="AC3626" s="292"/>
    </row>
    <row r="3627" spans="1:29" s="293" customFormat="1" ht="15.75" hidden="1" customHeight="1" x14ac:dyDescent="0.2">
      <c r="A3627" s="288" t="s">
        <v>241</v>
      </c>
      <c r="B3627" s="364"/>
      <c r="C3627" s="365"/>
      <c r="D3627" s="1354"/>
      <c r="E3627" s="1355"/>
      <c r="F3627" s="1355"/>
      <c r="G3627" s="1355"/>
      <c r="H3627" s="1355"/>
      <c r="I3627" s="1356"/>
      <c r="J3627" s="1367"/>
      <c r="K3627" s="1368"/>
      <c r="L3627" s="1370"/>
      <c r="M3627" s="1371" t="s">
        <v>496</v>
      </c>
      <c r="N3627" s="1372"/>
      <c r="O3627" s="1372"/>
      <c r="P3627" s="1372"/>
      <c r="Q3627" s="1373"/>
      <c r="R3627" s="362">
        <f>R3625-R3626</f>
        <v>0</v>
      </c>
      <c r="S3627" s="363" t="str">
        <f>L3625</f>
        <v>kg</v>
      </c>
      <c r="T3627" s="366"/>
      <c r="U3627" s="367"/>
      <c r="V3627" s="291">
        <f t="shared" ca="1" si="950"/>
        <v>0</v>
      </c>
      <c r="W3627" s="256">
        <f t="shared" ca="1" si="948"/>
        <v>2</v>
      </c>
      <c r="X3627" s="256">
        <f t="shared" ca="1" si="943"/>
        <v>1</v>
      </c>
      <c r="Y3627" s="256"/>
      <c r="Z3627" s="256"/>
      <c r="AA3627" s="292"/>
      <c r="AB3627" s="292"/>
      <c r="AC3627" s="292"/>
    </row>
    <row r="3628" spans="1:29" s="111" customFormat="1" ht="15.75" hidden="1" x14ac:dyDescent="0.2">
      <c r="A3628" s="288"/>
      <c r="B3628" s="368"/>
      <c r="C3628" s="365"/>
      <c r="D3628" s="369"/>
      <c r="E3628" s="370"/>
      <c r="F3628" s="369"/>
      <c r="G3628" s="369"/>
      <c r="H3628" s="369"/>
      <c r="I3628" s="369"/>
      <c r="J3628" s="371"/>
      <c r="K3628" s="372"/>
      <c r="L3628" s="373"/>
      <c r="M3628" s="374"/>
      <c r="N3628" s="374"/>
      <c r="O3628" s="374"/>
      <c r="P3628" s="374"/>
      <c r="Q3628" s="374"/>
      <c r="R3628" s="375"/>
      <c r="S3628" s="376"/>
      <c r="T3628" s="377"/>
      <c r="U3628" s="378"/>
      <c r="V3628" s="379">
        <f ca="1">SUM(V3619:V3627)</f>
        <v>0</v>
      </c>
      <c r="W3628" s="256">
        <f t="shared" ca="1" si="948"/>
        <v>1</v>
      </c>
      <c r="X3628" s="256">
        <f t="shared" ca="1" si="943"/>
        <v>0</v>
      </c>
      <c r="Y3628" s="250"/>
      <c r="Z3628" s="250"/>
    </row>
    <row r="3629" spans="1:29" s="293" customFormat="1" ht="15.75" hidden="1" customHeight="1" x14ac:dyDescent="0.25">
      <c r="A3629" s="288"/>
      <c r="B3629" s="1374" t="str">
        <f>VLOOKUP(A3637,'11 - FINANCEIRO'!_xlnm.Print_Area,1,FALSE)</f>
        <v>4.7.8</v>
      </c>
      <c r="C3629" s="1376" t="str">
        <f>VLOOKUP(A3637,'11 - FINANCEIRO'!_xlnm.Print_Area,3,FALSE)</f>
        <v>Viga Metálica Em Perfil Laminado Ou Soldado Em Aço Estrutural, Com Conexões Soldadas, Inclusos Mão De Obra, Transporte E Içamento Utilizando Guindaste - Fornecimento E Instalação. Af_01/2020_P</v>
      </c>
      <c r="D3629" s="1378" t="s">
        <v>477</v>
      </c>
      <c r="E3629" s="1379"/>
      <c r="F3629" s="1379"/>
      <c r="G3629" s="1379"/>
      <c r="H3629" s="1379"/>
      <c r="I3629" s="1380"/>
      <c r="J3629" s="1338" t="s">
        <v>478</v>
      </c>
      <c r="K3629" s="1338" t="s">
        <v>479</v>
      </c>
      <c r="L3629" s="1338" t="s">
        <v>480</v>
      </c>
      <c r="M3629" s="1338" t="s">
        <v>481</v>
      </c>
      <c r="N3629" s="1338" t="s">
        <v>482</v>
      </c>
      <c r="O3629" s="1338" t="s">
        <v>483</v>
      </c>
      <c r="P3629" s="290" t="s">
        <v>484</v>
      </c>
      <c r="Q3629" s="1338" t="s">
        <v>485</v>
      </c>
      <c r="R3629" s="1336" t="s">
        <v>296</v>
      </c>
      <c r="S3629" s="1338" t="s">
        <v>486</v>
      </c>
      <c r="T3629" s="1338" t="s">
        <v>487</v>
      </c>
      <c r="U3629" s="1340" t="s">
        <v>488</v>
      </c>
      <c r="V3629" s="291">
        <f t="shared" ref="V3629:V3637" ca="1" si="951">IF(OFFSET(V3629,1,1)=1,OFFSET(V3629,0,-4),OFFSET(V3629,1,0))</f>
        <v>0</v>
      </c>
      <c r="W3629" s="256">
        <f t="shared" ca="1" si="948"/>
        <v>2</v>
      </c>
      <c r="X3629" s="256">
        <f t="shared" ref="X3629:X3691" ca="1" si="952">IF(COUNTA(OFFSET(A3628,1,0))-COUNTA(A3628)=-1,0,1)</f>
        <v>1</v>
      </c>
      <c r="Y3629" s="256"/>
      <c r="Z3629" s="256"/>
      <c r="AA3629" s="292"/>
      <c r="AB3629" s="292"/>
      <c r="AC3629" s="292"/>
    </row>
    <row r="3630" spans="1:29" s="337" customFormat="1" ht="15.75" hidden="1" x14ac:dyDescent="0.2">
      <c r="A3630" s="288"/>
      <c r="B3630" s="1375"/>
      <c r="C3630" s="1377" t="e">
        <f>VLOOKUP(LEFT(#REF!,5),'11 - FINANCEIRO'!_xlnm.Print_Area,2,FALSE)</f>
        <v>#REF!</v>
      </c>
      <c r="D3630" s="1342" t="s">
        <v>489</v>
      </c>
      <c r="E3630" s="1343"/>
      <c r="F3630" s="1344"/>
      <c r="G3630" s="1345" t="s">
        <v>490</v>
      </c>
      <c r="H3630" s="1346"/>
      <c r="I3630" s="1347"/>
      <c r="J3630" s="1339"/>
      <c r="K3630" s="1339"/>
      <c r="L3630" s="1339"/>
      <c r="M3630" s="1339"/>
      <c r="N3630" s="1339"/>
      <c r="O3630" s="1339"/>
      <c r="P3630" s="295" t="s">
        <v>491</v>
      </c>
      <c r="Q3630" s="1339"/>
      <c r="R3630" s="1337"/>
      <c r="S3630" s="1339"/>
      <c r="T3630" s="1339"/>
      <c r="U3630" s="1341"/>
      <c r="V3630" s="291">
        <f t="shared" ca="1" si="951"/>
        <v>0</v>
      </c>
      <c r="W3630" s="256">
        <f t="shared" ca="1" si="948"/>
        <v>2</v>
      </c>
      <c r="X3630" s="256">
        <f t="shared" ca="1" si="952"/>
        <v>1</v>
      </c>
      <c r="Y3630" s="336"/>
      <c r="Z3630" s="336"/>
    </row>
    <row r="3631" spans="1:29" s="337" customFormat="1" ht="15.75" hidden="1" x14ac:dyDescent="0.2">
      <c r="A3631" s="288"/>
      <c r="B3631" s="296"/>
      <c r="C3631" s="297"/>
      <c r="D3631" s="298"/>
      <c r="E3631" s="299"/>
      <c r="F3631" s="300"/>
      <c r="G3631" s="301"/>
      <c r="H3631" s="302"/>
      <c r="I3631" s="303"/>
      <c r="J3631" s="304"/>
      <c r="K3631" s="304"/>
      <c r="L3631" s="304"/>
      <c r="M3631" s="304"/>
      <c r="N3631" s="304"/>
      <c r="O3631" s="304"/>
      <c r="P3631" s="306"/>
      <c r="Q3631" s="304"/>
      <c r="R3631" s="307"/>
      <c r="S3631" s="304"/>
      <c r="T3631" s="309"/>
      <c r="U3631" s="310"/>
      <c r="V3631" s="291">
        <f t="shared" ca="1" si="951"/>
        <v>0</v>
      </c>
      <c r="W3631" s="256">
        <f t="shared" ca="1" si="948"/>
        <v>0</v>
      </c>
      <c r="X3631" s="256">
        <f t="shared" ca="1" si="952"/>
        <v>1</v>
      </c>
      <c r="Y3631" s="336"/>
      <c r="Z3631" s="336"/>
    </row>
    <row r="3632" spans="1:29" s="111" customFormat="1" ht="15.75" hidden="1" x14ac:dyDescent="0.2">
      <c r="A3632" s="288"/>
      <c r="B3632" s="311"/>
      <c r="C3632" s="312"/>
      <c r="D3632" s="313"/>
      <c r="E3632" s="314"/>
      <c r="F3632" s="315"/>
      <c r="G3632" s="380"/>
      <c r="H3632" s="316"/>
      <c r="I3632" s="381"/>
      <c r="J3632" s="317"/>
      <c r="K3632" s="313"/>
      <c r="L3632" s="317"/>
      <c r="M3632" s="315"/>
      <c r="N3632" s="314"/>
      <c r="O3632" s="313"/>
      <c r="P3632" s="318"/>
      <c r="Q3632" s="315"/>
      <c r="R3632" s="319"/>
      <c r="S3632" s="317"/>
      <c r="T3632" s="320"/>
      <c r="U3632" s="321"/>
      <c r="V3632" s="291">
        <f t="shared" ca="1" si="951"/>
        <v>0</v>
      </c>
      <c r="W3632" s="256">
        <f t="shared" ca="1" si="948"/>
        <v>0</v>
      </c>
      <c r="X3632" s="256">
        <f t="shared" ca="1" si="952"/>
        <v>1</v>
      </c>
      <c r="Y3632" s="250"/>
      <c r="Z3632" s="250"/>
    </row>
    <row r="3633" spans="1:29" s="111" customFormat="1" ht="15" hidden="1" x14ac:dyDescent="0.2">
      <c r="A3633" s="288"/>
      <c r="B3633" s="322"/>
      <c r="C3633" s="382"/>
      <c r="D3633" s="324"/>
      <c r="E3633" s="325"/>
      <c r="F3633" s="326"/>
      <c r="G3633" s="324"/>
      <c r="H3633" s="325"/>
      <c r="I3633" s="326"/>
      <c r="J3633" s="317"/>
      <c r="K3633" s="328"/>
      <c r="L3633" s="328"/>
      <c r="M3633" s="328"/>
      <c r="N3633" s="328"/>
      <c r="O3633" s="334"/>
      <c r="P3633" s="328"/>
      <c r="Q3633" s="334"/>
      <c r="R3633" s="333"/>
      <c r="S3633" s="331"/>
      <c r="T3633" s="320"/>
      <c r="U3633" s="335"/>
      <c r="V3633" s="291">
        <f t="shared" ca="1" si="951"/>
        <v>0</v>
      </c>
      <c r="W3633" s="256">
        <f t="shared" ca="1" si="948"/>
        <v>0</v>
      </c>
      <c r="X3633" s="256">
        <f t="shared" ca="1" si="952"/>
        <v>1</v>
      </c>
      <c r="Y3633" s="250"/>
      <c r="Z3633" s="250"/>
    </row>
    <row r="3634" spans="1:29" s="111" customFormat="1" ht="15" hidden="1" x14ac:dyDescent="0.2">
      <c r="A3634" s="288"/>
      <c r="B3634" s="338"/>
      <c r="C3634" s="339"/>
      <c r="D3634" s="340"/>
      <c r="E3634" s="341"/>
      <c r="F3634" s="342"/>
      <c r="G3634" s="340"/>
      <c r="H3634" s="341"/>
      <c r="I3634" s="342"/>
      <c r="J3634" s="343"/>
      <c r="K3634" s="344"/>
      <c r="L3634" s="345"/>
      <c r="M3634" s="346"/>
      <c r="N3634" s="347"/>
      <c r="O3634" s="348"/>
      <c r="P3634" s="345"/>
      <c r="Q3634" s="349"/>
      <c r="R3634" s="350"/>
      <c r="S3634" s="351"/>
      <c r="T3634" s="352"/>
      <c r="U3634" s="353"/>
      <c r="V3634" s="291">
        <f t="shared" ca="1" si="951"/>
        <v>0</v>
      </c>
      <c r="W3634" s="256">
        <f t="shared" ca="1" si="948"/>
        <v>0</v>
      </c>
      <c r="X3634" s="256">
        <f t="shared" ca="1" si="952"/>
        <v>1</v>
      </c>
      <c r="Y3634" s="250"/>
      <c r="Z3634" s="250"/>
    </row>
    <row r="3635" spans="1:29" s="111" customFormat="1" ht="15.75" hidden="1" customHeight="1" x14ac:dyDescent="0.2">
      <c r="A3635" s="288"/>
      <c r="B3635" s="354"/>
      <c r="C3635" s="355"/>
      <c r="D3635" s="1354" t="s">
        <v>492</v>
      </c>
      <c r="E3635" s="1355"/>
      <c r="F3635" s="1355"/>
      <c r="G3635" s="1355"/>
      <c r="H3635" s="1355"/>
      <c r="I3635" s="1356"/>
      <c r="J3635" s="1357">
        <f>VLOOKUP(A3637,'11 - FINANCEIRO'!_xlnm.Print_Area,6,FALSE)</f>
        <v>5620.51</v>
      </c>
      <c r="K3635" s="1358"/>
      <c r="L3635" s="356" t="str">
        <f>VLOOKUP(A3637,'11 - FINANCEIRO'!_xlnm.Print_Area,4,FALSE)</f>
        <v>kg</v>
      </c>
      <c r="M3635" s="1359" t="s">
        <v>493</v>
      </c>
      <c r="N3635" s="1360"/>
      <c r="O3635" s="1360"/>
      <c r="P3635" s="1360"/>
      <c r="Q3635" s="1361"/>
      <c r="R3635" s="357">
        <f>TRUNC(SUM(R3631:R3634),3)</f>
        <v>0</v>
      </c>
      <c r="S3635" s="358" t="str">
        <f>L3635</f>
        <v>kg</v>
      </c>
      <c r="T3635" s="359"/>
      <c r="U3635" s="360"/>
      <c r="V3635" s="291">
        <f t="shared" ca="1" si="951"/>
        <v>0</v>
      </c>
      <c r="W3635" s="256">
        <f t="shared" ca="1" si="948"/>
        <v>2</v>
      </c>
      <c r="X3635" s="256">
        <f t="shared" ca="1" si="952"/>
        <v>1</v>
      </c>
      <c r="Y3635" s="250"/>
      <c r="Z3635" s="250"/>
    </row>
    <row r="3636" spans="1:29" s="293" customFormat="1" ht="15.75" hidden="1" customHeight="1" x14ac:dyDescent="0.2">
      <c r="A3636" s="288"/>
      <c r="B3636" s="354"/>
      <c r="C3636" s="361"/>
      <c r="D3636" s="1362" t="s">
        <v>494</v>
      </c>
      <c r="E3636" s="1363"/>
      <c r="F3636" s="1363"/>
      <c r="G3636" s="1363"/>
      <c r="H3636" s="1363"/>
      <c r="I3636" s="1364"/>
      <c r="J3636" s="1365">
        <f>R3635/J3635</f>
        <v>0</v>
      </c>
      <c r="K3636" s="1366"/>
      <c r="L3636" s="1369"/>
      <c r="M3636" s="1371" t="s">
        <v>495</v>
      </c>
      <c r="N3636" s="1372"/>
      <c r="O3636" s="1372"/>
      <c r="P3636" s="1372"/>
      <c r="Q3636" s="1373"/>
      <c r="R3636" s="362">
        <f>VLOOKUP(A3637,'11 - FINANCEIRO'!_xlnm.Print_Area,8,FALSE)</f>
        <v>0</v>
      </c>
      <c r="S3636" s="363" t="str">
        <f>L3635</f>
        <v>kg</v>
      </c>
      <c r="T3636" s="359"/>
      <c r="U3636" s="360"/>
      <c r="V3636" s="291">
        <f t="shared" ca="1" si="951"/>
        <v>0</v>
      </c>
      <c r="W3636" s="256">
        <f t="shared" ca="1" si="948"/>
        <v>2</v>
      </c>
      <c r="X3636" s="256">
        <f t="shared" ca="1" si="952"/>
        <v>1</v>
      </c>
      <c r="Y3636" s="256"/>
      <c r="Z3636" s="256"/>
      <c r="AA3636" s="292"/>
      <c r="AB3636" s="292"/>
      <c r="AC3636" s="292"/>
    </row>
    <row r="3637" spans="1:29" s="293" customFormat="1" ht="15.75" hidden="1" customHeight="1" x14ac:dyDescent="0.2">
      <c r="A3637" s="288" t="s">
        <v>242</v>
      </c>
      <c r="B3637" s="364"/>
      <c r="C3637" s="365"/>
      <c r="D3637" s="1354"/>
      <c r="E3637" s="1355"/>
      <c r="F3637" s="1355"/>
      <c r="G3637" s="1355"/>
      <c r="H3637" s="1355"/>
      <c r="I3637" s="1356"/>
      <c r="J3637" s="1367"/>
      <c r="K3637" s="1368"/>
      <c r="L3637" s="1370"/>
      <c r="M3637" s="1371" t="s">
        <v>496</v>
      </c>
      <c r="N3637" s="1372"/>
      <c r="O3637" s="1372"/>
      <c r="P3637" s="1372"/>
      <c r="Q3637" s="1373"/>
      <c r="R3637" s="362">
        <f>R3635-R3636</f>
        <v>0</v>
      </c>
      <c r="S3637" s="363" t="str">
        <f>L3635</f>
        <v>kg</v>
      </c>
      <c r="T3637" s="366"/>
      <c r="U3637" s="367"/>
      <c r="V3637" s="291">
        <f t="shared" ca="1" si="951"/>
        <v>0</v>
      </c>
      <c r="W3637" s="256">
        <f t="shared" ca="1" si="948"/>
        <v>2</v>
      </c>
      <c r="X3637" s="256">
        <f t="shared" ca="1" si="952"/>
        <v>1</v>
      </c>
      <c r="Y3637" s="256"/>
      <c r="Z3637" s="256"/>
      <c r="AA3637" s="292"/>
      <c r="AB3637" s="292"/>
      <c r="AC3637" s="292"/>
    </row>
    <row r="3638" spans="1:29" s="111" customFormat="1" ht="15.75" hidden="1" x14ac:dyDescent="0.2">
      <c r="A3638" s="288"/>
      <c r="B3638" s="368"/>
      <c r="C3638" s="365"/>
      <c r="D3638" s="369"/>
      <c r="E3638" s="370"/>
      <c r="F3638" s="369"/>
      <c r="G3638" s="369"/>
      <c r="H3638" s="369"/>
      <c r="I3638" s="369"/>
      <c r="J3638" s="371"/>
      <c r="K3638" s="372"/>
      <c r="L3638" s="373"/>
      <c r="M3638" s="374"/>
      <c r="N3638" s="374"/>
      <c r="O3638" s="374"/>
      <c r="P3638" s="374"/>
      <c r="Q3638" s="374"/>
      <c r="R3638" s="375"/>
      <c r="S3638" s="376"/>
      <c r="T3638" s="377"/>
      <c r="U3638" s="378"/>
      <c r="V3638" s="379">
        <f ca="1">SUM(V3629:V3637)</f>
        <v>0</v>
      </c>
      <c r="W3638" s="256">
        <f t="shared" ca="1" si="948"/>
        <v>1</v>
      </c>
      <c r="X3638" s="256">
        <f t="shared" ca="1" si="952"/>
        <v>0</v>
      </c>
      <c r="Y3638" s="250"/>
      <c r="Z3638" s="250"/>
    </row>
    <row r="3639" spans="1:29" s="293" customFormat="1" ht="15.75" customHeight="1" x14ac:dyDescent="0.25">
      <c r="A3639" s="288"/>
      <c r="B3639" s="1374" t="str">
        <f>VLOOKUP(A3647,'11 - FINANCEIRO'!_xlnm.Print_Area,1,FALSE)</f>
        <v>4.7.9</v>
      </c>
      <c r="C3639" s="1376" t="str">
        <f>VLOOKUP(A3647,'11 - FINANCEIRO'!_xlnm.Print_Area,3,FALSE)</f>
        <v>Guarda Corpo Em Aço Galvanizado De Altura H=1,10M Pintura Com Tinta Esmalte Suvinil, Linha "Contra Ferrugem" Cor Maracujá, Ref.:C026</v>
      </c>
      <c r="D3639" s="1378" t="s">
        <v>477</v>
      </c>
      <c r="E3639" s="1379"/>
      <c r="F3639" s="1379"/>
      <c r="G3639" s="1379"/>
      <c r="H3639" s="1379"/>
      <c r="I3639" s="1380"/>
      <c r="J3639" s="1338" t="s">
        <v>478</v>
      </c>
      <c r="K3639" s="1338" t="s">
        <v>479</v>
      </c>
      <c r="L3639" s="1338" t="s">
        <v>480</v>
      </c>
      <c r="M3639" s="1338" t="s">
        <v>481</v>
      </c>
      <c r="N3639" s="1338" t="s">
        <v>482</v>
      </c>
      <c r="O3639" s="1338" t="s">
        <v>483</v>
      </c>
      <c r="P3639" s="290" t="s">
        <v>484</v>
      </c>
      <c r="Q3639" s="1338" t="s">
        <v>485</v>
      </c>
      <c r="R3639" s="1336" t="s">
        <v>296</v>
      </c>
      <c r="S3639" s="1338" t="s">
        <v>486</v>
      </c>
      <c r="T3639" s="1338" t="s">
        <v>487</v>
      </c>
      <c r="U3639" s="1340" t="s">
        <v>488</v>
      </c>
      <c r="V3639" s="291">
        <f t="shared" ref="V3639:V3647" ca="1" si="953">IF(OFFSET(V3639,1,1)=1,OFFSET(V3639,0,-4),OFFSET(V3639,1,0))</f>
        <v>-16.7</v>
      </c>
      <c r="W3639" s="256">
        <f t="shared" ca="1" si="948"/>
        <v>2</v>
      </c>
      <c r="X3639" s="256">
        <f t="shared" ca="1" si="952"/>
        <v>1</v>
      </c>
      <c r="Y3639" s="256"/>
      <c r="Z3639" s="256"/>
      <c r="AA3639" s="292"/>
      <c r="AB3639" s="292"/>
      <c r="AC3639" s="292"/>
    </row>
    <row r="3640" spans="1:29" s="337" customFormat="1" ht="15.75" x14ac:dyDescent="0.2">
      <c r="A3640" s="288"/>
      <c r="B3640" s="1375"/>
      <c r="C3640" s="1377" t="e">
        <f>VLOOKUP(LEFT(#REF!,5),'11 - FINANCEIRO'!_xlnm.Print_Area,2,FALSE)</f>
        <v>#REF!</v>
      </c>
      <c r="D3640" s="1342" t="s">
        <v>489</v>
      </c>
      <c r="E3640" s="1343"/>
      <c r="F3640" s="1344"/>
      <c r="G3640" s="1345" t="s">
        <v>490</v>
      </c>
      <c r="H3640" s="1346"/>
      <c r="I3640" s="1347"/>
      <c r="J3640" s="1339"/>
      <c r="K3640" s="1339"/>
      <c r="L3640" s="1339"/>
      <c r="M3640" s="1339"/>
      <c r="N3640" s="1339"/>
      <c r="O3640" s="1339"/>
      <c r="P3640" s="295" t="s">
        <v>491</v>
      </c>
      <c r="Q3640" s="1339"/>
      <c r="R3640" s="1337"/>
      <c r="S3640" s="1339"/>
      <c r="T3640" s="1339"/>
      <c r="U3640" s="1341"/>
      <c r="V3640" s="291">
        <f t="shared" ca="1" si="953"/>
        <v>-16.7</v>
      </c>
      <c r="W3640" s="256">
        <f t="shared" ca="1" si="948"/>
        <v>2</v>
      </c>
      <c r="X3640" s="256">
        <f t="shared" ca="1" si="952"/>
        <v>1</v>
      </c>
      <c r="Y3640" s="336"/>
      <c r="Z3640" s="336"/>
    </row>
    <row r="3641" spans="1:29" s="337" customFormat="1" ht="15.75" x14ac:dyDescent="0.2">
      <c r="A3641" s="288"/>
      <c r="B3641" s="296"/>
      <c r="C3641" s="963" t="s">
        <v>1127</v>
      </c>
      <c r="D3641" s="945"/>
      <c r="E3641" s="964"/>
      <c r="F3641" s="947"/>
      <c r="G3641" s="965"/>
      <c r="H3641" s="934"/>
      <c r="I3641" s="966"/>
      <c r="J3641" s="949"/>
      <c r="K3641" s="945">
        <v>14.44</v>
      </c>
      <c r="L3641" s="949"/>
      <c r="M3641" s="947"/>
      <c r="N3641" s="964"/>
      <c r="O3641" s="945"/>
      <c r="P3641" s="946"/>
      <c r="Q3641" s="970">
        <v>1</v>
      </c>
      <c r="R3641" s="948">
        <v>12.84</v>
      </c>
      <c r="S3641" s="1093" t="str">
        <f>$L$3645</f>
        <v>m</v>
      </c>
      <c r="T3641" s="950">
        <v>33</v>
      </c>
      <c r="U3641" s="971"/>
      <c r="V3641" s="291">
        <f t="shared" ca="1" si="953"/>
        <v>-16.7</v>
      </c>
      <c r="W3641" s="256">
        <f t="shared" ca="1" si="948"/>
        <v>2</v>
      </c>
      <c r="X3641" s="256">
        <f t="shared" ca="1" si="952"/>
        <v>1</v>
      </c>
      <c r="Y3641" s="336"/>
      <c r="Z3641" s="336"/>
    </row>
    <row r="3642" spans="1:29" s="111" customFormat="1" ht="15.75" x14ac:dyDescent="0.2">
      <c r="A3642" s="288"/>
      <c r="B3642" s="311"/>
      <c r="C3642" s="312" t="s">
        <v>1285</v>
      </c>
      <c r="D3642" s="313"/>
      <c r="E3642" s="314"/>
      <c r="F3642" s="315"/>
      <c r="G3642" s="380"/>
      <c r="H3642" s="316"/>
      <c r="I3642" s="381"/>
      <c r="J3642" s="317"/>
      <c r="K3642" s="317"/>
      <c r="L3642" s="317"/>
      <c r="M3642" s="317"/>
      <c r="N3642" s="317"/>
      <c r="O3642" s="317"/>
      <c r="P3642" s="318"/>
      <c r="Q3642" s="317"/>
      <c r="R3642" s="319">
        <v>3.86</v>
      </c>
      <c r="S3642" s="1093" t="str">
        <f>$L$3645</f>
        <v>m</v>
      </c>
      <c r="T3642" s="320">
        <v>40</v>
      </c>
      <c r="U3642" s="321"/>
      <c r="V3642" s="291">
        <f t="shared" ca="1" si="953"/>
        <v>-16.7</v>
      </c>
      <c r="W3642" s="256">
        <f t="shared" ca="1" si="948"/>
        <v>2</v>
      </c>
      <c r="X3642" s="256">
        <f t="shared" ca="1" si="952"/>
        <v>1</v>
      </c>
      <c r="Y3642" s="250"/>
      <c r="Z3642" s="250"/>
    </row>
    <row r="3643" spans="1:29" s="111" customFormat="1" ht="15" x14ac:dyDescent="0.2">
      <c r="A3643" s="288"/>
      <c r="B3643" s="322"/>
      <c r="C3643" s="382" t="s">
        <v>1363</v>
      </c>
      <c r="D3643" s="324"/>
      <c r="E3643" s="325"/>
      <c r="F3643" s="326"/>
      <c r="G3643" s="324"/>
      <c r="H3643" s="325"/>
      <c r="I3643" s="326"/>
      <c r="J3643" s="317"/>
      <c r="K3643" s="328"/>
      <c r="L3643" s="328"/>
      <c r="M3643" s="328"/>
      <c r="N3643" s="328"/>
      <c r="O3643" s="334"/>
      <c r="P3643" s="328"/>
      <c r="Q3643" s="334"/>
      <c r="R3643" s="333">
        <v>-16.7</v>
      </c>
      <c r="S3643" s="331" t="s">
        <v>301</v>
      </c>
      <c r="T3643" s="320">
        <v>44</v>
      </c>
      <c r="U3643" s="335"/>
      <c r="V3643" s="291">
        <f t="shared" ca="1" si="953"/>
        <v>-16.7</v>
      </c>
      <c r="W3643" s="256">
        <f t="shared" ca="1" si="948"/>
        <v>2</v>
      </c>
      <c r="X3643" s="256">
        <f t="shared" ca="1" si="952"/>
        <v>1</v>
      </c>
      <c r="Y3643" s="250"/>
      <c r="Z3643" s="250"/>
    </row>
    <row r="3644" spans="1:29" s="111" customFormat="1" ht="15" x14ac:dyDescent="0.2">
      <c r="A3644" s="288"/>
      <c r="B3644" s="338"/>
      <c r="C3644" s="339"/>
      <c r="D3644" s="340"/>
      <c r="E3644" s="341"/>
      <c r="F3644" s="342"/>
      <c r="G3644" s="340"/>
      <c r="H3644" s="341"/>
      <c r="I3644" s="342"/>
      <c r="J3644" s="343"/>
      <c r="K3644" s="344"/>
      <c r="L3644" s="345"/>
      <c r="M3644" s="346"/>
      <c r="N3644" s="347"/>
      <c r="O3644" s="348"/>
      <c r="P3644" s="345"/>
      <c r="Q3644" s="349"/>
      <c r="R3644" s="350"/>
      <c r="S3644" s="351"/>
      <c r="T3644" s="352"/>
      <c r="U3644" s="353"/>
      <c r="V3644" s="291">
        <f t="shared" ca="1" si="953"/>
        <v>-16.7</v>
      </c>
      <c r="W3644" s="256">
        <f t="shared" ca="1" si="948"/>
        <v>0</v>
      </c>
      <c r="X3644" s="256">
        <f t="shared" ca="1" si="952"/>
        <v>1</v>
      </c>
      <c r="Y3644" s="250"/>
      <c r="Z3644" s="250"/>
    </row>
    <row r="3645" spans="1:29" s="111" customFormat="1" ht="15.75" customHeight="1" x14ac:dyDescent="0.2">
      <c r="A3645" s="288"/>
      <c r="B3645" s="354"/>
      <c r="C3645" s="355"/>
      <c r="D3645" s="1354" t="s">
        <v>492</v>
      </c>
      <c r="E3645" s="1355"/>
      <c r="F3645" s="1355"/>
      <c r="G3645" s="1355"/>
      <c r="H3645" s="1355"/>
      <c r="I3645" s="1356"/>
      <c r="J3645" s="1357">
        <f>VLOOKUP(A3647,'11 - FINANCEIRO'!_xlnm.Print_Area,6,FALSE)</f>
        <v>79.28</v>
      </c>
      <c r="K3645" s="1358"/>
      <c r="L3645" s="356" t="str">
        <f>VLOOKUP(A3647,'11 - FINANCEIRO'!_xlnm.Print_Area,4,FALSE)</f>
        <v>m</v>
      </c>
      <c r="M3645" s="1359" t="s">
        <v>493</v>
      </c>
      <c r="N3645" s="1360"/>
      <c r="O3645" s="1360"/>
      <c r="P3645" s="1360"/>
      <c r="Q3645" s="1361"/>
      <c r="R3645" s="357">
        <f>TRUNC(SUM(R3641:R3644),3)</f>
        <v>0</v>
      </c>
      <c r="S3645" s="358" t="str">
        <f>L3645</f>
        <v>m</v>
      </c>
      <c r="T3645" s="359"/>
      <c r="U3645" s="360"/>
      <c r="V3645" s="291">
        <f t="shared" ca="1" si="953"/>
        <v>-16.7</v>
      </c>
      <c r="W3645" s="256">
        <f t="shared" ca="1" si="948"/>
        <v>2</v>
      </c>
      <c r="X3645" s="256">
        <f t="shared" ca="1" si="952"/>
        <v>1</v>
      </c>
      <c r="Y3645" s="250"/>
      <c r="Z3645" s="250"/>
    </row>
    <row r="3646" spans="1:29" s="293" customFormat="1" ht="15.75" customHeight="1" x14ac:dyDescent="0.2">
      <c r="A3646" s="288"/>
      <c r="B3646" s="354"/>
      <c r="C3646" s="361"/>
      <c r="D3646" s="1362" t="s">
        <v>494</v>
      </c>
      <c r="E3646" s="1363"/>
      <c r="F3646" s="1363"/>
      <c r="G3646" s="1363"/>
      <c r="H3646" s="1363"/>
      <c r="I3646" s="1364"/>
      <c r="J3646" s="1365">
        <f>R3645/J3645</f>
        <v>0</v>
      </c>
      <c r="K3646" s="1366"/>
      <c r="L3646" s="1369"/>
      <c r="M3646" s="1371" t="s">
        <v>495</v>
      </c>
      <c r="N3646" s="1372"/>
      <c r="O3646" s="1372"/>
      <c r="P3646" s="1372"/>
      <c r="Q3646" s="1373"/>
      <c r="R3646" s="362">
        <f>VLOOKUP(A3647,'11 - FINANCEIRO'!_xlnm.Print_Area,8,FALSE)</f>
        <v>16.7</v>
      </c>
      <c r="S3646" s="363" t="str">
        <f>L3645</f>
        <v>m</v>
      </c>
      <c r="T3646" s="359"/>
      <c r="U3646" s="360"/>
      <c r="V3646" s="291">
        <f t="shared" ca="1" si="953"/>
        <v>-16.7</v>
      </c>
      <c r="W3646" s="256">
        <f t="shared" ca="1" si="948"/>
        <v>2</v>
      </c>
      <c r="X3646" s="256">
        <f t="shared" ca="1" si="952"/>
        <v>1</v>
      </c>
      <c r="Y3646" s="256"/>
      <c r="Z3646" s="256"/>
      <c r="AA3646" s="292"/>
      <c r="AB3646" s="292"/>
      <c r="AC3646" s="292"/>
    </row>
    <row r="3647" spans="1:29" s="293" customFormat="1" ht="15.75" customHeight="1" x14ac:dyDescent="0.2">
      <c r="A3647" s="288" t="s">
        <v>243</v>
      </c>
      <c r="B3647" s="364"/>
      <c r="C3647" s="365"/>
      <c r="D3647" s="1354"/>
      <c r="E3647" s="1355"/>
      <c r="F3647" s="1355"/>
      <c r="G3647" s="1355"/>
      <c r="H3647" s="1355"/>
      <c r="I3647" s="1356"/>
      <c r="J3647" s="1367"/>
      <c r="K3647" s="1368"/>
      <c r="L3647" s="1370"/>
      <c r="M3647" s="1371" t="s">
        <v>496</v>
      </c>
      <c r="N3647" s="1372"/>
      <c r="O3647" s="1372"/>
      <c r="P3647" s="1372"/>
      <c r="Q3647" s="1373"/>
      <c r="R3647" s="362">
        <f>R3645-R3646</f>
        <v>-16.7</v>
      </c>
      <c r="S3647" s="363" t="str">
        <f>L3645</f>
        <v>m</v>
      </c>
      <c r="T3647" s="366"/>
      <c r="U3647" s="367"/>
      <c r="V3647" s="291">
        <f t="shared" ca="1" si="953"/>
        <v>-16.7</v>
      </c>
      <c r="W3647" s="256">
        <f t="shared" ca="1" si="948"/>
        <v>2</v>
      </c>
      <c r="X3647" s="256">
        <f t="shared" ca="1" si="952"/>
        <v>1</v>
      </c>
      <c r="Y3647" s="256"/>
      <c r="Z3647" s="256"/>
      <c r="AA3647" s="292"/>
      <c r="AB3647" s="292"/>
      <c r="AC3647" s="292"/>
    </row>
    <row r="3648" spans="1:29" s="111" customFormat="1" ht="15.75" x14ac:dyDescent="0.2">
      <c r="A3648" s="288"/>
      <c r="B3648" s="368"/>
      <c r="C3648" s="365"/>
      <c r="D3648" s="369"/>
      <c r="E3648" s="370"/>
      <c r="F3648" s="369"/>
      <c r="G3648" s="369"/>
      <c r="H3648" s="369"/>
      <c r="I3648" s="369"/>
      <c r="J3648" s="371"/>
      <c r="K3648" s="372"/>
      <c r="L3648" s="373"/>
      <c r="M3648" s="374"/>
      <c r="N3648" s="374"/>
      <c r="O3648" s="374"/>
      <c r="P3648" s="374"/>
      <c r="Q3648" s="374"/>
      <c r="R3648" s="375"/>
      <c r="S3648" s="376"/>
      <c r="T3648" s="377"/>
      <c r="U3648" s="378"/>
      <c r="V3648" s="379">
        <f ca="1">SUM(V3639:V3647)</f>
        <v>-150.29999999999998</v>
      </c>
      <c r="W3648" s="256">
        <f t="shared" ca="1" si="948"/>
        <v>1</v>
      </c>
      <c r="X3648" s="256">
        <f t="shared" ca="1" si="952"/>
        <v>0</v>
      </c>
      <c r="Y3648" s="250"/>
      <c r="Z3648" s="250"/>
    </row>
    <row r="3649" spans="1:29" s="293" customFormat="1" ht="15.75" hidden="1" customHeight="1" x14ac:dyDescent="0.25">
      <c r="A3649" s="288"/>
      <c r="B3649" s="1374" t="str">
        <f>VLOOKUP(A3657,'11 - FINANCEIRO'!_xlnm.Print_Area,1,FALSE)</f>
        <v>4.7.10</v>
      </c>
      <c r="C3649" s="1376" t="str">
        <f>VLOOKUP(A3657,'11 - FINANCEIRO'!_xlnm.Print_Area,3,FALSE)</f>
        <v>Demolição Manual De Construções Provisórias - Sem Reaproveitamento, Incluído Transporte E Destinação</v>
      </c>
      <c r="D3649" s="1378" t="s">
        <v>477</v>
      </c>
      <c r="E3649" s="1379"/>
      <c r="F3649" s="1379"/>
      <c r="G3649" s="1379"/>
      <c r="H3649" s="1379"/>
      <c r="I3649" s="1380"/>
      <c r="J3649" s="1338" t="s">
        <v>478</v>
      </c>
      <c r="K3649" s="1338" t="s">
        <v>479</v>
      </c>
      <c r="L3649" s="1338" t="s">
        <v>480</v>
      </c>
      <c r="M3649" s="1338" t="s">
        <v>481</v>
      </c>
      <c r="N3649" s="1338" t="s">
        <v>482</v>
      </c>
      <c r="O3649" s="1338" t="s">
        <v>483</v>
      </c>
      <c r="P3649" s="290" t="s">
        <v>484</v>
      </c>
      <c r="Q3649" s="1338" t="s">
        <v>485</v>
      </c>
      <c r="R3649" s="1336" t="s">
        <v>296</v>
      </c>
      <c r="S3649" s="1338" t="s">
        <v>486</v>
      </c>
      <c r="T3649" s="1338" t="s">
        <v>487</v>
      </c>
      <c r="U3649" s="1340" t="s">
        <v>488</v>
      </c>
      <c r="V3649" s="291">
        <f t="shared" ref="V3649:V3657" ca="1" si="954">IF(OFFSET(V3649,1,1)=1,OFFSET(V3649,0,-4),OFFSET(V3649,1,0))</f>
        <v>0</v>
      </c>
      <c r="W3649" s="256">
        <f t="shared" ca="1" si="948"/>
        <v>2</v>
      </c>
      <c r="X3649" s="256">
        <f t="shared" ca="1" si="952"/>
        <v>1</v>
      </c>
      <c r="Y3649" s="256"/>
      <c r="Z3649" s="256"/>
      <c r="AA3649" s="292"/>
      <c r="AB3649" s="292"/>
      <c r="AC3649" s="292"/>
    </row>
    <row r="3650" spans="1:29" s="337" customFormat="1" ht="15.75" hidden="1" x14ac:dyDescent="0.2">
      <c r="A3650" s="288"/>
      <c r="B3650" s="1375"/>
      <c r="C3650" s="1377" t="e">
        <f>VLOOKUP(LEFT(#REF!,5),'11 - FINANCEIRO'!_xlnm.Print_Area,2,FALSE)</f>
        <v>#REF!</v>
      </c>
      <c r="D3650" s="1342" t="s">
        <v>489</v>
      </c>
      <c r="E3650" s="1343"/>
      <c r="F3650" s="1344"/>
      <c r="G3650" s="1345" t="s">
        <v>490</v>
      </c>
      <c r="H3650" s="1346"/>
      <c r="I3650" s="1347"/>
      <c r="J3650" s="1339"/>
      <c r="K3650" s="1339"/>
      <c r="L3650" s="1339"/>
      <c r="M3650" s="1339"/>
      <c r="N3650" s="1339"/>
      <c r="O3650" s="1339"/>
      <c r="P3650" s="295" t="s">
        <v>491</v>
      </c>
      <c r="Q3650" s="1339"/>
      <c r="R3650" s="1337"/>
      <c r="S3650" s="1339"/>
      <c r="T3650" s="1339"/>
      <c r="U3650" s="1341"/>
      <c r="V3650" s="291">
        <f t="shared" ca="1" si="954"/>
        <v>0</v>
      </c>
      <c r="W3650" s="256">
        <f t="shared" ca="1" si="948"/>
        <v>2</v>
      </c>
      <c r="X3650" s="256">
        <f t="shared" ca="1" si="952"/>
        <v>1</v>
      </c>
      <c r="Y3650" s="336"/>
      <c r="Z3650" s="336"/>
    </row>
    <row r="3651" spans="1:29" s="337" customFormat="1" ht="15.75" hidden="1" x14ac:dyDescent="0.2">
      <c r="A3651" s="288"/>
      <c r="B3651" s="296"/>
      <c r="C3651" s="297"/>
      <c r="D3651" s="298"/>
      <c r="E3651" s="299"/>
      <c r="F3651" s="300"/>
      <c r="G3651" s="301"/>
      <c r="H3651" s="302"/>
      <c r="I3651" s="303"/>
      <c r="J3651" s="304"/>
      <c r="K3651" s="304"/>
      <c r="L3651" s="304"/>
      <c r="M3651" s="304"/>
      <c r="N3651" s="304"/>
      <c r="O3651" s="304"/>
      <c r="P3651" s="306"/>
      <c r="Q3651" s="304"/>
      <c r="R3651" s="307"/>
      <c r="S3651" s="304"/>
      <c r="T3651" s="309"/>
      <c r="U3651" s="310"/>
      <c r="V3651" s="291">
        <f t="shared" ca="1" si="954"/>
        <v>0</v>
      </c>
      <c r="W3651" s="256">
        <f t="shared" ca="1" si="948"/>
        <v>0</v>
      </c>
      <c r="X3651" s="256">
        <f t="shared" ca="1" si="952"/>
        <v>1</v>
      </c>
      <c r="Y3651" s="336"/>
      <c r="Z3651" s="336"/>
    </row>
    <row r="3652" spans="1:29" s="111" customFormat="1" ht="15.75" hidden="1" x14ac:dyDescent="0.2">
      <c r="A3652" s="288"/>
      <c r="B3652" s="311"/>
      <c r="C3652" s="312"/>
      <c r="D3652" s="313"/>
      <c r="E3652" s="314"/>
      <c r="F3652" s="315"/>
      <c r="G3652" s="380"/>
      <c r="H3652" s="316"/>
      <c r="I3652" s="381"/>
      <c r="J3652" s="317"/>
      <c r="K3652" s="313"/>
      <c r="L3652" s="317"/>
      <c r="M3652" s="315"/>
      <c r="N3652" s="314"/>
      <c r="O3652" s="313"/>
      <c r="P3652" s="318"/>
      <c r="Q3652" s="315"/>
      <c r="R3652" s="319"/>
      <c r="S3652" s="317"/>
      <c r="T3652" s="320"/>
      <c r="U3652" s="321"/>
      <c r="V3652" s="291">
        <f t="shared" ca="1" si="954"/>
        <v>0</v>
      </c>
      <c r="W3652" s="256">
        <f t="shared" ca="1" si="948"/>
        <v>0</v>
      </c>
      <c r="X3652" s="256">
        <f t="shared" ca="1" si="952"/>
        <v>1</v>
      </c>
      <c r="Y3652" s="250"/>
      <c r="Z3652" s="250"/>
    </row>
    <row r="3653" spans="1:29" s="111" customFormat="1" ht="15" hidden="1" x14ac:dyDescent="0.2">
      <c r="A3653" s="288"/>
      <c r="B3653" s="322"/>
      <c r="C3653" s="382"/>
      <c r="D3653" s="324"/>
      <c r="E3653" s="325"/>
      <c r="F3653" s="326"/>
      <c r="G3653" s="324"/>
      <c r="H3653" s="325"/>
      <c r="I3653" s="326"/>
      <c r="J3653" s="317"/>
      <c r="K3653" s="328"/>
      <c r="L3653" s="328"/>
      <c r="M3653" s="328"/>
      <c r="N3653" s="328"/>
      <c r="O3653" s="334"/>
      <c r="P3653" s="328"/>
      <c r="Q3653" s="334"/>
      <c r="R3653" s="333"/>
      <c r="S3653" s="331"/>
      <c r="T3653" s="320"/>
      <c r="U3653" s="335"/>
      <c r="V3653" s="291">
        <f t="shared" ca="1" si="954"/>
        <v>0</v>
      </c>
      <c r="W3653" s="256">
        <f t="shared" ca="1" si="948"/>
        <v>0</v>
      </c>
      <c r="X3653" s="256">
        <f t="shared" ca="1" si="952"/>
        <v>1</v>
      </c>
      <c r="Y3653" s="250"/>
      <c r="Z3653" s="250"/>
    </row>
    <row r="3654" spans="1:29" s="111" customFormat="1" ht="15" hidden="1" x14ac:dyDescent="0.2">
      <c r="A3654" s="288"/>
      <c r="B3654" s="338"/>
      <c r="C3654" s="339"/>
      <c r="D3654" s="340"/>
      <c r="E3654" s="341"/>
      <c r="F3654" s="342"/>
      <c r="G3654" s="340"/>
      <c r="H3654" s="341"/>
      <c r="I3654" s="342"/>
      <c r="J3654" s="343"/>
      <c r="K3654" s="344"/>
      <c r="L3654" s="345"/>
      <c r="M3654" s="346"/>
      <c r="N3654" s="347"/>
      <c r="O3654" s="348"/>
      <c r="P3654" s="345"/>
      <c r="Q3654" s="349"/>
      <c r="R3654" s="350"/>
      <c r="S3654" s="351"/>
      <c r="T3654" s="352"/>
      <c r="U3654" s="353"/>
      <c r="V3654" s="291">
        <f t="shared" ca="1" si="954"/>
        <v>0</v>
      </c>
      <c r="W3654" s="256">
        <f t="shared" ca="1" si="948"/>
        <v>0</v>
      </c>
      <c r="X3654" s="256">
        <f t="shared" ca="1" si="952"/>
        <v>1</v>
      </c>
      <c r="Y3654" s="250"/>
      <c r="Z3654" s="250"/>
    </row>
    <row r="3655" spans="1:29" s="111" customFormat="1" ht="15.75" hidden="1" customHeight="1" x14ac:dyDescent="0.2">
      <c r="A3655" s="288"/>
      <c r="B3655" s="354"/>
      <c r="C3655" s="355"/>
      <c r="D3655" s="1354" t="s">
        <v>492</v>
      </c>
      <c r="E3655" s="1355"/>
      <c r="F3655" s="1355"/>
      <c r="G3655" s="1355"/>
      <c r="H3655" s="1355"/>
      <c r="I3655" s="1356"/>
      <c r="J3655" s="1357">
        <f>VLOOKUP(A3657,'11 - FINANCEIRO'!_xlnm.Print_Area,6,FALSE)</f>
        <v>47</v>
      </c>
      <c r="K3655" s="1358"/>
      <c r="L3655" s="356" t="str">
        <f>VLOOKUP(A3657,'11 - FINANCEIRO'!_xlnm.Print_Area,4,FALSE)</f>
        <v>m²</v>
      </c>
      <c r="M3655" s="1359" t="s">
        <v>493</v>
      </c>
      <c r="N3655" s="1360"/>
      <c r="O3655" s="1360"/>
      <c r="P3655" s="1360"/>
      <c r="Q3655" s="1361"/>
      <c r="R3655" s="357">
        <f>TRUNC(SUM(R3651:R3654),3)</f>
        <v>0</v>
      </c>
      <c r="S3655" s="358" t="str">
        <f>L3655</f>
        <v>m²</v>
      </c>
      <c r="T3655" s="359"/>
      <c r="U3655" s="360"/>
      <c r="V3655" s="291">
        <f t="shared" ca="1" si="954"/>
        <v>0</v>
      </c>
      <c r="W3655" s="256">
        <f t="shared" ca="1" si="948"/>
        <v>2</v>
      </c>
      <c r="X3655" s="256">
        <f t="shared" ca="1" si="952"/>
        <v>1</v>
      </c>
      <c r="Y3655" s="250"/>
      <c r="Z3655" s="250"/>
    </row>
    <row r="3656" spans="1:29" s="293" customFormat="1" ht="15.75" hidden="1" customHeight="1" x14ac:dyDescent="0.2">
      <c r="A3656" s="288"/>
      <c r="B3656" s="354"/>
      <c r="C3656" s="361"/>
      <c r="D3656" s="1362" t="s">
        <v>494</v>
      </c>
      <c r="E3656" s="1363"/>
      <c r="F3656" s="1363"/>
      <c r="G3656" s="1363"/>
      <c r="H3656" s="1363"/>
      <c r="I3656" s="1364"/>
      <c r="J3656" s="1365">
        <f>R3655/J3655</f>
        <v>0</v>
      </c>
      <c r="K3656" s="1366"/>
      <c r="L3656" s="1369"/>
      <c r="M3656" s="1371" t="s">
        <v>495</v>
      </c>
      <c r="N3656" s="1372"/>
      <c r="O3656" s="1372"/>
      <c r="P3656" s="1372"/>
      <c r="Q3656" s="1373"/>
      <c r="R3656" s="362">
        <f>VLOOKUP(A3657,'11 - FINANCEIRO'!_xlnm.Print_Area,8,FALSE)</f>
        <v>0</v>
      </c>
      <c r="S3656" s="363" t="str">
        <f>L3655</f>
        <v>m²</v>
      </c>
      <c r="T3656" s="359"/>
      <c r="U3656" s="360"/>
      <c r="V3656" s="291">
        <f t="shared" ca="1" si="954"/>
        <v>0</v>
      </c>
      <c r="W3656" s="256">
        <f t="shared" ca="1" si="948"/>
        <v>2</v>
      </c>
      <c r="X3656" s="256">
        <f t="shared" ca="1" si="952"/>
        <v>1</v>
      </c>
      <c r="Y3656" s="256"/>
      <c r="Z3656" s="256"/>
      <c r="AA3656" s="292"/>
      <c r="AB3656" s="292"/>
      <c r="AC3656" s="292"/>
    </row>
    <row r="3657" spans="1:29" s="293" customFormat="1" ht="15.75" hidden="1" customHeight="1" x14ac:dyDescent="0.2">
      <c r="A3657" s="288" t="s">
        <v>244</v>
      </c>
      <c r="B3657" s="364"/>
      <c r="C3657" s="365"/>
      <c r="D3657" s="1354"/>
      <c r="E3657" s="1355"/>
      <c r="F3657" s="1355"/>
      <c r="G3657" s="1355"/>
      <c r="H3657" s="1355"/>
      <c r="I3657" s="1356"/>
      <c r="J3657" s="1367"/>
      <c r="K3657" s="1368"/>
      <c r="L3657" s="1370"/>
      <c r="M3657" s="1371" t="s">
        <v>496</v>
      </c>
      <c r="N3657" s="1372"/>
      <c r="O3657" s="1372"/>
      <c r="P3657" s="1372"/>
      <c r="Q3657" s="1373"/>
      <c r="R3657" s="362">
        <f>R3655-R3656</f>
        <v>0</v>
      </c>
      <c r="S3657" s="363" t="str">
        <f>L3655</f>
        <v>m²</v>
      </c>
      <c r="T3657" s="366"/>
      <c r="U3657" s="367"/>
      <c r="V3657" s="291">
        <f t="shared" ca="1" si="954"/>
        <v>0</v>
      </c>
      <c r="W3657" s="256">
        <f t="shared" ca="1" si="948"/>
        <v>2</v>
      </c>
      <c r="X3657" s="256">
        <f t="shared" ca="1" si="952"/>
        <v>1</v>
      </c>
      <c r="Y3657" s="256"/>
      <c r="Z3657" s="256"/>
      <c r="AA3657" s="292"/>
      <c r="AB3657" s="292"/>
      <c r="AC3657" s="292"/>
    </row>
    <row r="3658" spans="1:29" s="111" customFormat="1" ht="15.75" hidden="1" x14ac:dyDescent="0.2">
      <c r="A3658" s="288"/>
      <c r="B3658" s="368"/>
      <c r="C3658" s="365"/>
      <c r="D3658" s="369"/>
      <c r="E3658" s="370"/>
      <c r="F3658" s="369"/>
      <c r="G3658" s="369"/>
      <c r="H3658" s="369"/>
      <c r="I3658" s="369"/>
      <c r="J3658" s="371"/>
      <c r="K3658" s="372"/>
      <c r="L3658" s="373"/>
      <c r="M3658" s="374"/>
      <c r="N3658" s="374"/>
      <c r="O3658" s="374"/>
      <c r="P3658" s="374"/>
      <c r="Q3658" s="374"/>
      <c r="R3658" s="375"/>
      <c r="S3658" s="376"/>
      <c r="T3658" s="377"/>
      <c r="U3658" s="378"/>
      <c r="V3658" s="379">
        <f ca="1">SUM(V3649:V3657)</f>
        <v>0</v>
      </c>
      <c r="W3658" s="256">
        <f t="shared" ca="1" si="948"/>
        <v>1</v>
      </c>
      <c r="X3658" s="256">
        <f t="shared" ca="1" si="952"/>
        <v>0</v>
      </c>
      <c r="Y3658" s="250"/>
      <c r="Z3658" s="250"/>
    </row>
    <row r="3659" spans="1:29" s="293" customFormat="1" ht="15.75" hidden="1" customHeight="1" x14ac:dyDescent="0.25">
      <c r="A3659" s="288"/>
      <c r="B3659" s="1374" t="str">
        <f>VLOOKUP(A3667,'11 - FINANCEIRO'!_xlnm.Print_Area,1,FALSE)</f>
        <v>4.7.11</v>
      </c>
      <c r="C3659" s="1376" t="str">
        <f>VLOOKUP(A3667,'11 - FINANCEIRO'!_xlnm.Print_Area,3,FALSE)</f>
        <v>Armação Em Aço Ca-50 - Fornecimento, Preparo E Colocação</v>
      </c>
      <c r="D3659" s="1378" t="s">
        <v>477</v>
      </c>
      <c r="E3659" s="1379"/>
      <c r="F3659" s="1379"/>
      <c r="G3659" s="1379"/>
      <c r="H3659" s="1379"/>
      <c r="I3659" s="1380"/>
      <c r="J3659" s="1338" t="s">
        <v>478</v>
      </c>
      <c r="K3659" s="1338" t="s">
        <v>479</v>
      </c>
      <c r="L3659" s="1338" t="s">
        <v>480</v>
      </c>
      <c r="M3659" s="1338" t="s">
        <v>481</v>
      </c>
      <c r="N3659" s="1338" t="s">
        <v>482</v>
      </c>
      <c r="O3659" s="1338" t="s">
        <v>483</v>
      </c>
      <c r="P3659" s="290" t="s">
        <v>484</v>
      </c>
      <c r="Q3659" s="1338" t="s">
        <v>485</v>
      </c>
      <c r="R3659" s="1336" t="s">
        <v>296</v>
      </c>
      <c r="S3659" s="1338" t="s">
        <v>486</v>
      </c>
      <c r="T3659" s="1338" t="s">
        <v>487</v>
      </c>
      <c r="U3659" s="1340" t="s">
        <v>488</v>
      </c>
      <c r="V3659" s="291">
        <f t="shared" ref="V3659:V3667" ca="1" si="955">IF(OFFSET(V3659,1,1)=1,OFFSET(V3659,0,-4),OFFSET(V3659,1,0))</f>
        <v>0</v>
      </c>
      <c r="W3659" s="256">
        <f t="shared" ca="1" si="948"/>
        <v>2</v>
      </c>
      <c r="X3659" s="256">
        <f t="shared" ca="1" si="952"/>
        <v>1</v>
      </c>
      <c r="Y3659" s="256"/>
      <c r="Z3659" s="256"/>
      <c r="AA3659" s="292"/>
      <c r="AB3659" s="292"/>
      <c r="AC3659" s="292"/>
    </row>
    <row r="3660" spans="1:29" s="337" customFormat="1" ht="15.75" hidden="1" x14ac:dyDescent="0.2">
      <c r="A3660" s="288"/>
      <c r="B3660" s="1375"/>
      <c r="C3660" s="1377" t="e">
        <f>VLOOKUP(LEFT(#REF!,5),'11 - FINANCEIRO'!_xlnm.Print_Area,2,FALSE)</f>
        <v>#REF!</v>
      </c>
      <c r="D3660" s="1342" t="s">
        <v>489</v>
      </c>
      <c r="E3660" s="1343"/>
      <c r="F3660" s="1344"/>
      <c r="G3660" s="1345" t="s">
        <v>490</v>
      </c>
      <c r="H3660" s="1346"/>
      <c r="I3660" s="1347"/>
      <c r="J3660" s="1339"/>
      <c r="K3660" s="1339"/>
      <c r="L3660" s="1339"/>
      <c r="M3660" s="1339"/>
      <c r="N3660" s="1339"/>
      <c r="O3660" s="1339"/>
      <c r="P3660" s="295" t="s">
        <v>491</v>
      </c>
      <c r="Q3660" s="1339"/>
      <c r="R3660" s="1337"/>
      <c r="S3660" s="1339"/>
      <c r="T3660" s="1339"/>
      <c r="U3660" s="1341"/>
      <c r="V3660" s="291">
        <f t="shared" ca="1" si="955"/>
        <v>0</v>
      </c>
      <c r="W3660" s="256">
        <f t="shared" ca="1" si="948"/>
        <v>2</v>
      </c>
      <c r="X3660" s="256">
        <f t="shared" ca="1" si="952"/>
        <v>1</v>
      </c>
      <c r="Y3660" s="336"/>
      <c r="Z3660" s="336"/>
    </row>
    <row r="3661" spans="1:29" s="337" customFormat="1" ht="15.75" hidden="1" x14ac:dyDescent="0.2">
      <c r="A3661" s="288"/>
      <c r="B3661" s="296"/>
      <c r="C3661" s="297"/>
      <c r="D3661" s="298"/>
      <c r="E3661" s="299"/>
      <c r="F3661" s="300"/>
      <c r="G3661" s="301"/>
      <c r="H3661" s="302"/>
      <c r="I3661" s="303"/>
      <c r="J3661" s="304"/>
      <c r="K3661" s="304"/>
      <c r="L3661" s="304"/>
      <c r="M3661" s="304"/>
      <c r="N3661" s="304"/>
      <c r="O3661" s="304"/>
      <c r="P3661" s="306"/>
      <c r="Q3661" s="304"/>
      <c r="R3661" s="307"/>
      <c r="S3661" s="304"/>
      <c r="T3661" s="309"/>
      <c r="U3661" s="310"/>
      <c r="V3661" s="291">
        <f t="shared" ca="1" si="955"/>
        <v>0</v>
      </c>
      <c r="W3661" s="256">
        <f t="shared" ca="1" si="948"/>
        <v>0</v>
      </c>
      <c r="X3661" s="256">
        <f t="shared" ca="1" si="952"/>
        <v>1</v>
      </c>
      <c r="Y3661" s="336"/>
      <c r="Z3661" s="336"/>
    </row>
    <row r="3662" spans="1:29" s="111" customFormat="1" ht="15.75" hidden="1" x14ac:dyDescent="0.2">
      <c r="A3662" s="288"/>
      <c r="B3662" s="311"/>
      <c r="C3662" s="312"/>
      <c r="D3662" s="313"/>
      <c r="E3662" s="314"/>
      <c r="F3662" s="315"/>
      <c r="G3662" s="380"/>
      <c r="H3662" s="316"/>
      <c r="I3662" s="381"/>
      <c r="J3662" s="317"/>
      <c r="K3662" s="313"/>
      <c r="L3662" s="317"/>
      <c r="M3662" s="315"/>
      <c r="N3662" s="314"/>
      <c r="O3662" s="313"/>
      <c r="P3662" s="318"/>
      <c r="Q3662" s="315"/>
      <c r="R3662" s="319"/>
      <c r="S3662" s="317"/>
      <c r="T3662" s="320"/>
      <c r="U3662" s="321"/>
      <c r="V3662" s="291">
        <f t="shared" ca="1" si="955"/>
        <v>0</v>
      </c>
      <c r="W3662" s="256">
        <f t="shared" ca="1" si="948"/>
        <v>0</v>
      </c>
      <c r="X3662" s="256">
        <f t="shared" ca="1" si="952"/>
        <v>1</v>
      </c>
      <c r="Y3662" s="250"/>
      <c r="Z3662" s="250"/>
    </row>
    <row r="3663" spans="1:29" s="111" customFormat="1" ht="15" hidden="1" x14ac:dyDescent="0.2">
      <c r="A3663" s="288"/>
      <c r="B3663" s="322"/>
      <c r="C3663" s="382"/>
      <c r="D3663" s="324"/>
      <c r="E3663" s="325"/>
      <c r="F3663" s="326"/>
      <c r="G3663" s="324"/>
      <c r="H3663" s="325"/>
      <c r="I3663" s="326"/>
      <c r="J3663" s="317"/>
      <c r="K3663" s="328"/>
      <c r="L3663" s="328"/>
      <c r="M3663" s="328"/>
      <c r="N3663" s="328"/>
      <c r="O3663" s="334"/>
      <c r="P3663" s="328"/>
      <c r="Q3663" s="334"/>
      <c r="R3663" s="333"/>
      <c r="S3663" s="331"/>
      <c r="T3663" s="320"/>
      <c r="U3663" s="335"/>
      <c r="V3663" s="291">
        <f t="shared" ca="1" si="955"/>
        <v>0</v>
      </c>
      <c r="W3663" s="256">
        <f t="shared" ca="1" si="948"/>
        <v>0</v>
      </c>
      <c r="X3663" s="256">
        <f t="shared" ca="1" si="952"/>
        <v>1</v>
      </c>
      <c r="Y3663" s="250"/>
      <c r="Z3663" s="250"/>
    </row>
    <row r="3664" spans="1:29" s="111" customFormat="1" ht="15" hidden="1" x14ac:dyDescent="0.2">
      <c r="A3664" s="288"/>
      <c r="B3664" s="338"/>
      <c r="C3664" s="339"/>
      <c r="D3664" s="340"/>
      <c r="E3664" s="341"/>
      <c r="F3664" s="342"/>
      <c r="G3664" s="340"/>
      <c r="H3664" s="341"/>
      <c r="I3664" s="342"/>
      <c r="J3664" s="343"/>
      <c r="K3664" s="344"/>
      <c r="L3664" s="345"/>
      <c r="M3664" s="346"/>
      <c r="N3664" s="347"/>
      <c r="O3664" s="348"/>
      <c r="P3664" s="345"/>
      <c r="Q3664" s="349"/>
      <c r="R3664" s="350"/>
      <c r="S3664" s="351"/>
      <c r="T3664" s="352"/>
      <c r="U3664" s="353"/>
      <c r="V3664" s="291">
        <f t="shared" ca="1" si="955"/>
        <v>0</v>
      </c>
      <c r="W3664" s="256">
        <f t="shared" ca="1" si="948"/>
        <v>0</v>
      </c>
      <c r="X3664" s="256">
        <f t="shared" ca="1" si="952"/>
        <v>1</v>
      </c>
      <c r="Y3664" s="250"/>
      <c r="Z3664" s="250"/>
    </row>
    <row r="3665" spans="1:29" s="111" customFormat="1" ht="15.75" hidden="1" customHeight="1" x14ac:dyDescent="0.2">
      <c r="A3665" s="288"/>
      <c r="B3665" s="354"/>
      <c r="C3665" s="355"/>
      <c r="D3665" s="1354" t="s">
        <v>492</v>
      </c>
      <c r="E3665" s="1355"/>
      <c r="F3665" s="1355"/>
      <c r="G3665" s="1355"/>
      <c r="H3665" s="1355"/>
      <c r="I3665" s="1356"/>
      <c r="J3665" s="1357">
        <f>VLOOKUP(A3667,'11 - FINANCEIRO'!_xlnm.Print_Area,6,FALSE)</f>
        <v>99</v>
      </c>
      <c r="K3665" s="1358"/>
      <c r="L3665" s="356" t="str">
        <f>VLOOKUP(A3667,'11 - FINANCEIRO'!_xlnm.Print_Area,4,FALSE)</f>
        <v>kg</v>
      </c>
      <c r="M3665" s="1359" t="s">
        <v>493</v>
      </c>
      <c r="N3665" s="1360"/>
      <c r="O3665" s="1360"/>
      <c r="P3665" s="1360"/>
      <c r="Q3665" s="1361"/>
      <c r="R3665" s="357">
        <f>TRUNC(SUM(R3661:R3664),3)</f>
        <v>0</v>
      </c>
      <c r="S3665" s="358" t="str">
        <f>L3665</f>
        <v>kg</v>
      </c>
      <c r="T3665" s="359"/>
      <c r="U3665" s="360"/>
      <c r="V3665" s="291">
        <f t="shared" ca="1" si="955"/>
        <v>0</v>
      </c>
      <c r="W3665" s="256">
        <f t="shared" ca="1" si="948"/>
        <v>2</v>
      </c>
      <c r="X3665" s="256">
        <f t="shared" ca="1" si="952"/>
        <v>1</v>
      </c>
      <c r="Y3665" s="250"/>
      <c r="Z3665" s="250"/>
    </row>
    <row r="3666" spans="1:29" s="293" customFormat="1" ht="15.75" hidden="1" customHeight="1" x14ac:dyDescent="0.2">
      <c r="A3666" s="288"/>
      <c r="B3666" s="354"/>
      <c r="C3666" s="361"/>
      <c r="D3666" s="1362" t="s">
        <v>494</v>
      </c>
      <c r="E3666" s="1363"/>
      <c r="F3666" s="1363"/>
      <c r="G3666" s="1363"/>
      <c r="H3666" s="1363"/>
      <c r="I3666" s="1364"/>
      <c r="J3666" s="1365">
        <f>R3665/J3665</f>
        <v>0</v>
      </c>
      <c r="K3666" s="1366"/>
      <c r="L3666" s="1369"/>
      <c r="M3666" s="1371" t="s">
        <v>495</v>
      </c>
      <c r="N3666" s="1372"/>
      <c r="O3666" s="1372"/>
      <c r="P3666" s="1372"/>
      <c r="Q3666" s="1373"/>
      <c r="R3666" s="362">
        <f>VLOOKUP(A3667,'11 - FINANCEIRO'!_xlnm.Print_Area,8,FALSE)</f>
        <v>0</v>
      </c>
      <c r="S3666" s="363" t="str">
        <f>L3665</f>
        <v>kg</v>
      </c>
      <c r="T3666" s="359"/>
      <c r="U3666" s="360"/>
      <c r="V3666" s="291">
        <f t="shared" ca="1" si="955"/>
        <v>0</v>
      </c>
      <c r="W3666" s="256">
        <f t="shared" ca="1" si="948"/>
        <v>2</v>
      </c>
      <c r="X3666" s="256">
        <f t="shared" ca="1" si="952"/>
        <v>1</v>
      </c>
      <c r="Y3666" s="256"/>
      <c r="Z3666" s="256"/>
      <c r="AA3666" s="292"/>
      <c r="AB3666" s="292"/>
      <c r="AC3666" s="292"/>
    </row>
    <row r="3667" spans="1:29" s="293" customFormat="1" ht="15.75" hidden="1" customHeight="1" x14ac:dyDescent="0.2">
      <c r="A3667" s="288" t="s">
        <v>245</v>
      </c>
      <c r="B3667" s="364"/>
      <c r="C3667" s="365"/>
      <c r="D3667" s="1354"/>
      <c r="E3667" s="1355"/>
      <c r="F3667" s="1355"/>
      <c r="G3667" s="1355"/>
      <c r="H3667" s="1355"/>
      <c r="I3667" s="1356"/>
      <c r="J3667" s="1367"/>
      <c r="K3667" s="1368"/>
      <c r="L3667" s="1370"/>
      <c r="M3667" s="1371" t="s">
        <v>496</v>
      </c>
      <c r="N3667" s="1372"/>
      <c r="O3667" s="1372"/>
      <c r="P3667" s="1372"/>
      <c r="Q3667" s="1373"/>
      <c r="R3667" s="362">
        <f>R3665-R3666</f>
        <v>0</v>
      </c>
      <c r="S3667" s="363" t="str">
        <f>L3665</f>
        <v>kg</v>
      </c>
      <c r="T3667" s="366"/>
      <c r="U3667" s="367"/>
      <c r="V3667" s="291">
        <f t="shared" ca="1" si="955"/>
        <v>0</v>
      </c>
      <c r="W3667" s="256">
        <f t="shared" ca="1" si="948"/>
        <v>2</v>
      </c>
      <c r="X3667" s="256">
        <f t="shared" ca="1" si="952"/>
        <v>1</v>
      </c>
      <c r="Y3667" s="256"/>
      <c r="Z3667" s="256"/>
      <c r="AA3667" s="292"/>
      <c r="AB3667" s="292"/>
      <c r="AC3667" s="292"/>
    </row>
    <row r="3668" spans="1:29" s="111" customFormat="1" ht="15.75" hidden="1" x14ac:dyDescent="0.2">
      <c r="A3668" s="288"/>
      <c r="B3668" s="368"/>
      <c r="C3668" s="365"/>
      <c r="D3668" s="369"/>
      <c r="E3668" s="370"/>
      <c r="F3668" s="369"/>
      <c r="G3668" s="369"/>
      <c r="H3668" s="369"/>
      <c r="I3668" s="369"/>
      <c r="J3668" s="371"/>
      <c r="K3668" s="372"/>
      <c r="L3668" s="373"/>
      <c r="M3668" s="374"/>
      <c r="N3668" s="374"/>
      <c r="O3668" s="374"/>
      <c r="P3668" s="374"/>
      <c r="Q3668" s="374"/>
      <c r="R3668" s="375"/>
      <c r="S3668" s="376"/>
      <c r="T3668" s="377"/>
      <c r="U3668" s="378"/>
      <c r="V3668" s="379">
        <f ca="1">SUM(V3659:V3667)</f>
        <v>0</v>
      </c>
      <c r="W3668" s="256">
        <f t="shared" ca="1" si="948"/>
        <v>1</v>
      </c>
      <c r="X3668" s="256">
        <f t="shared" ca="1" si="952"/>
        <v>0</v>
      </c>
      <c r="Y3668" s="250"/>
      <c r="Z3668" s="250"/>
    </row>
    <row r="3669" spans="1:29" s="293" customFormat="1" ht="15.75" hidden="1" customHeight="1" x14ac:dyDescent="0.25">
      <c r="A3669" s="288"/>
      <c r="B3669" s="1374" t="str">
        <f>VLOOKUP(A3677,'11 - FINANCEIRO'!_xlnm.Print_Area,1,FALSE)</f>
        <v>4.7.12</v>
      </c>
      <c r="C3669" s="1376" t="str">
        <f>VLOOKUP(A3677,'11 - FINANCEIRO'!_xlnm.Print_Area,3,FALSE)</f>
        <v>Concreto Para Bombeamento Fck = 30 Mpa - Confecção Em Central Dosadora De 30 M³/H - Areia E Brita Comerciais</v>
      </c>
      <c r="D3669" s="1378" t="s">
        <v>477</v>
      </c>
      <c r="E3669" s="1379"/>
      <c r="F3669" s="1379"/>
      <c r="G3669" s="1379"/>
      <c r="H3669" s="1379"/>
      <c r="I3669" s="1380"/>
      <c r="J3669" s="1338" t="s">
        <v>478</v>
      </c>
      <c r="K3669" s="1338" t="s">
        <v>479</v>
      </c>
      <c r="L3669" s="1338" t="s">
        <v>480</v>
      </c>
      <c r="M3669" s="1338" t="s">
        <v>481</v>
      </c>
      <c r="N3669" s="1338" t="s">
        <v>482</v>
      </c>
      <c r="O3669" s="1338" t="s">
        <v>483</v>
      </c>
      <c r="P3669" s="290" t="s">
        <v>484</v>
      </c>
      <c r="Q3669" s="1338" t="s">
        <v>485</v>
      </c>
      <c r="R3669" s="1336" t="s">
        <v>296</v>
      </c>
      <c r="S3669" s="1338" t="s">
        <v>486</v>
      </c>
      <c r="T3669" s="1338" t="s">
        <v>487</v>
      </c>
      <c r="U3669" s="1340" t="s">
        <v>488</v>
      </c>
      <c r="V3669" s="291">
        <f t="shared" ref="V3669:V3677" ca="1" si="956">IF(OFFSET(V3669,1,1)=1,OFFSET(V3669,0,-4),OFFSET(V3669,1,0))</f>
        <v>0</v>
      </c>
      <c r="W3669" s="256">
        <f t="shared" ref="W3669:W3781" ca="1" si="957">IF(LEFT(_xlfn.FORMULATEXT(V3669),3)="=SO",1,IF(COUNTA(A3669:U3669)=0,0,2))</f>
        <v>2</v>
      </c>
      <c r="X3669" s="256">
        <f t="shared" ca="1" si="952"/>
        <v>1</v>
      </c>
      <c r="Y3669" s="256"/>
      <c r="Z3669" s="256"/>
      <c r="AA3669" s="292"/>
      <c r="AB3669" s="292"/>
      <c r="AC3669" s="292"/>
    </row>
    <row r="3670" spans="1:29" s="337" customFormat="1" ht="15.75" hidden="1" x14ac:dyDescent="0.2">
      <c r="A3670" s="288"/>
      <c r="B3670" s="1375"/>
      <c r="C3670" s="1377" t="e">
        <f>VLOOKUP(LEFT(#REF!,5),'11 - FINANCEIRO'!_xlnm.Print_Area,2,FALSE)</f>
        <v>#REF!</v>
      </c>
      <c r="D3670" s="1342" t="s">
        <v>489</v>
      </c>
      <c r="E3670" s="1343"/>
      <c r="F3670" s="1344"/>
      <c r="G3670" s="1345" t="s">
        <v>490</v>
      </c>
      <c r="H3670" s="1346"/>
      <c r="I3670" s="1347"/>
      <c r="J3670" s="1339"/>
      <c r="K3670" s="1339"/>
      <c r="L3670" s="1339"/>
      <c r="M3670" s="1339"/>
      <c r="N3670" s="1339"/>
      <c r="O3670" s="1339"/>
      <c r="P3670" s="295" t="s">
        <v>491</v>
      </c>
      <c r="Q3670" s="1339"/>
      <c r="R3670" s="1337"/>
      <c r="S3670" s="1339"/>
      <c r="T3670" s="1339"/>
      <c r="U3670" s="1341"/>
      <c r="V3670" s="291">
        <f t="shared" ca="1" si="956"/>
        <v>0</v>
      </c>
      <c r="W3670" s="256">
        <f t="shared" ca="1" si="957"/>
        <v>2</v>
      </c>
      <c r="X3670" s="256">
        <f t="shared" ca="1" si="952"/>
        <v>1</v>
      </c>
      <c r="Y3670" s="336"/>
      <c r="Z3670" s="336"/>
    </row>
    <row r="3671" spans="1:29" s="337" customFormat="1" ht="15.75" hidden="1" x14ac:dyDescent="0.2">
      <c r="A3671" s="288"/>
      <c r="B3671" s="296"/>
      <c r="C3671" s="297"/>
      <c r="D3671" s="298"/>
      <c r="E3671" s="299"/>
      <c r="F3671" s="300"/>
      <c r="G3671" s="301"/>
      <c r="H3671" s="302"/>
      <c r="I3671" s="303"/>
      <c r="J3671" s="304"/>
      <c r="K3671" s="304"/>
      <c r="L3671" s="304"/>
      <c r="M3671" s="304"/>
      <c r="N3671" s="304"/>
      <c r="O3671" s="304"/>
      <c r="P3671" s="306"/>
      <c r="Q3671" s="304"/>
      <c r="R3671" s="307"/>
      <c r="S3671" s="304"/>
      <c r="T3671" s="309"/>
      <c r="U3671" s="310"/>
      <c r="V3671" s="291">
        <f t="shared" ca="1" si="956"/>
        <v>0</v>
      </c>
      <c r="W3671" s="256">
        <f t="shared" ca="1" si="957"/>
        <v>0</v>
      </c>
      <c r="X3671" s="256">
        <f t="shared" ca="1" si="952"/>
        <v>1</v>
      </c>
      <c r="Y3671" s="336"/>
      <c r="Z3671" s="336"/>
    </row>
    <row r="3672" spans="1:29" s="111" customFormat="1" ht="15.75" hidden="1" x14ac:dyDescent="0.2">
      <c r="A3672" s="288"/>
      <c r="B3672" s="311"/>
      <c r="C3672" s="312"/>
      <c r="D3672" s="313"/>
      <c r="E3672" s="314"/>
      <c r="F3672" s="315"/>
      <c r="G3672" s="380"/>
      <c r="H3672" s="316"/>
      <c r="I3672" s="381"/>
      <c r="J3672" s="317"/>
      <c r="K3672" s="313"/>
      <c r="L3672" s="317"/>
      <c r="M3672" s="315"/>
      <c r="N3672" s="314"/>
      <c r="O3672" s="313"/>
      <c r="P3672" s="318"/>
      <c r="Q3672" s="315"/>
      <c r="R3672" s="319"/>
      <c r="S3672" s="317"/>
      <c r="T3672" s="320"/>
      <c r="U3672" s="321"/>
      <c r="V3672" s="291">
        <f t="shared" ca="1" si="956"/>
        <v>0</v>
      </c>
      <c r="W3672" s="256">
        <f t="shared" ca="1" si="957"/>
        <v>0</v>
      </c>
      <c r="X3672" s="256">
        <f t="shared" ca="1" si="952"/>
        <v>1</v>
      </c>
      <c r="Y3672" s="250"/>
      <c r="Z3672" s="250"/>
    </row>
    <row r="3673" spans="1:29" s="111" customFormat="1" ht="15" hidden="1" x14ac:dyDescent="0.2">
      <c r="A3673" s="288"/>
      <c r="B3673" s="322"/>
      <c r="C3673" s="382"/>
      <c r="D3673" s="324"/>
      <c r="E3673" s="325"/>
      <c r="F3673" s="326"/>
      <c r="G3673" s="324"/>
      <c r="H3673" s="325"/>
      <c r="I3673" s="326"/>
      <c r="J3673" s="317"/>
      <c r="K3673" s="328"/>
      <c r="L3673" s="328"/>
      <c r="M3673" s="328"/>
      <c r="N3673" s="328"/>
      <c r="O3673" s="334"/>
      <c r="P3673" s="328"/>
      <c r="Q3673" s="334"/>
      <c r="R3673" s="333"/>
      <c r="S3673" s="331"/>
      <c r="T3673" s="320"/>
      <c r="U3673" s="335"/>
      <c r="V3673" s="291">
        <f t="shared" ca="1" si="956"/>
        <v>0</v>
      </c>
      <c r="W3673" s="256">
        <f t="shared" ca="1" si="957"/>
        <v>0</v>
      </c>
      <c r="X3673" s="256">
        <f t="shared" ca="1" si="952"/>
        <v>1</v>
      </c>
      <c r="Y3673" s="250"/>
      <c r="Z3673" s="250"/>
    </row>
    <row r="3674" spans="1:29" s="111" customFormat="1" ht="15" hidden="1" x14ac:dyDescent="0.2">
      <c r="A3674" s="288"/>
      <c r="B3674" s="338"/>
      <c r="C3674" s="339"/>
      <c r="D3674" s="340"/>
      <c r="E3674" s="341"/>
      <c r="F3674" s="342"/>
      <c r="G3674" s="340"/>
      <c r="H3674" s="341"/>
      <c r="I3674" s="342"/>
      <c r="J3674" s="343"/>
      <c r="K3674" s="344"/>
      <c r="L3674" s="345"/>
      <c r="M3674" s="346"/>
      <c r="N3674" s="347"/>
      <c r="O3674" s="348"/>
      <c r="P3674" s="345"/>
      <c r="Q3674" s="349"/>
      <c r="R3674" s="350"/>
      <c r="S3674" s="351"/>
      <c r="T3674" s="352"/>
      <c r="U3674" s="353"/>
      <c r="V3674" s="291">
        <f t="shared" ca="1" si="956"/>
        <v>0</v>
      </c>
      <c r="W3674" s="256">
        <f t="shared" ca="1" si="957"/>
        <v>0</v>
      </c>
      <c r="X3674" s="256">
        <f t="shared" ca="1" si="952"/>
        <v>1</v>
      </c>
      <c r="Y3674" s="250"/>
      <c r="Z3674" s="250"/>
    </row>
    <row r="3675" spans="1:29" s="111" customFormat="1" ht="15.75" hidden="1" customHeight="1" x14ac:dyDescent="0.2">
      <c r="A3675" s="288"/>
      <c r="B3675" s="354"/>
      <c r="C3675" s="355"/>
      <c r="D3675" s="1354" t="s">
        <v>492</v>
      </c>
      <c r="E3675" s="1355"/>
      <c r="F3675" s="1355"/>
      <c r="G3675" s="1355"/>
      <c r="H3675" s="1355"/>
      <c r="I3675" s="1356"/>
      <c r="J3675" s="1357">
        <f>VLOOKUP(A3677,'11 - FINANCEIRO'!_xlnm.Print_Area,6,FALSE)</f>
        <v>12.8</v>
      </c>
      <c r="K3675" s="1358"/>
      <c r="L3675" s="356" t="str">
        <f>VLOOKUP(A3677,'11 - FINANCEIRO'!_xlnm.Print_Area,4,FALSE)</f>
        <v>m³</v>
      </c>
      <c r="M3675" s="1359" t="s">
        <v>493</v>
      </c>
      <c r="N3675" s="1360"/>
      <c r="O3675" s="1360"/>
      <c r="P3675" s="1360"/>
      <c r="Q3675" s="1361"/>
      <c r="R3675" s="357">
        <f>TRUNC(SUM(R3671:R3674),3)</f>
        <v>0</v>
      </c>
      <c r="S3675" s="358" t="str">
        <f>L3675</f>
        <v>m³</v>
      </c>
      <c r="T3675" s="359"/>
      <c r="U3675" s="360"/>
      <c r="V3675" s="291">
        <f t="shared" ca="1" si="956"/>
        <v>0</v>
      </c>
      <c r="W3675" s="256">
        <f t="shared" ca="1" si="957"/>
        <v>2</v>
      </c>
      <c r="X3675" s="256">
        <f t="shared" ca="1" si="952"/>
        <v>1</v>
      </c>
      <c r="Y3675" s="250"/>
      <c r="Z3675" s="250"/>
    </row>
    <row r="3676" spans="1:29" s="293" customFormat="1" ht="15.75" hidden="1" customHeight="1" x14ac:dyDescent="0.2">
      <c r="A3676" s="288"/>
      <c r="B3676" s="354"/>
      <c r="C3676" s="361"/>
      <c r="D3676" s="1362" t="s">
        <v>494</v>
      </c>
      <c r="E3676" s="1363"/>
      <c r="F3676" s="1363"/>
      <c r="G3676" s="1363"/>
      <c r="H3676" s="1363"/>
      <c r="I3676" s="1364"/>
      <c r="J3676" s="1365">
        <f>R3675/J3675</f>
        <v>0</v>
      </c>
      <c r="K3676" s="1366"/>
      <c r="L3676" s="1369"/>
      <c r="M3676" s="1371" t="s">
        <v>495</v>
      </c>
      <c r="N3676" s="1372"/>
      <c r="O3676" s="1372"/>
      <c r="P3676" s="1372"/>
      <c r="Q3676" s="1373"/>
      <c r="R3676" s="362">
        <f>VLOOKUP(A3677,'11 - FINANCEIRO'!_xlnm.Print_Area,8,FALSE)</f>
        <v>0</v>
      </c>
      <c r="S3676" s="363" t="str">
        <f>L3675</f>
        <v>m³</v>
      </c>
      <c r="T3676" s="359"/>
      <c r="U3676" s="360"/>
      <c r="V3676" s="291">
        <f t="shared" ca="1" si="956"/>
        <v>0</v>
      </c>
      <c r="W3676" s="256">
        <f t="shared" ca="1" si="957"/>
        <v>2</v>
      </c>
      <c r="X3676" s="256">
        <f t="shared" ca="1" si="952"/>
        <v>1</v>
      </c>
      <c r="Y3676" s="256"/>
      <c r="Z3676" s="256"/>
      <c r="AA3676" s="292"/>
      <c r="AB3676" s="292"/>
      <c r="AC3676" s="292"/>
    </row>
    <row r="3677" spans="1:29" s="293" customFormat="1" ht="15.6" hidden="1" customHeight="1" x14ac:dyDescent="0.2">
      <c r="A3677" s="288" t="s">
        <v>246</v>
      </c>
      <c r="B3677" s="364"/>
      <c r="C3677" s="365"/>
      <c r="D3677" s="1354"/>
      <c r="E3677" s="1355"/>
      <c r="F3677" s="1355"/>
      <c r="G3677" s="1355"/>
      <c r="H3677" s="1355"/>
      <c r="I3677" s="1356"/>
      <c r="J3677" s="1367"/>
      <c r="K3677" s="1368"/>
      <c r="L3677" s="1370"/>
      <c r="M3677" s="1371" t="s">
        <v>496</v>
      </c>
      <c r="N3677" s="1372"/>
      <c r="O3677" s="1372"/>
      <c r="P3677" s="1372"/>
      <c r="Q3677" s="1373"/>
      <c r="R3677" s="362">
        <f>R3675-R3676</f>
        <v>0</v>
      </c>
      <c r="S3677" s="363" t="str">
        <f>L3675</f>
        <v>m³</v>
      </c>
      <c r="T3677" s="366"/>
      <c r="U3677" s="367"/>
      <c r="V3677" s="291">
        <f t="shared" ca="1" si="956"/>
        <v>0</v>
      </c>
      <c r="W3677" s="256">
        <f t="shared" ca="1" si="957"/>
        <v>2</v>
      </c>
      <c r="X3677" s="256">
        <f t="shared" ca="1" si="952"/>
        <v>1</v>
      </c>
      <c r="Y3677" s="256"/>
      <c r="Z3677" s="256"/>
      <c r="AA3677" s="292"/>
      <c r="AB3677" s="292"/>
      <c r="AC3677" s="292"/>
    </row>
    <row r="3678" spans="1:29" s="111" customFormat="1" ht="15.75" hidden="1" x14ac:dyDescent="0.2">
      <c r="A3678" s="288"/>
      <c r="B3678" s="368"/>
      <c r="C3678" s="365"/>
      <c r="D3678" s="369"/>
      <c r="E3678" s="370"/>
      <c r="F3678" s="369"/>
      <c r="G3678" s="369"/>
      <c r="H3678" s="369"/>
      <c r="I3678" s="369"/>
      <c r="J3678" s="371"/>
      <c r="K3678" s="372"/>
      <c r="L3678" s="373"/>
      <c r="M3678" s="374"/>
      <c r="N3678" s="374"/>
      <c r="O3678" s="374"/>
      <c r="P3678" s="374"/>
      <c r="Q3678" s="374"/>
      <c r="R3678" s="375"/>
      <c r="S3678" s="376"/>
      <c r="T3678" s="377"/>
      <c r="U3678" s="378"/>
      <c r="V3678" s="379">
        <f ca="1">SUM(V3669:V3677)</f>
        <v>0</v>
      </c>
      <c r="W3678" s="256">
        <f t="shared" ca="1" si="957"/>
        <v>1</v>
      </c>
      <c r="X3678" s="256">
        <f t="shared" ca="1" si="952"/>
        <v>0</v>
      </c>
      <c r="Y3678" s="250"/>
      <c r="Z3678" s="250"/>
    </row>
    <row r="3679" spans="1:29" s="293" customFormat="1" ht="15.6" hidden="1" customHeight="1" x14ac:dyDescent="0.25">
      <c r="A3679" s="288"/>
      <c r="B3679" s="1374" t="str">
        <f>VLOOKUP(A3687,'11 - FINANCEIRO'!_xlnm.Print_Area,1,FALSE)</f>
        <v>4.7.13</v>
      </c>
      <c r="C3679" s="1376" t="str">
        <f>VLOOKUP(A3687,'11 - FINANCEIRO'!_xlnm.Print_Area,3,FALSE)</f>
        <v>Servico De Bombeamento De Concreto Com Consumo Minimo De 40 M3</v>
      </c>
      <c r="D3679" s="1378" t="s">
        <v>477</v>
      </c>
      <c r="E3679" s="1379"/>
      <c r="F3679" s="1379"/>
      <c r="G3679" s="1379"/>
      <c r="H3679" s="1379"/>
      <c r="I3679" s="1380"/>
      <c r="J3679" s="1338" t="s">
        <v>478</v>
      </c>
      <c r="K3679" s="1338" t="s">
        <v>479</v>
      </c>
      <c r="L3679" s="1338" t="s">
        <v>480</v>
      </c>
      <c r="M3679" s="1338" t="s">
        <v>481</v>
      </c>
      <c r="N3679" s="1338" t="s">
        <v>482</v>
      </c>
      <c r="O3679" s="1338" t="s">
        <v>483</v>
      </c>
      <c r="P3679" s="290" t="s">
        <v>484</v>
      </c>
      <c r="Q3679" s="1338" t="s">
        <v>485</v>
      </c>
      <c r="R3679" s="1336" t="s">
        <v>296</v>
      </c>
      <c r="S3679" s="1338" t="s">
        <v>486</v>
      </c>
      <c r="T3679" s="1338" t="s">
        <v>487</v>
      </c>
      <c r="U3679" s="1340" t="s">
        <v>488</v>
      </c>
      <c r="V3679" s="291">
        <f t="shared" ref="V3679:V3687" ca="1" si="958">IF(OFFSET(V3679,1,1)=1,OFFSET(V3679,0,-4),OFFSET(V3679,1,0))</f>
        <v>0</v>
      </c>
      <c r="W3679" s="256">
        <f t="shared" ca="1" si="957"/>
        <v>2</v>
      </c>
      <c r="X3679" s="256">
        <f t="shared" ca="1" si="952"/>
        <v>1</v>
      </c>
      <c r="Y3679" s="256"/>
      <c r="Z3679" s="256"/>
      <c r="AA3679" s="292"/>
      <c r="AB3679" s="292"/>
      <c r="AC3679" s="292"/>
    </row>
    <row r="3680" spans="1:29" s="337" customFormat="1" ht="15.75" hidden="1" x14ac:dyDescent="0.2">
      <c r="A3680" s="288"/>
      <c r="B3680" s="1375"/>
      <c r="C3680" s="1377" t="e">
        <f>VLOOKUP(LEFT(#REF!,5),'11 - FINANCEIRO'!_xlnm.Print_Area,2,FALSE)</f>
        <v>#REF!</v>
      </c>
      <c r="D3680" s="1342" t="s">
        <v>489</v>
      </c>
      <c r="E3680" s="1343"/>
      <c r="F3680" s="1344"/>
      <c r="G3680" s="1345" t="s">
        <v>490</v>
      </c>
      <c r="H3680" s="1346"/>
      <c r="I3680" s="1347"/>
      <c r="J3680" s="1339"/>
      <c r="K3680" s="1339"/>
      <c r="L3680" s="1339"/>
      <c r="M3680" s="1339"/>
      <c r="N3680" s="1339"/>
      <c r="O3680" s="1339"/>
      <c r="P3680" s="295" t="s">
        <v>491</v>
      </c>
      <c r="Q3680" s="1339"/>
      <c r="R3680" s="1337"/>
      <c r="S3680" s="1339"/>
      <c r="T3680" s="1339"/>
      <c r="U3680" s="1341"/>
      <c r="V3680" s="291">
        <f t="shared" ca="1" si="958"/>
        <v>0</v>
      </c>
      <c r="W3680" s="256">
        <f t="shared" ca="1" si="957"/>
        <v>2</v>
      </c>
      <c r="X3680" s="256">
        <f t="shared" ca="1" si="952"/>
        <v>1</v>
      </c>
      <c r="Y3680" s="336"/>
      <c r="Z3680" s="336"/>
    </row>
    <row r="3681" spans="1:29" s="337" customFormat="1" ht="15.75" hidden="1" x14ac:dyDescent="0.2">
      <c r="A3681" s="288"/>
      <c r="B3681" s="296"/>
      <c r="C3681" s="297"/>
      <c r="D3681" s="298"/>
      <c r="E3681" s="299"/>
      <c r="F3681" s="300"/>
      <c r="G3681" s="301"/>
      <c r="H3681" s="302"/>
      <c r="I3681" s="303"/>
      <c r="J3681" s="304"/>
      <c r="K3681" s="304"/>
      <c r="L3681" s="304"/>
      <c r="M3681" s="304"/>
      <c r="N3681" s="304"/>
      <c r="O3681" s="304"/>
      <c r="P3681" s="306"/>
      <c r="Q3681" s="304"/>
      <c r="R3681" s="307"/>
      <c r="S3681" s="304"/>
      <c r="T3681" s="309"/>
      <c r="U3681" s="310"/>
      <c r="V3681" s="291">
        <f t="shared" ca="1" si="958"/>
        <v>0</v>
      </c>
      <c r="W3681" s="256">
        <f t="shared" ca="1" si="957"/>
        <v>0</v>
      </c>
      <c r="X3681" s="256">
        <f t="shared" ca="1" si="952"/>
        <v>1</v>
      </c>
      <c r="Y3681" s="336"/>
      <c r="Z3681" s="336"/>
    </row>
    <row r="3682" spans="1:29" s="111" customFormat="1" ht="15.75" hidden="1" x14ac:dyDescent="0.2">
      <c r="A3682" s="288"/>
      <c r="B3682" s="311"/>
      <c r="C3682" s="312"/>
      <c r="D3682" s="313"/>
      <c r="E3682" s="314"/>
      <c r="F3682" s="315"/>
      <c r="G3682" s="380"/>
      <c r="H3682" s="316"/>
      <c r="I3682" s="381"/>
      <c r="J3682" s="317"/>
      <c r="K3682" s="313"/>
      <c r="L3682" s="317"/>
      <c r="M3682" s="315"/>
      <c r="N3682" s="314"/>
      <c r="O3682" s="313"/>
      <c r="P3682" s="318"/>
      <c r="Q3682" s="315"/>
      <c r="R3682" s="319"/>
      <c r="S3682" s="317"/>
      <c r="T3682" s="320"/>
      <c r="U3682" s="321"/>
      <c r="V3682" s="291">
        <f t="shared" ca="1" si="958"/>
        <v>0</v>
      </c>
      <c r="W3682" s="256">
        <f t="shared" ca="1" si="957"/>
        <v>0</v>
      </c>
      <c r="X3682" s="256">
        <f t="shared" ca="1" si="952"/>
        <v>1</v>
      </c>
      <c r="Y3682" s="250"/>
      <c r="Z3682" s="250"/>
    </row>
    <row r="3683" spans="1:29" s="111" customFormat="1" ht="15" hidden="1" x14ac:dyDescent="0.2">
      <c r="A3683" s="288"/>
      <c r="B3683" s="322"/>
      <c r="C3683" s="382"/>
      <c r="D3683" s="324"/>
      <c r="E3683" s="325"/>
      <c r="F3683" s="326"/>
      <c r="G3683" s="324"/>
      <c r="H3683" s="325"/>
      <c r="I3683" s="326"/>
      <c r="J3683" s="317"/>
      <c r="K3683" s="328"/>
      <c r="L3683" s="328"/>
      <c r="M3683" s="328"/>
      <c r="N3683" s="328"/>
      <c r="O3683" s="334"/>
      <c r="P3683" s="328"/>
      <c r="Q3683" s="334"/>
      <c r="R3683" s="333"/>
      <c r="S3683" s="331"/>
      <c r="T3683" s="320"/>
      <c r="U3683" s="335"/>
      <c r="V3683" s="291">
        <f t="shared" ca="1" si="958"/>
        <v>0</v>
      </c>
      <c r="W3683" s="256">
        <f t="shared" ca="1" si="957"/>
        <v>0</v>
      </c>
      <c r="X3683" s="256">
        <f t="shared" ca="1" si="952"/>
        <v>1</v>
      </c>
      <c r="Y3683" s="250"/>
      <c r="Z3683" s="250"/>
    </row>
    <row r="3684" spans="1:29" s="111" customFormat="1" ht="15" hidden="1" x14ac:dyDescent="0.2">
      <c r="A3684" s="288"/>
      <c r="B3684" s="338"/>
      <c r="C3684" s="339"/>
      <c r="D3684" s="340"/>
      <c r="E3684" s="341"/>
      <c r="F3684" s="342"/>
      <c r="G3684" s="340"/>
      <c r="H3684" s="341"/>
      <c r="I3684" s="342"/>
      <c r="J3684" s="343"/>
      <c r="K3684" s="344"/>
      <c r="L3684" s="345"/>
      <c r="M3684" s="346"/>
      <c r="N3684" s="347"/>
      <c r="O3684" s="348"/>
      <c r="P3684" s="345"/>
      <c r="Q3684" s="349"/>
      <c r="R3684" s="350"/>
      <c r="S3684" s="351"/>
      <c r="T3684" s="352"/>
      <c r="U3684" s="353"/>
      <c r="V3684" s="291">
        <f t="shared" ca="1" si="958"/>
        <v>0</v>
      </c>
      <c r="W3684" s="256">
        <f t="shared" ca="1" si="957"/>
        <v>0</v>
      </c>
      <c r="X3684" s="256">
        <f t="shared" ca="1" si="952"/>
        <v>1</v>
      </c>
      <c r="Y3684" s="250"/>
      <c r="Z3684" s="250"/>
    </row>
    <row r="3685" spans="1:29" s="111" customFormat="1" ht="15.6" hidden="1" customHeight="1" x14ac:dyDescent="0.2">
      <c r="A3685" s="288"/>
      <c r="B3685" s="354"/>
      <c r="C3685" s="355"/>
      <c r="D3685" s="1354" t="s">
        <v>492</v>
      </c>
      <c r="E3685" s="1355"/>
      <c r="F3685" s="1355"/>
      <c r="G3685" s="1355"/>
      <c r="H3685" s="1355"/>
      <c r="I3685" s="1356"/>
      <c r="J3685" s="1357">
        <f>VLOOKUP(A3687,'11 - FINANCEIRO'!_xlnm.Print_Area,6,FALSE)</f>
        <v>12.8</v>
      </c>
      <c r="K3685" s="1358"/>
      <c r="L3685" s="356" t="str">
        <f>VLOOKUP(A3687,'11 - FINANCEIRO'!_xlnm.Print_Area,4,FALSE)</f>
        <v>m³</v>
      </c>
      <c r="M3685" s="1359" t="s">
        <v>493</v>
      </c>
      <c r="N3685" s="1360"/>
      <c r="O3685" s="1360"/>
      <c r="P3685" s="1360"/>
      <c r="Q3685" s="1361"/>
      <c r="R3685" s="357">
        <f>TRUNC(SUM(R3681:R3684),3)</f>
        <v>0</v>
      </c>
      <c r="S3685" s="358" t="str">
        <f>L3685</f>
        <v>m³</v>
      </c>
      <c r="T3685" s="359"/>
      <c r="U3685" s="360"/>
      <c r="V3685" s="291">
        <f t="shared" ca="1" si="958"/>
        <v>0</v>
      </c>
      <c r="W3685" s="256">
        <f t="shared" ca="1" si="957"/>
        <v>2</v>
      </c>
      <c r="X3685" s="256">
        <f t="shared" ca="1" si="952"/>
        <v>1</v>
      </c>
      <c r="Y3685" s="250"/>
      <c r="Z3685" s="250"/>
    </row>
    <row r="3686" spans="1:29" s="395" customFormat="1" ht="15.6" hidden="1" customHeight="1" x14ac:dyDescent="0.2">
      <c r="A3686" s="276"/>
      <c r="B3686" s="354"/>
      <c r="C3686" s="361"/>
      <c r="D3686" s="1362" t="s">
        <v>494</v>
      </c>
      <c r="E3686" s="1363"/>
      <c r="F3686" s="1363"/>
      <c r="G3686" s="1363"/>
      <c r="H3686" s="1363"/>
      <c r="I3686" s="1364"/>
      <c r="J3686" s="1365">
        <f>R3685/J3685</f>
        <v>0</v>
      </c>
      <c r="K3686" s="1366"/>
      <c r="L3686" s="1369"/>
      <c r="M3686" s="1371" t="s">
        <v>495</v>
      </c>
      <c r="N3686" s="1372"/>
      <c r="O3686" s="1372"/>
      <c r="P3686" s="1372"/>
      <c r="Q3686" s="1373"/>
      <c r="R3686" s="362">
        <f>VLOOKUP(A3687,'11 - FINANCEIRO'!_xlnm.Print_Area,8,FALSE)</f>
        <v>0</v>
      </c>
      <c r="S3686" s="363" t="str">
        <f>L3685</f>
        <v>m³</v>
      </c>
      <c r="T3686" s="359"/>
      <c r="U3686" s="360"/>
      <c r="V3686" s="291">
        <f t="shared" ca="1" si="958"/>
        <v>0</v>
      </c>
      <c r="W3686" s="256">
        <f t="shared" ca="1" si="957"/>
        <v>2</v>
      </c>
      <c r="X3686" s="256">
        <f t="shared" ca="1" si="952"/>
        <v>1</v>
      </c>
    </row>
    <row r="3687" spans="1:29" s="395" customFormat="1" ht="15.6" hidden="1" customHeight="1" x14ac:dyDescent="0.2">
      <c r="A3687" s="288" t="s">
        <v>247</v>
      </c>
      <c r="B3687" s="364"/>
      <c r="C3687" s="365"/>
      <c r="D3687" s="1354"/>
      <c r="E3687" s="1355"/>
      <c r="F3687" s="1355"/>
      <c r="G3687" s="1355"/>
      <c r="H3687" s="1355"/>
      <c r="I3687" s="1356"/>
      <c r="J3687" s="1367"/>
      <c r="K3687" s="1368"/>
      <c r="L3687" s="1370"/>
      <c r="M3687" s="1371" t="s">
        <v>496</v>
      </c>
      <c r="N3687" s="1372"/>
      <c r="O3687" s="1372"/>
      <c r="P3687" s="1372"/>
      <c r="Q3687" s="1373"/>
      <c r="R3687" s="362">
        <f>R3685-R3686</f>
        <v>0</v>
      </c>
      <c r="S3687" s="363" t="str">
        <f>L3685</f>
        <v>m³</v>
      </c>
      <c r="T3687" s="366"/>
      <c r="U3687" s="367"/>
      <c r="V3687" s="291">
        <f t="shared" ca="1" si="958"/>
        <v>0</v>
      </c>
      <c r="W3687" s="256">
        <f t="shared" ca="1" si="957"/>
        <v>2</v>
      </c>
      <c r="X3687" s="256">
        <f t="shared" ca="1" si="952"/>
        <v>1</v>
      </c>
    </row>
    <row r="3688" spans="1:29" s="111" customFormat="1" ht="15.75" hidden="1" x14ac:dyDescent="0.2">
      <c r="A3688" s="288"/>
      <c r="B3688" s="368"/>
      <c r="C3688" s="365"/>
      <c r="D3688" s="369"/>
      <c r="E3688" s="370"/>
      <c r="F3688" s="369"/>
      <c r="G3688" s="369"/>
      <c r="H3688" s="369"/>
      <c r="I3688" s="369"/>
      <c r="J3688" s="371"/>
      <c r="K3688" s="372"/>
      <c r="L3688" s="373"/>
      <c r="M3688" s="374"/>
      <c r="N3688" s="374"/>
      <c r="O3688" s="374"/>
      <c r="P3688" s="374"/>
      <c r="Q3688" s="374"/>
      <c r="R3688" s="375"/>
      <c r="S3688" s="376"/>
      <c r="T3688" s="377"/>
      <c r="U3688" s="378"/>
      <c r="V3688" s="379">
        <f ca="1">SUM(V3679:V3687)</f>
        <v>0</v>
      </c>
      <c r="W3688" s="256">
        <f t="shared" ca="1" si="957"/>
        <v>1</v>
      </c>
      <c r="X3688" s="256">
        <f t="shared" ca="1" si="952"/>
        <v>0</v>
      </c>
      <c r="Y3688" s="250"/>
      <c r="Z3688" s="250"/>
    </row>
    <row r="3689" spans="1:29" s="293" customFormat="1" ht="15.75" x14ac:dyDescent="0.2">
      <c r="A3689" s="288"/>
      <c r="B3689" s="385" t="str">
        <f>LEFT(A3710,9)</f>
        <v>5.0</v>
      </c>
      <c r="C3689" s="386" t="str">
        <f>VLOOKUP(LEFT(A3710,9),'11 - FINANCEIRO'!_xlnm.Print_Area,2,FALSE)</f>
        <v>Urbanização</v>
      </c>
      <c r="D3689" s="386"/>
      <c r="E3689" s="387"/>
      <c r="F3689" s="386"/>
      <c r="G3689" s="1395"/>
      <c r="H3689" s="1395"/>
      <c r="I3689" s="1395"/>
      <c r="J3689" s="1395"/>
      <c r="K3689" s="1395"/>
      <c r="L3689" s="1395"/>
      <c r="M3689" s="389"/>
      <c r="N3689" s="390"/>
      <c r="O3689" s="389"/>
      <c r="P3689" s="389"/>
      <c r="Q3689" s="389"/>
      <c r="R3689" s="390"/>
      <c r="S3689" s="389"/>
      <c r="T3689" s="389"/>
      <c r="U3689" s="601"/>
      <c r="V3689" s="549">
        <f ca="1">SUM(V3690:V3957)</f>
        <v>560453.74000000046</v>
      </c>
      <c r="W3689" s="256">
        <f t="shared" ca="1" si="957"/>
        <v>1</v>
      </c>
      <c r="X3689" s="256">
        <f t="shared" ca="1" si="952"/>
        <v>1</v>
      </c>
      <c r="Y3689" s="256"/>
      <c r="Z3689" s="256"/>
      <c r="AA3689" s="292"/>
      <c r="AB3689" s="292"/>
      <c r="AC3689" s="292"/>
    </row>
    <row r="3690" spans="1:29" s="293" customFormat="1" ht="15.75" x14ac:dyDescent="0.2">
      <c r="A3690" s="288"/>
      <c r="B3690" s="385" t="str">
        <f>LEFT(A3711,9)</f>
        <v>5.1</v>
      </c>
      <c r="C3690" s="386" t="str">
        <f>VLOOKUP(LEFT(A3711,9),'11 - FINANCEIRO'!_xlnm.Print_Area,2,FALSE)</f>
        <v>Remoções</v>
      </c>
      <c r="D3690" s="386"/>
      <c r="E3690" s="387"/>
      <c r="F3690" s="386"/>
      <c r="G3690" s="388"/>
      <c r="H3690" s="391"/>
      <c r="I3690" s="391"/>
      <c r="J3690" s="610"/>
      <c r="K3690" s="610"/>
      <c r="L3690" s="610"/>
      <c r="M3690" s="611"/>
      <c r="N3690" s="612"/>
      <c r="O3690" s="611"/>
      <c r="P3690" s="611"/>
      <c r="Q3690" s="611"/>
      <c r="R3690" s="612"/>
      <c r="S3690" s="611"/>
      <c r="T3690" s="611"/>
      <c r="U3690" s="613"/>
      <c r="V3690" s="549">
        <f ca="1">SUM(V3691:V3799)</f>
        <v>215967.61000000004</v>
      </c>
      <c r="W3690" s="256">
        <f t="shared" ca="1" si="957"/>
        <v>1</v>
      </c>
      <c r="X3690" s="256">
        <f t="shared" ca="1" si="952"/>
        <v>1</v>
      </c>
      <c r="Y3690" s="256"/>
      <c r="Z3690" s="256"/>
      <c r="AA3690" s="292"/>
      <c r="AB3690" s="292"/>
      <c r="AC3690" s="292"/>
    </row>
    <row r="3691" spans="1:29" s="293" customFormat="1" ht="15.75" customHeight="1" x14ac:dyDescent="0.25">
      <c r="A3691" s="288"/>
      <c r="B3691" s="1374" t="str">
        <f>VLOOKUP(A3712,'11 - FINANCEIRO'!_xlnm.Print_Area,1,FALSE)</f>
        <v>5.1.1</v>
      </c>
      <c r="C3691" s="1376" t="str">
        <f>VLOOKUP(A3712,'11 - FINANCEIRO'!_xlnm.Print_Area,3,FALSE)</f>
        <v>Remoção De Meio Fio</v>
      </c>
      <c r="D3691" s="1378" t="s">
        <v>477</v>
      </c>
      <c r="E3691" s="1379"/>
      <c r="F3691" s="1379"/>
      <c r="G3691" s="1379"/>
      <c r="H3691" s="1379"/>
      <c r="I3691" s="1380"/>
      <c r="J3691" s="1338" t="s">
        <v>478</v>
      </c>
      <c r="K3691" s="1338" t="s">
        <v>479</v>
      </c>
      <c r="L3691" s="1338" t="s">
        <v>480</v>
      </c>
      <c r="M3691" s="1338" t="s">
        <v>481</v>
      </c>
      <c r="N3691" s="1338" t="s">
        <v>482</v>
      </c>
      <c r="O3691" s="1338" t="s">
        <v>483</v>
      </c>
      <c r="P3691" s="290" t="s">
        <v>484</v>
      </c>
      <c r="Q3691" s="1338" t="s">
        <v>485</v>
      </c>
      <c r="R3691" s="1336" t="s">
        <v>296</v>
      </c>
      <c r="S3691" s="1338" t="s">
        <v>486</v>
      </c>
      <c r="T3691" s="1338" t="s">
        <v>487</v>
      </c>
      <c r="U3691" s="1340" t="s">
        <v>488</v>
      </c>
      <c r="V3691" s="291">
        <f t="shared" ref="V3691:V3712" ca="1" si="959">IF(OFFSET(V3691,1,1)=1,OFFSET(V3691,0,-4),OFFSET(V3691,1,0))</f>
        <v>89</v>
      </c>
      <c r="W3691" s="256">
        <f t="shared" ca="1" si="957"/>
        <v>2</v>
      </c>
      <c r="X3691" s="256">
        <f t="shared" ca="1" si="952"/>
        <v>1</v>
      </c>
      <c r="Y3691" s="256"/>
      <c r="Z3691" s="256"/>
      <c r="AA3691" s="292"/>
      <c r="AB3691" s="292"/>
      <c r="AC3691" s="292"/>
    </row>
    <row r="3692" spans="1:29" s="337" customFormat="1" ht="15.75" x14ac:dyDescent="0.2">
      <c r="A3692" s="288"/>
      <c r="B3692" s="1375"/>
      <c r="C3692" s="1377" t="e">
        <f>VLOOKUP(LEFT(#REF!,5),'11 - FINANCEIRO'!_xlnm.Print_Area,2,FALSE)</f>
        <v>#REF!</v>
      </c>
      <c r="D3692" s="1342" t="s">
        <v>489</v>
      </c>
      <c r="E3692" s="1343"/>
      <c r="F3692" s="1344"/>
      <c r="G3692" s="1345" t="s">
        <v>490</v>
      </c>
      <c r="H3692" s="1346"/>
      <c r="I3692" s="1347"/>
      <c r="J3692" s="1339"/>
      <c r="K3692" s="1339"/>
      <c r="L3692" s="1339"/>
      <c r="M3692" s="1339"/>
      <c r="N3692" s="1339"/>
      <c r="O3692" s="1339"/>
      <c r="P3692" s="295" t="s">
        <v>491</v>
      </c>
      <c r="Q3692" s="1339"/>
      <c r="R3692" s="1337"/>
      <c r="S3692" s="1339"/>
      <c r="T3692" s="1339"/>
      <c r="U3692" s="1341"/>
      <c r="V3692" s="291">
        <f t="shared" ca="1" si="959"/>
        <v>89</v>
      </c>
      <c r="W3692" s="256">
        <f t="shared" ref="W3692:W3696" ca="1" si="960">IF(LEFT(_xlfn.FORMULATEXT(V3692),3)="=SO",1,IF(COUNTA(A3692:U3692)=0,0,2))</f>
        <v>2</v>
      </c>
      <c r="X3692" s="256">
        <f t="shared" ref="X3692:X3696" ca="1" si="961">IF(COUNTA(OFFSET(A3691,1,0))-COUNTA(A3691)=-1,0,1)</f>
        <v>1</v>
      </c>
      <c r="Y3692" s="336"/>
      <c r="Z3692" s="336"/>
    </row>
    <row r="3693" spans="1:29" s="337" customFormat="1" ht="15.75" customHeight="1" x14ac:dyDescent="0.2">
      <c r="A3693" s="288"/>
      <c r="B3693" s="296"/>
      <c r="C3693" s="539" t="s">
        <v>627</v>
      </c>
      <c r="D3693" s="417">
        <v>6</v>
      </c>
      <c r="E3693" s="314" t="s">
        <v>518</v>
      </c>
      <c r="F3693" s="418">
        <v>10</v>
      </c>
      <c r="G3693" s="419">
        <v>31</v>
      </c>
      <c r="H3693" s="316" t="s">
        <v>518</v>
      </c>
      <c r="I3693" s="420">
        <v>10</v>
      </c>
      <c r="J3693" s="304"/>
      <c r="K3693" s="416">
        <f>ABS((G3693*20+I3693)-(D3693*20+F3693))</f>
        <v>500</v>
      </c>
      <c r="L3693" s="304"/>
      <c r="M3693" s="304"/>
      <c r="N3693" s="304"/>
      <c r="O3693" s="304"/>
      <c r="P3693" s="306"/>
      <c r="Q3693" s="304"/>
      <c r="R3693" s="307">
        <f>K3693</f>
        <v>500</v>
      </c>
      <c r="S3693" s="308" t="str">
        <f>S3710</f>
        <v>m</v>
      </c>
      <c r="T3693" s="309">
        <v>23</v>
      </c>
      <c r="U3693" s="534"/>
      <c r="V3693" s="291">
        <f t="shared" ca="1" si="959"/>
        <v>89</v>
      </c>
      <c r="W3693" s="256">
        <f t="shared" ca="1" si="960"/>
        <v>2</v>
      </c>
      <c r="X3693" s="256">
        <f t="shared" ca="1" si="961"/>
        <v>1</v>
      </c>
      <c r="Y3693" s="336"/>
      <c r="Z3693" s="336"/>
    </row>
    <row r="3694" spans="1:29" s="111" customFormat="1" ht="15.75" x14ac:dyDescent="0.2">
      <c r="A3694" s="288"/>
      <c r="B3694" s="311"/>
      <c r="C3694" s="382" t="s">
        <v>1010</v>
      </c>
      <c r="D3694" s="417">
        <v>80</v>
      </c>
      <c r="E3694" s="314" t="s">
        <v>518</v>
      </c>
      <c r="F3694" s="418">
        <v>8</v>
      </c>
      <c r="G3694" s="417">
        <v>99</v>
      </c>
      <c r="H3694" s="314" t="s">
        <v>518</v>
      </c>
      <c r="I3694" s="418">
        <v>6.4</v>
      </c>
      <c r="J3694" s="317"/>
      <c r="K3694" s="433">
        <f>ABS((G3694*20+I3694)-(D3694*20+F3694))</f>
        <v>378.40000000000009</v>
      </c>
      <c r="L3694" s="328"/>
      <c r="M3694" s="328"/>
      <c r="N3694" s="328"/>
      <c r="O3694" s="334"/>
      <c r="P3694" s="328"/>
      <c r="Q3694" s="334">
        <v>2</v>
      </c>
      <c r="R3694" s="333">
        <f>K3694*Q3694</f>
        <v>756.80000000000018</v>
      </c>
      <c r="S3694" s="331" t="s">
        <v>301</v>
      </c>
      <c r="T3694" s="320">
        <v>24</v>
      </c>
      <c r="U3694" s="321"/>
      <c r="V3694" s="291">
        <f t="shared" ca="1" si="959"/>
        <v>89</v>
      </c>
      <c r="W3694" s="256">
        <f t="shared" ca="1" si="960"/>
        <v>2</v>
      </c>
      <c r="X3694" s="256">
        <f t="shared" ca="1" si="961"/>
        <v>1</v>
      </c>
      <c r="Y3694" s="250"/>
      <c r="Z3694" s="250"/>
    </row>
    <row r="3695" spans="1:29" s="111" customFormat="1" ht="15.75" x14ac:dyDescent="0.2">
      <c r="A3695" s="288"/>
      <c r="B3695" s="311"/>
      <c r="C3695" s="382" t="s">
        <v>1047</v>
      </c>
      <c r="D3695" s="417">
        <v>77</v>
      </c>
      <c r="E3695" s="314" t="s">
        <v>518</v>
      </c>
      <c r="F3695" s="418">
        <v>0</v>
      </c>
      <c r="G3695" s="417">
        <v>79</v>
      </c>
      <c r="H3695" s="314" t="s">
        <v>518</v>
      </c>
      <c r="I3695" s="418">
        <v>16</v>
      </c>
      <c r="J3695" s="317"/>
      <c r="K3695" s="433">
        <f>ABS((G3695*20+I3695)-(D3695*20+F3695))</f>
        <v>56</v>
      </c>
      <c r="L3695" s="328"/>
      <c r="M3695" s="328"/>
      <c r="N3695" s="328"/>
      <c r="O3695" s="334"/>
      <c r="P3695" s="328"/>
      <c r="Q3695" s="334"/>
      <c r="R3695" s="333">
        <f>K3695</f>
        <v>56</v>
      </c>
      <c r="S3695" s="331" t="s">
        <v>301</v>
      </c>
      <c r="T3695" s="320">
        <v>29</v>
      </c>
      <c r="U3695" s="321"/>
      <c r="V3695" s="291">
        <f t="shared" ca="1" si="959"/>
        <v>89</v>
      </c>
      <c r="W3695" s="256">
        <f t="shared" ca="1" si="960"/>
        <v>2</v>
      </c>
      <c r="X3695" s="256">
        <f t="shared" ca="1" si="961"/>
        <v>1</v>
      </c>
      <c r="Y3695" s="250"/>
      <c r="Z3695" s="250"/>
    </row>
    <row r="3696" spans="1:29" s="111" customFormat="1" ht="15" x14ac:dyDescent="0.2">
      <c r="A3696" s="288"/>
      <c r="B3696" s="322"/>
      <c r="C3696" s="382" t="s">
        <v>1048</v>
      </c>
      <c r="D3696" s="417">
        <v>70</v>
      </c>
      <c r="E3696" s="314" t="s">
        <v>518</v>
      </c>
      <c r="F3696" s="418">
        <v>0</v>
      </c>
      <c r="G3696" s="417">
        <v>79</v>
      </c>
      <c r="H3696" s="314" t="s">
        <v>518</v>
      </c>
      <c r="I3696" s="418">
        <v>16</v>
      </c>
      <c r="J3696" s="317"/>
      <c r="K3696" s="433">
        <f>ABS((G3696*20+I3696)-(D3696*20+F3696))</f>
        <v>196</v>
      </c>
      <c r="L3696" s="328"/>
      <c r="M3696" s="328"/>
      <c r="N3696" s="328"/>
      <c r="O3696" s="334"/>
      <c r="P3696" s="328"/>
      <c r="Q3696" s="334"/>
      <c r="R3696" s="333">
        <f>K3696</f>
        <v>196</v>
      </c>
      <c r="S3696" s="331" t="s">
        <v>301</v>
      </c>
      <c r="T3696" s="320">
        <v>30</v>
      </c>
      <c r="U3696" s="335"/>
      <c r="V3696" s="291">
        <f t="shared" ca="1" si="959"/>
        <v>89</v>
      </c>
      <c r="W3696" s="256">
        <f t="shared" ca="1" si="960"/>
        <v>2</v>
      </c>
      <c r="X3696" s="256">
        <f t="shared" ca="1" si="961"/>
        <v>1</v>
      </c>
      <c r="Y3696" s="250"/>
      <c r="Z3696" s="250"/>
    </row>
    <row r="3697" spans="1:29" s="111" customFormat="1" ht="15" x14ac:dyDescent="0.2">
      <c r="A3697" s="288"/>
      <c r="B3697" s="322"/>
      <c r="C3697" s="896" t="s">
        <v>1048</v>
      </c>
      <c r="D3697" s="417">
        <v>67</v>
      </c>
      <c r="E3697" s="314" t="s">
        <v>518</v>
      </c>
      <c r="F3697" s="418">
        <v>0</v>
      </c>
      <c r="G3697" s="417">
        <v>79</v>
      </c>
      <c r="H3697" s="314" t="s">
        <v>518</v>
      </c>
      <c r="I3697" s="418">
        <v>16</v>
      </c>
      <c r="J3697" s="317"/>
      <c r="K3697" s="433">
        <f>ABS((G3697*20+I3697)-(D3697*20+F3697))</f>
        <v>256</v>
      </c>
      <c r="L3697" s="328"/>
      <c r="M3697" s="328"/>
      <c r="N3697" s="328"/>
      <c r="O3697" s="334"/>
      <c r="P3697" s="328"/>
      <c r="Q3697" s="334"/>
      <c r="R3697" s="333">
        <f>K3697</f>
        <v>256</v>
      </c>
      <c r="S3697" s="331" t="s">
        <v>301</v>
      </c>
      <c r="T3697" s="320">
        <v>33</v>
      </c>
      <c r="U3697" s="335"/>
      <c r="V3697" s="291">
        <f t="shared" ca="1" si="959"/>
        <v>89</v>
      </c>
      <c r="W3697" s="256">
        <f t="shared" ca="1" si="957"/>
        <v>2</v>
      </c>
      <c r="X3697" s="256">
        <f ca="1">IF(COUNTA(OFFSET(A3694,1,0))-COUNTA(A3694)=-1,0,1)</f>
        <v>1</v>
      </c>
      <c r="Y3697" s="250"/>
      <c r="Z3697" s="250"/>
    </row>
    <row r="3698" spans="1:29" s="111" customFormat="1" ht="15" x14ac:dyDescent="0.2">
      <c r="A3698" s="288"/>
      <c r="B3698" s="494"/>
      <c r="C3698" s="896" t="s">
        <v>1048</v>
      </c>
      <c r="D3698" s="417">
        <v>60</v>
      </c>
      <c r="E3698" s="314" t="s">
        <v>518</v>
      </c>
      <c r="F3698" s="418">
        <v>0</v>
      </c>
      <c r="G3698" s="417">
        <v>67</v>
      </c>
      <c r="H3698" s="314" t="s">
        <v>518</v>
      </c>
      <c r="I3698" s="418">
        <v>0</v>
      </c>
      <c r="J3698" s="317"/>
      <c r="K3698" s="433">
        <f t="shared" ref="K3698:K3707" si="962">ABS((G3698*20+I3698)-(D3698*20+F3698))</f>
        <v>140</v>
      </c>
      <c r="L3698" s="328"/>
      <c r="M3698" s="328"/>
      <c r="N3698" s="328"/>
      <c r="O3698" s="334"/>
      <c r="P3698" s="328"/>
      <c r="Q3698" s="334"/>
      <c r="R3698" s="333">
        <f>K3698</f>
        <v>140</v>
      </c>
      <c r="S3698" s="331" t="s">
        <v>301</v>
      </c>
      <c r="T3698" s="320">
        <v>35</v>
      </c>
      <c r="U3698" s="574"/>
      <c r="V3698" s="291">
        <f t="shared" ca="1" si="959"/>
        <v>89</v>
      </c>
      <c r="W3698" s="256">
        <f t="shared" ref="W3698:W3700" ca="1" si="963">IF(LEFT(_xlfn.FORMULATEXT(V3698),3)="=SO",1,IF(COUNTA(A3698:U3698)=0,0,2))</f>
        <v>2</v>
      </c>
      <c r="X3698" s="256">
        <f t="shared" ref="X3698:X3700" ca="1" si="964">IF(COUNTA(OFFSET(A3695,1,0))-COUNTA(A3695)=-1,0,1)</f>
        <v>1</v>
      </c>
      <c r="Y3698" s="250"/>
      <c r="Z3698" s="250"/>
    </row>
    <row r="3699" spans="1:29" s="111" customFormat="1" ht="15" x14ac:dyDescent="0.2">
      <c r="A3699" s="288"/>
      <c r="B3699" s="494"/>
      <c r="C3699" s="896" t="s">
        <v>1048</v>
      </c>
      <c r="D3699" s="417">
        <v>58</v>
      </c>
      <c r="E3699" s="314" t="s">
        <v>518</v>
      </c>
      <c r="F3699" s="418">
        <v>0</v>
      </c>
      <c r="G3699" s="417">
        <v>60</v>
      </c>
      <c r="H3699" s="314" t="s">
        <v>518</v>
      </c>
      <c r="I3699" s="418">
        <v>0</v>
      </c>
      <c r="J3699" s="560"/>
      <c r="K3699" s="433">
        <f t="shared" si="962"/>
        <v>40</v>
      </c>
      <c r="L3699" s="501"/>
      <c r="M3699" s="760"/>
      <c r="N3699" s="761"/>
      <c r="O3699" s="505"/>
      <c r="P3699" s="501"/>
      <c r="Q3699" s="739"/>
      <c r="R3699" s="333">
        <f>K3699</f>
        <v>40</v>
      </c>
      <c r="S3699" s="331" t="s">
        <v>301</v>
      </c>
      <c r="T3699" s="506">
        <v>36</v>
      </c>
      <c r="U3699" s="574"/>
      <c r="V3699" s="291">
        <f t="shared" ca="1" si="959"/>
        <v>89</v>
      </c>
      <c r="W3699" s="256">
        <f t="shared" ca="1" si="963"/>
        <v>2</v>
      </c>
      <c r="X3699" s="256">
        <f t="shared" ca="1" si="964"/>
        <v>1</v>
      </c>
      <c r="Y3699" s="250"/>
      <c r="Z3699" s="250"/>
    </row>
    <row r="3700" spans="1:29" s="111" customFormat="1" ht="15" x14ac:dyDescent="0.2">
      <c r="A3700" s="288"/>
      <c r="B3700" s="494"/>
      <c r="C3700" s="896" t="s">
        <v>1048</v>
      </c>
      <c r="D3700" s="417">
        <v>50</v>
      </c>
      <c r="E3700" s="314" t="s">
        <v>518</v>
      </c>
      <c r="F3700" s="418">
        <v>0</v>
      </c>
      <c r="G3700" s="417">
        <v>58</v>
      </c>
      <c r="H3700" s="314" t="s">
        <v>518</v>
      </c>
      <c r="I3700" s="418">
        <v>0</v>
      </c>
      <c r="J3700" s="560"/>
      <c r="K3700" s="433">
        <f t="shared" si="962"/>
        <v>160</v>
      </c>
      <c r="L3700" s="501"/>
      <c r="M3700" s="760"/>
      <c r="N3700" s="761"/>
      <c r="O3700" s="505"/>
      <c r="P3700" s="501"/>
      <c r="Q3700" s="739"/>
      <c r="R3700" s="333">
        <f t="shared" ref="R3700:R3707" si="965">K3700</f>
        <v>160</v>
      </c>
      <c r="S3700" s="331" t="s">
        <v>301</v>
      </c>
      <c r="T3700" s="506">
        <v>37</v>
      </c>
      <c r="U3700" s="574"/>
      <c r="V3700" s="291">
        <f t="shared" ca="1" si="959"/>
        <v>89</v>
      </c>
      <c r="W3700" s="256">
        <f t="shared" ca="1" si="963"/>
        <v>2</v>
      </c>
      <c r="X3700" s="256">
        <f t="shared" ca="1" si="964"/>
        <v>1</v>
      </c>
      <c r="Y3700" s="250"/>
      <c r="Z3700" s="250"/>
    </row>
    <row r="3701" spans="1:29" s="111" customFormat="1" ht="15" x14ac:dyDescent="0.2">
      <c r="A3701" s="288"/>
      <c r="B3701" s="494"/>
      <c r="C3701" s="896" t="s">
        <v>1048</v>
      </c>
      <c r="D3701" s="417">
        <v>47</v>
      </c>
      <c r="E3701" s="314" t="s">
        <v>518</v>
      </c>
      <c r="F3701" s="418">
        <v>0</v>
      </c>
      <c r="G3701" s="417">
        <v>50</v>
      </c>
      <c r="H3701" s="314" t="s">
        <v>518</v>
      </c>
      <c r="I3701" s="418">
        <v>0</v>
      </c>
      <c r="J3701" s="1102"/>
      <c r="K3701" s="433">
        <f t="shared" si="962"/>
        <v>60</v>
      </c>
      <c r="L3701" s="501"/>
      <c r="M3701" s="760"/>
      <c r="N3701" s="761"/>
      <c r="O3701" s="505"/>
      <c r="P3701" s="501"/>
      <c r="Q3701" s="739"/>
      <c r="R3701" s="333">
        <f t="shared" si="965"/>
        <v>60</v>
      </c>
      <c r="S3701" s="331" t="s">
        <v>301</v>
      </c>
      <c r="T3701" s="506">
        <v>39</v>
      </c>
      <c r="U3701" s="574"/>
      <c r="V3701" s="291">
        <f t="shared" ca="1" si="959"/>
        <v>89</v>
      </c>
      <c r="W3701" s="256">
        <f t="shared" ref="W3701:W3707" ca="1" si="966">IF(LEFT(_xlfn.FORMULATEXT(V3701),3)="=SO",1,IF(COUNTA(A3701:U3701)=0,0,2))</f>
        <v>2</v>
      </c>
      <c r="X3701" s="256">
        <f t="shared" ref="X3701:X3707" ca="1" si="967">IF(COUNTA(OFFSET(A3698,1,0))-COUNTA(A3698)=-1,0,1)</f>
        <v>1</v>
      </c>
      <c r="Y3701" s="250"/>
      <c r="Z3701" s="250"/>
    </row>
    <row r="3702" spans="1:29" s="111" customFormat="1" ht="15" x14ac:dyDescent="0.2">
      <c r="A3702" s="288"/>
      <c r="B3702" s="494"/>
      <c r="C3702" s="896" t="s">
        <v>1048</v>
      </c>
      <c r="D3702" s="417">
        <v>45</v>
      </c>
      <c r="E3702" s="314" t="s">
        <v>518</v>
      </c>
      <c r="F3702" s="418">
        <v>0</v>
      </c>
      <c r="G3702" s="417">
        <v>47</v>
      </c>
      <c r="H3702" s="314" t="s">
        <v>518</v>
      </c>
      <c r="I3702" s="418">
        <v>0</v>
      </c>
      <c r="J3702" s="1109"/>
      <c r="K3702" s="433">
        <f t="shared" si="962"/>
        <v>40</v>
      </c>
      <c r="L3702" s="501"/>
      <c r="M3702" s="760"/>
      <c r="N3702" s="761"/>
      <c r="O3702" s="505"/>
      <c r="P3702" s="501"/>
      <c r="Q3702" s="739"/>
      <c r="R3702" s="333">
        <f t="shared" si="965"/>
        <v>40</v>
      </c>
      <c r="S3702" s="331" t="s">
        <v>301</v>
      </c>
      <c r="T3702" s="506">
        <v>41</v>
      </c>
      <c r="U3702" s="574"/>
      <c r="V3702" s="291">
        <f t="shared" ca="1" si="959"/>
        <v>89</v>
      </c>
      <c r="W3702" s="256">
        <f t="shared" ca="1" si="966"/>
        <v>2</v>
      </c>
      <c r="X3702" s="256">
        <f t="shared" ca="1" si="967"/>
        <v>1</v>
      </c>
      <c r="Y3702" s="250"/>
      <c r="Z3702" s="250"/>
    </row>
    <row r="3703" spans="1:29" s="111" customFormat="1" ht="15" x14ac:dyDescent="0.2">
      <c r="A3703" s="288"/>
      <c r="B3703" s="494"/>
      <c r="C3703" s="896" t="s">
        <v>1048</v>
      </c>
      <c r="D3703" s="417">
        <v>42</v>
      </c>
      <c r="E3703" s="314" t="s">
        <v>518</v>
      </c>
      <c r="F3703" s="418">
        <v>3</v>
      </c>
      <c r="G3703" s="417">
        <v>45</v>
      </c>
      <c r="H3703" s="314" t="s">
        <v>518</v>
      </c>
      <c r="I3703" s="418">
        <v>0</v>
      </c>
      <c r="J3703" s="1109"/>
      <c r="K3703" s="433">
        <f t="shared" si="962"/>
        <v>57</v>
      </c>
      <c r="L3703" s="501"/>
      <c r="M3703" s="760"/>
      <c r="N3703" s="761"/>
      <c r="O3703" s="505"/>
      <c r="P3703" s="501"/>
      <c r="Q3703" s="739"/>
      <c r="R3703" s="333">
        <f t="shared" si="965"/>
        <v>57</v>
      </c>
      <c r="S3703" s="331" t="s">
        <v>301</v>
      </c>
      <c r="T3703" s="506">
        <v>43</v>
      </c>
      <c r="U3703" s="574"/>
      <c r="V3703" s="291">
        <f t="shared" ca="1" si="959"/>
        <v>89</v>
      </c>
      <c r="W3703" s="256">
        <f t="shared" ca="1" si="966"/>
        <v>2</v>
      </c>
      <c r="X3703" s="256">
        <f t="shared" ca="1" si="967"/>
        <v>1</v>
      </c>
      <c r="Y3703" s="250"/>
      <c r="Z3703" s="250"/>
    </row>
    <row r="3704" spans="1:29" s="111" customFormat="1" ht="15" x14ac:dyDescent="0.2">
      <c r="A3704" s="288"/>
      <c r="B3704" s="494"/>
      <c r="C3704" s="896" t="s">
        <v>1048</v>
      </c>
      <c r="D3704" s="417">
        <v>39</v>
      </c>
      <c r="E3704" s="314" t="s">
        <v>518</v>
      </c>
      <c r="F3704" s="418">
        <v>2</v>
      </c>
      <c r="G3704" s="417">
        <v>42</v>
      </c>
      <c r="H3704" s="314" t="s">
        <v>518</v>
      </c>
      <c r="I3704" s="418">
        <v>3</v>
      </c>
      <c r="J3704" s="1109"/>
      <c r="K3704" s="433">
        <f t="shared" si="962"/>
        <v>61</v>
      </c>
      <c r="L3704" s="501"/>
      <c r="M3704" s="760"/>
      <c r="N3704" s="761"/>
      <c r="O3704" s="505"/>
      <c r="P3704" s="501"/>
      <c r="Q3704" s="739"/>
      <c r="R3704" s="333">
        <f t="shared" si="965"/>
        <v>61</v>
      </c>
      <c r="S3704" s="331" t="s">
        <v>301</v>
      </c>
      <c r="T3704" s="506">
        <v>44</v>
      </c>
      <c r="U3704" s="574"/>
      <c r="V3704" s="291">
        <f t="shared" ca="1" si="959"/>
        <v>89</v>
      </c>
      <c r="W3704" s="256">
        <f t="shared" ca="1" si="966"/>
        <v>2</v>
      </c>
      <c r="X3704" s="256">
        <f t="shared" ca="1" si="967"/>
        <v>1</v>
      </c>
      <c r="Y3704" s="250"/>
      <c r="Z3704" s="250"/>
    </row>
    <row r="3705" spans="1:29" s="111" customFormat="1" ht="15" x14ac:dyDescent="0.2">
      <c r="A3705" s="288"/>
      <c r="B3705" s="494"/>
      <c r="C3705" s="896" t="s">
        <v>627</v>
      </c>
      <c r="D3705" s="417">
        <v>0</v>
      </c>
      <c r="E3705" s="314" t="s">
        <v>518</v>
      </c>
      <c r="F3705" s="418">
        <v>0</v>
      </c>
      <c r="G3705" s="417">
        <v>1</v>
      </c>
      <c r="H3705" s="314" t="s">
        <v>518</v>
      </c>
      <c r="I3705" s="418">
        <v>8</v>
      </c>
      <c r="J3705" s="1109"/>
      <c r="K3705" s="433">
        <f t="shared" si="962"/>
        <v>28</v>
      </c>
      <c r="L3705" s="501"/>
      <c r="M3705" s="760"/>
      <c r="N3705" s="761"/>
      <c r="O3705" s="505"/>
      <c r="P3705" s="501"/>
      <c r="Q3705" s="739"/>
      <c r="R3705" s="333">
        <f t="shared" si="965"/>
        <v>28</v>
      </c>
      <c r="S3705" s="505" t="s">
        <v>301</v>
      </c>
      <c r="T3705" s="506">
        <v>44</v>
      </c>
      <c r="U3705" s="574"/>
      <c r="V3705" s="291">
        <f t="shared" ca="1" si="959"/>
        <v>89</v>
      </c>
      <c r="W3705" s="256">
        <f t="shared" ca="1" si="966"/>
        <v>2</v>
      </c>
      <c r="X3705" s="256">
        <f t="shared" ca="1" si="967"/>
        <v>1</v>
      </c>
      <c r="Y3705" s="250"/>
      <c r="Z3705" s="250"/>
    </row>
    <row r="3706" spans="1:29" s="111" customFormat="1" ht="15" x14ac:dyDescent="0.2">
      <c r="A3706" s="288"/>
      <c r="B3706" s="494"/>
      <c r="C3706" s="896" t="s">
        <v>627</v>
      </c>
      <c r="D3706" s="417">
        <v>1</v>
      </c>
      <c r="E3706" s="314" t="s">
        <v>518</v>
      </c>
      <c r="F3706" s="418">
        <v>8</v>
      </c>
      <c r="G3706" s="417">
        <v>2</v>
      </c>
      <c r="H3706" s="314" t="s">
        <v>518</v>
      </c>
      <c r="I3706" s="418">
        <v>0</v>
      </c>
      <c r="J3706" s="1109"/>
      <c r="K3706" s="433">
        <f t="shared" si="962"/>
        <v>12</v>
      </c>
      <c r="L3706" s="501"/>
      <c r="M3706" s="760"/>
      <c r="N3706" s="761"/>
      <c r="O3706" s="505"/>
      <c r="P3706" s="501"/>
      <c r="Q3706" s="739"/>
      <c r="R3706" s="333">
        <f t="shared" si="965"/>
        <v>12</v>
      </c>
      <c r="S3706" s="505" t="s">
        <v>301</v>
      </c>
      <c r="T3706" s="506">
        <v>43</v>
      </c>
      <c r="U3706" s="574"/>
      <c r="V3706" s="291">
        <f t="shared" ca="1" si="959"/>
        <v>89</v>
      </c>
      <c r="W3706" s="256">
        <f t="shared" ca="1" si="966"/>
        <v>2</v>
      </c>
      <c r="X3706" s="256">
        <f t="shared" ca="1" si="967"/>
        <v>1</v>
      </c>
      <c r="Y3706" s="250"/>
      <c r="Z3706" s="250"/>
    </row>
    <row r="3707" spans="1:29" s="111" customFormat="1" ht="15" x14ac:dyDescent="0.2">
      <c r="A3707" s="288"/>
      <c r="B3707" s="494"/>
      <c r="C3707" s="896" t="s">
        <v>627</v>
      </c>
      <c r="D3707" s="417">
        <v>2</v>
      </c>
      <c r="E3707" s="314" t="s">
        <v>518</v>
      </c>
      <c r="F3707" s="418">
        <v>0</v>
      </c>
      <c r="G3707" s="417">
        <v>6</v>
      </c>
      <c r="H3707" s="314" t="s">
        <v>518</v>
      </c>
      <c r="I3707" s="418">
        <v>10</v>
      </c>
      <c r="J3707" s="1109"/>
      <c r="K3707" s="433">
        <f t="shared" si="962"/>
        <v>90</v>
      </c>
      <c r="L3707" s="501"/>
      <c r="M3707" s="760"/>
      <c r="N3707" s="761"/>
      <c r="O3707" s="505"/>
      <c r="P3707" s="501"/>
      <c r="Q3707" s="739"/>
      <c r="R3707" s="333">
        <f t="shared" si="965"/>
        <v>90</v>
      </c>
      <c r="S3707" s="505" t="s">
        <v>301</v>
      </c>
      <c r="T3707" s="506">
        <v>41</v>
      </c>
      <c r="U3707" s="574"/>
      <c r="V3707" s="291">
        <f t="shared" ca="1" si="959"/>
        <v>89</v>
      </c>
      <c r="W3707" s="256">
        <f t="shared" ca="1" si="966"/>
        <v>2</v>
      </c>
      <c r="X3707" s="256">
        <f t="shared" ca="1" si="967"/>
        <v>1</v>
      </c>
      <c r="Y3707" s="250"/>
      <c r="Z3707" s="250"/>
    </row>
    <row r="3708" spans="1:29" s="111" customFormat="1" ht="15" x14ac:dyDescent="0.2">
      <c r="A3708" s="288"/>
      <c r="B3708" s="494"/>
      <c r="C3708" s="1161"/>
      <c r="D3708" s="551"/>
      <c r="E3708" s="552"/>
      <c r="F3708" s="553"/>
      <c r="G3708" s="551"/>
      <c r="H3708" s="552"/>
      <c r="I3708" s="553"/>
      <c r="J3708" s="1109"/>
      <c r="K3708" s="500"/>
      <c r="L3708" s="501"/>
      <c r="M3708" s="760"/>
      <c r="N3708" s="761"/>
      <c r="O3708" s="505"/>
      <c r="P3708" s="501"/>
      <c r="Q3708" s="739"/>
      <c r="R3708" s="1111"/>
      <c r="S3708" s="505"/>
      <c r="T3708" s="506"/>
      <c r="U3708" s="574"/>
      <c r="V3708" s="291">
        <f t="shared" ca="1" si="959"/>
        <v>89</v>
      </c>
      <c r="W3708" s="256">
        <f t="shared" ref="W3708:W3712" ca="1" si="968">IF(LEFT(_xlfn.FORMULATEXT(V3708),3)="=SO",1,IF(COUNTA(A3708:U3708)=0,0,2))</f>
        <v>0</v>
      </c>
      <c r="X3708" s="256">
        <f ca="1">IF(COUNTA(OFFSET(A3703,1,0))-COUNTA(A3703)=-1,0,1)</f>
        <v>1</v>
      </c>
      <c r="Y3708" s="250"/>
      <c r="Z3708" s="250"/>
    </row>
    <row r="3709" spans="1:29" s="111" customFormat="1" ht="15" x14ac:dyDescent="0.2">
      <c r="A3709" s="288"/>
      <c r="B3709" s="338"/>
      <c r="C3709" s="339"/>
      <c r="D3709" s="340"/>
      <c r="E3709" s="341"/>
      <c r="F3709" s="342"/>
      <c r="G3709" s="340"/>
      <c r="H3709" s="341"/>
      <c r="I3709" s="342"/>
      <c r="J3709" s="343"/>
      <c r="K3709" s="344"/>
      <c r="L3709" s="345"/>
      <c r="M3709" s="346"/>
      <c r="N3709" s="347"/>
      <c r="O3709" s="348"/>
      <c r="P3709" s="345"/>
      <c r="Q3709" s="349"/>
      <c r="R3709" s="350"/>
      <c r="S3709" s="351"/>
      <c r="T3709" s="352"/>
      <c r="U3709" s="353"/>
      <c r="V3709" s="291">
        <f t="shared" ca="1" si="959"/>
        <v>89</v>
      </c>
      <c r="W3709" s="256">
        <f t="shared" ca="1" si="968"/>
        <v>0</v>
      </c>
      <c r="X3709" s="256">
        <f t="shared" ref="X3709:X3712" ca="1" si="969">IF(COUNTA(OFFSET(A3706,1,0))-COUNTA(A3706)=-1,0,1)</f>
        <v>1</v>
      </c>
      <c r="Y3709" s="250"/>
      <c r="Z3709" s="250"/>
    </row>
    <row r="3710" spans="1:29" s="111" customFormat="1" ht="15.75" customHeight="1" x14ac:dyDescent="0.2">
      <c r="A3710" s="288" t="s">
        <v>248</v>
      </c>
      <c r="B3710" s="354"/>
      <c r="C3710" s="355"/>
      <c r="D3710" s="1354" t="s">
        <v>492</v>
      </c>
      <c r="E3710" s="1355"/>
      <c r="F3710" s="1355"/>
      <c r="G3710" s="1355"/>
      <c r="H3710" s="1355"/>
      <c r="I3710" s="1356"/>
      <c r="J3710" s="1357">
        <f>VLOOKUP(A3712,'11 - FINANCEIRO'!_xlnm.Print_Area,6,FALSE)</f>
        <v>2552.8000000000002</v>
      </c>
      <c r="K3710" s="1358"/>
      <c r="L3710" s="356" t="str">
        <f>VLOOKUP(A3712,'11 - FINANCEIRO'!_xlnm.Print_Area,4,FALSE)</f>
        <v>m</v>
      </c>
      <c r="M3710" s="1359" t="s">
        <v>493</v>
      </c>
      <c r="N3710" s="1360"/>
      <c r="O3710" s="1360"/>
      <c r="P3710" s="1360"/>
      <c r="Q3710" s="1361"/>
      <c r="R3710" s="357">
        <f>TRUNC(SUM(R3693:R3709),3)</f>
        <v>2452.8000000000002</v>
      </c>
      <c r="S3710" s="358" t="str">
        <f>L3710</f>
        <v>m</v>
      </c>
      <c r="T3710" s="359"/>
      <c r="U3710" s="360"/>
      <c r="V3710" s="291">
        <f t="shared" ca="1" si="959"/>
        <v>89</v>
      </c>
      <c r="W3710" s="256">
        <f t="shared" ca="1" si="968"/>
        <v>2</v>
      </c>
      <c r="X3710" s="256">
        <f t="shared" ca="1" si="969"/>
        <v>1</v>
      </c>
      <c r="Y3710" s="250"/>
      <c r="Z3710" s="250"/>
    </row>
    <row r="3711" spans="1:29" s="293" customFormat="1" ht="15.75" customHeight="1" x14ac:dyDescent="0.2">
      <c r="A3711" s="288" t="s">
        <v>249</v>
      </c>
      <c r="B3711" s="354"/>
      <c r="C3711" s="361"/>
      <c r="D3711" s="1362" t="s">
        <v>494</v>
      </c>
      <c r="E3711" s="1363"/>
      <c r="F3711" s="1363"/>
      <c r="G3711" s="1363"/>
      <c r="H3711" s="1363"/>
      <c r="I3711" s="1364"/>
      <c r="J3711" s="1365">
        <f>IF(R3710&gt;J3710,1,R3710/J3710)</f>
        <v>0.96082732685678474</v>
      </c>
      <c r="K3711" s="1366"/>
      <c r="L3711" s="1369"/>
      <c r="M3711" s="1371" t="s">
        <v>495</v>
      </c>
      <c r="N3711" s="1372"/>
      <c r="O3711" s="1372"/>
      <c r="P3711" s="1372"/>
      <c r="Q3711" s="1373"/>
      <c r="R3711" s="362">
        <f>VLOOKUP(A3712,'11 - FINANCEIRO'!_xlnm.Print_Area,8,FALSE)</f>
        <v>2363.8000000000002</v>
      </c>
      <c r="S3711" s="363" t="str">
        <f>L3710</f>
        <v>m</v>
      </c>
      <c r="T3711" s="858"/>
      <c r="U3711" s="360"/>
      <c r="V3711" s="291">
        <f t="shared" ca="1" si="959"/>
        <v>89</v>
      </c>
      <c r="W3711" s="256">
        <f t="shared" ca="1" si="968"/>
        <v>2</v>
      </c>
      <c r="X3711" s="256">
        <f t="shared" ca="1" si="969"/>
        <v>1</v>
      </c>
      <c r="Y3711" s="256"/>
      <c r="Z3711" s="256"/>
      <c r="AA3711" s="292"/>
      <c r="AB3711" s="292"/>
      <c r="AC3711" s="292"/>
    </row>
    <row r="3712" spans="1:29" s="293" customFormat="1" ht="15.75" customHeight="1" x14ac:dyDescent="0.2">
      <c r="A3712" s="288" t="s">
        <v>250</v>
      </c>
      <c r="B3712" s="364"/>
      <c r="C3712" s="365"/>
      <c r="D3712" s="1354"/>
      <c r="E3712" s="1355"/>
      <c r="F3712" s="1355"/>
      <c r="G3712" s="1355"/>
      <c r="H3712" s="1355"/>
      <c r="I3712" s="1356"/>
      <c r="J3712" s="1367"/>
      <c r="K3712" s="1368"/>
      <c r="L3712" s="1370"/>
      <c r="M3712" s="1371" t="s">
        <v>496</v>
      </c>
      <c r="N3712" s="1372"/>
      <c r="O3712" s="1372"/>
      <c r="P3712" s="1372"/>
      <c r="Q3712" s="1373"/>
      <c r="R3712" s="362">
        <f>R3710-R3711</f>
        <v>89</v>
      </c>
      <c r="S3712" s="363" t="str">
        <f>L3710</f>
        <v>m</v>
      </c>
      <c r="T3712" s="366"/>
      <c r="U3712" s="367"/>
      <c r="V3712" s="291">
        <f t="shared" ca="1" si="959"/>
        <v>89</v>
      </c>
      <c r="W3712" s="256">
        <f t="shared" ca="1" si="968"/>
        <v>2</v>
      </c>
      <c r="X3712" s="256">
        <f t="shared" ca="1" si="969"/>
        <v>1</v>
      </c>
      <c r="Y3712" s="256"/>
      <c r="Z3712" s="256"/>
      <c r="AA3712" s="292"/>
      <c r="AB3712" s="292"/>
      <c r="AC3712" s="292"/>
    </row>
    <row r="3713" spans="1:29" s="111" customFormat="1" ht="15.75" x14ac:dyDescent="0.2">
      <c r="A3713" s="288"/>
      <c r="B3713" s="368"/>
      <c r="C3713" s="365"/>
      <c r="D3713" s="369"/>
      <c r="E3713" s="370"/>
      <c r="F3713" s="369"/>
      <c r="G3713" s="369"/>
      <c r="H3713" s="369"/>
      <c r="I3713" s="369"/>
      <c r="J3713" s="371"/>
      <c r="K3713" s="372"/>
      <c r="L3713" s="373"/>
      <c r="M3713" s="374"/>
      <c r="N3713" s="374"/>
      <c r="O3713" s="374"/>
      <c r="P3713" s="374"/>
      <c r="Q3713" s="374"/>
      <c r="R3713" s="375"/>
      <c r="S3713" s="376"/>
      <c r="T3713" s="377"/>
      <c r="U3713" s="378"/>
      <c r="V3713" s="379">
        <f ca="1">SUM(V3691:V3712)</f>
        <v>1958</v>
      </c>
      <c r="W3713" s="256">
        <f t="shared" ca="1" si="957"/>
        <v>1</v>
      </c>
      <c r="X3713" s="256">
        <f t="shared" ref="X3713:X3804" ca="1" si="970">IF(COUNTA(OFFSET(A3712,1,0))-COUNTA(A3712)=-1,0,1)</f>
        <v>0</v>
      </c>
      <c r="Y3713" s="250"/>
      <c r="Z3713" s="250"/>
    </row>
    <row r="3714" spans="1:29" s="293" customFormat="1" ht="15.75" customHeight="1" x14ac:dyDescent="0.2">
      <c r="A3714" s="288"/>
      <c r="B3714" s="1374" t="str">
        <f>VLOOKUP(A3758,'11 - FINANCEIRO'!_xlnm.Print_Area,1,FALSE)</f>
        <v>5.1.2</v>
      </c>
      <c r="C3714" s="1376" t="str">
        <f>VLOOKUP(A3758,'11 - FINANCEIRO'!_xlnm.Print_Area,3,FALSE)</f>
        <v>Corte E Remoção De Árvores</v>
      </c>
      <c r="D3714" s="1378" t="s">
        <v>477</v>
      </c>
      <c r="E3714" s="1379"/>
      <c r="F3714" s="1379"/>
      <c r="G3714" s="1379"/>
      <c r="H3714" s="1379"/>
      <c r="I3714" s="1380"/>
      <c r="J3714" s="1338" t="s">
        <v>478</v>
      </c>
      <c r="K3714" s="1338" t="s">
        <v>479</v>
      </c>
      <c r="L3714" s="1338" t="s">
        <v>606</v>
      </c>
      <c r="M3714" s="1338" t="s">
        <v>822</v>
      </c>
      <c r="N3714" s="1338" t="s">
        <v>823</v>
      </c>
      <c r="O3714" s="1338" t="s">
        <v>824</v>
      </c>
      <c r="P3714" s="1338" t="s">
        <v>483</v>
      </c>
      <c r="Q3714" s="1338" t="s">
        <v>810</v>
      </c>
      <c r="R3714" s="1336" t="s">
        <v>296</v>
      </c>
      <c r="S3714" s="1338" t="s">
        <v>486</v>
      </c>
      <c r="T3714" s="1338" t="s">
        <v>487</v>
      </c>
      <c r="U3714" s="1340" t="s">
        <v>488</v>
      </c>
      <c r="V3714" s="291">
        <f ca="1">IF(OFFSET(V3714,1,1)=1,OFFSET(V3714,0,-4),OFFSET(V3714,1,0))</f>
        <v>2356.1289999999999</v>
      </c>
      <c r="W3714" s="256">
        <f t="shared" ca="1" si="957"/>
        <v>2</v>
      </c>
      <c r="X3714" s="256">
        <f t="shared" ca="1" si="970"/>
        <v>1</v>
      </c>
      <c r="Y3714" s="256"/>
      <c r="Z3714" s="256"/>
      <c r="AA3714" s="292"/>
      <c r="AB3714" s="292"/>
      <c r="AC3714" s="292"/>
    </row>
    <row r="3715" spans="1:29" s="337" customFormat="1" ht="15.75" x14ac:dyDescent="0.2">
      <c r="A3715" s="288"/>
      <c r="B3715" s="1375"/>
      <c r="C3715" s="1377" t="e">
        <f>VLOOKUP(LEFT(#REF!,5),'11 - FINANCEIRO'!_xlnm.Print_Area,2,FALSE)</f>
        <v>#REF!</v>
      </c>
      <c r="D3715" s="1342" t="s">
        <v>489</v>
      </c>
      <c r="E3715" s="1343"/>
      <c r="F3715" s="1344"/>
      <c r="G3715" s="1345" t="s">
        <v>490</v>
      </c>
      <c r="H3715" s="1346"/>
      <c r="I3715" s="1347"/>
      <c r="J3715" s="1339"/>
      <c r="K3715" s="1339"/>
      <c r="L3715" s="1339"/>
      <c r="M3715" s="1339"/>
      <c r="N3715" s="1339"/>
      <c r="O3715" s="1339"/>
      <c r="P3715" s="1339"/>
      <c r="Q3715" s="1339"/>
      <c r="R3715" s="1337"/>
      <c r="S3715" s="1339"/>
      <c r="T3715" s="1339"/>
      <c r="U3715" s="1341"/>
      <c r="V3715" s="291">
        <f ca="1">IF(OFFSET(V3715,1,1)=1,OFFSET(V3715,0,-4),OFFSET(V3715,1,0))</f>
        <v>2356.1289999999999</v>
      </c>
      <c r="W3715" s="256">
        <f t="shared" ca="1" si="957"/>
        <v>2</v>
      </c>
      <c r="X3715" s="256">
        <f t="shared" ca="1" si="970"/>
        <v>1</v>
      </c>
      <c r="Y3715" s="336"/>
      <c r="Z3715" s="336"/>
    </row>
    <row r="3716" spans="1:29" s="337" customFormat="1" ht="15.75" x14ac:dyDescent="0.2">
      <c r="A3716" s="288"/>
      <c r="B3716" s="296"/>
      <c r="C3716" s="297" t="s">
        <v>808</v>
      </c>
      <c r="D3716" s="417">
        <v>5</v>
      </c>
      <c r="E3716" s="314" t="s">
        <v>518</v>
      </c>
      <c r="F3716" s="418">
        <v>14.9</v>
      </c>
      <c r="G3716" s="419">
        <v>22</v>
      </c>
      <c r="H3716" s="316" t="s">
        <v>518</v>
      </c>
      <c r="I3716" s="420">
        <v>5</v>
      </c>
      <c r="J3716" s="589"/>
      <c r="K3716" s="747">
        <f>ABS((G3716*20+I3716)-(D3716*20+F3716))</f>
        <v>330.1</v>
      </c>
      <c r="L3716" s="304">
        <v>11</v>
      </c>
      <c r="M3716" s="304">
        <v>0.6</v>
      </c>
      <c r="N3716" s="304">
        <v>0.6</v>
      </c>
      <c r="O3716" s="304">
        <v>3.14</v>
      </c>
      <c r="P3716" s="306">
        <f>((M3716*N3716)*O3716)*L3716</f>
        <v>12.4344</v>
      </c>
      <c r="Q3716" s="304">
        <v>2</v>
      </c>
      <c r="R3716" s="307">
        <f>P3716*Q3716</f>
        <v>24.8688</v>
      </c>
      <c r="S3716" s="304"/>
      <c r="T3716" s="309">
        <v>19</v>
      </c>
      <c r="U3716" s="310"/>
      <c r="V3716" s="291">
        <f ca="1">IF(OFFSET(V3716,1,1)=1,OFFSET(V3716,0,-4),OFFSET(V3716,1,0))</f>
        <v>2356.1289999999999</v>
      </c>
      <c r="W3716" s="256">
        <f t="shared" ca="1" si="957"/>
        <v>2</v>
      </c>
      <c r="X3716" s="256">
        <f t="shared" ca="1" si="970"/>
        <v>1</v>
      </c>
      <c r="Y3716" s="336"/>
      <c r="Z3716" s="336"/>
    </row>
    <row r="3717" spans="1:29" s="337" customFormat="1" ht="15.75" x14ac:dyDescent="0.2">
      <c r="A3717" s="288"/>
      <c r="B3717" s="512"/>
      <c r="C3717" s="426" t="s">
        <v>809</v>
      </c>
      <c r="D3717" s="417">
        <v>5</v>
      </c>
      <c r="E3717" s="314" t="s">
        <v>518</v>
      </c>
      <c r="F3717" s="418">
        <v>14.9</v>
      </c>
      <c r="G3717" s="419">
        <v>22</v>
      </c>
      <c r="H3717" s="316" t="s">
        <v>518</v>
      </c>
      <c r="I3717" s="420">
        <v>5</v>
      </c>
      <c r="J3717" s="317"/>
      <c r="K3717" s="433">
        <f>ABS((G3717*20+I3717)-(D3717*20+F3717))</f>
        <v>330.1</v>
      </c>
      <c r="L3717" s="427">
        <v>2.5</v>
      </c>
      <c r="M3717" s="513">
        <v>0.4</v>
      </c>
      <c r="N3717" s="520">
        <v>0.4</v>
      </c>
      <c r="O3717" s="519">
        <v>3.14</v>
      </c>
      <c r="P3717" s="428">
        <f t="shared" ref="P3717:P3749" si="971">((M3717*N3717)*O3717)*L3717</f>
        <v>1.2560000000000002</v>
      </c>
      <c r="Q3717" s="513">
        <v>4</v>
      </c>
      <c r="R3717" s="524">
        <f t="shared" ref="R3717:R3749" si="972">P3717*Q3717</f>
        <v>5.0240000000000009</v>
      </c>
      <c r="S3717" s="427"/>
      <c r="T3717" s="514">
        <v>19</v>
      </c>
      <c r="U3717" s="765"/>
      <c r="V3717" s="291">
        <f t="shared" ref="V3717:V3756" ca="1" si="973">IF(OFFSET(V3717,1,1)=1,OFFSET(V3717,0,-4),OFFSET(V3717,1,0))</f>
        <v>2356.1289999999999</v>
      </c>
      <c r="W3717" s="256">
        <f t="shared" ref="W3717:W3747" ca="1" si="974">IF(LEFT(_xlfn.FORMULATEXT(V3717),3)="=SO",1,IF(COUNTA(A3717:U3717)=0,0,2))</f>
        <v>2</v>
      </c>
      <c r="X3717" s="256">
        <f t="shared" ref="X3717:X3747" ca="1" si="975">IF(COUNTA(OFFSET(A3716,1,0))-COUNTA(A3716)=-1,0,1)</f>
        <v>1</v>
      </c>
      <c r="Y3717" s="336"/>
      <c r="Z3717" s="336"/>
    </row>
    <row r="3718" spans="1:29" s="337" customFormat="1" ht="15.75" x14ac:dyDescent="0.2">
      <c r="A3718" s="288"/>
      <c r="B3718" s="512"/>
      <c r="C3718" s="426" t="s">
        <v>811</v>
      </c>
      <c r="D3718" s="417">
        <v>5</v>
      </c>
      <c r="E3718" s="314" t="s">
        <v>518</v>
      </c>
      <c r="F3718" s="418">
        <v>14.9</v>
      </c>
      <c r="G3718" s="419">
        <v>22</v>
      </c>
      <c r="H3718" s="316" t="s">
        <v>518</v>
      </c>
      <c r="I3718" s="420">
        <v>5</v>
      </c>
      <c r="J3718" s="317"/>
      <c r="K3718" s="433">
        <f t="shared" ref="K3718:K3729" si="976">ABS((G3718*20+I3718)-(D3718*20+F3718))</f>
        <v>330.1</v>
      </c>
      <c r="L3718" s="427">
        <v>7</v>
      </c>
      <c r="M3718" s="513">
        <v>0.4</v>
      </c>
      <c r="N3718" s="520">
        <v>0.4</v>
      </c>
      <c r="O3718" s="519">
        <v>3.14</v>
      </c>
      <c r="P3718" s="428">
        <f t="shared" si="971"/>
        <v>3.5168000000000004</v>
      </c>
      <c r="Q3718" s="513">
        <v>1</v>
      </c>
      <c r="R3718" s="524">
        <f t="shared" si="972"/>
        <v>3.5168000000000004</v>
      </c>
      <c r="S3718" s="427"/>
      <c r="T3718" s="514">
        <v>19</v>
      </c>
      <c r="U3718" s="765"/>
      <c r="V3718" s="291">
        <f t="shared" ca="1" si="973"/>
        <v>2356.1289999999999</v>
      </c>
      <c r="W3718" s="256">
        <f t="shared" ca="1" si="974"/>
        <v>2</v>
      </c>
      <c r="X3718" s="256">
        <f t="shared" ca="1" si="975"/>
        <v>1</v>
      </c>
      <c r="Y3718" s="336"/>
      <c r="Z3718" s="336"/>
    </row>
    <row r="3719" spans="1:29" s="337" customFormat="1" ht="15.75" x14ac:dyDescent="0.2">
      <c r="A3719" s="288"/>
      <c r="B3719" s="512"/>
      <c r="C3719" s="426" t="s">
        <v>812</v>
      </c>
      <c r="D3719" s="417">
        <v>5</v>
      </c>
      <c r="E3719" s="314" t="s">
        <v>518</v>
      </c>
      <c r="F3719" s="418">
        <v>14.9</v>
      </c>
      <c r="G3719" s="419">
        <v>22</v>
      </c>
      <c r="H3719" s="316" t="s">
        <v>518</v>
      </c>
      <c r="I3719" s="420">
        <v>5</v>
      </c>
      <c r="J3719" s="317"/>
      <c r="K3719" s="433">
        <f t="shared" si="976"/>
        <v>330.1</v>
      </c>
      <c r="L3719" s="427">
        <v>15</v>
      </c>
      <c r="M3719" s="513">
        <v>0.6</v>
      </c>
      <c r="N3719" s="520">
        <v>0.6</v>
      </c>
      <c r="O3719" s="519">
        <v>3.14</v>
      </c>
      <c r="P3719" s="428">
        <f t="shared" si="971"/>
        <v>16.956</v>
      </c>
      <c r="Q3719" s="513">
        <v>5</v>
      </c>
      <c r="R3719" s="524">
        <f t="shared" si="972"/>
        <v>84.78</v>
      </c>
      <c r="S3719" s="427"/>
      <c r="T3719" s="514">
        <v>19</v>
      </c>
      <c r="U3719" s="765"/>
      <c r="V3719" s="291">
        <f t="shared" ca="1" si="973"/>
        <v>2356.1289999999999</v>
      </c>
      <c r="W3719" s="256">
        <f t="shared" ca="1" si="974"/>
        <v>2</v>
      </c>
      <c r="X3719" s="256">
        <f t="shared" ca="1" si="975"/>
        <v>1</v>
      </c>
      <c r="Y3719" s="336"/>
      <c r="Z3719" s="336"/>
    </row>
    <row r="3720" spans="1:29" s="337" customFormat="1" ht="15.75" x14ac:dyDescent="0.2">
      <c r="A3720" s="288"/>
      <c r="B3720" s="512"/>
      <c r="C3720" s="426" t="s">
        <v>813</v>
      </c>
      <c r="D3720" s="417">
        <v>5</v>
      </c>
      <c r="E3720" s="314" t="s">
        <v>518</v>
      </c>
      <c r="F3720" s="418">
        <v>14.9</v>
      </c>
      <c r="G3720" s="419">
        <v>22</v>
      </c>
      <c r="H3720" s="316" t="s">
        <v>518</v>
      </c>
      <c r="I3720" s="420">
        <v>5</v>
      </c>
      <c r="J3720" s="317"/>
      <c r="K3720" s="433">
        <f t="shared" si="976"/>
        <v>330.1</v>
      </c>
      <c r="L3720" s="427">
        <v>18</v>
      </c>
      <c r="M3720" s="513">
        <v>1.8</v>
      </c>
      <c r="N3720" s="520">
        <v>1.8</v>
      </c>
      <c r="O3720" s="519">
        <v>3.14</v>
      </c>
      <c r="P3720" s="428">
        <f t="shared" si="971"/>
        <v>183.12479999999999</v>
      </c>
      <c r="Q3720" s="513">
        <v>2</v>
      </c>
      <c r="R3720" s="524">
        <f t="shared" si="972"/>
        <v>366.24959999999999</v>
      </c>
      <c r="S3720" s="427"/>
      <c r="T3720" s="514">
        <v>19</v>
      </c>
      <c r="U3720" s="765"/>
      <c r="V3720" s="291">
        <f t="shared" ca="1" si="973"/>
        <v>2356.1289999999999</v>
      </c>
      <c r="W3720" s="256">
        <f t="shared" ca="1" si="974"/>
        <v>2</v>
      </c>
      <c r="X3720" s="256">
        <f t="shared" ca="1" si="975"/>
        <v>1</v>
      </c>
      <c r="Y3720" s="336"/>
      <c r="Z3720" s="336"/>
    </row>
    <row r="3721" spans="1:29" s="337" customFormat="1" ht="15.75" x14ac:dyDescent="0.2">
      <c r="A3721" s="288"/>
      <c r="B3721" s="512"/>
      <c r="C3721" s="426" t="s">
        <v>814</v>
      </c>
      <c r="D3721" s="417">
        <v>5</v>
      </c>
      <c r="E3721" s="314" t="s">
        <v>518</v>
      </c>
      <c r="F3721" s="418">
        <v>14.9</v>
      </c>
      <c r="G3721" s="419">
        <v>22</v>
      </c>
      <c r="H3721" s="316" t="s">
        <v>518</v>
      </c>
      <c r="I3721" s="420">
        <v>5</v>
      </c>
      <c r="J3721" s="317"/>
      <c r="K3721" s="433">
        <f t="shared" si="976"/>
        <v>330.1</v>
      </c>
      <c r="L3721" s="427">
        <v>13</v>
      </c>
      <c r="M3721" s="513">
        <v>0.6</v>
      </c>
      <c r="N3721" s="520">
        <v>0.6</v>
      </c>
      <c r="O3721" s="519">
        <v>3.14</v>
      </c>
      <c r="P3721" s="428">
        <f t="shared" si="971"/>
        <v>14.695200000000002</v>
      </c>
      <c r="Q3721" s="513">
        <v>8</v>
      </c>
      <c r="R3721" s="524">
        <f t="shared" si="972"/>
        <v>117.56160000000001</v>
      </c>
      <c r="S3721" s="427"/>
      <c r="T3721" s="514">
        <v>19</v>
      </c>
      <c r="U3721" s="765"/>
      <c r="V3721" s="291">
        <f t="shared" ca="1" si="973"/>
        <v>2356.1289999999999</v>
      </c>
      <c r="W3721" s="256">
        <f t="shared" ca="1" si="974"/>
        <v>2</v>
      </c>
      <c r="X3721" s="256">
        <f t="shared" ca="1" si="975"/>
        <v>1</v>
      </c>
      <c r="Y3721" s="336"/>
      <c r="Z3721" s="336"/>
    </row>
    <row r="3722" spans="1:29" s="337" customFormat="1" ht="15.75" x14ac:dyDescent="0.2">
      <c r="A3722" s="288"/>
      <c r="B3722" s="512"/>
      <c r="C3722" s="426" t="s">
        <v>815</v>
      </c>
      <c r="D3722" s="417">
        <v>5</v>
      </c>
      <c r="E3722" s="314" t="s">
        <v>518</v>
      </c>
      <c r="F3722" s="418">
        <v>14.9</v>
      </c>
      <c r="G3722" s="419">
        <v>22</v>
      </c>
      <c r="H3722" s="316" t="s">
        <v>518</v>
      </c>
      <c r="I3722" s="420">
        <v>5</v>
      </c>
      <c r="J3722" s="317"/>
      <c r="K3722" s="433">
        <f t="shared" si="976"/>
        <v>330.1</v>
      </c>
      <c r="L3722" s="427">
        <v>10</v>
      </c>
      <c r="M3722" s="513">
        <v>0.5</v>
      </c>
      <c r="N3722" s="520">
        <v>0.5</v>
      </c>
      <c r="O3722" s="519">
        <v>3.14</v>
      </c>
      <c r="P3722" s="428">
        <f t="shared" si="971"/>
        <v>7.8500000000000005</v>
      </c>
      <c r="Q3722" s="513">
        <v>1</v>
      </c>
      <c r="R3722" s="524">
        <f t="shared" si="972"/>
        <v>7.8500000000000005</v>
      </c>
      <c r="S3722" s="427"/>
      <c r="T3722" s="514">
        <v>19</v>
      </c>
      <c r="U3722" s="765"/>
      <c r="V3722" s="291">
        <f t="shared" ca="1" si="973"/>
        <v>2356.1289999999999</v>
      </c>
      <c r="W3722" s="256">
        <f t="shared" ca="1" si="974"/>
        <v>2</v>
      </c>
      <c r="X3722" s="256">
        <f t="shared" ca="1" si="975"/>
        <v>1</v>
      </c>
      <c r="Y3722" s="336"/>
      <c r="Z3722" s="336"/>
    </row>
    <row r="3723" spans="1:29" s="337" customFormat="1" ht="15.75" x14ac:dyDescent="0.2">
      <c r="A3723" s="288"/>
      <c r="B3723" s="512"/>
      <c r="C3723" s="426" t="s">
        <v>816</v>
      </c>
      <c r="D3723" s="417">
        <v>5</v>
      </c>
      <c r="E3723" s="314" t="s">
        <v>518</v>
      </c>
      <c r="F3723" s="418">
        <v>14.9</v>
      </c>
      <c r="G3723" s="419">
        <v>22</v>
      </c>
      <c r="H3723" s="316" t="s">
        <v>518</v>
      </c>
      <c r="I3723" s="420">
        <v>5</v>
      </c>
      <c r="J3723" s="317"/>
      <c r="K3723" s="433">
        <f t="shared" si="976"/>
        <v>330.1</v>
      </c>
      <c r="L3723" s="427">
        <v>16</v>
      </c>
      <c r="M3723" s="513">
        <v>0.8</v>
      </c>
      <c r="N3723" s="520">
        <v>0.8</v>
      </c>
      <c r="O3723" s="519">
        <v>3.14</v>
      </c>
      <c r="P3723" s="428">
        <f t="shared" si="971"/>
        <v>32.153600000000004</v>
      </c>
      <c r="Q3723" s="513">
        <v>1</v>
      </c>
      <c r="R3723" s="524">
        <f t="shared" si="972"/>
        <v>32.153600000000004</v>
      </c>
      <c r="S3723" s="427"/>
      <c r="T3723" s="514">
        <v>19</v>
      </c>
      <c r="U3723" s="765"/>
      <c r="V3723" s="291">
        <f t="shared" ca="1" si="973"/>
        <v>2356.1289999999999</v>
      </c>
      <c r="W3723" s="256">
        <f t="shared" ca="1" si="974"/>
        <v>2</v>
      </c>
      <c r="X3723" s="256">
        <f t="shared" ca="1" si="975"/>
        <v>1</v>
      </c>
      <c r="Y3723" s="336"/>
      <c r="Z3723" s="336"/>
    </row>
    <row r="3724" spans="1:29" s="337" customFormat="1" ht="15.75" x14ac:dyDescent="0.2">
      <c r="A3724" s="288"/>
      <c r="B3724" s="512"/>
      <c r="C3724" s="426" t="s">
        <v>817</v>
      </c>
      <c r="D3724" s="417">
        <v>5</v>
      </c>
      <c r="E3724" s="314" t="s">
        <v>518</v>
      </c>
      <c r="F3724" s="418">
        <v>14.9</v>
      </c>
      <c r="G3724" s="419">
        <v>22</v>
      </c>
      <c r="H3724" s="316" t="s">
        <v>518</v>
      </c>
      <c r="I3724" s="420">
        <v>5</v>
      </c>
      <c r="J3724" s="317"/>
      <c r="K3724" s="433">
        <f t="shared" si="976"/>
        <v>330.1</v>
      </c>
      <c r="L3724" s="427">
        <v>17</v>
      </c>
      <c r="M3724" s="513">
        <v>2.1</v>
      </c>
      <c r="N3724" s="520">
        <v>2.1</v>
      </c>
      <c r="O3724" s="519">
        <v>3.14</v>
      </c>
      <c r="P3724" s="428">
        <f t="shared" si="971"/>
        <v>235.4058</v>
      </c>
      <c r="Q3724" s="513">
        <v>2</v>
      </c>
      <c r="R3724" s="524">
        <f t="shared" si="972"/>
        <v>470.8116</v>
      </c>
      <c r="S3724" s="427"/>
      <c r="T3724" s="514">
        <v>19</v>
      </c>
      <c r="U3724" s="765"/>
      <c r="V3724" s="291">
        <f t="shared" ca="1" si="973"/>
        <v>2356.1289999999999</v>
      </c>
      <c r="W3724" s="256">
        <f t="shared" ca="1" si="974"/>
        <v>2</v>
      </c>
      <c r="X3724" s="256">
        <f t="shared" ca="1" si="975"/>
        <v>1</v>
      </c>
      <c r="Y3724" s="336"/>
      <c r="Z3724" s="336"/>
    </row>
    <row r="3725" spans="1:29" s="337" customFormat="1" ht="15.75" x14ac:dyDescent="0.2">
      <c r="A3725" s="288"/>
      <c r="B3725" s="512"/>
      <c r="C3725" s="426" t="s">
        <v>818</v>
      </c>
      <c r="D3725" s="417">
        <v>5</v>
      </c>
      <c r="E3725" s="314" t="s">
        <v>518</v>
      </c>
      <c r="F3725" s="418">
        <v>14.9</v>
      </c>
      <c r="G3725" s="419">
        <v>22</v>
      </c>
      <c r="H3725" s="316" t="s">
        <v>518</v>
      </c>
      <c r="I3725" s="420">
        <v>5</v>
      </c>
      <c r="J3725" s="317"/>
      <c r="K3725" s="433">
        <f t="shared" si="976"/>
        <v>330.1</v>
      </c>
      <c r="L3725" s="427">
        <v>6</v>
      </c>
      <c r="M3725" s="513">
        <v>0.3</v>
      </c>
      <c r="N3725" s="520">
        <v>0.3</v>
      </c>
      <c r="O3725" s="519">
        <v>3.14</v>
      </c>
      <c r="P3725" s="428">
        <f t="shared" si="971"/>
        <v>1.6956000000000002</v>
      </c>
      <c r="Q3725" s="513">
        <v>1</v>
      </c>
      <c r="R3725" s="524">
        <f t="shared" si="972"/>
        <v>1.6956000000000002</v>
      </c>
      <c r="S3725" s="427"/>
      <c r="T3725" s="514">
        <v>19</v>
      </c>
      <c r="U3725" s="765"/>
      <c r="V3725" s="291">
        <f t="shared" ca="1" si="973"/>
        <v>2356.1289999999999</v>
      </c>
      <c r="W3725" s="256">
        <f t="shared" ca="1" si="974"/>
        <v>2</v>
      </c>
      <c r="X3725" s="256">
        <f t="shared" ca="1" si="975"/>
        <v>1</v>
      </c>
      <c r="Y3725" s="336"/>
      <c r="Z3725" s="336"/>
    </row>
    <row r="3726" spans="1:29" s="337" customFormat="1" ht="15.75" x14ac:dyDescent="0.2">
      <c r="A3726" s="288"/>
      <c r="B3726" s="512"/>
      <c r="C3726" s="426" t="s">
        <v>819</v>
      </c>
      <c r="D3726" s="417">
        <v>5</v>
      </c>
      <c r="E3726" s="314" t="s">
        <v>518</v>
      </c>
      <c r="F3726" s="418">
        <v>14.9</v>
      </c>
      <c r="G3726" s="419">
        <v>22</v>
      </c>
      <c r="H3726" s="316" t="s">
        <v>518</v>
      </c>
      <c r="I3726" s="420">
        <v>5</v>
      </c>
      <c r="J3726" s="317"/>
      <c r="K3726" s="433">
        <f t="shared" si="976"/>
        <v>330.1</v>
      </c>
      <c r="L3726" s="427">
        <v>14</v>
      </c>
      <c r="M3726" s="513">
        <v>1.6</v>
      </c>
      <c r="N3726" s="520">
        <v>1.6</v>
      </c>
      <c r="O3726" s="519">
        <v>3.14</v>
      </c>
      <c r="P3726" s="428">
        <f t="shared" si="971"/>
        <v>112.53760000000001</v>
      </c>
      <c r="Q3726" s="513">
        <v>1</v>
      </c>
      <c r="R3726" s="524">
        <f t="shared" si="972"/>
        <v>112.53760000000001</v>
      </c>
      <c r="S3726" s="427"/>
      <c r="T3726" s="514">
        <v>19</v>
      </c>
      <c r="U3726" s="765"/>
      <c r="V3726" s="291">
        <f t="shared" ca="1" si="973"/>
        <v>2356.1289999999999</v>
      </c>
      <c r="W3726" s="256">
        <f t="shared" ca="1" si="974"/>
        <v>2</v>
      </c>
      <c r="X3726" s="256">
        <f t="shared" ca="1" si="975"/>
        <v>1</v>
      </c>
      <c r="Y3726" s="336"/>
      <c r="Z3726" s="336"/>
    </row>
    <row r="3727" spans="1:29" s="337" customFormat="1" ht="15.75" x14ac:dyDescent="0.2">
      <c r="A3727" s="288"/>
      <c r="B3727" s="512"/>
      <c r="C3727" s="426" t="s">
        <v>820</v>
      </c>
      <c r="D3727" s="417">
        <v>5</v>
      </c>
      <c r="E3727" s="314" t="s">
        <v>518</v>
      </c>
      <c r="F3727" s="418">
        <v>14.9</v>
      </c>
      <c r="G3727" s="419">
        <v>22</v>
      </c>
      <c r="H3727" s="316" t="s">
        <v>518</v>
      </c>
      <c r="I3727" s="420">
        <v>5</v>
      </c>
      <c r="J3727" s="317"/>
      <c r="K3727" s="433">
        <f t="shared" si="976"/>
        <v>330.1</v>
      </c>
      <c r="L3727" s="427">
        <v>8</v>
      </c>
      <c r="M3727" s="513">
        <v>0.4</v>
      </c>
      <c r="N3727" s="520">
        <v>0.4</v>
      </c>
      <c r="O3727" s="519">
        <v>3.14</v>
      </c>
      <c r="P3727" s="428">
        <f t="shared" si="971"/>
        <v>4.0192000000000005</v>
      </c>
      <c r="Q3727" s="513">
        <v>1</v>
      </c>
      <c r="R3727" s="524">
        <f t="shared" si="972"/>
        <v>4.0192000000000005</v>
      </c>
      <c r="S3727" s="427"/>
      <c r="T3727" s="514">
        <v>19</v>
      </c>
      <c r="U3727" s="765"/>
      <c r="V3727" s="291">
        <f t="shared" ca="1" si="973"/>
        <v>2356.1289999999999</v>
      </c>
      <c r="W3727" s="256">
        <f t="shared" ca="1" si="974"/>
        <v>2</v>
      </c>
      <c r="X3727" s="256">
        <f t="shared" ca="1" si="975"/>
        <v>1</v>
      </c>
      <c r="Y3727" s="336"/>
      <c r="Z3727" s="336"/>
    </row>
    <row r="3728" spans="1:29" s="337" customFormat="1" ht="15.75" x14ac:dyDescent="0.2">
      <c r="A3728" s="288"/>
      <c r="B3728" s="512"/>
      <c r="C3728" s="426" t="s">
        <v>821</v>
      </c>
      <c r="D3728" s="417">
        <v>5</v>
      </c>
      <c r="E3728" s="314" t="s">
        <v>518</v>
      </c>
      <c r="F3728" s="418">
        <v>14.9</v>
      </c>
      <c r="G3728" s="419">
        <v>22</v>
      </c>
      <c r="H3728" s="316" t="s">
        <v>518</v>
      </c>
      <c r="I3728" s="420">
        <v>5</v>
      </c>
      <c r="J3728" s="317"/>
      <c r="K3728" s="433">
        <f t="shared" si="976"/>
        <v>330.1</v>
      </c>
      <c r="L3728" s="427">
        <v>16</v>
      </c>
      <c r="M3728" s="513">
        <v>1.3</v>
      </c>
      <c r="N3728" s="520">
        <v>1.3</v>
      </c>
      <c r="O3728" s="519">
        <v>3.14</v>
      </c>
      <c r="P3728" s="428">
        <f t="shared" si="971"/>
        <v>84.905600000000007</v>
      </c>
      <c r="Q3728" s="513">
        <v>1</v>
      </c>
      <c r="R3728" s="524">
        <f t="shared" si="972"/>
        <v>84.905600000000007</v>
      </c>
      <c r="S3728" s="427"/>
      <c r="T3728" s="514">
        <v>19</v>
      </c>
      <c r="U3728" s="765"/>
      <c r="V3728" s="291">
        <f t="shared" ca="1" si="973"/>
        <v>2356.1289999999999</v>
      </c>
      <c r="W3728" s="256">
        <f t="shared" ca="1" si="974"/>
        <v>2</v>
      </c>
      <c r="X3728" s="256">
        <f t="shared" ca="1" si="975"/>
        <v>1</v>
      </c>
      <c r="Y3728" s="336"/>
      <c r="Z3728" s="336"/>
    </row>
    <row r="3729" spans="1:26" s="337" customFormat="1" ht="15.75" x14ac:dyDescent="0.2">
      <c r="A3729" s="288"/>
      <c r="B3729" s="512"/>
      <c r="C3729" s="426" t="s">
        <v>825</v>
      </c>
      <c r="D3729" s="419">
        <v>22</v>
      </c>
      <c r="E3729" s="316" t="s">
        <v>518</v>
      </c>
      <c r="F3729" s="420">
        <v>5</v>
      </c>
      <c r="G3729" s="419">
        <v>30</v>
      </c>
      <c r="H3729" s="316" t="s">
        <v>518</v>
      </c>
      <c r="I3729" s="420">
        <v>0</v>
      </c>
      <c r="J3729" s="317"/>
      <c r="K3729" s="433">
        <f t="shared" si="976"/>
        <v>155</v>
      </c>
      <c r="L3729" s="427">
        <v>9</v>
      </c>
      <c r="M3729" s="513">
        <v>0.5</v>
      </c>
      <c r="N3729" s="520">
        <v>0.5</v>
      </c>
      <c r="O3729" s="519">
        <v>3.14</v>
      </c>
      <c r="P3729" s="428">
        <f t="shared" si="971"/>
        <v>7.0650000000000004</v>
      </c>
      <c r="Q3729" s="513">
        <v>1</v>
      </c>
      <c r="R3729" s="524">
        <f t="shared" si="972"/>
        <v>7.0650000000000004</v>
      </c>
      <c r="S3729" s="427"/>
      <c r="T3729" s="514">
        <v>19</v>
      </c>
      <c r="U3729" s="765"/>
      <c r="V3729" s="291">
        <f t="shared" ca="1" si="973"/>
        <v>2356.1289999999999</v>
      </c>
      <c r="W3729" s="256">
        <f t="shared" ca="1" si="974"/>
        <v>2</v>
      </c>
      <c r="X3729" s="256">
        <f t="shared" ca="1" si="975"/>
        <v>1</v>
      </c>
      <c r="Y3729" s="336"/>
      <c r="Z3729" s="336"/>
    </row>
    <row r="3730" spans="1:26" s="337" customFormat="1" ht="15.75" x14ac:dyDescent="0.2">
      <c r="A3730" s="288"/>
      <c r="B3730" s="512"/>
      <c r="C3730" s="426" t="s">
        <v>826</v>
      </c>
      <c r="D3730" s="419">
        <v>22</v>
      </c>
      <c r="E3730" s="316" t="s">
        <v>518</v>
      </c>
      <c r="F3730" s="420">
        <v>5</v>
      </c>
      <c r="G3730" s="419">
        <v>30</v>
      </c>
      <c r="H3730" s="316" t="s">
        <v>518</v>
      </c>
      <c r="I3730" s="420">
        <v>0</v>
      </c>
      <c r="J3730" s="317"/>
      <c r="K3730" s="433">
        <f t="shared" ref="K3730:K3749" si="977">ABS((G3730*20+I3730)-(D3730*20+F3730))</f>
        <v>155</v>
      </c>
      <c r="L3730" s="427">
        <v>14</v>
      </c>
      <c r="M3730" s="513">
        <v>0.8</v>
      </c>
      <c r="N3730" s="520">
        <v>0.8</v>
      </c>
      <c r="O3730" s="519">
        <v>3.14</v>
      </c>
      <c r="P3730" s="428">
        <f t="shared" si="971"/>
        <v>28.134400000000003</v>
      </c>
      <c r="Q3730" s="513">
        <v>12</v>
      </c>
      <c r="R3730" s="524">
        <f t="shared" si="972"/>
        <v>337.61280000000005</v>
      </c>
      <c r="S3730" s="427"/>
      <c r="T3730" s="514">
        <v>19</v>
      </c>
      <c r="U3730" s="765"/>
      <c r="V3730" s="291">
        <f t="shared" ca="1" si="973"/>
        <v>2356.1289999999999</v>
      </c>
      <c r="W3730" s="256">
        <f t="shared" ca="1" si="974"/>
        <v>2</v>
      </c>
      <c r="X3730" s="256">
        <f t="shared" ca="1" si="975"/>
        <v>1</v>
      </c>
      <c r="Y3730" s="336"/>
      <c r="Z3730" s="336"/>
    </row>
    <row r="3731" spans="1:26" s="337" customFormat="1" ht="15.75" x14ac:dyDescent="0.2">
      <c r="A3731" s="288"/>
      <c r="B3731" s="512"/>
      <c r="C3731" s="426" t="s">
        <v>827</v>
      </c>
      <c r="D3731" s="419">
        <v>22</v>
      </c>
      <c r="E3731" s="316" t="s">
        <v>518</v>
      </c>
      <c r="F3731" s="420">
        <v>5</v>
      </c>
      <c r="G3731" s="419">
        <v>30</v>
      </c>
      <c r="H3731" s="316" t="s">
        <v>518</v>
      </c>
      <c r="I3731" s="420">
        <v>0</v>
      </c>
      <c r="J3731" s="317"/>
      <c r="K3731" s="433">
        <f t="shared" si="977"/>
        <v>155</v>
      </c>
      <c r="L3731" s="427">
        <v>7</v>
      </c>
      <c r="M3731" s="513">
        <v>0.3</v>
      </c>
      <c r="N3731" s="520">
        <v>0.3</v>
      </c>
      <c r="O3731" s="519">
        <v>3.14</v>
      </c>
      <c r="P3731" s="428">
        <f t="shared" si="971"/>
        <v>1.9782000000000002</v>
      </c>
      <c r="Q3731" s="513">
        <v>1</v>
      </c>
      <c r="R3731" s="524">
        <f t="shared" si="972"/>
        <v>1.9782000000000002</v>
      </c>
      <c r="S3731" s="427"/>
      <c r="T3731" s="514">
        <v>19</v>
      </c>
      <c r="U3731" s="765"/>
      <c r="V3731" s="291">
        <f t="shared" ca="1" si="973"/>
        <v>2356.1289999999999</v>
      </c>
      <c r="W3731" s="256">
        <f t="shared" ca="1" si="974"/>
        <v>2</v>
      </c>
      <c r="X3731" s="256">
        <f t="shared" ca="1" si="975"/>
        <v>1</v>
      </c>
      <c r="Y3731" s="336"/>
      <c r="Z3731" s="336"/>
    </row>
    <row r="3732" spans="1:26" s="337" customFormat="1" ht="15.75" x14ac:dyDescent="0.2">
      <c r="A3732" s="288"/>
      <c r="B3732" s="512"/>
      <c r="C3732" s="426" t="s">
        <v>828</v>
      </c>
      <c r="D3732" s="419">
        <v>22</v>
      </c>
      <c r="E3732" s="316" t="s">
        <v>518</v>
      </c>
      <c r="F3732" s="420">
        <v>5</v>
      </c>
      <c r="G3732" s="419">
        <v>30</v>
      </c>
      <c r="H3732" s="316" t="s">
        <v>518</v>
      </c>
      <c r="I3732" s="420">
        <v>0</v>
      </c>
      <c r="J3732" s="317"/>
      <c r="K3732" s="433">
        <f t="shared" si="977"/>
        <v>155</v>
      </c>
      <c r="L3732" s="427">
        <v>12</v>
      </c>
      <c r="M3732" s="513">
        <v>0.6</v>
      </c>
      <c r="N3732" s="520">
        <v>0.6</v>
      </c>
      <c r="O3732" s="519">
        <v>3.14</v>
      </c>
      <c r="P3732" s="428">
        <f t="shared" si="971"/>
        <v>13.564800000000002</v>
      </c>
      <c r="Q3732" s="513">
        <v>1</v>
      </c>
      <c r="R3732" s="524">
        <f t="shared" si="972"/>
        <v>13.564800000000002</v>
      </c>
      <c r="S3732" s="427"/>
      <c r="T3732" s="514">
        <v>19</v>
      </c>
      <c r="U3732" s="765"/>
      <c r="V3732" s="291">
        <f t="shared" ca="1" si="973"/>
        <v>2356.1289999999999</v>
      </c>
      <c r="W3732" s="256">
        <f t="shared" ca="1" si="974"/>
        <v>2</v>
      </c>
      <c r="X3732" s="256">
        <f t="shared" ca="1" si="975"/>
        <v>1</v>
      </c>
      <c r="Y3732" s="336"/>
      <c r="Z3732" s="336"/>
    </row>
    <row r="3733" spans="1:26" s="337" customFormat="1" ht="15.75" x14ac:dyDescent="0.2">
      <c r="A3733" s="288"/>
      <c r="B3733" s="512"/>
      <c r="C3733" s="426" t="s">
        <v>829</v>
      </c>
      <c r="D3733" s="419">
        <v>22</v>
      </c>
      <c r="E3733" s="316" t="s">
        <v>518</v>
      </c>
      <c r="F3733" s="420">
        <v>5</v>
      </c>
      <c r="G3733" s="419">
        <v>30</v>
      </c>
      <c r="H3733" s="316" t="s">
        <v>518</v>
      </c>
      <c r="I3733" s="420">
        <v>0</v>
      </c>
      <c r="J3733" s="317"/>
      <c r="K3733" s="433">
        <f t="shared" si="977"/>
        <v>155</v>
      </c>
      <c r="L3733" s="427">
        <v>14</v>
      </c>
      <c r="M3733" s="513">
        <v>0.6</v>
      </c>
      <c r="N3733" s="520">
        <v>0.6</v>
      </c>
      <c r="O3733" s="519">
        <v>3.14</v>
      </c>
      <c r="P3733" s="428">
        <f t="shared" si="971"/>
        <v>15.825600000000001</v>
      </c>
      <c r="Q3733" s="513">
        <v>1</v>
      </c>
      <c r="R3733" s="524">
        <f t="shared" si="972"/>
        <v>15.825600000000001</v>
      </c>
      <c r="S3733" s="427"/>
      <c r="T3733" s="514">
        <v>19</v>
      </c>
      <c r="U3733" s="765"/>
      <c r="V3733" s="291">
        <f t="shared" ca="1" si="973"/>
        <v>2356.1289999999999</v>
      </c>
      <c r="W3733" s="256">
        <f t="shared" ca="1" si="974"/>
        <v>2</v>
      </c>
      <c r="X3733" s="256">
        <f t="shared" ca="1" si="975"/>
        <v>1</v>
      </c>
      <c r="Y3733" s="336"/>
      <c r="Z3733" s="336"/>
    </row>
    <row r="3734" spans="1:26" s="337" customFormat="1" ht="15.75" x14ac:dyDescent="0.2">
      <c r="A3734" s="288"/>
      <c r="B3734" s="512"/>
      <c r="C3734" s="426" t="s">
        <v>813</v>
      </c>
      <c r="D3734" s="419">
        <v>22</v>
      </c>
      <c r="E3734" s="316" t="s">
        <v>518</v>
      </c>
      <c r="F3734" s="420">
        <v>5</v>
      </c>
      <c r="G3734" s="419">
        <v>30</v>
      </c>
      <c r="H3734" s="316" t="s">
        <v>518</v>
      </c>
      <c r="I3734" s="420">
        <v>0</v>
      </c>
      <c r="J3734" s="317"/>
      <c r="K3734" s="433">
        <f t="shared" si="977"/>
        <v>155</v>
      </c>
      <c r="L3734" s="427">
        <v>15</v>
      </c>
      <c r="M3734" s="513">
        <v>0.8</v>
      </c>
      <c r="N3734" s="520">
        <v>0.8</v>
      </c>
      <c r="O3734" s="519">
        <v>3.14</v>
      </c>
      <c r="P3734" s="428">
        <f t="shared" si="971"/>
        <v>30.144000000000005</v>
      </c>
      <c r="Q3734" s="513">
        <v>1</v>
      </c>
      <c r="R3734" s="524">
        <f t="shared" si="972"/>
        <v>30.144000000000005</v>
      </c>
      <c r="S3734" s="427"/>
      <c r="T3734" s="514">
        <v>19</v>
      </c>
      <c r="U3734" s="765"/>
      <c r="V3734" s="291">
        <f t="shared" ca="1" si="973"/>
        <v>2356.1289999999999</v>
      </c>
      <c r="W3734" s="256">
        <f t="shared" ca="1" si="974"/>
        <v>2</v>
      </c>
      <c r="X3734" s="256">
        <f t="shared" ca="1" si="975"/>
        <v>1</v>
      </c>
      <c r="Y3734" s="336"/>
      <c r="Z3734" s="336"/>
    </row>
    <row r="3735" spans="1:26" s="337" customFormat="1" ht="15.75" x14ac:dyDescent="0.2">
      <c r="A3735" s="288"/>
      <c r="B3735" s="512"/>
      <c r="C3735" s="426" t="s">
        <v>816</v>
      </c>
      <c r="D3735" s="419">
        <v>22</v>
      </c>
      <c r="E3735" s="316" t="s">
        <v>518</v>
      </c>
      <c r="F3735" s="420">
        <v>5</v>
      </c>
      <c r="G3735" s="419">
        <v>30</v>
      </c>
      <c r="H3735" s="316" t="s">
        <v>518</v>
      </c>
      <c r="I3735" s="420">
        <v>0</v>
      </c>
      <c r="J3735" s="317"/>
      <c r="K3735" s="433">
        <f t="shared" si="977"/>
        <v>155</v>
      </c>
      <c r="L3735" s="427">
        <v>16</v>
      </c>
      <c r="M3735" s="513">
        <v>0.9</v>
      </c>
      <c r="N3735" s="520">
        <v>0.9</v>
      </c>
      <c r="O3735" s="519">
        <v>3.14</v>
      </c>
      <c r="P3735" s="428">
        <f t="shared" si="971"/>
        <v>40.694400000000002</v>
      </c>
      <c r="Q3735" s="513">
        <v>2</v>
      </c>
      <c r="R3735" s="524">
        <f t="shared" si="972"/>
        <v>81.388800000000003</v>
      </c>
      <c r="S3735" s="427"/>
      <c r="T3735" s="514">
        <v>19</v>
      </c>
      <c r="U3735" s="765"/>
      <c r="V3735" s="291">
        <f t="shared" ca="1" si="973"/>
        <v>2356.1289999999999</v>
      </c>
      <c r="W3735" s="256">
        <f t="shared" ca="1" si="974"/>
        <v>2</v>
      </c>
      <c r="X3735" s="256">
        <f t="shared" ca="1" si="975"/>
        <v>1</v>
      </c>
      <c r="Y3735" s="336"/>
      <c r="Z3735" s="336"/>
    </row>
    <row r="3736" spans="1:26" s="337" customFormat="1" ht="15.75" x14ac:dyDescent="0.2">
      <c r="A3736" s="288"/>
      <c r="B3736" s="512"/>
      <c r="C3736" s="426" t="s">
        <v>830</v>
      </c>
      <c r="D3736" s="419">
        <v>22</v>
      </c>
      <c r="E3736" s="316" t="s">
        <v>518</v>
      </c>
      <c r="F3736" s="420">
        <v>5</v>
      </c>
      <c r="G3736" s="419">
        <v>30</v>
      </c>
      <c r="H3736" s="316" t="s">
        <v>518</v>
      </c>
      <c r="I3736" s="420">
        <v>0</v>
      </c>
      <c r="J3736" s="317"/>
      <c r="K3736" s="433">
        <f t="shared" si="977"/>
        <v>155</v>
      </c>
      <c r="L3736" s="427">
        <v>12</v>
      </c>
      <c r="M3736" s="513">
        <v>0.6</v>
      </c>
      <c r="N3736" s="520">
        <v>0.6</v>
      </c>
      <c r="O3736" s="519">
        <v>3.14</v>
      </c>
      <c r="P3736" s="428">
        <f t="shared" si="971"/>
        <v>13.564800000000002</v>
      </c>
      <c r="Q3736" s="513">
        <v>2</v>
      </c>
      <c r="R3736" s="524">
        <f t="shared" si="972"/>
        <v>27.129600000000003</v>
      </c>
      <c r="S3736" s="427"/>
      <c r="T3736" s="514">
        <v>19</v>
      </c>
      <c r="U3736" s="765"/>
      <c r="V3736" s="291">
        <f t="shared" ca="1" si="973"/>
        <v>2356.1289999999999</v>
      </c>
      <c r="W3736" s="256">
        <f t="shared" ca="1" si="974"/>
        <v>2</v>
      </c>
      <c r="X3736" s="256">
        <f t="shared" ca="1" si="975"/>
        <v>1</v>
      </c>
      <c r="Y3736" s="336"/>
      <c r="Z3736" s="336"/>
    </row>
    <row r="3737" spans="1:26" s="337" customFormat="1" ht="15.75" x14ac:dyDescent="0.2">
      <c r="A3737" s="288"/>
      <c r="B3737" s="512"/>
      <c r="C3737" s="426" t="s">
        <v>815</v>
      </c>
      <c r="D3737" s="419">
        <v>22</v>
      </c>
      <c r="E3737" s="316" t="s">
        <v>518</v>
      </c>
      <c r="F3737" s="420">
        <v>5</v>
      </c>
      <c r="G3737" s="419">
        <v>30</v>
      </c>
      <c r="H3737" s="316" t="s">
        <v>518</v>
      </c>
      <c r="I3737" s="420">
        <v>0</v>
      </c>
      <c r="J3737" s="317"/>
      <c r="K3737" s="433">
        <f t="shared" si="977"/>
        <v>155</v>
      </c>
      <c r="L3737" s="427">
        <v>7</v>
      </c>
      <c r="M3737" s="513">
        <v>0.4</v>
      </c>
      <c r="N3737" s="520">
        <v>0.4</v>
      </c>
      <c r="O3737" s="519">
        <v>3.14</v>
      </c>
      <c r="P3737" s="428">
        <f t="shared" si="971"/>
        <v>3.5168000000000004</v>
      </c>
      <c r="Q3737" s="513">
        <v>1</v>
      </c>
      <c r="R3737" s="524">
        <f t="shared" si="972"/>
        <v>3.5168000000000004</v>
      </c>
      <c r="S3737" s="427"/>
      <c r="T3737" s="514">
        <v>19</v>
      </c>
      <c r="U3737" s="765"/>
      <c r="V3737" s="291">
        <f t="shared" ca="1" si="973"/>
        <v>2356.1289999999999</v>
      </c>
      <c r="W3737" s="256">
        <f t="shared" ca="1" si="974"/>
        <v>2</v>
      </c>
      <c r="X3737" s="256">
        <f t="shared" ca="1" si="975"/>
        <v>1</v>
      </c>
      <c r="Y3737" s="336"/>
      <c r="Z3737" s="336"/>
    </row>
    <row r="3738" spans="1:26" s="337" customFormat="1" ht="15.75" x14ac:dyDescent="0.2">
      <c r="A3738" s="288"/>
      <c r="B3738" s="512"/>
      <c r="C3738" s="426" t="s">
        <v>831</v>
      </c>
      <c r="D3738" s="419">
        <v>22</v>
      </c>
      <c r="E3738" s="316" t="s">
        <v>518</v>
      </c>
      <c r="F3738" s="420">
        <v>5</v>
      </c>
      <c r="G3738" s="419">
        <v>30</v>
      </c>
      <c r="H3738" s="316" t="s">
        <v>518</v>
      </c>
      <c r="I3738" s="420">
        <v>0</v>
      </c>
      <c r="J3738" s="317"/>
      <c r="K3738" s="433">
        <f t="shared" si="977"/>
        <v>155</v>
      </c>
      <c r="L3738" s="427">
        <v>13</v>
      </c>
      <c r="M3738" s="513">
        <v>0.6</v>
      </c>
      <c r="N3738" s="520">
        <v>0.6</v>
      </c>
      <c r="O3738" s="519">
        <v>3.14</v>
      </c>
      <c r="P3738" s="428">
        <f t="shared" si="971"/>
        <v>14.695200000000002</v>
      </c>
      <c r="Q3738" s="513">
        <v>1</v>
      </c>
      <c r="R3738" s="524">
        <f t="shared" si="972"/>
        <v>14.695200000000002</v>
      </c>
      <c r="S3738" s="427"/>
      <c r="T3738" s="514">
        <v>19</v>
      </c>
      <c r="U3738" s="765"/>
      <c r="V3738" s="291">
        <f t="shared" ca="1" si="973"/>
        <v>2356.1289999999999</v>
      </c>
      <c r="W3738" s="256">
        <f t="shared" ca="1" si="974"/>
        <v>2</v>
      </c>
      <c r="X3738" s="256">
        <f t="shared" ca="1" si="975"/>
        <v>1</v>
      </c>
      <c r="Y3738" s="336"/>
      <c r="Z3738" s="336"/>
    </row>
    <row r="3739" spans="1:26" s="337" customFormat="1" ht="15.75" x14ac:dyDescent="0.2">
      <c r="A3739" s="288"/>
      <c r="B3739" s="512"/>
      <c r="C3739" s="426" t="s">
        <v>832</v>
      </c>
      <c r="D3739" s="419">
        <v>22</v>
      </c>
      <c r="E3739" s="316" t="s">
        <v>518</v>
      </c>
      <c r="F3739" s="420">
        <v>5</v>
      </c>
      <c r="G3739" s="419">
        <v>30</v>
      </c>
      <c r="H3739" s="316" t="s">
        <v>518</v>
      </c>
      <c r="I3739" s="420">
        <v>0</v>
      </c>
      <c r="J3739" s="317"/>
      <c r="K3739" s="433">
        <f t="shared" si="977"/>
        <v>155</v>
      </c>
      <c r="L3739" s="427">
        <v>5</v>
      </c>
      <c r="M3739" s="513">
        <v>0.1</v>
      </c>
      <c r="N3739" s="520">
        <v>0.1</v>
      </c>
      <c r="O3739" s="519">
        <v>3.14</v>
      </c>
      <c r="P3739" s="428">
        <f t="shared" si="971"/>
        <v>0.15700000000000003</v>
      </c>
      <c r="Q3739" s="513">
        <v>1</v>
      </c>
      <c r="R3739" s="524">
        <f t="shared" si="972"/>
        <v>0.15700000000000003</v>
      </c>
      <c r="S3739" s="427"/>
      <c r="T3739" s="514">
        <v>19</v>
      </c>
      <c r="U3739" s="765"/>
      <c r="V3739" s="291">
        <f t="shared" ca="1" si="973"/>
        <v>2356.1289999999999</v>
      </c>
      <c r="W3739" s="256">
        <f t="shared" ca="1" si="974"/>
        <v>2</v>
      </c>
      <c r="X3739" s="256">
        <f t="shared" ca="1" si="975"/>
        <v>1</v>
      </c>
      <c r="Y3739" s="336"/>
      <c r="Z3739" s="336"/>
    </row>
    <row r="3740" spans="1:26" s="337" customFormat="1" ht="15.75" x14ac:dyDescent="0.2">
      <c r="A3740" s="288"/>
      <c r="B3740" s="512"/>
      <c r="C3740" s="426" t="s">
        <v>833</v>
      </c>
      <c r="D3740" s="419">
        <v>22</v>
      </c>
      <c r="E3740" s="316" t="s">
        <v>518</v>
      </c>
      <c r="F3740" s="420">
        <v>5</v>
      </c>
      <c r="G3740" s="419">
        <v>30</v>
      </c>
      <c r="H3740" s="316" t="s">
        <v>518</v>
      </c>
      <c r="I3740" s="420">
        <v>0</v>
      </c>
      <c r="J3740" s="317"/>
      <c r="K3740" s="433">
        <f t="shared" si="977"/>
        <v>155</v>
      </c>
      <c r="L3740" s="427">
        <v>14</v>
      </c>
      <c r="M3740" s="513">
        <v>0.8</v>
      </c>
      <c r="N3740" s="520">
        <v>0.8</v>
      </c>
      <c r="O3740" s="519">
        <v>3.14</v>
      </c>
      <c r="P3740" s="428">
        <f t="shared" si="971"/>
        <v>28.134400000000003</v>
      </c>
      <c r="Q3740" s="513">
        <v>1</v>
      </c>
      <c r="R3740" s="524">
        <f t="shared" si="972"/>
        <v>28.134400000000003</v>
      </c>
      <c r="S3740" s="427"/>
      <c r="T3740" s="514">
        <v>19</v>
      </c>
      <c r="U3740" s="765"/>
      <c r="V3740" s="291">
        <f t="shared" ca="1" si="973"/>
        <v>2356.1289999999999</v>
      </c>
      <c r="W3740" s="256">
        <f t="shared" ca="1" si="974"/>
        <v>2</v>
      </c>
      <c r="X3740" s="256">
        <f t="shared" ca="1" si="975"/>
        <v>1</v>
      </c>
      <c r="Y3740" s="336"/>
      <c r="Z3740" s="336"/>
    </row>
    <row r="3741" spans="1:26" s="337" customFormat="1" ht="15.75" x14ac:dyDescent="0.2">
      <c r="A3741" s="288"/>
      <c r="B3741" s="512"/>
      <c r="C3741" s="426" t="s">
        <v>834</v>
      </c>
      <c r="D3741" s="419">
        <v>22</v>
      </c>
      <c r="E3741" s="316" t="s">
        <v>518</v>
      </c>
      <c r="F3741" s="420">
        <v>5</v>
      </c>
      <c r="G3741" s="419">
        <v>30</v>
      </c>
      <c r="H3741" s="316" t="s">
        <v>518</v>
      </c>
      <c r="I3741" s="420">
        <v>0</v>
      </c>
      <c r="J3741" s="317"/>
      <c r="K3741" s="433">
        <f t="shared" si="977"/>
        <v>155</v>
      </c>
      <c r="L3741" s="427">
        <v>6</v>
      </c>
      <c r="M3741" s="513">
        <v>0.2</v>
      </c>
      <c r="N3741" s="520">
        <v>0.2</v>
      </c>
      <c r="O3741" s="519">
        <v>3.14</v>
      </c>
      <c r="P3741" s="428">
        <f t="shared" si="971"/>
        <v>0.75360000000000005</v>
      </c>
      <c r="Q3741" s="513">
        <v>1</v>
      </c>
      <c r="R3741" s="524">
        <f t="shared" si="972"/>
        <v>0.75360000000000005</v>
      </c>
      <c r="S3741" s="427"/>
      <c r="T3741" s="514">
        <v>19</v>
      </c>
      <c r="U3741" s="765"/>
      <c r="V3741" s="291">
        <f t="shared" ca="1" si="973"/>
        <v>2356.1289999999999</v>
      </c>
      <c r="W3741" s="256">
        <f t="shared" ca="1" si="974"/>
        <v>2</v>
      </c>
      <c r="X3741" s="256">
        <f t="shared" ca="1" si="975"/>
        <v>1</v>
      </c>
      <c r="Y3741" s="336"/>
      <c r="Z3741" s="336"/>
    </row>
    <row r="3742" spans="1:26" s="337" customFormat="1" ht="15.75" x14ac:dyDescent="0.2">
      <c r="A3742" s="288"/>
      <c r="B3742" s="512"/>
      <c r="C3742" s="426" t="s">
        <v>835</v>
      </c>
      <c r="D3742" s="419">
        <v>22</v>
      </c>
      <c r="E3742" s="316" t="s">
        <v>518</v>
      </c>
      <c r="F3742" s="420">
        <v>5</v>
      </c>
      <c r="G3742" s="419">
        <v>30</v>
      </c>
      <c r="H3742" s="316" t="s">
        <v>518</v>
      </c>
      <c r="I3742" s="420">
        <v>0</v>
      </c>
      <c r="J3742" s="317"/>
      <c r="K3742" s="433">
        <f t="shared" si="977"/>
        <v>155</v>
      </c>
      <c r="L3742" s="427">
        <v>22</v>
      </c>
      <c r="M3742" s="513">
        <v>1.8</v>
      </c>
      <c r="N3742" s="520">
        <v>1.8</v>
      </c>
      <c r="O3742" s="519">
        <v>3.14</v>
      </c>
      <c r="P3742" s="428">
        <f t="shared" si="971"/>
        <v>223.81920000000002</v>
      </c>
      <c r="Q3742" s="513">
        <v>2</v>
      </c>
      <c r="R3742" s="524">
        <f t="shared" si="972"/>
        <v>447.63840000000005</v>
      </c>
      <c r="S3742" s="427"/>
      <c r="T3742" s="514">
        <v>19</v>
      </c>
      <c r="U3742" s="765"/>
      <c r="V3742" s="291">
        <f t="shared" ca="1" si="973"/>
        <v>2356.1289999999999</v>
      </c>
      <c r="W3742" s="256">
        <f t="shared" ca="1" si="974"/>
        <v>2</v>
      </c>
      <c r="X3742" s="256">
        <f t="shared" ca="1" si="975"/>
        <v>1</v>
      </c>
      <c r="Y3742" s="336"/>
      <c r="Z3742" s="336"/>
    </row>
    <row r="3743" spans="1:26" s="337" customFormat="1" ht="15.75" x14ac:dyDescent="0.2">
      <c r="A3743" s="288"/>
      <c r="B3743" s="512"/>
      <c r="C3743" s="775" t="s">
        <v>836</v>
      </c>
      <c r="D3743" s="417"/>
      <c r="E3743" s="314"/>
      <c r="F3743" s="418"/>
      <c r="G3743" s="419"/>
      <c r="H3743" s="316"/>
      <c r="I3743" s="420"/>
      <c r="J3743" s="317"/>
      <c r="K3743" s="433"/>
      <c r="L3743" s="427"/>
      <c r="M3743" s="513"/>
      <c r="N3743" s="520"/>
      <c r="O3743" s="519"/>
      <c r="P3743" s="428"/>
      <c r="Q3743" s="513"/>
      <c r="R3743" s="524"/>
      <c r="S3743" s="427"/>
      <c r="T3743" s="514"/>
      <c r="U3743" s="765"/>
      <c r="V3743" s="291">
        <f t="shared" ca="1" si="973"/>
        <v>2356.1289999999999</v>
      </c>
      <c r="W3743" s="256">
        <f t="shared" ca="1" si="974"/>
        <v>2</v>
      </c>
      <c r="X3743" s="256">
        <f t="shared" ca="1" si="975"/>
        <v>1</v>
      </c>
      <c r="Y3743" s="336"/>
      <c r="Z3743" s="336"/>
    </row>
    <row r="3744" spans="1:26" s="337" customFormat="1" ht="15.75" x14ac:dyDescent="0.2">
      <c r="A3744" s="288"/>
      <c r="B3744" s="512"/>
      <c r="C3744" s="426" t="s">
        <v>826</v>
      </c>
      <c r="D3744" s="419">
        <v>97</v>
      </c>
      <c r="E3744" s="316" t="s">
        <v>518</v>
      </c>
      <c r="F3744" s="420">
        <v>0</v>
      </c>
      <c r="G3744" s="419">
        <v>100</v>
      </c>
      <c r="H3744" s="316" t="s">
        <v>518</v>
      </c>
      <c r="I3744" s="420">
        <v>0</v>
      </c>
      <c r="J3744" s="317"/>
      <c r="K3744" s="433">
        <f t="shared" si="977"/>
        <v>60</v>
      </c>
      <c r="L3744" s="427">
        <v>9</v>
      </c>
      <c r="M3744" s="513">
        <v>0.6</v>
      </c>
      <c r="N3744" s="520">
        <v>0.6</v>
      </c>
      <c r="O3744" s="519">
        <v>3.14</v>
      </c>
      <c r="P3744" s="428">
        <f t="shared" si="971"/>
        <v>10.1736</v>
      </c>
      <c r="Q3744" s="513">
        <v>3</v>
      </c>
      <c r="R3744" s="524">
        <f t="shared" si="972"/>
        <v>30.520800000000001</v>
      </c>
      <c r="S3744" s="427"/>
      <c r="T3744" s="514">
        <v>19</v>
      </c>
      <c r="U3744" s="765"/>
      <c r="V3744" s="291">
        <f t="shared" ca="1" si="973"/>
        <v>2356.1289999999999</v>
      </c>
      <c r="W3744" s="256">
        <f t="shared" ca="1" si="974"/>
        <v>2</v>
      </c>
      <c r="X3744" s="256">
        <f t="shared" ca="1" si="975"/>
        <v>1</v>
      </c>
      <c r="Y3744" s="336"/>
      <c r="Z3744" s="336"/>
    </row>
    <row r="3745" spans="1:29" s="337" customFormat="1" ht="15.75" x14ac:dyDescent="0.2">
      <c r="A3745" s="288"/>
      <c r="B3745" s="512"/>
      <c r="C3745" s="426" t="s">
        <v>828</v>
      </c>
      <c r="D3745" s="419">
        <v>97</v>
      </c>
      <c r="E3745" s="316" t="s">
        <v>518</v>
      </c>
      <c r="F3745" s="420">
        <v>0</v>
      </c>
      <c r="G3745" s="419">
        <v>100</v>
      </c>
      <c r="H3745" s="316" t="s">
        <v>518</v>
      </c>
      <c r="I3745" s="420">
        <v>0</v>
      </c>
      <c r="J3745" s="317"/>
      <c r="K3745" s="433">
        <f t="shared" si="977"/>
        <v>60</v>
      </c>
      <c r="L3745" s="427">
        <v>8</v>
      </c>
      <c r="M3745" s="513">
        <v>0.5</v>
      </c>
      <c r="N3745" s="520">
        <v>0.5</v>
      </c>
      <c r="O3745" s="519">
        <v>3.14</v>
      </c>
      <c r="P3745" s="428">
        <f t="shared" si="971"/>
        <v>6.28</v>
      </c>
      <c r="Q3745" s="513">
        <v>1</v>
      </c>
      <c r="R3745" s="524">
        <f t="shared" si="972"/>
        <v>6.28</v>
      </c>
      <c r="S3745" s="427"/>
      <c r="T3745" s="514">
        <v>19</v>
      </c>
      <c r="U3745" s="765"/>
      <c r="V3745" s="291">
        <f t="shared" ca="1" si="973"/>
        <v>2356.1289999999999</v>
      </c>
      <c r="W3745" s="256">
        <f t="shared" ca="1" si="974"/>
        <v>2</v>
      </c>
      <c r="X3745" s="256">
        <f t="shared" ca="1" si="975"/>
        <v>1</v>
      </c>
      <c r="Y3745" s="336"/>
      <c r="Z3745" s="336"/>
    </row>
    <row r="3746" spans="1:29" s="337" customFormat="1" ht="15.75" x14ac:dyDescent="0.2">
      <c r="A3746" s="288"/>
      <c r="B3746" s="512"/>
      <c r="C3746" s="426" t="s">
        <v>829</v>
      </c>
      <c r="D3746" s="419">
        <v>97</v>
      </c>
      <c r="E3746" s="316" t="s">
        <v>518</v>
      </c>
      <c r="F3746" s="420">
        <v>0</v>
      </c>
      <c r="G3746" s="419">
        <v>100</v>
      </c>
      <c r="H3746" s="316" t="s">
        <v>518</v>
      </c>
      <c r="I3746" s="420">
        <v>0</v>
      </c>
      <c r="J3746" s="774"/>
      <c r="K3746" s="433">
        <f t="shared" si="977"/>
        <v>60</v>
      </c>
      <c r="L3746" s="427">
        <v>12</v>
      </c>
      <c r="M3746" s="513">
        <v>0.6</v>
      </c>
      <c r="N3746" s="520">
        <v>0.6</v>
      </c>
      <c r="O3746" s="519">
        <v>3.14</v>
      </c>
      <c r="P3746" s="428">
        <f t="shared" si="971"/>
        <v>13.564800000000002</v>
      </c>
      <c r="Q3746" s="513">
        <v>16</v>
      </c>
      <c r="R3746" s="524">
        <f t="shared" si="972"/>
        <v>217.03680000000003</v>
      </c>
      <c r="S3746" s="427"/>
      <c r="T3746" s="514">
        <v>19</v>
      </c>
      <c r="U3746" s="765"/>
      <c r="V3746" s="291">
        <f t="shared" ca="1" si="973"/>
        <v>2356.1289999999999</v>
      </c>
      <c r="W3746" s="256">
        <f t="shared" ca="1" si="974"/>
        <v>2</v>
      </c>
      <c r="X3746" s="256">
        <f t="shared" ca="1" si="975"/>
        <v>1</v>
      </c>
      <c r="Y3746" s="336"/>
      <c r="Z3746" s="336"/>
    </row>
    <row r="3747" spans="1:29" s="111" customFormat="1" ht="15.75" x14ac:dyDescent="0.2">
      <c r="A3747" s="288"/>
      <c r="B3747" s="311"/>
      <c r="C3747" s="312" t="s">
        <v>813</v>
      </c>
      <c r="D3747" s="419">
        <v>97</v>
      </c>
      <c r="E3747" s="316" t="s">
        <v>518</v>
      </c>
      <c r="F3747" s="420">
        <v>0</v>
      </c>
      <c r="G3747" s="419">
        <v>100</v>
      </c>
      <c r="H3747" s="316" t="s">
        <v>518</v>
      </c>
      <c r="I3747" s="420">
        <v>0</v>
      </c>
      <c r="J3747" s="317"/>
      <c r="K3747" s="433">
        <f t="shared" si="977"/>
        <v>60</v>
      </c>
      <c r="L3747" s="317">
        <v>16</v>
      </c>
      <c r="M3747" s="315">
        <v>1.6</v>
      </c>
      <c r="N3747" s="314">
        <v>1.6</v>
      </c>
      <c r="O3747" s="519">
        <v>3.14</v>
      </c>
      <c r="P3747" s="318">
        <f t="shared" si="971"/>
        <v>128.61440000000002</v>
      </c>
      <c r="Q3747" s="315">
        <v>5</v>
      </c>
      <c r="R3747" s="319">
        <f t="shared" si="972"/>
        <v>643.07200000000012</v>
      </c>
      <c r="S3747" s="317"/>
      <c r="T3747" s="320">
        <v>19</v>
      </c>
      <c r="U3747" s="321"/>
      <c r="V3747" s="291">
        <f t="shared" ca="1" si="973"/>
        <v>2356.1289999999999</v>
      </c>
      <c r="W3747" s="256">
        <f t="shared" ca="1" si="974"/>
        <v>2</v>
      </c>
      <c r="X3747" s="256">
        <f t="shared" ca="1" si="975"/>
        <v>1</v>
      </c>
      <c r="Y3747" s="250"/>
      <c r="Z3747" s="250"/>
    </row>
    <row r="3748" spans="1:29" s="337" customFormat="1" ht="15.75" x14ac:dyDescent="0.2">
      <c r="A3748" s="288"/>
      <c r="B3748" s="512"/>
      <c r="C3748" s="426" t="s">
        <v>816</v>
      </c>
      <c r="D3748" s="419">
        <v>97</v>
      </c>
      <c r="E3748" s="316" t="s">
        <v>518</v>
      </c>
      <c r="F3748" s="420">
        <v>0</v>
      </c>
      <c r="G3748" s="419">
        <v>100</v>
      </c>
      <c r="H3748" s="316" t="s">
        <v>518</v>
      </c>
      <c r="I3748" s="420">
        <v>0</v>
      </c>
      <c r="J3748" s="317"/>
      <c r="K3748" s="433">
        <f t="shared" si="977"/>
        <v>60</v>
      </c>
      <c r="L3748" s="427">
        <v>11</v>
      </c>
      <c r="M3748" s="513">
        <v>0.6</v>
      </c>
      <c r="N3748" s="520">
        <v>0.6</v>
      </c>
      <c r="O3748" s="519">
        <v>3.14</v>
      </c>
      <c r="P3748" s="428">
        <f t="shared" si="971"/>
        <v>12.4344</v>
      </c>
      <c r="Q3748" s="513">
        <v>1</v>
      </c>
      <c r="R3748" s="524">
        <f t="shared" si="972"/>
        <v>12.4344</v>
      </c>
      <c r="S3748" s="427"/>
      <c r="T3748" s="514">
        <v>19</v>
      </c>
      <c r="U3748" s="765"/>
      <c r="V3748" s="291">
        <f t="shared" ca="1" si="973"/>
        <v>2356.1289999999999</v>
      </c>
      <c r="W3748" s="256">
        <f t="shared" ref="W3748:W3756" ca="1" si="978">IF(LEFT(_xlfn.FORMULATEXT(V3748),3)="=SO",1,IF(COUNTA(A3748:U3748)=0,0,2))</f>
        <v>2</v>
      </c>
      <c r="X3748" s="256">
        <f t="shared" ref="X3748:X3756" ca="1" si="979">IF(COUNTA(OFFSET(A3747,1,0))-COUNTA(A3747)=-1,0,1)</f>
        <v>1</v>
      </c>
      <c r="Y3748" s="336"/>
      <c r="Z3748" s="336"/>
    </row>
    <row r="3749" spans="1:29" s="337" customFormat="1" ht="15.75" x14ac:dyDescent="0.2">
      <c r="A3749" s="288"/>
      <c r="B3749" s="512"/>
      <c r="C3749" s="426" t="s">
        <v>837</v>
      </c>
      <c r="D3749" s="419">
        <v>97</v>
      </c>
      <c r="E3749" s="316" t="s">
        <v>518</v>
      </c>
      <c r="F3749" s="420">
        <v>0</v>
      </c>
      <c r="G3749" s="419">
        <v>100</v>
      </c>
      <c r="H3749" s="316" t="s">
        <v>518</v>
      </c>
      <c r="I3749" s="420">
        <v>0</v>
      </c>
      <c r="J3749" s="317"/>
      <c r="K3749" s="433">
        <f t="shared" si="977"/>
        <v>60</v>
      </c>
      <c r="L3749" s="427">
        <v>5.5</v>
      </c>
      <c r="M3749" s="513">
        <v>0.2</v>
      </c>
      <c r="N3749" s="520">
        <v>0.2</v>
      </c>
      <c r="O3749" s="519">
        <v>3.14</v>
      </c>
      <c r="P3749" s="428">
        <f t="shared" si="971"/>
        <v>0.69080000000000008</v>
      </c>
      <c r="Q3749" s="513">
        <v>8</v>
      </c>
      <c r="R3749" s="524">
        <f t="shared" si="972"/>
        <v>5.5264000000000006</v>
      </c>
      <c r="S3749" s="427"/>
      <c r="T3749" s="514">
        <v>19</v>
      </c>
      <c r="U3749" s="765"/>
      <c r="V3749" s="291">
        <f t="shared" ca="1" si="973"/>
        <v>2356.1289999999999</v>
      </c>
      <c r="W3749" s="256">
        <f t="shared" ca="1" si="978"/>
        <v>2</v>
      </c>
      <c r="X3749" s="256">
        <f t="shared" ca="1" si="979"/>
        <v>1</v>
      </c>
      <c r="Y3749" s="336"/>
      <c r="Z3749" s="336"/>
    </row>
    <row r="3750" spans="1:29" s="337" customFormat="1" ht="15.75" x14ac:dyDescent="0.2">
      <c r="A3750" s="288"/>
      <c r="B3750" s="512"/>
      <c r="C3750" s="426" t="s">
        <v>1031</v>
      </c>
      <c r="D3750" s="419">
        <v>80</v>
      </c>
      <c r="E3750" s="316" t="s">
        <v>518</v>
      </c>
      <c r="F3750" s="420">
        <v>0</v>
      </c>
      <c r="G3750" s="419">
        <v>97</v>
      </c>
      <c r="H3750" s="316" t="s">
        <v>518</v>
      </c>
      <c r="I3750" s="420">
        <v>0</v>
      </c>
      <c r="J3750" s="317"/>
      <c r="K3750" s="433">
        <f>ABS((G3750*20+I3750)-(D3750*20+F3750))</f>
        <v>340</v>
      </c>
      <c r="L3750" s="427">
        <v>11</v>
      </c>
      <c r="M3750" s="513">
        <v>0.6</v>
      </c>
      <c r="N3750" s="520">
        <v>1.2</v>
      </c>
      <c r="O3750" s="519">
        <v>3.14</v>
      </c>
      <c r="P3750" s="428">
        <f>((M3750*N3750)*O3750)*L3750</f>
        <v>24.8688</v>
      </c>
      <c r="Q3750" s="513">
        <v>30</v>
      </c>
      <c r="R3750" s="524">
        <f>P3750*Q3750</f>
        <v>746.06399999999996</v>
      </c>
      <c r="S3750" s="427"/>
      <c r="T3750" s="514">
        <v>27</v>
      </c>
      <c r="U3750" s="765"/>
      <c r="V3750" s="291">
        <f t="shared" ca="1" si="973"/>
        <v>2356.1289999999999</v>
      </c>
      <c r="W3750" s="256">
        <f t="shared" ca="1" si="978"/>
        <v>2</v>
      </c>
      <c r="X3750" s="256">
        <f t="shared" ca="1" si="979"/>
        <v>1</v>
      </c>
      <c r="Y3750" s="336"/>
      <c r="Z3750" s="336"/>
    </row>
    <row r="3751" spans="1:29" s="337" customFormat="1" ht="15.75" x14ac:dyDescent="0.2">
      <c r="A3751" s="288"/>
      <c r="B3751" s="512"/>
      <c r="C3751" s="426" t="s">
        <v>1031</v>
      </c>
      <c r="D3751" s="419">
        <v>74</v>
      </c>
      <c r="E3751" s="316" t="s">
        <v>518</v>
      </c>
      <c r="F3751" s="420">
        <v>0</v>
      </c>
      <c r="G3751" s="419">
        <v>80</v>
      </c>
      <c r="H3751" s="316" t="s">
        <v>518</v>
      </c>
      <c r="I3751" s="420">
        <v>0</v>
      </c>
      <c r="J3751" s="317"/>
      <c r="K3751" s="433">
        <f>ABS((G3751*20+I3751)-(D3751*20+F3751))</f>
        <v>120</v>
      </c>
      <c r="L3751" s="427">
        <v>11</v>
      </c>
      <c r="M3751" s="513">
        <v>0.6</v>
      </c>
      <c r="N3751" s="520">
        <v>1.2</v>
      </c>
      <c r="O3751" s="519">
        <v>3.14</v>
      </c>
      <c r="P3751" s="428">
        <f>((M3751*N3751)*O3751)*L3751</f>
        <v>24.8688</v>
      </c>
      <c r="Q3751" s="513">
        <v>30</v>
      </c>
      <c r="R3751" s="524">
        <f>P3751*Q3751</f>
        <v>746.06399999999996</v>
      </c>
      <c r="S3751" s="427"/>
      <c r="T3751" s="514">
        <v>30</v>
      </c>
      <c r="U3751" s="765"/>
      <c r="V3751" s="291">
        <f t="shared" ca="1" si="973"/>
        <v>2356.1289999999999</v>
      </c>
      <c r="W3751" s="256">
        <f t="shared" ca="1" si="978"/>
        <v>2</v>
      </c>
      <c r="X3751" s="256">
        <f t="shared" ca="1" si="979"/>
        <v>1</v>
      </c>
      <c r="Y3751" s="336"/>
      <c r="Z3751" s="336"/>
    </row>
    <row r="3752" spans="1:29" s="337" customFormat="1" ht="15.75" x14ac:dyDescent="0.2">
      <c r="A3752" s="288"/>
      <c r="B3752" s="785"/>
      <c r="C3752" s="426" t="s">
        <v>1031</v>
      </c>
      <c r="D3752" s="496">
        <v>68</v>
      </c>
      <c r="E3752" s="316" t="s">
        <v>518</v>
      </c>
      <c r="F3752" s="420">
        <v>7</v>
      </c>
      <c r="G3752" s="496">
        <v>71</v>
      </c>
      <c r="H3752" s="316" t="s">
        <v>518</v>
      </c>
      <c r="I3752" s="420">
        <v>7</v>
      </c>
      <c r="J3752" s="560"/>
      <c r="K3752" s="500">
        <f>ABS((G3752*20+I3752)-(D3752*20+F3752))</f>
        <v>60</v>
      </c>
      <c r="L3752" s="427">
        <v>11</v>
      </c>
      <c r="M3752" s="513">
        <v>0.6</v>
      </c>
      <c r="N3752" s="520">
        <v>1.2</v>
      </c>
      <c r="O3752" s="519">
        <v>3.14</v>
      </c>
      <c r="P3752" s="428">
        <f>((M3752*N3752)*O3752)*L3752</f>
        <v>24.8688</v>
      </c>
      <c r="Q3752" s="513">
        <v>3</v>
      </c>
      <c r="R3752" s="524">
        <f>P3752*Q3752</f>
        <v>74.606400000000008</v>
      </c>
      <c r="S3752" s="774"/>
      <c r="T3752" s="792">
        <v>33</v>
      </c>
      <c r="U3752" s="793"/>
      <c r="V3752" s="291">
        <f t="shared" ca="1" si="973"/>
        <v>2356.1289999999999</v>
      </c>
      <c r="W3752" s="256">
        <f t="shared" ca="1" si="978"/>
        <v>2</v>
      </c>
      <c r="X3752" s="256">
        <f t="shared" ca="1" si="979"/>
        <v>1</v>
      </c>
      <c r="Y3752" s="336"/>
      <c r="Z3752" s="336"/>
    </row>
    <row r="3753" spans="1:29" s="337" customFormat="1" ht="15.75" x14ac:dyDescent="0.2">
      <c r="A3753" s="288"/>
      <c r="B3753" s="1205"/>
      <c r="C3753" s="426" t="s">
        <v>1366</v>
      </c>
      <c r="D3753" s="496">
        <v>31</v>
      </c>
      <c r="E3753" s="316" t="s">
        <v>518</v>
      </c>
      <c r="F3753" s="420">
        <v>10</v>
      </c>
      <c r="G3753" s="496">
        <v>68</v>
      </c>
      <c r="H3753" s="316" t="s">
        <v>518</v>
      </c>
      <c r="I3753" s="420">
        <v>7</v>
      </c>
      <c r="J3753" s="1109"/>
      <c r="K3753" s="500">
        <f>ABS((G3753*20+I3753)-(D3753*20+F3753))</f>
        <v>737</v>
      </c>
      <c r="L3753" s="1110">
        <v>12</v>
      </c>
      <c r="M3753" s="513">
        <v>0.6</v>
      </c>
      <c r="N3753" s="520">
        <v>1.5</v>
      </c>
      <c r="O3753" s="519">
        <v>3.14</v>
      </c>
      <c r="P3753" s="428">
        <f>((M3753*N3753)*O3753)*L3753</f>
        <v>33.911999999999992</v>
      </c>
      <c r="Q3753" s="513">
        <v>52</v>
      </c>
      <c r="R3753" s="524">
        <f t="shared" ref="R3753:R3754" si="980">P3753*Q3753</f>
        <v>1763.4239999999995</v>
      </c>
      <c r="S3753" s="1206"/>
      <c r="T3753" s="1202">
        <v>44</v>
      </c>
      <c r="U3753" s="1209"/>
      <c r="V3753" s="291">
        <f t="shared" ca="1" si="973"/>
        <v>2356.1289999999999</v>
      </c>
      <c r="W3753" s="256">
        <f t="shared" ca="1" si="978"/>
        <v>2</v>
      </c>
      <c r="X3753" s="256">
        <f t="shared" ca="1" si="979"/>
        <v>1</v>
      </c>
      <c r="Y3753" s="336"/>
      <c r="Z3753" s="336"/>
    </row>
    <row r="3754" spans="1:29" s="337" customFormat="1" ht="15.75" x14ac:dyDescent="0.2">
      <c r="A3754" s="288"/>
      <c r="B3754" s="1205"/>
      <c r="C3754" s="426" t="s">
        <v>1366</v>
      </c>
      <c r="D3754" s="496">
        <v>0</v>
      </c>
      <c r="E3754" s="316" t="s">
        <v>518</v>
      </c>
      <c r="F3754" s="420">
        <v>0</v>
      </c>
      <c r="G3754" s="496">
        <v>5</v>
      </c>
      <c r="H3754" s="316" t="s">
        <v>518</v>
      </c>
      <c r="I3754" s="420">
        <v>14.9</v>
      </c>
      <c r="J3754" s="1109"/>
      <c r="K3754" s="500">
        <f>ABS((G3754*20+I3754)-(D3754*20+F3754))</f>
        <v>114.9</v>
      </c>
      <c r="L3754" s="1110">
        <v>11</v>
      </c>
      <c r="M3754" s="513">
        <v>0.5</v>
      </c>
      <c r="N3754" s="520">
        <v>1.3</v>
      </c>
      <c r="O3754" s="519">
        <v>3.14</v>
      </c>
      <c r="P3754" s="428">
        <f>((M3754*N3754)*O3754)*L3754</f>
        <v>22.451000000000004</v>
      </c>
      <c r="Q3754" s="513">
        <v>12</v>
      </c>
      <c r="R3754" s="524">
        <f t="shared" si="980"/>
        <v>269.41200000000003</v>
      </c>
      <c r="S3754" s="1206"/>
      <c r="T3754" s="1202">
        <v>44</v>
      </c>
      <c r="U3754" s="1209"/>
      <c r="V3754" s="291">
        <f t="shared" ca="1" si="973"/>
        <v>2356.1289999999999</v>
      </c>
      <c r="W3754" s="256">
        <f t="shared" ca="1" si="978"/>
        <v>2</v>
      </c>
      <c r="X3754" s="256">
        <f t="shared" ca="1" si="979"/>
        <v>1</v>
      </c>
      <c r="Y3754" s="336"/>
      <c r="Z3754" s="336"/>
    </row>
    <row r="3755" spans="1:29" s="111" customFormat="1" ht="15" x14ac:dyDescent="0.2">
      <c r="A3755" s="288"/>
      <c r="B3755" s="338"/>
      <c r="C3755" s="339"/>
      <c r="D3755" s="340"/>
      <c r="E3755" s="341"/>
      <c r="F3755" s="342"/>
      <c r="G3755" s="340"/>
      <c r="H3755" s="341"/>
      <c r="I3755" s="342"/>
      <c r="J3755" s="343"/>
      <c r="K3755" s="344"/>
      <c r="L3755" s="345"/>
      <c r="M3755" s="346"/>
      <c r="N3755" s="347"/>
      <c r="O3755" s="348"/>
      <c r="P3755" s="345"/>
      <c r="Q3755" s="349"/>
      <c r="R3755" s="350"/>
      <c r="S3755" s="351"/>
      <c r="T3755" s="352"/>
      <c r="U3755" s="353"/>
      <c r="V3755" s="291">
        <f t="shared" ca="1" si="973"/>
        <v>2356.1289999999999</v>
      </c>
      <c r="W3755" s="256">
        <f t="shared" ca="1" si="978"/>
        <v>0</v>
      </c>
      <c r="X3755" s="256">
        <f t="shared" ca="1" si="979"/>
        <v>1</v>
      </c>
      <c r="Y3755" s="250"/>
      <c r="Z3755" s="250"/>
    </row>
    <row r="3756" spans="1:29" s="111" customFormat="1" ht="15.75" customHeight="1" x14ac:dyDescent="0.2">
      <c r="A3756" s="288"/>
      <c r="B3756" s="354"/>
      <c r="C3756" s="355"/>
      <c r="D3756" s="1354" t="s">
        <v>492</v>
      </c>
      <c r="E3756" s="1355"/>
      <c r="F3756" s="1355"/>
      <c r="G3756" s="1355"/>
      <c r="H3756" s="1355"/>
      <c r="I3756" s="1356"/>
      <c r="J3756" s="1357">
        <f>VLOOKUP(A3758,'11 - FINANCEIRO'!_xlnm.Print_Area,6,FALSE)</f>
        <v>9668.74</v>
      </c>
      <c r="K3756" s="1358"/>
      <c r="L3756" s="356" t="str">
        <f>VLOOKUP(A3758,'11 - FINANCEIRO'!_xlnm.Print_Area,4,FALSE)</f>
        <v>m³</v>
      </c>
      <c r="M3756" s="1359" t="s">
        <v>493</v>
      </c>
      <c r="N3756" s="1360"/>
      <c r="O3756" s="1360"/>
      <c r="P3756" s="1360"/>
      <c r="Q3756" s="1361"/>
      <c r="R3756" s="357">
        <f>TRUNC(SUM(R3716:R3755),3)</f>
        <v>6840.0190000000002</v>
      </c>
      <c r="S3756" s="358" t="str">
        <f>L3756</f>
        <v>m³</v>
      </c>
      <c r="T3756" s="1402"/>
      <c r="U3756" s="1403"/>
      <c r="V3756" s="291">
        <f t="shared" ca="1" si="973"/>
        <v>2356.1289999999999</v>
      </c>
      <c r="W3756" s="256">
        <f t="shared" ca="1" si="978"/>
        <v>2</v>
      </c>
      <c r="X3756" s="256">
        <f t="shared" ca="1" si="979"/>
        <v>1</v>
      </c>
      <c r="Y3756" s="250"/>
      <c r="Z3756" s="250"/>
    </row>
    <row r="3757" spans="1:29" s="293" customFormat="1" ht="15.75" customHeight="1" x14ac:dyDescent="0.2">
      <c r="A3757" s="288"/>
      <c r="B3757" s="354"/>
      <c r="C3757" s="361"/>
      <c r="D3757" s="1362" t="s">
        <v>494</v>
      </c>
      <c r="E3757" s="1363"/>
      <c r="F3757" s="1363"/>
      <c r="G3757" s="1363"/>
      <c r="H3757" s="1363"/>
      <c r="I3757" s="1364"/>
      <c r="J3757" s="1365">
        <f>IF(R3756&gt;J3756,1,R3756/J3756)</f>
        <v>0.70743643949470147</v>
      </c>
      <c r="K3757" s="1366"/>
      <c r="L3757" s="1369"/>
      <c r="M3757" s="1371" t="s">
        <v>495</v>
      </c>
      <c r="N3757" s="1372"/>
      <c r="O3757" s="1372"/>
      <c r="P3757" s="1372"/>
      <c r="Q3757" s="1373"/>
      <c r="R3757" s="362">
        <f>VLOOKUP(A3758,'11 - FINANCEIRO'!_xlnm.Print_Area,8,FALSE)</f>
        <v>4483.8900000000003</v>
      </c>
      <c r="S3757" s="363" t="str">
        <f>L3756</f>
        <v>m³</v>
      </c>
      <c r="T3757" s="1404"/>
      <c r="U3757" s="1405"/>
      <c r="V3757" s="291">
        <f ca="1">IF(OFFSET(V3757,1,1)=1,OFFSET(V3757,0,-4),OFFSET(V3757,1,0))</f>
        <v>2356.1289999999999</v>
      </c>
      <c r="W3757" s="256">
        <f t="shared" ca="1" si="957"/>
        <v>2</v>
      </c>
      <c r="X3757" s="256">
        <f t="shared" ca="1" si="970"/>
        <v>1</v>
      </c>
      <c r="Y3757" s="256"/>
      <c r="Z3757" s="256"/>
      <c r="AA3757" s="292"/>
      <c r="AB3757" s="292"/>
      <c r="AC3757" s="292"/>
    </row>
    <row r="3758" spans="1:29" s="293" customFormat="1" ht="15.75" customHeight="1" x14ac:dyDescent="0.2">
      <c r="A3758" s="288" t="s">
        <v>251</v>
      </c>
      <c r="B3758" s="364"/>
      <c r="C3758" s="365"/>
      <c r="D3758" s="1354"/>
      <c r="E3758" s="1355"/>
      <c r="F3758" s="1355"/>
      <c r="G3758" s="1355"/>
      <c r="H3758" s="1355"/>
      <c r="I3758" s="1356"/>
      <c r="J3758" s="1367"/>
      <c r="K3758" s="1368"/>
      <c r="L3758" s="1370"/>
      <c r="M3758" s="1371" t="s">
        <v>496</v>
      </c>
      <c r="N3758" s="1372"/>
      <c r="O3758" s="1372"/>
      <c r="P3758" s="1372"/>
      <c r="Q3758" s="1373"/>
      <c r="R3758" s="362">
        <f>R3756-R3757</f>
        <v>2356.1289999999999</v>
      </c>
      <c r="S3758" s="363" t="str">
        <f>L3756</f>
        <v>m³</v>
      </c>
      <c r="T3758" s="1406"/>
      <c r="U3758" s="1407"/>
      <c r="V3758" s="291">
        <f ca="1">IF(OFFSET(V3758,1,1)=1,OFFSET(V3758,0,-4),OFFSET(V3758,1,0))</f>
        <v>2356.1289999999999</v>
      </c>
      <c r="W3758" s="256">
        <f t="shared" ca="1" si="957"/>
        <v>2</v>
      </c>
      <c r="X3758" s="256">
        <f t="shared" ca="1" si="970"/>
        <v>1</v>
      </c>
      <c r="Y3758" s="256"/>
      <c r="Z3758" s="256"/>
      <c r="AA3758" s="292"/>
      <c r="AB3758" s="292"/>
      <c r="AC3758" s="292"/>
    </row>
    <row r="3759" spans="1:29" s="111" customFormat="1" ht="15.75" x14ac:dyDescent="0.2">
      <c r="A3759" s="288"/>
      <c r="B3759" s="368"/>
      <c r="C3759" s="365"/>
      <c r="D3759" s="369"/>
      <c r="E3759" s="370"/>
      <c r="F3759" s="369"/>
      <c r="G3759" s="369"/>
      <c r="H3759" s="369"/>
      <c r="I3759" s="369"/>
      <c r="J3759" s="371"/>
      <c r="K3759" s="372"/>
      <c r="L3759" s="373"/>
      <c r="M3759" s="374"/>
      <c r="N3759" s="374"/>
      <c r="O3759" s="374"/>
      <c r="P3759" s="374"/>
      <c r="Q3759" s="374"/>
      <c r="R3759" s="375"/>
      <c r="S3759" s="376"/>
      <c r="T3759" s="377"/>
      <c r="U3759" s="378"/>
      <c r="V3759" s="379">
        <f ca="1">SUM(V3714:V3758)</f>
        <v>106025.80500000002</v>
      </c>
      <c r="W3759" s="256">
        <f t="shared" ca="1" si="957"/>
        <v>1</v>
      </c>
      <c r="X3759" s="256">
        <f t="shared" ca="1" si="970"/>
        <v>0</v>
      </c>
      <c r="Y3759" s="250"/>
      <c r="Z3759" s="250"/>
    </row>
    <row r="3760" spans="1:29" s="293" customFormat="1" ht="15.75" hidden="1" customHeight="1" x14ac:dyDescent="0.25">
      <c r="A3760" s="288"/>
      <c r="B3760" s="1374" t="str">
        <f>VLOOKUP(A3768,'11 - FINANCEIRO'!_xlnm.Print_Area,1,FALSE)</f>
        <v>5.1.3</v>
      </c>
      <c r="C3760" s="1376" t="str">
        <f>VLOOKUP(A3768,'11 - FINANCEIRO'!_xlnm.Print_Area,3,FALSE)</f>
        <v>Demolição De Concreto Armado</v>
      </c>
      <c r="D3760" s="1378" t="s">
        <v>477</v>
      </c>
      <c r="E3760" s="1379"/>
      <c r="F3760" s="1379"/>
      <c r="G3760" s="1379"/>
      <c r="H3760" s="1379"/>
      <c r="I3760" s="1380"/>
      <c r="J3760" s="1338" t="s">
        <v>478</v>
      </c>
      <c r="K3760" s="1338" t="s">
        <v>479</v>
      </c>
      <c r="L3760" s="1338" t="s">
        <v>480</v>
      </c>
      <c r="M3760" s="1338" t="s">
        <v>481</v>
      </c>
      <c r="N3760" s="1338" t="s">
        <v>482</v>
      </c>
      <c r="O3760" s="1338" t="s">
        <v>483</v>
      </c>
      <c r="P3760" s="290" t="s">
        <v>484</v>
      </c>
      <c r="Q3760" s="1338" t="s">
        <v>485</v>
      </c>
      <c r="R3760" s="1336" t="s">
        <v>296</v>
      </c>
      <c r="S3760" s="1338" t="s">
        <v>486</v>
      </c>
      <c r="T3760" s="1338" t="s">
        <v>487</v>
      </c>
      <c r="U3760" s="1340" t="s">
        <v>488</v>
      </c>
      <c r="V3760" s="291">
        <f t="shared" ref="V3760:V3768" ca="1" si="981">IF(OFFSET(V3760,1,1)=1,OFFSET(V3760,0,-4),OFFSET(V3760,1,0))</f>
        <v>0</v>
      </c>
      <c r="W3760" s="256">
        <f t="shared" ca="1" si="957"/>
        <v>2</v>
      </c>
      <c r="X3760" s="256">
        <f t="shared" ca="1" si="970"/>
        <v>1</v>
      </c>
      <c r="Y3760" s="256"/>
      <c r="Z3760" s="256"/>
      <c r="AA3760" s="292"/>
      <c r="AB3760" s="292"/>
      <c r="AC3760" s="292"/>
    </row>
    <row r="3761" spans="1:29" s="337" customFormat="1" ht="15.75" hidden="1" x14ac:dyDescent="0.2">
      <c r="A3761" s="288"/>
      <c r="B3761" s="1375"/>
      <c r="C3761" s="1377" t="e">
        <f>VLOOKUP(LEFT(#REF!,5),'11 - FINANCEIRO'!_xlnm.Print_Area,2,FALSE)</f>
        <v>#REF!</v>
      </c>
      <c r="D3761" s="1342" t="s">
        <v>489</v>
      </c>
      <c r="E3761" s="1343"/>
      <c r="F3761" s="1344"/>
      <c r="G3761" s="1345" t="s">
        <v>490</v>
      </c>
      <c r="H3761" s="1346"/>
      <c r="I3761" s="1347"/>
      <c r="J3761" s="1339"/>
      <c r="K3761" s="1339"/>
      <c r="L3761" s="1339"/>
      <c r="M3761" s="1339"/>
      <c r="N3761" s="1339"/>
      <c r="O3761" s="1339"/>
      <c r="P3761" s="295" t="s">
        <v>491</v>
      </c>
      <c r="Q3761" s="1339"/>
      <c r="R3761" s="1337"/>
      <c r="S3761" s="1339"/>
      <c r="T3761" s="1339"/>
      <c r="U3761" s="1341"/>
      <c r="V3761" s="291">
        <f t="shared" ca="1" si="981"/>
        <v>0</v>
      </c>
      <c r="W3761" s="256">
        <f t="shared" ca="1" si="957"/>
        <v>2</v>
      </c>
      <c r="X3761" s="256">
        <f t="shared" ca="1" si="970"/>
        <v>1</v>
      </c>
      <c r="Y3761" s="336"/>
      <c r="Z3761" s="336"/>
    </row>
    <row r="3762" spans="1:29" s="337" customFormat="1" ht="15.75" hidden="1" x14ac:dyDescent="0.2">
      <c r="A3762" s="288"/>
      <c r="B3762" s="296"/>
      <c r="C3762" s="297" t="s">
        <v>1032</v>
      </c>
      <c r="D3762" s="419">
        <v>80</v>
      </c>
      <c r="E3762" s="316" t="s">
        <v>518</v>
      </c>
      <c r="F3762" s="420">
        <v>0</v>
      </c>
      <c r="G3762" s="419">
        <v>99</v>
      </c>
      <c r="H3762" s="316" t="s">
        <v>518</v>
      </c>
      <c r="I3762" s="420">
        <v>6.4</v>
      </c>
      <c r="J3762" s="317"/>
      <c r="K3762" s="433">
        <f>ABS((G3762*20+I3762)-(D3762*20+F3762))</f>
        <v>386.40000000000009</v>
      </c>
      <c r="L3762" s="304"/>
      <c r="M3762" s="304"/>
      <c r="N3762" s="304"/>
      <c r="O3762" s="304"/>
      <c r="P3762" s="306"/>
      <c r="Q3762" s="304"/>
      <c r="R3762" s="307">
        <v>45.79</v>
      </c>
      <c r="S3762" s="304"/>
      <c r="T3762" s="309">
        <v>27</v>
      </c>
      <c r="U3762" s="310"/>
      <c r="V3762" s="291">
        <f t="shared" ca="1" si="981"/>
        <v>0</v>
      </c>
      <c r="W3762" s="256">
        <f t="shared" ca="1" si="957"/>
        <v>2</v>
      </c>
      <c r="X3762" s="256">
        <f t="shared" ca="1" si="970"/>
        <v>1</v>
      </c>
      <c r="Y3762" s="336"/>
      <c r="Z3762" s="336"/>
    </row>
    <row r="3763" spans="1:29" s="111" customFormat="1" ht="15.75" hidden="1" x14ac:dyDescent="0.2">
      <c r="A3763" s="288"/>
      <c r="B3763" s="311"/>
      <c r="C3763" s="312"/>
      <c r="D3763" s="313"/>
      <c r="E3763" s="314"/>
      <c r="F3763" s="315"/>
      <c r="G3763" s="380"/>
      <c r="H3763" s="316"/>
      <c r="I3763" s="381"/>
      <c r="J3763" s="317"/>
      <c r="K3763" s="313"/>
      <c r="L3763" s="317"/>
      <c r="M3763" s="315"/>
      <c r="N3763" s="314"/>
      <c r="O3763" s="313"/>
      <c r="P3763" s="318"/>
      <c r="Q3763" s="315"/>
      <c r="R3763" s="319"/>
      <c r="S3763" s="317"/>
      <c r="T3763" s="320"/>
      <c r="U3763" s="321"/>
      <c r="V3763" s="291">
        <f t="shared" ca="1" si="981"/>
        <v>0</v>
      </c>
      <c r="W3763" s="256">
        <f t="shared" ca="1" si="957"/>
        <v>0</v>
      </c>
      <c r="X3763" s="256">
        <f t="shared" ca="1" si="970"/>
        <v>1</v>
      </c>
      <c r="Y3763" s="250"/>
      <c r="Z3763" s="250"/>
    </row>
    <row r="3764" spans="1:29" s="111" customFormat="1" ht="15" hidden="1" x14ac:dyDescent="0.2">
      <c r="A3764" s="288"/>
      <c r="B3764" s="322"/>
      <c r="C3764" s="382"/>
      <c r="D3764" s="324"/>
      <c r="E3764" s="325"/>
      <c r="F3764" s="326"/>
      <c r="G3764" s="324"/>
      <c r="H3764" s="325"/>
      <c r="I3764" s="326"/>
      <c r="J3764" s="317"/>
      <c r="K3764" s="328"/>
      <c r="L3764" s="328"/>
      <c r="M3764" s="328"/>
      <c r="N3764" s="328"/>
      <c r="O3764" s="334"/>
      <c r="P3764" s="328"/>
      <c r="Q3764" s="334"/>
      <c r="R3764" s="333"/>
      <c r="S3764" s="331"/>
      <c r="T3764" s="320"/>
      <c r="U3764" s="335"/>
      <c r="V3764" s="291">
        <f t="shared" ca="1" si="981"/>
        <v>0</v>
      </c>
      <c r="W3764" s="256">
        <f t="shared" ca="1" si="957"/>
        <v>0</v>
      </c>
      <c r="X3764" s="256">
        <f t="shared" ca="1" si="970"/>
        <v>1</v>
      </c>
      <c r="Y3764" s="250"/>
      <c r="Z3764" s="250"/>
    </row>
    <row r="3765" spans="1:29" s="111" customFormat="1" ht="15" hidden="1" x14ac:dyDescent="0.2">
      <c r="A3765" s="288"/>
      <c r="B3765" s="338"/>
      <c r="C3765" s="339"/>
      <c r="D3765" s="340"/>
      <c r="E3765" s="341"/>
      <c r="F3765" s="342"/>
      <c r="G3765" s="340"/>
      <c r="H3765" s="341"/>
      <c r="I3765" s="342"/>
      <c r="J3765" s="343"/>
      <c r="K3765" s="344"/>
      <c r="L3765" s="345"/>
      <c r="M3765" s="346"/>
      <c r="N3765" s="347"/>
      <c r="O3765" s="348"/>
      <c r="P3765" s="345"/>
      <c r="Q3765" s="349"/>
      <c r="R3765" s="350"/>
      <c r="S3765" s="351"/>
      <c r="T3765" s="352"/>
      <c r="U3765" s="353"/>
      <c r="V3765" s="291">
        <f t="shared" ca="1" si="981"/>
        <v>0</v>
      </c>
      <c r="W3765" s="256">
        <f t="shared" ca="1" si="957"/>
        <v>0</v>
      </c>
      <c r="X3765" s="256">
        <f t="shared" ca="1" si="970"/>
        <v>1</v>
      </c>
      <c r="Y3765" s="250"/>
      <c r="Z3765" s="250"/>
    </row>
    <row r="3766" spans="1:29" s="111" customFormat="1" ht="15.75" hidden="1" customHeight="1" x14ac:dyDescent="0.2">
      <c r="A3766" s="288"/>
      <c r="B3766" s="354"/>
      <c r="C3766" s="355"/>
      <c r="D3766" s="1354" t="s">
        <v>492</v>
      </c>
      <c r="E3766" s="1355"/>
      <c r="F3766" s="1355"/>
      <c r="G3766" s="1355"/>
      <c r="H3766" s="1355"/>
      <c r="I3766" s="1356"/>
      <c r="J3766" s="1357">
        <f>VLOOKUP(A3768,'11 - FINANCEIRO'!_xlnm.Print_Area,6,FALSE)</f>
        <v>45.79</v>
      </c>
      <c r="K3766" s="1358"/>
      <c r="L3766" s="356" t="str">
        <f>VLOOKUP(A3768,'11 - FINANCEIRO'!_xlnm.Print_Area,4,FALSE)</f>
        <v>m³</v>
      </c>
      <c r="M3766" s="1359" t="s">
        <v>493</v>
      </c>
      <c r="N3766" s="1360"/>
      <c r="O3766" s="1360"/>
      <c r="P3766" s="1360"/>
      <c r="Q3766" s="1361"/>
      <c r="R3766" s="357">
        <f>TRUNC(SUM(R3762:R3765),3)</f>
        <v>45.79</v>
      </c>
      <c r="S3766" s="358" t="str">
        <f>L3766</f>
        <v>m³</v>
      </c>
      <c r="T3766" s="359"/>
      <c r="U3766" s="360"/>
      <c r="V3766" s="291">
        <f t="shared" ca="1" si="981"/>
        <v>0</v>
      </c>
      <c r="W3766" s="256">
        <f t="shared" ca="1" si="957"/>
        <v>2</v>
      </c>
      <c r="X3766" s="256">
        <f t="shared" ca="1" si="970"/>
        <v>1</v>
      </c>
      <c r="Y3766" s="250"/>
      <c r="Z3766" s="250"/>
    </row>
    <row r="3767" spans="1:29" s="293" customFormat="1" ht="15.75" hidden="1" customHeight="1" x14ac:dyDescent="0.2">
      <c r="A3767" s="288"/>
      <c r="B3767" s="354"/>
      <c r="C3767" s="361"/>
      <c r="D3767" s="1362" t="s">
        <v>494</v>
      </c>
      <c r="E3767" s="1363"/>
      <c r="F3767" s="1363"/>
      <c r="G3767" s="1363"/>
      <c r="H3767" s="1363"/>
      <c r="I3767" s="1364"/>
      <c r="J3767" s="1365">
        <f>R3766/J3766</f>
        <v>1</v>
      </c>
      <c r="K3767" s="1366"/>
      <c r="L3767" s="1369"/>
      <c r="M3767" s="1371" t="s">
        <v>495</v>
      </c>
      <c r="N3767" s="1372"/>
      <c r="O3767" s="1372"/>
      <c r="P3767" s="1372"/>
      <c r="Q3767" s="1373"/>
      <c r="R3767" s="362">
        <f>VLOOKUP(A3768,'11 - FINANCEIRO'!_xlnm.Print_Area,8,FALSE)</f>
        <v>45.79</v>
      </c>
      <c r="S3767" s="363" t="str">
        <f>L3766</f>
        <v>m³</v>
      </c>
      <c r="T3767" s="359"/>
      <c r="U3767" s="360"/>
      <c r="V3767" s="291">
        <f t="shared" ca="1" si="981"/>
        <v>0</v>
      </c>
      <c r="W3767" s="256">
        <f t="shared" ca="1" si="957"/>
        <v>2</v>
      </c>
      <c r="X3767" s="256">
        <f t="shared" ca="1" si="970"/>
        <v>1</v>
      </c>
      <c r="Y3767" s="256"/>
      <c r="Z3767" s="256"/>
      <c r="AA3767" s="292"/>
      <c r="AB3767" s="292"/>
      <c r="AC3767" s="292"/>
    </row>
    <row r="3768" spans="1:29" s="293" customFormat="1" ht="15.75" hidden="1" customHeight="1" x14ac:dyDescent="0.2">
      <c r="A3768" s="288" t="s">
        <v>252</v>
      </c>
      <c r="B3768" s="364"/>
      <c r="C3768" s="365"/>
      <c r="D3768" s="1354"/>
      <c r="E3768" s="1355"/>
      <c r="F3768" s="1355"/>
      <c r="G3768" s="1355"/>
      <c r="H3768" s="1355"/>
      <c r="I3768" s="1356"/>
      <c r="J3768" s="1367"/>
      <c r="K3768" s="1368"/>
      <c r="L3768" s="1370"/>
      <c r="M3768" s="1371" t="s">
        <v>496</v>
      </c>
      <c r="N3768" s="1372"/>
      <c r="O3768" s="1372"/>
      <c r="P3768" s="1372"/>
      <c r="Q3768" s="1373"/>
      <c r="R3768" s="362">
        <f>R3766-R3767</f>
        <v>0</v>
      </c>
      <c r="S3768" s="363" t="str">
        <f>L3766</f>
        <v>m³</v>
      </c>
      <c r="T3768" s="366"/>
      <c r="U3768" s="367"/>
      <c r="V3768" s="291">
        <f t="shared" ca="1" si="981"/>
        <v>0</v>
      </c>
      <c r="W3768" s="256">
        <f t="shared" ca="1" si="957"/>
        <v>2</v>
      </c>
      <c r="X3768" s="256">
        <f t="shared" ca="1" si="970"/>
        <v>1</v>
      </c>
      <c r="Y3768" s="256"/>
      <c r="Z3768" s="256"/>
      <c r="AA3768" s="292"/>
      <c r="AB3768" s="292"/>
      <c r="AC3768" s="292"/>
    </row>
    <row r="3769" spans="1:29" s="111" customFormat="1" ht="15.75" hidden="1" x14ac:dyDescent="0.2">
      <c r="A3769" s="288"/>
      <c r="B3769" s="368"/>
      <c r="C3769" s="365"/>
      <c r="D3769" s="369"/>
      <c r="E3769" s="370"/>
      <c r="F3769" s="369"/>
      <c r="G3769" s="369"/>
      <c r="H3769" s="369"/>
      <c r="I3769" s="369"/>
      <c r="J3769" s="371"/>
      <c r="K3769" s="372"/>
      <c r="L3769" s="373"/>
      <c r="M3769" s="374"/>
      <c r="N3769" s="374"/>
      <c r="O3769" s="374"/>
      <c r="P3769" s="374"/>
      <c r="Q3769" s="374"/>
      <c r="R3769" s="375"/>
      <c r="S3769" s="376"/>
      <c r="T3769" s="377"/>
      <c r="U3769" s="378"/>
      <c r="V3769" s="379">
        <f ca="1">SUM(V3760:V3768)</f>
        <v>0</v>
      </c>
      <c r="W3769" s="256">
        <f t="shared" ca="1" si="957"/>
        <v>1</v>
      </c>
      <c r="X3769" s="256">
        <f t="shared" ca="1" si="970"/>
        <v>0</v>
      </c>
      <c r="Y3769" s="250"/>
      <c r="Z3769" s="250"/>
    </row>
    <row r="3770" spans="1:29" s="293" customFormat="1" ht="15.75" hidden="1" customHeight="1" x14ac:dyDescent="0.25">
      <c r="A3770" s="288"/>
      <c r="B3770" s="1374" t="str">
        <f>VLOOKUP(A3778,'11 - FINANCEIRO'!_xlnm.Print_Area,1,FALSE)</f>
        <v>5.1.4</v>
      </c>
      <c r="C3770" s="1376" t="str">
        <f>VLOOKUP(A3778,'11 - FINANCEIRO'!_xlnm.Print_Area,3,FALSE)</f>
        <v>Carga, Manobra E Descarga De Material Demolido Em Caminhão Basculante De 6 M³ - Carga Com Carregadeira De 1,72 M³ E Descarga Livre</v>
      </c>
      <c r="D3770" s="1378" t="s">
        <v>477</v>
      </c>
      <c r="E3770" s="1379"/>
      <c r="F3770" s="1379"/>
      <c r="G3770" s="1379"/>
      <c r="H3770" s="1379"/>
      <c r="I3770" s="1380"/>
      <c r="J3770" s="1338" t="s">
        <v>478</v>
      </c>
      <c r="K3770" s="1338" t="s">
        <v>479</v>
      </c>
      <c r="L3770" s="1338" t="s">
        <v>480</v>
      </c>
      <c r="M3770" s="1338" t="s">
        <v>481</v>
      </c>
      <c r="N3770" s="1338" t="s">
        <v>482</v>
      </c>
      <c r="O3770" s="1338" t="s">
        <v>483</v>
      </c>
      <c r="P3770" s="290" t="s">
        <v>484</v>
      </c>
      <c r="Q3770" s="1338" t="s">
        <v>485</v>
      </c>
      <c r="R3770" s="1336" t="s">
        <v>296</v>
      </c>
      <c r="S3770" s="1338" t="s">
        <v>486</v>
      </c>
      <c r="T3770" s="1338" t="s">
        <v>487</v>
      </c>
      <c r="U3770" s="1340" t="s">
        <v>488</v>
      </c>
      <c r="V3770" s="291">
        <f t="shared" ref="V3770:V3778" ca="1" si="982">IF(OFFSET(V3770,1,1)=1,OFFSET(V3770,0,-4),OFFSET(V3770,1,0))</f>
        <v>0</v>
      </c>
      <c r="W3770" s="256">
        <f t="shared" ca="1" si="957"/>
        <v>2</v>
      </c>
      <c r="X3770" s="256">
        <f t="shared" ca="1" si="970"/>
        <v>1</v>
      </c>
      <c r="Y3770" s="256"/>
      <c r="Z3770" s="256"/>
      <c r="AA3770" s="292"/>
      <c r="AB3770" s="292"/>
      <c r="AC3770" s="292"/>
    </row>
    <row r="3771" spans="1:29" s="337" customFormat="1" ht="15.75" hidden="1" x14ac:dyDescent="0.2">
      <c r="A3771" s="288"/>
      <c r="B3771" s="1375"/>
      <c r="C3771" s="1377" t="e">
        <f>VLOOKUP(LEFT(#REF!,5),'11 - FINANCEIRO'!_xlnm.Print_Area,2,FALSE)</f>
        <v>#REF!</v>
      </c>
      <c r="D3771" s="1342" t="s">
        <v>489</v>
      </c>
      <c r="E3771" s="1343"/>
      <c r="F3771" s="1344"/>
      <c r="G3771" s="1345" t="s">
        <v>490</v>
      </c>
      <c r="H3771" s="1346"/>
      <c r="I3771" s="1347"/>
      <c r="J3771" s="1339"/>
      <c r="K3771" s="1339"/>
      <c r="L3771" s="1339"/>
      <c r="M3771" s="1339"/>
      <c r="N3771" s="1339"/>
      <c r="O3771" s="1339"/>
      <c r="P3771" s="295" t="s">
        <v>491</v>
      </c>
      <c r="Q3771" s="1339"/>
      <c r="R3771" s="1337"/>
      <c r="S3771" s="1339"/>
      <c r="T3771" s="1339"/>
      <c r="U3771" s="1341"/>
      <c r="V3771" s="291">
        <f t="shared" ca="1" si="982"/>
        <v>0</v>
      </c>
      <c r="W3771" s="256">
        <f t="shared" ca="1" si="957"/>
        <v>2</v>
      </c>
      <c r="X3771" s="256">
        <f t="shared" ca="1" si="970"/>
        <v>1</v>
      </c>
      <c r="Y3771" s="336"/>
      <c r="Z3771" s="336"/>
    </row>
    <row r="3772" spans="1:29" s="337" customFormat="1" ht="15.75" hidden="1" x14ac:dyDescent="0.2">
      <c r="A3772" s="288"/>
      <c r="B3772" s="296"/>
      <c r="C3772" s="297"/>
      <c r="D3772" s="298"/>
      <c r="E3772" s="299"/>
      <c r="F3772" s="300"/>
      <c r="G3772" s="301"/>
      <c r="H3772" s="302"/>
      <c r="I3772" s="303"/>
      <c r="J3772" s="304"/>
      <c r="K3772" s="304"/>
      <c r="L3772" s="304"/>
      <c r="M3772" s="304"/>
      <c r="N3772" s="304"/>
      <c r="O3772" s="304"/>
      <c r="P3772" s="306"/>
      <c r="Q3772" s="304"/>
      <c r="R3772" s="307"/>
      <c r="S3772" s="304"/>
      <c r="T3772" s="309"/>
      <c r="U3772" s="310"/>
      <c r="V3772" s="291">
        <f t="shared" ca="1" si="982"/>
        <v>0</v>
      </c>
      <c r="W3772" s="256">
        <f t="shared" ca="1" si="957"/>
        <v>0</v>
      </c>
      <c r="X3772" s="256">
        <f t="shared" ca="1" si="970"/>
        <v>1</v>
      </c>
      <c r="Y3772" s="336"/>
      <c r="Z3772" s="336"/>
    </row>
    <row r="3773" spans="1:29" s="111" customFormat="1" ht="15.75" hidden="1" x14ac:dyDescent="0.2">
      <c r="A3773" s="288"/>
      <c r="B3773" s="311"/>
      <c r="C3773" s="312"/>
      <c r="D3773" s="313"/>
      <c r="E3773" s="314"/>
      <c r="F3773" s="315"/>
      <c r="G3773" s="380"/>
      <c r="H3773" s="316"/>
      <c r="I3773" s="381"/>
      <c r="J3773" s="317"/>
      <c r="K3773" s="313"/>
      <c r="L3773" s="317"/>
      <c r="M3773" s="315"/>
      <c r="N3773" s="314"/>
      <c r="O3773" s="313"/>
      <c r="P3773" s="318"/>
      <c r="Q3773" s="315"/>
      <c r="R3773" s="319"/>
      <c r="S3773" s="317"/>
      <c r="T3773" s="320"/>
      <c r="U3773" s="321"/>
      <c r="V3773" s="291">
        <f t="shared" ca="1" si="982"/>
        <v>0</v>
      </c>
      <c r="W3773" s="256">
        <f t="shared" ca="1" si="957"/>
        <v>0</v>
      </c>
      <c r="X3773" s="256">
        <f t="shared" ca="1" si="970"/>
        <v>1</v>
      </c>
      <c r="Y3773" s="250"/>
      <c r="Z3773" s="250"/>
    </row>
    <row r="3774" spans="1:29" s="111" customFormat="1" ht="15" hidden="1" x14ac:dyDescent="0.2">
      <c r="A3774" s="288"/>
      <c r="B3774" s="322"/>
      <c r="C3774" s="382"/>
      <c r="D3774" s="324"/>
      <c r="E3774" s="325"/>
      <c r="F3774" s="326"/>
      <c r="G3774" s="324"/>
      <c r="H3774" s="325"/>
      <c r="I3774" s="326"/>
      <c r="J3774" s="317"/>
      <c r="K3774" s="328"/>
      <c r="L3774" s="328"/>
      <c r="M3774" s="328"/>
      <c r="N3774" s="328"/>
      <c r="O3774" s="334"/>
      <c r="P3774" s="328"/>
      <c r="Q3774" s="334"/>
      <c r="R3774" s="333"/>
      <c r="S3774" s="331"/>
      <c r="T3774" s="320"/>
      <c r="U3774" s="335"/>
      <c r="V3774" s="291">
        <f t="shared" ca="1" si="982"/>
        <v>0</v>
      </c>
      <c r="W3774" s="256">
        <f t="shared" ca="1" si="957"/>
        <v>0</v>
      </c>
      <c r="X3774" s="256">
        <f t="shared" ca="1" si="970"/>
        <v>1</v>
      </c>
      <c r="Y3774" s="250"/>
      <c r="Z3774" s="250"/>
    </row>
    <row r="3775" spans="1:29" s="111" customFormat="1" ht="15" hidden="1" x14ac:dyDescent="0.2">
      <c r="A3775" s="288"/>
      <c r="B3775" s="338"/>
      <c r="C3775" s="339"/>
      <c r="D3775" s="340"/>
      <c r="E3775" s="341"/>
      <c r="F3775" s="342"/>
      <c r="G3775" s="340"/>
      <c r="H3775" s="341"/>
      <c r="I3775" s="342"/>
      <c r="J3775" s="343"/>
      <c r="K3775" s="344"/>
      <c r="L3775" s="345"/>
      <c r="M3775" s="346"/>
      <c r="N3775" s="347"/>
      <c r="O3775" s="348"/>
      <c r="P3775" s="345"/>
      <c r="Q3775" s="349"/>
      <c r="R3775" s="350"/>
      <c r="S3775" s="351"/>
      <c r="T3775" s="352"/>
      <c r="U3775" s="353"/>
      <c r="V3775" s="291">
        <f t="shared" ca="1" si="982"/>
        <v>0</v>
      </c>
      <c r="W3775" s="256">
        <f t="shared" ca="1" si="957"/>
        <v>0</v>
      </c>
      <c r="X3775" s="256">
        <f t="shared" ca="1" si="970"/>
        <v>1</v>
      </c>
      <c r="Y3775" s="250"/>
      <c r="Z3775" s="250"/>
    </row>
    <row r="3776" spans="1:29" s="111" customFormat="1" ht="15.75" hidden="1" customHeight="1" x14ac:dyDescent="0.2">
      <c r="A3776" s="288"/>
      <c r="B3776" s="354"/>
      <c r="C3776" s="355"/>
      <c r="D3776" s="1354" t="s">
        <v>492</v>
      </c>
      <c r="E3776" s="1355"/>
      <c r="F3776" s="1355"/>
      <c r="G3776" s="1355"/>
      <c r="H3776" s="1355"/>
      <c r="I3776" s="1356"/>
      <c r="J3776" s="1357">
        <f>VLOOKUP(A3778,'11 - FINANCEIRO'!_xlnm.Print_Area,6,FALSE)</f>
        <v>367.92</v>
      </c>
      <c r="K3776" s="1358"/>
      <c r="L3776" s="356" t="str">
        <f>VLOOKUP(A3778,'11 - FINANCEIRO'!_xlnm.Print_Area,4,FALSE)</f>
        <v>t</v>
      </c>
      <c r="M3776" s="1359" t="s">
        <v>493</v>
      </c>
      <c r="N3776" s="1360"/>
      <c r="O3776" s="1360"/>
      <c r="P3776" s="1360"/>
      <c r="Q3776" s="1361"/>
      <c r="R3776" s="357">
        <f>TRUNC(SUM(R3772:R3775),3)</f>
        <v>0</v>
      </c>
      <c r="S3776" s="358" t="str">
        <f>L3776</f>
        <v>t</v>
      </c>
      <c r="T3776" s="359"/>
      <c r="U3776" s="360"/>
      <c r="V3776" s="291">
        <f t="shared" ca="1" si="982"/>
        <v>0</v>
      </c>
      <c r="W3776" s="256">
        <f t="shared" ca="1" si="957"/>
        <v>2</v>
      </c>
      <c r="X3776" s="256">
        <f t="shared" ca="1" si="970"/>
        <v>1</v>
      </c>
      <c r="Y3776" s="250"/>
      <c r="Z3776" s="250"/>
    </row>
    <row r="3777" spans="1:29" s="293" customFormat="1" ht="15.75" hidden="1" customHeight="1" x14ac:dyDescent="0.2">
      <c r="A3777" s="288"/>
      <c r="B3777" s="354"/>
      <c r="C3777" s="361"/>
      <c r="D3777" s="1362" t="s">
        <v>494</v>
      </c>
      <c r="E3777" s="1363"/>
      <c r="F3777" s="1363"/>
      <c r="G3777" s="1363"/>
      <c r="H3777" s="1363"/>
      <c r="I3777" s="1364"/>
      <c r="J3777" s="1365">
        <f>R3776/J3776</f>
        <v>0</v>
      </c>
      <c r="K3777" s="1366"/>
      <c r="L3777" s="1369"/>
      <c r="M3777" s="1371" t="s">
        <v>495</v>
      </c>
      <c r="N3777" s="1372"/>
      <c r="O3777" s="1372"/>
      <c r="P3777" s="1372"/>
      <c r="Q3777" s="1373"/>
      <c r="R3777" s="362">
        <f>VLOOKUP(A3778,'11 - FINANCEIRO'!_xlnm.Print_Area,8,FALSE)</f>
        <v>0</v>
      </c>
      <c r="S3777" s="363" t="str">
        <f>L3776</f>
        <v>t</v>
      </c>
      <c r="T3777" s="359"/>
      <c r="U3777" s="360"/>
      <c r="V3777" s="291">
        <f t="shared" ca="1" si="982"/>
        <v>0</v>
      </c>
      <c r="W3777" s="256">
        <f t="shared" ca="1" si="957"/>
        <v>2</v>
      </c>
      <c r="X3777" s="256">
        <f t="shared" ca="1" si="970"/>
        <v>1</v>
      </c>
      <c r="Y3777" s="256"/>
      <c r="Z3777" s="256"/>
      <c r="AA3777" s="292"/>
      <c r="AB3777" s="292"/>
      <c r="AC3777" s="292"/>
    </row>
    <row r="3778" spans="1:29" s="293" customFormat="1" ht="15.75" hidden="1" customHeight="1" x14ac:dyDescent="0.2">
      <c r="A3778" s="288" t="s">
        <v>253</v>
      </c>
      <c r="B3778" s="364"/>
      <c r="C3778" s="365"/>
      <c r="D3778" s="1354"/>
      <c r="E3778" s="1355"/>
      <c r="F3778" s="1355"/>
      <c r="G3778" s="1355"/>
      <c r="H3778" s="1355"/>
      <c r="I3778" s="1356"/>
      <c r="J3778" s="1367"/>
      <c r="K3778" s="1368"/>
      <c r="L3778" s="1370"/>
      <c r="M3778" s="1371" t="s">
        <v>496</v>
      </c>
      <c r="N3778" s="1372"/>
      <c r="O3778" s="1372"/>
      <c r="P3778" s="1372"/>
      <c r="Q3778" s="1373"/>
      <c r="R3778" s="362">
        <f>R3776-R3777</f>
        <v>0</v>
      </c>
      <c r="S3778" s="363" t="str">
        <f>L3776</f>
        <v>t</v>
      </c>
      <c r="T3778" s="366"/>
      <c r="U3778" s="367"/>
      <c r="V3778" s="291">
        <f t="shared" ca="1" si="982"/>
        <v>0</v>
      </c>
      <c r="W3778" s="256">
        <f t="shared" ca="1" si="957"/>
        <v>2</v>
      </c>
      <c r="X3778" s="256">
        <f t="shared" ca="1" si="970"/>
        <v>1</v>
      </c>
      <c r="Y3778" s="256"/>
      <c r="Z3778" s="256"/>
      <c r="AA3778" s="292"/>
      <c r="AB3778" s="292"/>
      <c r="AC3778" s="292"/>
    </row>
    <row r="3779" spans="1:29" s="111" customFormat="1" ht="15.75" hidden="1" x14ac:dyDescent="0.2">
      <c r="A3779" s="288"/>
      <c r="B3779" s="368"/>
      <c r="C3779" s="365"/>
      <c r="D3779" s="369"/>
      <c r="E3779" s="370"/>
      <c r="F3779" s="369"/>
      <c r="G3779" s="369"/>
      <c r="H3779" s="369"/>
      <c r="I3779" s="369"/>
      <c r="J3779" s="371"/>
      <c r="K3779" s="372"/>
      <c r="L3779" s="373"/>
      <c r="M3779" s="374"/>
      <c r="N3779" s="374"/>
      <c r="O3779" s="374"/>
      <c r="P3779" s="374"/>
      <c r="Q3779" s="374"/>
      <c r="R3779" s="375"/>
      <c r="S3779" s="376"/>
      <c r="T3779" s="377"/>
      <c r="U3779" s="378"/>
      <c r="V3779" s="379">
        <f ca="1">SUM(V3770:V3778)</f>
        <v>0</v>
      </c>
      <c r="W3779" s="256">
        <f t="shared" ca="1" si="957"/>
        <v>1</v>
      </c>
      <c r="X3779" s="256">
        <f t="shared" ca="1" si="970"/>
        <v>0</v>
      </c>
      <c r="Y3779" s="250"/>
      <c r="Z3779" s="250"/>
    </row>
    <row r="3780" spans="1:29" s="293" customFormat="1" ht="15.75" hidden="1" customHeight="1" x14ac:dyDescent="0.25">
      <c r="A3780" s="288"/>
      <c r="B3780" s="1374" t="str">
        <f>VLOOKUP(A3788,'11 - FINANCEIRO'!_xlnm.Print_Area,1,FALSE)</f>
        <v>5.1.5</v>
      </c>
      <c r="C3780" s="1376" t="str">
        <f>VLOOKUP(A3788,'11 - FINANCEIRO'!_xlnm.Print_Area,3,FALSE)</f>
        <v>Transporte De Material De 3ª Categoria Com Caminhão Basculante De 12 M³ Para Rocha - Rodovia Pavimentada</v>
      </c>
      <c r="D3780" s="1378" t="s">
        <v>477</v>
      </c>
      <c r="E3780" s="1379"/>
      <c r="F3780" s="1379"/>
      <c r="G3780" s="1379"/>
      <c r="H3780" s="1379"/>
      <c r="I3780" s="1380"/>
      <c r="J3780" s="1338" t="s">
        <v>478</v>
      </c>
      <c r="K3780" s="1338" t="s">
        <v>479</v>
      </c>
      <c r="L3780" s="1338" t="s">
        <v>480</v>
      </c>
      <c r="M3780" s="1338" t="s">
        <v>481</v>
      </c>
      <c r="N3780" s="1338" t="s">
        <v>482</v>
      </c>
      <c r="O3780" s="1338" t="s">
        <v>483</v>
      </c>
      <c r="P3780" s="290" t="s">
        <v>484</v>
      </c>
      <c r="Q3780" s="1338" t="s">
        <v>485</v>
      </c>
      <c r="R3780" s="1336" t="s">
        <v>296</v>
      </c>
      <c r="S3780" s="1338" t="s">
        <v>486</v>
      </c>
      <c r="T3780" s="1338" t="s">
        <v>487</v>
      </c>
      <c r="U3780" s="1340" t="s">
        <v>488</v>
      </c>
      <c r="V3780" s="291">
        <f t="shared" ref="V3780:V3788" ca="1" si="983">IF(OFFSET(V3780,1,1)=1,OFFSET(V3780,0,-4),OFFSET(V3780,1,0))</f>
        <v>0</v>
      </c>
      <c r="W3780" s="256">
        <f t="shared" ca="1" si="957"/>
        <v>2</v>
      </c>
      <c r="X3780" s="256">
        <f t="shared" ca="1" si="970"/>
        <v>1</v>
      </c>
      <c r="Y3780" s="256"/>
      <c r="Z3780" s="256"/>
      <c r="AA3780" s="292"/>
      <c r="AB3780" s="292"/>
      <c r="AC3780" s="292"/>
    </row>
    <row r="3781" spans="1:29" s="337" customFormat="1" ht="15.75" hidden="1" x14ac:dyDescent="0.2">
      <c r="A3781" s="288"/>
      <c r="B3781" s="1375"/>
      <c r="C3781" s="1377" t="e">
        <f>VLOOKUP(LEFT(#REF!,5),'11 - FINANCEIRO'!_xlnm.Print_Area,2,FALSE)</f>
        <v>#REF!</v>
      </c>
      <c r="D3781" s="1342" t="s">
        <v>489</v>
      </c>
      <c r="E3781" s="1343"/>
      <c r="F3781" s="1344"/>
      <c r="G3781" s="1345" t="s">
        <v>490</v>
      </c>
      <c r="H3781" s="1346"/>
      <c r="I3781" s="1347"/>
      <c r="J3781" s="1339"/>
      <c r="K3781" s="1339"/>
      <c r="L3781" s="1339"/>
      <c r="M3781" s="1339"/>
      <c r="N3781" s="1339"/>
      <c r="O3781" s="1339"/>
      <c r="P3781" s="295" t="s">
        <v>491</v>
      </c>
      <c r="Q3781" s="1339"/>
      <c r="R3781" s="1337"/>
      <c r="S3781" s="1339"/>
      <c r="T3781" s="1339"/>
      <c r="U3781" s="1341"/>
      <c r="V3781" s="291">
        <f t="shared" ca="1" si="983"/>
        <v>0</v>
      </c>
      <c r="W3781" s="256">
        <f t="shared" ca="1" si="957"/>
        <v>2</v>
      </c>
      <c r="X3781" s="256">
        <f t="shared" ca="1" si="970"/>
        <v>1</v>
      </c>
      <c r="Y3781" s="336"/>
      <c r="Z3781" s="336"/>
    </row>
    <row r="3782" spans="1:29" s="337" customFormat="1" ht="15.75" hidden="1" x14ac:dyDescent="0.2">
      <c r="A3782" s="288"/>
      <c r="B3782" s="296"/>
      <c r="C3782" s="297"/>
      <c r="D3782" s="298"/>
      <c r="E3782" s="299"/>
      <c r="F3782" s="300"/>
      <c r="G3782" s="301"/>
      <c r="H3782" s="302"/>
      <c r="I3782" s="303"/>
      <c r="J3782" s="304"/>
      <c r="K3782" s="304"/>
      <c r="L3782" s="304"/>
      <c r="M3782" s="304"/>
      <c r="N3782" s="304"/>
      <c r="O3782" s="304"/>
      <c r="P3782" s="306"/>
      <c r="Q3782" s="304"/>
      <c r="R3782" s="307"/>
      <c r="S3782" s="304"/>
      <c r="T3782" s="309"/>
      <c r="U3782" s="310"/>
      <c r="V3782" s="291">
        <f t="shared" ca="1" si="983"/>
        <v>0</v>
      </c>
      <c r="W3782" s="256">
        <f t="shared" ref="W3782:W3877" ca="1" si="984">IF(LEFT(_xlfn.FORMULATEXT(V3782),3)="=SO",1,IF(COUNTA(A3782:U3782)=0,0,2))</f>
        <v>0</v>
      </c>
      <c r="X3782" s="256">
        <f t="shared" ca="1" si="970"/>
        <v>1</v>
      </c>
      <c r="Y3782" s="336"/>
      <c r="Z3782" s="336"/>
    </row>
    <row r="3783" spans="1:29" s="111" customFormat="1" ht="15.75" hidden="1" x14ac:dyDescent="0.2">
      <c r="A3783" s="288"/>
      <c r="B3783" s="311"/>
      <c r="C3783" s="312"/>
      <c r="D3783" s="313"/>
      <c r="E3783" s="314"/>
      <c r="F3783" s="315"/>
      <c r="G3783" s="380"/>
      <c r="H3783" s="316"/>
      <c r="I3783" s="381"/>
      <c r="J3783" s="317"/>
      <c r="K3783" s="313"/>
      <c r="L3783" s="317"/>
      <c r="M3783" s="315"/>
      <c r="N3783" s="314"/>
      <c r="O3783" s="313"/>
      <c r="P3783" s="318"/>
      <c r="Q3783" s="315"/>
      <c r="R3783" s="319"/>
      <c r="S3783" s="317"/>
      <c r="T3783" s="320"/>
      <c r="U3783" s="321"/>
      <c r="V3783" s="291">
        <f t="shared" ca="1" si="983"/>
        <v>0</v>
      </c>
      <c r="W3783" s="256">
        <f t="shared" ca="1" si="984"/>
        <v>0</v>
      </c>
      <c r="X3783" s="256">
        <f t="shared" ca="1" si="970"/>
        <v>1</v>
      </c>
      <c r="Y3783" s="250"/>
      <c r="Z3783" s="250"/>
    </row>
    <row r="3784" spans="1:29" s="111" customFormat="1" ht="15" hidden="1" x14ac:dyDescent="0.2">
      <c r="A3784" s="288"/>
      <c r="B3784" s="322"/>
      <c r="C3784" s="382"/>
      <c r="D3784" s="324"/>
      <c r="E3784" s="325"/>
      <c r="F3784" s="326"/>
      <c r="G3784" s="324"/>
      <c r="H3784" s="325"/>
      <c r="I3784" s="326"/>
      <c r="J3784" s="317"/>
      <c r="K3784" s="328"/>
      <c r="L3784" s="328"/>
      <c r="M3784" s="328"/>
      <c r="N3784" s="328"/>
      <c r="O3784" s="334"/>
      <c r="P3784" s="328"/>
      <c r="Q3784" s="334"/>
      <c r="R3784" s="333"/>
      <c r="S3784" s="331"/>
      <c r="T3784" s="320"/>
      <c r="U3784" s="335"/>
      <c r="V3784" s="291">
        <f t="shared" ca="1" si="983"/>
        <v>0</v>
      </c>
      <c r="W3784" s="256">
        <f t="shared" ca="1" si="984"/>
        <v>0</v>
      </c>
      <c r="X3784" s="256">
        <f t="shared" ca="1" si="970"/>
        <v>1</v>
      </c>
      <c r="Y3784" s="250"/>
      <c r="Z3784" s="250"/>
    </row>
    <row r="3785" spans="1:29" s="111" customFormat="1" ht="15" hidden="1" x14ac:dyDescent="0.2">
      <c r="A3785" s="288"/>
      <c r="B3785" s="338"/>
      <c r="C3785" s="339"/>
      <c r="D3785" s="340"/>
      <c r="E3785" s="341"/>
      <c r="F3785" s="342"/>
      <c r="G3785" s="340"/>
      <c r="H3785" s="341"/>
      <c r="I3785" s="342"/>
      <c r="J3785" s="343"/>
      <c r="K3785" s="344"/>
      <c r="L3785" s="345"/>
      <c r="M3785" s="346"/>
      <c r="N3785" s="347"/>
      <c r="O3785" s="348"/>
      <c r="P3785" s="345"/>
      <c r="Q3785" s="349"/>
      <c r="R3785" s="350"/>
      <c r="S3785" s="351"/>
      <c r="T3785" s="352"/>
      <c r="U3785" s="353"/>
      <c r="V3785" s="291">
        <f t="shared" ca="1" si="983"/>
        <v>0</v>
      </c>
      <c r="W3785" s="256">
        <f t="shared" ca="1" si="984"/>
        <v>0</v>
      </c>
      <c r="X3785" s="256">
        <f t="shared" ca="1" si="970"/>
        <v>1</v>
      </c>
      <c r="Y3785" s="250"/>
      <c r="Z3785" s="250"/>
    </row>
    <row r="3786" spans="1:29" s="111" customFormat="1" ht="15.75" hidden="1" customHeight="1" x14ac:dyDescent="0.2">
      <c r="A3786" s="288"/>
      <c r="B3786" s="354"/>
      <c r="C3786" s="355"/>
      <c r="D3786" s="1354" t="s">
        <v>492</v>
      </c>
      <c r="E3786" s="1355"/>
      <c r="F3786" s="1355"/>
      <c r="G3786" s="1355"/>
      <c r="H3786" s="1355"/>
      <c r="I3786" s="1356"/>
      <c r="J3786" s="1357">
        <f>VLOOKUP(A3788,'11 - FINANCEIRO'!_xlnm.Print_Area,6,FALSE)</f>
        <v>5371.63</v>
      </c>
      <c r="K3786" s="1358"/>
      <c r="L3786" s="356" t="str">
        <f>VLOOKUP(A3788,'11 - FINANCEIRO'!_xlnm.Print_Area,4,FALSE)</f>
        <v>tkm</v>
      </c>
      <c r="M3786" s="1359" t="s">
        <v>493</v>
      </c>
      <c r="N3786" s="1360"/>
      <c r="O3786" s="1360"/>
      <c r="P3786" s="1360"/>
      <c r="Q3786" s="1361"/>
      <c r="R3786" s="357">
        <f>TRUNC(SUM(R3782:R3785),3)</f>
        <v>0</v>
      </c>
      <c r="S3786" s="358" t="str">
        <f>L3786</f>
        <v>tkm</v>
      </c>
      <c r="T3786" s="359"/>
      <c r="U3786" s="360"/>
      <c r="V3786" s="291">
        <f t="shared" ca="1" si="983"/>
        <v>0</v>
      </c>
      <c r="W3786" s="256">
        <f t="shared" ca="1" si="984"/>
        <v>2</v>
      </c>
      <c r="X3786" s="256">
        <f t="shared" ca="1" si="970"/>
        <v>1</v>
      </c>
      <c r="Y3786" s="250"/>
      <c r="Z3786" s="250"/>
    </row>
    <row r="3787" spans="1:29" s="293" customFormat="1" ht="15.75" hidden="1" customHeight="1" x14ac:dyDescent="0.2">
      <c r="A3787" s="288"/>
      <c r="B3787" s="354"/>
      <c r="C3787" s="361"/>
      <c r="D3787" s="1362" t="s">
        <v>494</v>
      </c>
      <c r="E3787" s="1363"/>
      <c r="F3787" s="1363"/>
      <c r="G3787" s="1363"/>
      <c r="H3787" s="1363"/>
      <c r="I3787" s="1364"/>
      <c r="J3787" s="1365">
        <f>R3786/J3786</f>
        <v>0</v>
      </c>
      <c r="K3787" s="1366"/>
      <c r="L3787" s="1369"/>
      <c r="M3787" s="1371" t="s">
        <v>495</v>
      </c>
      <c r="N3787" s="1372"/>
      <c r="O3787" s="1372"/>
      <c r="P3787" s="1372"/>
      <c r="Q3787" s="1373"/>
      <c r="R3787" s="362">
        <f>VLOOKUP(A3788,'11 - FINANCEIRO'!_xlnm.Print_Area,8,FALSE)</f>
        <v>0</v>
      </c>
      <c r="S3787" s="363" t="str">
        <f>L3786</f>
        <v>tkm</v>
      </c>
      <c r="T3787" s="359"/>
      <c r="U3787" s="360"/>
      <c r="V3787" s="291">
        <f t="shared" ca="1" si="983"/>
        <v>0</v>
      </c>
      <c r="W3787" s="256">
        <f t="shared" ca="1" si="984"/>
        <v>2</v>
      </c>
      <c r="X3787" s="256">
        <f t="shared" ca="1" si="970"/>
        <v>1</v>
      </c>
      <c r="Y3787" s="256"/>
      <c r="Z3787" s="256"/>
      <c r="AA3787" s="292"/>
      <c r="AB3787" s="292"/>
      <c r="AC3787" s="292"/>
    </row>
    <row r="3788" spans="1:29" s="293" customFormat="1" ht="15.75" hidden="1" customHeight="1" x14ac:dyDescent="0.2">
      <c r="A3788" s="288" t="s">
        <v>254</v>
      </c>
      <c r="B3788" s="364"/>
      <c r="C3788" s="365"/>
      <c r="D3788" s="1354"/>
      <c r="E3788" s="1355"/>
      <c r="F3788" s="1355"/>
      <c r="G3788" s="1355"/>
      <c r="H3788" s="1355"/>
      <c r="I3788" s="1356"/>
      <c r="J3788" s="1367"/>
      <c r="K3788" s="1368"/>
      <c r="L3788" s="1370"/>
      <c r="M3788" s="1371" t="s">
        <v>496</v>
      </c>
      <c r="N3788" s="1372"/>
      <c r="O3788" s="1372"/>
      <c r="P3788" s="1372"/>
      <c r="Q3788" s="1373"/>
      <c r="R3788" s="362">
        <f>R3786-R3787</f>
        <v>0</v>
      </c>
      <c r="S3788" s="363" t="str">
        <f>L3786</f>
        <v>tkm</v>
      </c>
      <c r="T3788" s="366"/>
      <c r="U3788" s="367"/>
      <c r="V3788" s="291">
        <f t="shared" ca="1" si="983"/>
        <v>0</v>
      </c>
      <c r="W3788" s="256">
        <f t="shared" ca="1" si="984"/>
        <v>2</v>
      </c>
      <c r="X3788" s="256">
        <f t="shared" ca="1" si="970"/>
        <v>1</v>
      </c>
      <c r="Y3788" s="256"/>
      <c r="Z3788" s="256"/>
      <c r="AA3788" s="292"/>
      <c r="AB3788" s="292"/>
      <c r="AC3788" s="292"/>
    </row>
    <row r="3789" spans="1:29" s="111" customFormat="1" ht="15.75" hidden="1" x14ac:dyDescent="0.2">
      <c r="A3789" s="288"/>
      <c r="B3789" s="368"/>
      <c r="C3789" s="365"/>
      <c r="D3789" s="369"/>
      <c r="E3789" s="370"/>
      <c r="F3789" s="369"/>
      <c r="G3789" s="369"/>
      <c r="H3789" s="369"/>
      <c r="I3789" s="369"/>
      <c r="J3789" s="371"/>
      <c r="K3789" s="372"/>
      <c r="L3789" s="373"/>
      <c r="M3789" s="374"/>
      <c r="N3789" s="374"/>
      <c r="O3789" s="374"/>
      <c r="P3789" s="374"/>
      <c r="Q3789" s="374"/>
      <c r="R3789" s="375"/>
      <c r="S3789" s="376"/>
      <c r="T3789" s="377"/>
      <c r="U3789" s="378"/>
      <c r="V3789" s="379">
        <f ca="1">SUM(V3780:V3788)</f>
        <v>0</v>
      </c>
      <c r="W3789" s="256">
        <f t="shared" ca="1" si="984"/>
        <v>1</v>
      </c>
      <c r="X3789" s="256">
        <f t="shared" ca="1" si="970"/>
        <v>0</v>
      </c>
      <c r="Y3789" s="250"/>
      <c r="Z3789" s="250"/>
    </row>
    <row r="3790" spans="1:29" s="293" customFormat="1" ht="15.75" hidden="1" customHeight="1" x14ac:dyDescent="0.25">
      <c r="A3790" s="288"/>
      <c r="B3790" s="1374" t="str">
        <f>VLOOKUP(A3798,'11 - FINANCEIRO'!_xlnm.Print_Area,1,FALSE)</f>
        <v>5.1.6</v>
      </c>
      <c r="C3790" s="1376" t="str">
        <f>VLOOKUP(A3798,'11 - FINANCEIRO'!_xlnm.Print_Area,3,FALSE)</f>
        <v>Remocao Residuos Classe A Conama (Cacamba) Classe Ii B (Nbr10004) Inclusive Destinacao Final</v>
      </c>
      <c r="D3790" s="1378" t="s">
        <v>477</v>
      </c>
      <c r="E3790" s="1379"/>
      <c r="F3790" s="1379"/>
      <c r="G3790" s="1379"/>
      <c r="H3790" s="1379"/>
      <c r="I3790" s="1380"/>
      <c r="J3790" s="1338" t="s">
        <v>478</v>
      </c>
      <c r="K3790" s="1338" t="s">
        <v>479</v>
      </c>
      <c r="L3790" s="1338" t="s">
        <v>480</v>
      </c>
      <c r="M3790" s="1338" t="s">
        <v>481</v>
      </c>
      <c r="N3790" s="1338" t="s">
        <v>482</v>
      </c>
      <c r="O3790" s="1338" t="s">
        <v>483</v>
      </c>
      <c r="P3790" s="290" t="s">
        <v>484</v>
      </c>
      <c r="Q3790" s="1338" t="s">
        <v>485</v>
      </c>
      <c r="R3790" s="1336" t="s">
        <v>296</v>
      </c>
      <c r="S3790" s="1338" t="s">
        <v>486</v>
      </c>
      <c r="T3790" s="1338" t="s">
        <v>487</v>
      </c>
      <c r="U3790" s="1340" t="s">
        <v>488</v>
      </c>
      <c r="V3790" s="291">
        <f t="shared" ref="V3790:V3798" ca="1" si="985">IF(OFFSET(V3790,1,1)=1,OFFSET(V3790,0,-4),OFFSET(V3790,1,0))</f>
        <v>0</v>
      </c>
      <c r="W3790" s="256">
        <f t="shared" ca="1" si="984"/>
        <v>2</v>
      </c>
      <c r="X3790" s="256">
        <f t="shared" ca="1" si="970"/>
        <v>1</v>
      </c>
      <c r="Y3790" s="256"/>
      <c r="Z3790" s="256"/>
      <c r="AA3790" s="292"/>
      <c r="AB3790" s="292"/>
      <c r="AC3790" s="292"/>
    </row>
    <row r="3791" spans="1:29" s="337" customFormat="1" ht="15.75" hidden="1" x14ac:dyDescent="0.2">
      <c r="A3791" s="288"/>
      <c r="B3791" s="1375"/>
      <c r="C3791" s="1377" t="e">
        <f>VLOOKUP(LEFT(#REF!,5),'11 - FINANCEIRO'!_xlnm.Print_Area,2,FALSE)</f>
        <v>#REF!</v>
      </c>
      <c r="D3791" s="1342" t="s">
        <v>489</v>
      </c>
      <c r="E3791" s="1343"/>
      <c r="F3791" s="1344"/>
      <c r="G3791" s="1345" t="s">
        <v>490</v>
      </c>
      <c r="H3791" s="1346"/>
      <c r="I3791" s="1347"/>
      <c r="J3791" s="1339"/>
      <c r="K3791" s="1339"/>
      <c r="L3791" s="1339"/>
      <c r="M3791" s="1339"/>
      <c r="N3791" s="1339"/>
      <c r="O3791" s="1339"/>
      <c r="P3791" s="295" t="s">
        <v>491</v>
      </c>
      <c r="Q3791" s="1339"/>
      <c r="R3791" s="1337"/>
      <c r="S3791" s="1339"/>
      <c r="T3791" s="1339"/>
      <c r="U3791" s="1341"/>
      <c r="V3791" s="291">
        <f t="shared" ca="1" si="985"/>
        <v>0</v>
      </c>
      <c r="W3791" s="256">
        <f t="shared" ca="1" si="984"/>
        <v>2</v>
      </c>
      <c r="X3791" s="256">
        <f t="shared" ca="1" si="970"/>
        <v>1</v>
      </c>
      <c r="Y3791" s="336"/>
      <c r="Z3791" s="336"/>
    </row>
    <row r="3792" spans="1:29" s="337" customFormat="1" ht="15.75" hidden="1" x14ac:dyDescent="0.2">
      <c r="A3792" s="288"/>
      <c r="B3792" s="296"/>
      <c r="C3792" s="297"/>
      <c r="D3792" s="298"/>
      <c r="E3792" s="299"/>
      <c r="F3792" s="300"/>
      <c r="G3792" s="301"/>
      <c r="H3792" s="302"/>
      <c r="I3792" s="303"/>
      <c r="J3792" s="304"/>
      <c r="K3792" s="304"/>
      <c r="L3792" s="304"/>
      <c r="M3792" s="304"/>
      <c r="N3792" s="304"/>
      <c r="O3792" s="304"/>
      <c r="P3792" s="306"/>
      <c r="Q3792" s="304"/>
      <c r="R3792" s="307"/>
      <c r="S3792" s="304"/>
      <c r="T3792" s="309"/>
      <c r="U3792" s="310"/>
      <c r="V3792" s="291">
        <f t="shared" ca="1" si="985"/>
        <v>0</v>
      </c>
      <c r="W3792" s="256">
        <f t="shared" ca="1" si="984"/>
        <v>0</v>
      </c>
      <c r="X3792" s="256">
        <f t="shared" ca="1" si="970"/>
        <v>1</v>
      </c>
      <c r="Y3792" s="336"/>
      <c r="Z3792" s="336"/>
    </row>
    <row r="3793" spans="1:29" s="111" customFormat="1" ht="15.75" hidden="1" x14ac:dyDescent="0.2">
      <c r="A3793" s="288"/>
      <c r="B3793" s="311"/>
      <c r="C3793" s="312"/>
      <c r="D3793" s="313"/>
      <c r="E3793" s="314"/>
      <c r="F3793" s="315"/>
      <c r="G3793" s="380"/>
      <c r="H3793" s="316"/>
      <c r="I3793" s="381"/>
      <c r="J3793" s="317"/>
      <c r="K3793" s="313"/>
      <c r="L3793" s="317"/>
      <c r="M3793" s="315"/>
      <c r="N3793" s="314"/>
      <c r="O3793" s="313"/>
      <c r="P3793" s="318"/>
      <c r="Q3793" s="315"/>
      <c r="R3793" s="319"/>
      <c r="S3793" s="317"/>
      <c r="T3793" s="320"/>
      <c r="U3793" s="321"/>
      <c r="V3793" s="291">
        <f t="shared" ca="1" si="985"/>
        <v>0</v>
      </c>
      <c r="W3793" s="256">
        <f t="shared" ca="1" si="984"/>
        <v>0</v>
      </c>
      <c r="X3793" s="256">
        <f t="shared" ca="1" si="970"/>
        <v>1</v>
      </c>
      <c r="Y3793" s="250"/>
      <c r="Z3793" s="250"/>
    </row>
    <row r="3794" spans="1:29" s="111" customFormat="1" ht="15" hidden="1" x14ac:dyDescent="0.2">
      <c r="A3794" s="288"/>
      <c r="B3794" s="322"/>
      <c r="C3794" s="382"/>
      <c r="D3794" s="324"/>
      <c r="E3794" s="325"/>
      <c r="F3794" s="326"/>
      <c r="G3794" s="324"/>
      <c r="H3794" s="325"/>
      <c r="I3794" s="326"/>
      <c r="J3794" s="317"/>
      <c r="K3794" s="328"/>
      <c r="L3794" s="328"/>
      <c r="M3794" s="328"/>
      <c r="N3794" s="328"/>
      <c r="O3794" s="334"/>
      <c r="P3794" s="328"/>
      <c r="Q3794" s="334"/>
      <c r="R3794" s="333"/>
      <c r="S3794" s="331"/>
      <c r="T3794" s="320"/>
      <c r="U3794" s="335"/>
      <c r="V3794" s="291">
        <f t="shared" ca="1" si="985"/>
        <v>0</v>
      </c>
      <c r="W3794" s="256">
        <f t="shared" ca="1" si="984"/>
        <v>0</v>
      </c>
      <c r="X3794" s="256">
        <f t="shared" ca="1" si="970"/>
        <v>1</v>
      </c>
      <c r="Y3794" s="250"/>
      <c r="Z3794" s="250"/>
    </row>
    <row r="3795" spans="1:29" s="111" customFormat="1" ht="15" hidden="1" x14ac:dyDescent="0.2">
      <c r="A3795" s="288"/>
      <c r="B3795" s="338"/>
      <c r="C3795" s="339"/>
      <c r="D3795" s="340"/>
      <c r="E3795" s="341"/>
      <c r="F3795" s="342"/>
      <c r="G3795" s="340"/>
      <c r="H3795" s="341"/>
      <c r="I3795" s="342"/>
      <c r="J3795" s="343"/>
      <c r="K3795" s="344"/>
      <c r="L3795" s="345"/>
      <c r="M3795" s="346"/>
      <c r="N3795" s="347"/>
      <c r="O3795" s="348"/>
      <c r="P3795" s="345"/>
      <c r="Q3795" s="349"/>
      <c r="R3795" s="350"/>
      <c r="S3795" s="351"/>
      <c r="T3795" s="352"/>
      <c r="U3795" s="353"/>
      <c r="V3795" s="291">
        <f t="shared" ca="1" si="985"/>
        <v>0</v>
      </c>
      <c r="W3795" s="256">
        <f t="shared" ca="1" si="984"/>
        <v>0</v>
      </c>
      <c r="X3795" s="256">
        <f t="shared" ca="1" si="970"/>
        <v>1</v>
      </c>
      <c r="Y3795" s="250"/>
      <c r="Z3795" s="250"/>
    </row>
    <row r="3796" spans="1:29" s="111" customFormat="1" ht="15.75" hidden="1" customHeight="1" x14ac:dyDescent="0.2">
      <c r="A3796" s="288"/>
      <c r="B3796" s="354"/>
      <c r="C3796" s="355"/>
      <c r="D3796" s="1354" t="s">
        <v>492</v>
      </c>
      <c r="E3796" s="1355"/>
      <c r="F3796" s="1355"/>
      <c r="G3796" s="1355"/>
      <c r="H3796" s="1355"/>
      <c r="I3796" s="1356"/>
      <c r="J3796" s="1357">
        <f>VLOOKUP(A3798,'11 - FINANCEIRO'!_xlnm.Print_Area,6,FALSE)</f>
        <v>456.56</v>
      </c>
      <c r="K3796" s="1358"/>
      <c r="L3796" s="356" t="str">
        <f>VLOOKUP(A3798,'11 - FINANCEIRO'!_xlnm.Print_Area,4,FALSE)</f>
        <v>m³</v>
      </c>
      <c r="M3796" s="1359" t="s">
        <v>493</v>
      </c>
      <c r="N3796" s="1360"/>
      <c r="O3796" s="1360"/>
      <c r="P3796" s="1360"/>
      <c r="Q3796" s="1361"/>
      <c r="R3796" s="357">
        <f>TRUNC(SUM(R3792:R3795),3)</f>
        <v>0</v>
      </c>
      <c r="S3796" s="358" t="str">
        <f>L3796</f>
        <v>m³</v>
      </c>
      <c r="T3796" s="359"/>
      <c r="U3796" s="360"/>
      <c r="V3796" s="291">
        <f t="shared" ca="1" si="985"/>
        <v>0</v>
      </c>
      <c r="W3796" s="256">
        <f t="shared" ca="1" si="984"/>
        <v>2</v>
      </c>
      <c r="X3796" s="256">
        <f t="shared" ca="1" si="970"/>
        <v>1</v>
      </c>
      <c r="Y3796" s="250"/>
      <c r="Z3796" s="250"/>
    </row>
    <row r="3797" spans="1:29" s="395" customFormat="1" ht="15.75" hidden="1" customHeight="1" x14ac:dyDescent="0.2">
      <c r="A3797" s="276"/>
      <c r="B3797" s="354"/>
      <c r="C3797" s="361"/>
      <c r="D3797" s="1362" t="s">
        <v>494</v>
      </c>
      <c r="E3797" s="1363"/>
      <c r="F3797" s="1363"/>
      <c r="G3797" s="1363"/>
      <c r="H3797" s="1363"/>
      <c r="I3797" s="1364"/>
      <c r="J3797" s="1365">
        <f>R3796/J3796</f>
        <v>0</v>
      </c>
      <c r="K3797" s="1366"/>
      <c r="L3797" s="1369"/>
      <c r="M3797" s="1371" t="s">
        <v>495</v>
      </c>
      <c r="N3797" s="1372"/>
      <c r="O3797" s="1372"/>
      <c r="P3797" s="1372"/>
      <c r="Q3797" s="1373"/>
      <c r="R3797" s="362">
        <f>VLOOKUP(A3798,'11 - FINANCEIRO'!_xlnm.Print_Area,8,FALSE)</f>
        <v>0</v>
      </c>
      <c r="S3797" s="363" t="str">
        <f>L3796</f>
        <v>m³</v>
      </c>
      <c r="T3797" s="359"/>
      <c r="U3797" s="360"/>
      <c r="V3797" s="291">
        <f t="shared" ca="1" si="985"/>
        <v>0</v>
      </c>
      <c r="W3797" s="256">
        <f t="shared" ca="1" si="984"/>
        <v>2</v>
      </c>
      <c r="X3797" s="256">
        <f t="shared" ca="1" si="970"/>
        <v>1</v>
      </c>
    </row>
    <row r="3798" spans="1:29" s="293" customFormat="1" ht="15.75" hidden="1" customHeight="1" x14ac:dyDescent="0.2">
      <c r="A3798" s="288" t="s">
        <v>255</v>
      </c>
      <c r="B3798" s="364"/>
      <c r="C3798" s="365"/>
      <c r="D3798" s="1354"/>
      <c r="E3798" s="1355"/>
      <c r="F3798" s="1355"/>
      <c r="G3798" s="1355"/>
      <c r="H3798" s="1355"/>
      <c r="I3798" s="1356"/>
      <c r="J3798" s="1367"/>
      <c r="K3798" s="1368"/>
      <c r="L3798" s="1370"/>
      <c r="M3798" s="1371" t="s">
        <v>496</v>
      </c>
      <c r="N3798" s="1372"/>
      <c r="O3798" s="1372"/>
      <c r="P3798" s="1372"/>
      <c r="Q3798" s="1373"/>
      <c r="R3798" s="362">
        <f>R3796-R3797</f>
        <v>0</v>
      </c>
      <c r="S3798" s="363" t="str">
        <f>L3796</f>
        <v>m³</v>
      </c>
      <c r="T3798" s="366"/>
      <c r="U3798" s="367"/>
      <c r="V3798" s="291">
        <f t="shared" ca="1" si="985"/>
        <v>0</v>
      </c>
      <c r="W3798" s="256">
        <f t="shared" ca="1" si="984"/>
        <v>2</v>
      </c>
      <c r="X3798" s="256">
        <f t="shared" ca="1" si="970"/>
        <v>1</v>
      </c>
      <c r="Y3798" s="256"/>
      <c r="Z3798" s="256"/>
      <c r="AA3798" s="292"/>
      <c r="AB3798" s="292"/>
      <c r="AC3798" s="292"/>
    </row>
    <row r="3799" spans="1:29" s="111" customFormat="1" ht="15.75" hidden="1" x14ac:dyDescent="0.2">
      <c r="A3799" s="288"/>
      <c r="B3799" s="368"/>
      <c r="C3799" s="365"/>
      <c r="D3799" s="369"/>
      <c r="E3799" s="370"/>
      <c r="F3799" s="369"/>
      <c r="G3799" s="369"/>
      <c r="H3799" s="369"/>
      <c r="I3799" s="369"/>
      <c r="J3799" s="371"/>
      <c r="K3799" s="372"/>
      <c r="L3799" s="373"/>
      <c r="M3799" s="374"/>
      <c r="N3799" s="374"/>
      <c r="O3799" s="374"/>
      <c r="P3799" s="374"/>
      <c r="Q3799" s="374"/>
      <c r="R3799" s="375"/>
      <c r="S3799" s="376"/>
      <c r="T3799" s="377"/>
      <c r="U3799" s="378"/>
      <c r="V3799" s="379">
        <f ca="1">SUM(V3790:V3798)</f>
        <v>0</v>
      </c>
      <c r="W3799" s="256">
        <f t="shared" ca="1" si="984"/>
        <v>1</v>
      </c>
      <c r="X3799" s="256">
        <f t="shared" ca="1" si="970"/>
        <v>0</v>
      </c>
      <c r="Y3799" s="250"/>
      <c r="Z3799" s="250"/>
    </row>
    <row r="3800" spans="1:29" s="293" customFormat="1" ht="15.75" x14ac:dyDescent="0.2">
      <c r="A3800" s="288"/>
      <c r="B3800" s="385" t="str">
        <f>LEFT(A3833,9)</f>
        <v>5.2</v>
      </c>
      <c r="C3800" s="386" t="str">
        <f>VLOOKUP(LEFT(A3833,9),'11 - FINANCEIRO'!_xlnm.Print_Area,2,FALSE)</f>
        <v>Piso e Sinalização</v>
      </c>
      <c r="D3800" s="386"/>
      <c r="E3800" s="387"/>
      <c r="F3800" s="386"/>
      <c r="G3800" s="388"/>
      <c r="H3800" s="391"/>
      <c r="I3800" s="391"/>
      <c r="J3800" s="610"/>
      <c r="K3800" s="610"/>
      <c r="L3800" s="610"/>
      <c r="M3800" s="611"/>
      <c r="N3800" s="612"/>
      <c r="O3800" s="611"/>
      <c r="P3800" s="611"/>
      <c r="Q3800" s="611"/>
      <c r="R3800" s="612"/>
      <c r="S3800" s="611"/>
      <c r="T3800" s="611"/>
      <c r="U3800" s="613"/>
      <c r="V3800" s="549">
        <f ca="1">SUM(V3801:V3924)</f>
        <v>42471.760000000009</v>
      </c>
      <c r="W3800" s="256">
        <f t="shared" ca="1" si="984"/>
        <v>1</v>
      </c>
      <c r="X3800" s="256">
        <f t="shared" ca="1" si="970"/>
        <v>1</v>
      </c>
      <c r="Y3800" s="256"/>
      <c r="Z3800" s="256"/>
      <c r="AA3800" s="292"/>
      <c r="AB3800" s="292"/>
      <c r="AC3800" s="292"/>
    </row>
    <row r="3801" spans="1:29" s="293" customFormat="1" ht="15.75" customHeight="1" x14ac:dyDescent="0.25">
      <c r="A3801" s="288"/>
      <c r="B3801" s="1374" t="str">
        <f>VLOOKUP(A3834,'11 - FINANCEIRO'!_xlnm.Print_Area,1,FALSE)</f>
        <v>5.2.1</v>
      </c>
      <c r="C3801" s="1376" t="str">
        <f>VLOOKUP(A3834,'11 - FINANCEIRO'!_xlnm.Print_Area,3,FALSE)</f>
        <v>Execução De Passeio (Calçada) Ou Piso De Concreto Com Concreto Moldado In Loco, Usinado, Acabamento Convencional, Espessura 8 Cm, Armado. Af_07/2016</v>
      </c>
      <c r="D3801" s="1378" t="s">
        <v>477</v>
      </c>
      <c r="E3801" s="1379"/>
      <c r="F3801" s="1379"/>
      <c r="G3801" s="1379"/>
      <c r="H3801" s="1379"/>
      <c r="I3801" s="1380"/>
      <c r="J3801" s="1338" t="s">
        <v>478</v>
      </c>
      <c r="K3801" s="1338" t="s">
        <v>479</v>
      </c>
      <c r="L3801" s="1338" t="s">
        <v>480</v>
      </c>
      <c r="M3801" s="1338" t="s">
        <v>481</v>
      </c>
      <c r="N3801" s="1338" t="s">
        <v>482</v>
      </c>
      <c r="O3801" s="1338" t="s">
        <v>483</v>
      </c>
      <c r="P3801" s="290" t="s">
        <v>484</v>
      </c>
      <c r="Q3801" s="1338" t="s">
        <v>485</v>
      </c>
      <c r="R3801" s="1336" t="s">
        <v>296</v>
      </c>
      <c r="S3801" s="1338" t="s">
        <v>486</v>
      </c>
      <c r="T3801" s="1338" t="s">
        <v>487</v>
      </c>
      <c r="U3801" s="1340" t="s">
        <v>488</v>
      </c>
      <c r="V3801" s="291">
        <f t="shared" ref="V3801:V3834" ca="1" si="986">IF(OFFSET(V3801,1,1)=1,OFFSET(V3801,0,-4),OFFSET(V3801,1,0))</f>
        <v>512.82000000000062</v>
      </c>
      <c r="W3801" s="256">
        <f t="shared" ca="1" si="984"/>
        <v>2</v>
      </c>
      <c r="X3801" s="256">
        <f t="shared" ca="1" si="970"/>
        <v>1</v>
      </c>
      <c r="Y3801" s="256"/>
      <c r="Z3801" s="256"/>
      <c r="AA3801" s="292"/>
      <c r="AB3801" s="292"/>
      <c r="AC3801" s="292"/>
    </row>
    <row r="3802" spans="1:29" s="337" customFormat="1" ht="15.75" x14ac:dyDescent="0.2">
      <c r="A3802" s="288"/>
      <c r="B3802" s="1375"/>
      <c r="C3802" s="1377" t="e">
        <f>VLOOKUP(LEFT(#REF!,5),'11 - FINANCEIRO'!_xlnm.Print_Area,2,FALSE)</f>
        <v>#REF!</v>
      </c>
      <c r="D3802" s="1342" t="s">
        <v>489</v>
      </c>
      <c r="E3802" s="1343"/>
      <c r="F3802" s="1344"/>
      <c r="G3802" s="1345" t="s">
        <v>490</v>
      </c>
      <c r="H3802" s="1346"/>
      <c r="I3802" s="1347"/>
      <c r="J3802" s="1339"/>
      <c r="K3802" s="1339"/>
      <c r="L3802" s="1339"/>
      <c r="M3802" s="1339"/>
      <c r="N3802" s="1339"/>
      <c r="O3802" s="1339"/>
      <c r="P3802" s="295" t="s">
        <v>491</v>
      </c>
      <c r="Q3802" s="1339"/>
      <c r="R3802" s="1337"/>
      <c r="S3802" s="1339"/>
      <c r="T3802" s="1339"/>
      <c r="U3802" s="1341"/>
      <c r="V3802" s="291">
        <f t="shared" ca="1" si="986"/>
        <v>512.82000000000062</v>
      </c>
      <c r="W3802" s="256">
        <f t="shared" ca="1" si="984"/>
        <v>2</v>
      </c>
      <c r="X3802" s="256">
        <f t="shared" ca="1" si="970"/>
        <v>1</v>
      </c>
      <c r="Y3802" s="336"/>
      <c r="Z3802" s="336"/>
    </row>
    <row r="3803" spans="1:29" s="337" customFormat="1" ht="15.75" x14ac:dyDescent="0.2">
      <c r="A3803" s="288"/>
      <c r="B3803" s="296"/>
      <c r="C3803" s="297" t="s">
        <v>786</v>
      </c>
      <c r="D3803" s="417">
        <v>6</v>
      </c>
      <c r="E3803" s="314" t="s">
        <v>518</v>
      </c>
      <c r="F3803" s="418">
        <v>12</v>
      </c>
      <c r="G3803" s="419">
        <v>31</v>
      </c>
      <c r="H3803" s="316" t="s">
        <v>518</v>
      </c>
      <c r="I3803" s="420">
        <v>10</v>
      </c>
      <c r="J3803" s="304"/>
      <c r="K3803" s="416">
        <f>ABS((G3803*20+I3803)-(D3803*20+F3803))</f>
        <v>498</v>
      </c>
      <c r="L3803" s="304">
        <v>2</v>
      </c>
      <c r="M3803" s="304"/>
      <c r="N3803" s="304">
        <f>K3803*L3803</f>
        <v>996</v>
      </c>
      <c r="O3803" s="304"/>
      <c r="P3803" s="306"/>
      <c r="Q3803" s="304"/>
      <c r="R3803" s="307">
        <f>N3803</f>
        <v>996</v>
      </c>
      <c r="S3803" s="304" t="s">
        <v>308</v>
      </c>
      <c r="T3803" s="309">
        <v>24</v>
      </c>
      <c r="U3803" s="310"/>
      <c r="V3803" s="291">
        <f t="shared" ca="1" si="986"/>
        <v>512.82000000000062</v>
      </c>
      <c r="W3803" s="256">
        <f t="shared" ca="1" si="984"/>
        <v>2</v>
      </c>
      <c r="X3803" s="256">
        <f t="shared" ca="1" si="970"/>
        <v>1</v>
      </c>
      <c r="Y3803" s="336"/>
      <c r="Z3803" s="336"/>
    </row>
    <row r="3804" spans="1:29" s="111" customFormat="1" ht="15.75" x14ac:dyDescent="0.2">
      <c r="A3804" s="288"/>
      <c r="B3804" s="311"/>
      <c r="C3804" s="312" t="s">
        <v>944</v>
      </c>
      <c r="D3804" s="417">
        <v>22</v>
      </c>
      <c r="E3804" s="314" t="s">
        <v>518</v>
      </c>
      <c r="F3804" s="418">
        <v>0</v>
      </c>
      <c r="G3804" s="419">
        <v>30</v>
      </c>
      <c r="H3804" s="316" t="s">
        <v>518</v>
      </c>
      <c r="I3804" s="420">
        <v>0</v>
      </c>
      <c r="J3804" s="317"/>
      <c r="K3804" s="421">
        <f>ABS((G3804*20+I3804)-(D3804*20+F3804))</f>
        <v>160</v>
      </c>
      <c r="L3804" s="317">
        <v>1.6</v>
      </c>
      <c r="M3804" s="315"/>
      <c r="N3804" s="314">
        <f>K3804*L3804</f>
        <v>256</v>
      </c>
      <c r="O3804" s="313"/>
      <c r="P3804" s="318"/>
      <c r="Q3804" s="315"/>
      <c r="R3804" s="319">
        <f>N3804</f>
        <v>256</v>
      </c>
      <c r="S3804" s="317" t="s">
        <v>308</v>
      </c>
      <c r="T3804" s="320">
        <v>24</v>
      </c>
      <c r="U3804" s="321"/>
      <c r="V3804" s="291">
        <f t="shared" ca="1" si="986"/>
        <v>512.82000000000062</v>
      </c>
      <c r="W3804" s="256">
        <f t="shared" ca="1" si="984"/>
        <v>2</v>
      </c>
      <c r="X3804" s="256">
        <f t="shared" ca="1" si="970"/>
        <v>1</v>
      </c>
      <c r="Y3804" s="250"/>
      <c r="Z3804" s="250"/>
    </row>
    <row r="3805" spans="1:29" s="111" customFormat="1" ht="15.75" x14ac:dyDescent="0.2">
      <c r="A3805" s="288"/>
      <c r="B3805" s="311"/>
      <c r="C3805" s="312" t="s">
        <v>944</v>
      </c>
      <c r="D3805" s="417">
        <v>26</v>
      </c>
      <c r="E3805" s="314" t="s">
        <v>518</v>
      </c>
      <c r="F3805" s="418">
        <v>0</v>
      </c>
      <c r="G3805" s="419">
        <v>30</v>
      </c>
      <c r="H3805" s="316" t="s">
        <v>518</v>
      </c>
      <c r="I3805" s="420">
        <v>0</v>
      </c>
      <c r="J3805" s="317"/>
      <c r="K3805" s="421">
        <f>ABS((G3805*20+I3805)-(D3805*20+F3805))</f>
        <v>80</v>
      </c>
      <c r="L3805" s="317">
        <v>1.6</v>
      </c>
      <c r="M3805" s="315"/>
      <c r="N3805" s="314">
        <f>K3805*L3805</f>
        <v>128</v>
      </c>
      <c r="O3805" s="313"/>
      <c r="P3805" s="318"/>
      <c r="Q3805" s="315"/>
      <c r="R3805" s="319">
        <f>N3805</f>
        <v>128</v>
      </c>
      <c r="S3805" s="317" t="s">
        <v>308</v>
      </c>
      <c r="T3805" s="320">
        <v>24</v>
      </c>
      <c r="U3805" s="321"/>
      <c r="V3805" s="291">
        <f t="shared" ca="1" si="986"/>
        <v>512.82000000000062</v>
      </c>
      <c r="W3805" s="256">
        <f ca="1">IF(LEFT(_xlfn.FORMULATEXT(V3805),3)="=SO",1,IF(COUNTA(A3805:U3805)=0,0,2))</f>
        <v>2</v>
      </c>
      <c r="X3805" s="256">
        <f ca="1">IF(COUNTA(OFFSET(A3804,1,0))-COUNTA(A3804)=-1,0,1)</f>
        <v>1</v>
      </c>
      <c r="Y3805" s="250"/>
      <c r="Z3805" s="250"/>
    </row>
    <row r="3806" spans="1:29" s="111" customFormat="1" ht="15.75" x14ac:dyDescent="0.2">
      <c r="A3806" s="288"/>
      <c r="B3806" s="311"/>
      <c r="C3806" s="312" t="s">
        <v>1069</v>
      </c>
      <c r="D3806" s="417">
        <v>93</v>
      </c>
      <c r="E3806" s="314" t="s">
        <v>518</v>
      </c>
      <c r="F3806" s="418">
        <v>0</v>
      </c>
      <c r="G3806" s="419">
        <v>100</v>
      </c>
      <c r="H3806" s="316" t="s">
        <v>518</v>
      </c>
      <c r="I3806" s="420">
        <v>0</v>
      </c>
      <c r="J3806" s="317"/>
      <c r="K3806" s="421">
        <f t="shared" ref="K3806" si="987">ABS((G3806*20+I3806)-(D3806*20+F3806))</f>
        <v>140</v>
      </c>
      <c r="L3806" s="317">
        <v>2</v>
      </c>
      <c r="M3806" s="315"/>
      <c r="N3806" s="314">
        <f t="shared" ref="N3806" si="988">K3806*L3806</f>
        <v>280</v>
      </c>
      <c r="O3806" s="313"/>
      <c r="P3806" s="318"/>
      <c r="Q3806" s="315"/>
      <c r="R3806" s="319">
        <f t="shared" ref="R3806" si="989">N3806</f>
        <v>280</v>
      </c>
      <c r="S3806" s="313" t="s">
        <v>308</v>
      </c>
      <c r="T3806" s="320">
        <v>33</v>
      </c>
      <c r="U3806" s="321"/>
      <c r="V3806" s="291">
        <f t="shared" ca="1" si="986"/>
        <v>512.82000000000062</v>
      </c>
      <c r="W3806" s="256">
        <f t="shared" ref="W3806:W3832" ca="1" si="990">IF(LEFT(_xlfn.FORMULATEXT(V3806),3)="=SO",1,IF(COUNTA(A3806:U3806)=0,0,2))</f>
        <v>2</v>
      </c>
      <c r="X3806" s="256">
        <f ca="1">IF(COUNTA(OFFSET(#REF!,1,0))-COUNTA(#REF!)=-1,0,1)</f>
        <v>1</v>
      </c>
      <c r="Y3806" s="250"/>
      <c r="Z3806" s="250"/>
    </row>
    <row r="3807" spans="1:29" s="111" customFormat="1" ht="15.75" x14ac:dyDescent="0.2">
      <c r="A3807" s="288"/>
      <c r="B3807" s="562"/>
      <c r="C3807" s="312"/>
      <c r="D3807" s="551"/>
      <c r="E3807" s="552"/>
      <c r="F3807" s="553"/>
      <c r="G3807" s="496"/>
      <c r="H3807" s="497"/>
      <c r="I3807" s="498"/>
      <c r="J3807" s="560"/>
      <c r="K3807" s="500"/>
      <c r="L3807" s="560"/>
      <c r="M3807" s="752"/>
      <c r="N3807" s="552"/>
      <c r="O3807" s="738"/>
      <c r="P3807" s="565"/>
      <c r="Q3807" s="752"/>
      <c r="R3807" s="558"/>
      <c r="S3807" s="738"/>
      <c r="T3807" s="506"/>
      <c r="U3807" s="568"/>
      <c r="V3807" s="291">
        <f t="shared" ca="1" si="986"/>
        <v>512.82000000000062</v>
      </c>
      <c r="W3807" s="256">
        <f t="shared" ca="1" si="990"/>
        <v>0</v>
      </c>
      <c r="X3807" s="256">
        <f t="shared" ref="X3807:X3832" ca="1" si="991">IF(COUNTA(OFFSET(A3806,1,0))-COUNTA(A3806)=-1,0,1)</f>
        <v>1</v>
      </c>
      <c r="Y3807" s="250"/>
      <c r="Z3807" s="250"/>
    </row>
    <row r="3808" spans="1:29" s="111" customFormat="1" ht="15.75" x14ac:dyDescent="0.2">
      <c r="A3808" s="288"/>
      <c r="B3808" s="562"/>
      <c r="C3808" s="312" t="s">
        <v>1070</v>
      </c>
      <c r="D3808" s="417">
        <v>92</v>
      </c>
      <c r="E3808" s="314" t="s">
        <v>518</v>
      </c>
      <c r="F3808" s="418">
        <v>12.9</v>
      </c>
      <c r="G3808" s="419">
        <v>93</v>
      </c>
      <c r="H3808" s="316" t="s">
        <v>518</v>
      </c>
      <c r="I3808" s="420">
        <v>0</v>
      </c>
      <c r="J3808" s="317"/>
      <c r="K3808" s="421">
        <f>ABS((G3808*20+I3808)-(D3808*20+F3808))</f>
        <v>7.0999999999999091</v>
      </c>
      <c r="L3808" s="317">
        <v>3.7</v>
      </c>
      <c r="M3808" s="315"/>
      <c r="N3808" s="314">
        <f>K3808*L3808</f>
        <v>26.269999999999666</v>
      </c>
      <c r="O3808" s="313"/>
      <c r="P3808" s="318"/>
      <c r="Q3808" s="315"/>
      <c r="R3808" s="319">
        <f>N3808</f>
        <v>26.269999999999666</v>
      </c>
      <c r="S3808" s="313" t="s">
        <v>308</v>
      </c>
      <c r="T3808" s="320">
        <v>31</v>
      </c>
      <c r="U3808" s="321"/>
      <c r="V3808" s="291">
        <f t="shared" ca="1" si="986"/>
        <v>512.82000000000062</v>
      </c>
      <c r="W3808" s="256">
        <f ca="1">IF(LEFT(_xlfn.FORMULATEXT(V3808),3)="=SO",1,IF(COUNTA(A3808:U3808)=0,0,2))</f>
        <v>2</v>
      </c>
      <c r="X3808" s="256">
        <f t="shared" ca="1" si="991"/>
        <v>1</v>
      </c>
      <c r="Y3808" s="250"/>
      <c r="Z3808" s="250"/>
    </row>
    <row r="3809" spans="1:26" s="111" customFormat="1" ht="15.75" x14ac:dyDescent="0.2">
      <c r="A3809" s="288"/>
      <c r="B3809" s="562"/>
      <c r="C3809" s="312" t="s">
        <v>1128</v>
      </c>
      <c r="D3809" s="417"/>
      <c r="E3809" s="314"/>
      <c r="F3809" s="418"/>
      <c r="G3809" s="419"/>
      <c r="H3809" s="316"/>
      <c r="I3809" s="420"/>
      <c r="J3809" s="317"/>
      <c r="K3809" s="421">
        <v>12.5</v>
      </c>
      <c r="L3809" s="317">
        <v>1.2</v>
      </c>
      <c r="M3809" s="315"/>
      <c r="N3809" s="314">
        <f t="shared" ref="N3809:N3813" si="992">K3809*L3809</f>
        <v>15</v>
      </c>
      <c r="O3809" s="313"/>
      <c r="P3809" s="318"/>
      <c r="Q3809" s="315"/>
      <c r="R3809" s="948">
        <f t="shared" ref="R3809:R3813" si="993">N3809</f>
        <v>15</v>
      </c>
      <c r="S3809" s="313" t="s">
        <v>308</v>
      </c>
      <c r="T3809" s="320">
        <v>33</v>
      </c>
      <c r="U3809" s="568"/>
      <c r="V3809" s="291">
        <f t="shared" ca="1" si="986"/>
        <v>512.82000000000062</v>
      </c>
      <c r="W3809" s="256">
        <f t="shared" ca="1" si="990"/>
        <v>2</v>
      </c>
      <c r="X3809" s="256">
        <f t="shared" ca="1" si="991"/>
        <v>1</v>
      </c>
      <c r="Y3809" s="250"/>
      <c r="Z3809" s="250"/>
    </row>
    <row r="3810" spans="1:26" s="111" customFormat="1" ht="15.75" x14ac:dyDescent="0.2">
      <c r="A3810" s="288"/>
      <c r="B3810" s="562"/>
      <c r="C3810" s="312" t="s">
        <v>1129</v>
      </c>
      <c r="D3810" s="417"/>
      <c r="E3810" s="314"/>
      <c r="F3810" s="418"/>
      <c r="G3810" s="419"/>
      <c r="H3810" s="316"/>
      <c r="I3810" s="420"/>
      <c r="J3810" s="317"/>
      <c r="K3810" s="421">
        <v>12</v>
      </c>
      <c r="L3810" s="317">
        <v>1.3</v>
      </c>
      <c r="M3810" s="315"/>
      <c r="N3810" s="314">
        <f t="shared" si="992"/>
        <v>15.600000000000001</v>
      </c>
      <c r="O3810" s="313"/>
      <c r="P3810" s="318"/>
      <c r="Q3810" s="315"/>
      <c r="R3810" s="948">
        <f t="shared" si="993"/>
        <v>15.600000000000001</v>
      </c>
      <c r="S3810" s="313" t="s">
        <v>308</v>
      </c>
      <c r="T3810" s="320">
        <v>33</v>
      </c>
      <c r="U3810" s="568"/>
      <c r="V3810" s="291">
        <f t="shared" ca="1" si="986"/>
        <v>512.82000000000062</v>
      </c>
      <c r="W3810" s="256">
        <f t="shared" ca="1" si="990"/>
        <v>2</v>
      </c>
      <c r="X3810" s="256">
        <f t="shared" ca="1" si="991"/>
        <v>1</v>
      </c>
      <c r="Y3810" s="250"/>
      <c r="Z3810" s="250"/>
    </row>
    <row r="3811" spans="1:26" s="111" customFormat="1" ht="15.75" x14ac:dyDescent="0.2">
      <c r="A3811" s="288"/>
      <c r="B3811" s="562"/>
      <c r="C3811" s="312" t="s">
        <v>1128</v>
      </c>
      <c r="D3811" s="324"/>
      <c r="E3811" s="325"/>
      <c r="F3811" s="326"/>
      <c r="G3811" s="324"/>
      <c r="H3811" s="325"/>
      <c r="I3811" s="326"/>
      <c r="J3811" s="317"/>
      <c r="K3811" s="421">
        <v>2.1</v>
      </c>
      <c r="L3811" s="317">
        <v>2.2000000000000002</v>
      </c>
      <c r="M3811" s="328"/>
      <c r="N3811" s="314">
        <f t="shared" si="992"/>
        <v>4.620000000000001</v>
      </c>
      <c r="O3811" s="334"/>
      <c r="P3811" s="328"/>
      <c r="Q3811" s="334"/>
      <c r="R3811" s="333">
        <f t="shared" si="993"/>
        <v>4.620000000000001</v>
      </c>
      <c r="S3811" s="331" t="s">
        <v>308</v>
      </c>
      <c r="T3811" s="320">
        <v>33</v>
      </c>
      <c r="U3811" s="568"/>
      <c r="V3811" s="291">
        <f t="shared" ca="1" si="986"/>
        <v>512.82000000000062</v>
      </c>
      <c r="W3811" s="256">
        <f t="shared" ca="1" si="990"/>
        <v>2</v>
      </c>
      <c r="X3811" s="256">
        <f t="shared" ca="1" si="991"/>
        <v>1</v>
      </c>
      <c r="Y3811" s="250"/>
      <c r="Z3811" s="250"/>
    </row>
    <row r="3812" spans="1:26" s="111" customFormat="1" ht="15.75" x14ac:dyDescent="0.2">
      <c r="A3812" s="288"/>
      <c r="B3812" s="562"/>
      <c r="C3812" s="312" t="s">
        <v>1128</v>
      </c>
      <c r="D3812" s="819"/>
      <c r="E3812" s="820"/>
      <c r="F3812" s="822"/>
      <c r="G3812" s="819"/>
      <c r="H3812" s="820"/>
      <c r="I3812" s="822"/>
      <c r="J3812" s="560"/>
      <c r="K3812" s="500">
        <v>2.1</v>
      </c>
      <c r="L3812" s="560">
        <v>1.9</v>
      </c>
      <c r="M3812" s="760"/>
      <c r="N3812" s="552">
        <f t="shared" si="992"/>
        <v>3.9899999999999998</v>
      </c>
      <c r="O3812" s="505"/>
      <c r="P3812" s="501"/>
      <c r="Q3812" s="739"/>
      <c r="R3812" s="504">
        <f t="shared" si="993"/>
        <v>3.9899999999999998</v>
      </c>
      <c r="S3812" s="505" t="s">
        <v>308</v>
      </c>
      <c r="T3812" s="320">
        <v>33</v>
      </c>
      <c r="U3812" s="568"/>
      <c r="V3812" s="291">
        <f t="shared" ca="1" si="986"/>
        <v>512.82000000000062</v>
      </c>
      <c r="W3812" s="256">
        <f t="shared" ca="1" si="990"/>
        <v>2</v>
      </c>
      <c r="X3812" s="256">
        <f t="shared" ca="1" si="991"/>
        <v>1</v>
      </c>
      <c r="Y3812" s="250"/>
      <c r="Z3812" s="250"/>
    </row>
    <row r="3813" spans="1:26" s="111" customFormat="1" ht="15.75" x14ac:dyDescent="0.2">
      <c r="A3813" s="288"/>
      <c r="B3813" s="562"/>
      <c r="C3813" s="312" t="s">
        <v>1129</v>
      </c>
      <c r="D3813" s="819"/>
      <c r="E3813" s="820"/>
      <c r="F3813" s="822"/>
      <c r="G3813" s="819"/>
      <c r="H3813" s="820"/>
      <c r="I3813" s="822"/>
      <c r="J3813" s="560"/>
      <c r="K3813" s="500">
        <v>1.5</v>
      </c>
      <c r="L3813" s="560">
        <v>2.5</v>
      </c>
      <c r="M3813" s="760"/>
      <c r="N3813" s="552">
        <f t="shared" si="992"/>
        <v>3.75</v>
      </c>
      <c r="O3813" s="505"/>
      <c r="P3813" s="501"/>
      <c r="Q3813" s="739"/>
      <c r="R3813" s="504">
        <f t="shared" si="993"/>
        <v>3.75</v>
      </c>
      <c r="S3813" s="505" t="s">
        <v>308</v>
      </c>
      <c r="T3813" s="320">
        <v>33</v>
      </c>
      <c r="U3813" s="568"/>
      <c r="V3813" s="291">
        <f t="shared" ca="1" si="986"/>
        <v>512.82000000000062</v>
      </c>
      <c r="W3813" s="256">
        <f t="shared" ca="1" si="990"/>
        <v>2</v>
      </c>
      <c r="X3813" s="256">
        <f t="shared" ca="1" si="991"/>
        <v>1</v>
      </c>
      <c r="Y3813" s="250"/>
      <c r="Z3813" s="250"/>
    </row>
    <row r="3814" spans="1:26" s="111" customFormat="1" ht="15.75" x14ac:dyDescent="0.2">
      <c r="A3814" s="288"/>
      <c r="B3814" s="562"/>
      <c r="C3814" s="312"/>
      <c r="D3814" s="551"/>
      <c r="E3814" s="552"/>
      <c r="F3814" s="553"/>
      <c r="G3814" s="496"/>
      <c r="H3814" s="497"/>
      <c r="I3814" s="498"/>
      <c r="J3814" s="560"/>
      <c r="K3814" s="500"/>
      <c r="L3814" s="560"/>
      <c r="M3814" s="752"/>
      <c r="N3814" s="552"/>
      <c r="O3814" s="738"/>
      <c r="P3814" s="565"/>
      <c r="Q3814" s="752"/>
      <c r="R3814" s="558"/>
      <c r="S3814" s="738"/>
      <c r="T3814" s="506"/>
      <c r="U3814" s="568"/>
      <c r="V3814" s="291">
        <f t="shared" ca="1" si="986"/>
        <v>512.82000000000062</v>
      </c>
      <c r="W3814" s="256">
        <f t="shared" ca="1" si="990"/>
        <v>0</v>
      </c>
      <c r="X3814" s="256">
        <f t="shared" ca="1" si="991"/>
        <v>1</v>
      </c>
      <c r="Y3814" s="250"/>
      <c r="Z3814" s="250"/>
    </row>
    <row r="3815" spans="1:26" s="111" customFormat="1" ht="15.75" x14ac:dyDescent="0.2">
      <c r="A3815" s="288"/>
      <c r="B3815" s="562"/>
      <c r="C3815" s="312"/>
      <c r="D3815" s="551"/>
      <c r="E3815" s="552"/>
      <c r="F3815" s="553"/>
      <c r="G3815" s="496"/>
      <c r="H3815" s="497"/>
      <c r="I3815" s="498"/>
      <c r="J3815" s="560"/>
      <c r="K3815" s="500"/>
      <c r="L3815" s="560"/>
      <c r="M3815" s="752"/>
      <c r="N3815" s="552"/>
      <c r="O3815" s="738"/>
      <c r="P3815" s="565"/>
      <c r="Q3815" s="752"/>
      <c r="R3815" s="558"/>
      <c r="S3815" s="738"/>
      <c r="T3815" s="506"/>
      <c r="U3815" s="568"/>
      <c r="V3815" s="291">
        <f t="shared" ca="1" si="986"/>
        <v>512.82000000000062</v>
      </c>
      <c r="W3815" s="256">
        <f t="shared" ca="1" si="990"/>
        <v>0</v>
      </c>
      <c r="X3815" s="256">
        <f ca="1">IF(COUNTA(OFFSET(#REF!,1,0))-COUNTA(#REF!)=-1,0,1)</f>
        <v>1</v>
      </c>
      <c r="Y3815" s="250"/>
      <c r="Z3815" s="250"/>
    </row>
    <row r="3816" spans="1:26" s="111" customFormat="1" ht="15" x14ac:dyDescent="0.2">
      <c r="A3816" s="288"/>
      <c r="B3816" s="494"/>
      <c r="C3816" s="312"/>
      <c r="D3816" s="819"/>
      <c r="E3816" s="820"/>
      <c r="F3816" s="822"/>
      <c r="G3816" s="819"/>
      <c r="H3816" s="820"/>
      <c r="I3816" s="822"/>
      <c r="J3816" s="560"/>
      <c r="K3816" s="500"/>
      <c r="L3816" s="560"/>
      <c r="M3816" s="760"/>
      <c r="N3816" s="552"/>
      <c r="O3816" s="505"/>
      <c r="P3816" s="501"/>
      <c r="Q3816" s="739"/>
      <c r="R3816" s="504"/>
      <c r="S3816" s="505"/>
      <c r="T3816" s="506"/>
      <c r="U3816" s="574"/>
      <c r="V3816" s="291">
        <f t="shared" ca="1" si="986"/>
        <v>512.82000000000062</v>
      </c>
      <c r="W3816" s="256">
        <f t="shared" ca="1" si="990"/>
        <v>0</v>
      </c>
      <c r="X3816" s="256">
        <f t="shared" ca="1" si="991"/>
        <v>1</v>
      </c>
      <c r="Y3816" s="250"/>
      <c r="Z3816" s="250"/>
    </row>
    <row r="3817" spans="1:26" s="111" customFormat="1" ht="15.75" x14ac:dyDescent="0.2">
      <c r="A3817" s="288"/>
      <c r="B3817" s="311"/>
      <c r="C3817" s="432" t="s">
        <v>1110</v>
      </c>
      <c r="D3817" s="417"/>
      <c r="E3817" s="314"/>
      <c r="F3817" s="418"/>
      <c r="G3817" s="419"/>
      <c r="H3817" s="316"/>
      <c r="I3817" s="420"/>
      <c r="J3817" s="317"/>
      <c r="K3817" s="421"/>
      <c r="L3817" s="317"/>
      <c r="M3817" s="315"/>
      <c r="N3817" s="314"/>
      <c r="O3817" s="313"/>
      <c r="P3817" s="318"/>
      <c r="Q3817" s="315"/>
      <c r="R3817" s="319"/>
      <c r="S3817" s="313"/>
      <c r="T3817" s="320"/>
      <c r="U3817" s="321"/>
      <c r="V3817" s="291">
        <f t="shared" ca="1" si="986"/>
        <v>512.82000000000062</v>
      </c>
      <c r="W3817" s="256">
        <f t="shared" ca="1" si="990"/>
        <v>2</v>
      </c>
      <c r="X3817" s="256">
        <f t="shared" ca="1" si="991"/>
        <v>1</v>
      </c>
      <c r="Y3817" s="250"/>
      <c r="Z3817" s="250"/>
    </row>
    <row r="3818" spans="1:26" s="111" customFormat="1" ht="15.75" x14ac:dyDescent="0.2">
      <c r="A3818" s="288"/>
      <c r="B3818" s="311"/>
      <c r="C3818" s="312" t="s">
        <v>1111</v>
      </c>
      <c r="D3818" s="417">
        <v>80</v>
      </c>
      <c r="E3818" s="314" t="s">
        <v>518</v>
      </c>
      <c r="F3818" s="418">
        <v>6</v>
      </c>
      <c r="G3818" s="419">
        <v>82</v>
      </c>
      <c r="H3818" s="316" t="s">
        <v>518</v>
      </c>
      <c r="I3818" s="420">
        <v>0.6</v>
      </c>
      <c r="J3818" s="317"/>
      <c r="K3818" s="421">
        <f t="shared" ref="K3818:K3828" si="994">ABS((G3818*20+I3818)-(D3818*20+F3818))</f>
        <v>34.599999999999909</v>
      </c>
      <c r="L3818" s="317">
        <v>3</v>
      </c>
      <c r="M3818" s="315"/>
      <c r="N3818" s="314">
        <f t="shared" ref="N3818:N3828" si="995">K3818*L3818</f>
        <v>103.79999999999973</v>
      </c>
      <c r="O3818" s="313"/>
      <c r="P3818" s="318"/>
      <c r="Q3818" s="315"/>
      <c r="R3818" s="319">
        <f t="shared" ref="R3818:R3828" si="996">N3818</f>
        <v>103.79999999999973</v>
      </c>
      <c r="S3818" s="313" t="s">
        <v>308</v>
      </c>
      <c r="T3818" s="320">
        <v>32</v>
      </c>
      <c r="U3818" s="321"/>
      <c r="V3818" s="291">
        <f t="shared" ca="1" si="986"/>
        <v>512.82000000000062</v>
      </c>
      <c r="W3818" s="256">
        <f t="shared" ca="1" si="990"/>
        <v>2</v>
      </c>
      <c r="X3818" s="256">
        <f t="shared" ca="1" si="991"/>
        <v>1</v>
      </c>
      <c r="Y3818" s="250"/>
      <c r="Z3818" s="250"/>
    </row>
    <row r="3819" spans="1:26" s="111" customFormat="1" ht="15.75" x14ac:dyDescent="0.2">
      <c r="A3819" s="288"/>
      <c r="B3819" s="311"/>
      <c r="C3819" s="312" t="s">
        <v>1111</v>
      </c>
      <c r="D3819" s="419">
        <v>82</v>
      </c>
      <c r="E3819" s="316" t="s">
        <v>518</v>
      </c>
      <c r="F3819" s="420">
        <v>0.6</v>
      </c>
      <c r="G3819" s="419">
        <v>89</v>
      </c>
      <c r="H3819" s="316" t="s">
        <v>518</v>
      </c>
      <c r="I3819" s="420">
        <v>8.1</v>
      </c>
      <c r="J3819" s="317"/>
      <c r="K3819" s="421">
        <f t="shared" si="994"/>
        <v>147.5</v>
      </c>
      <c r="L3819" s="317">
        <v>1.6</v>
      </c>
      <c r="M3819" s="315"/>
      <c r="N3819" s="314">
        <f t="shared" si="995"/>
        <v>236</v>
      </c>
      <c r="O3819" s="313"/>
      <c r="P3819" s="318"/>
      <c r="Q3819" s="315"/>
      <c r="R3819" s="319">
        <f t="shared" si="996"/>
        <v>236</v>
      </c>
      <c r="S3819" s="313" t="s">
        <v>308</v>
      </c>
      <c r="T3819" s="320">
        <v>32</v>
      </c>
      <c r="U3819" s="321"/>
      <c r="V3819" s="291">
        <f t="shared" ca="1" si="986"/>
        <v>512.82000000000062</v>
      </c>
      <c r="W3819" s="256">
        <f t="shared" ca="1" si="990"/>
        <v>2</v>
      </c>
      <c r="X3819" s="256">
        <f t="shared" ca="1" si="991"/>
        <v>1</v>
      </c>
      <c r="Y3819" s="250"/>
      <c r="Z3819" s="250"/>
    </row>
    <row r="3820" spans="1:26" s="111" customFormat="1" ht="15.75" x14ac:dyDescent="0.2">
      <c r="A3820" s="288"/>
      <c r="B3820" s="311"/>
      <c r="C3820" s="312" t="s">
        <v>1111</v>
      </c>
      <c r="D3820" s="419">
        <v>89</v>
      </c>
      <c r="E3820" s="316" t="s">
        <v>518</v>
      </c>
      <c r="F3820" s="420">
        <v>8.1</v>
      </c>
      <c r="G3820" s="419">
        <v>90</v>
      </c>
      <c r="H3820" s="316" t="s">
        <v>518</v>
      </c>
      <c r="I3820" s="420">
        <v>16.600000000000001</v>
      </c>
      <c r="J3820" s="317"/>
      <c r="K3820" s="421">
        <f t="shared" si="994"/>
        <v>28.5</v>
      </c>
      <c r="L3820" s="317">
        <v>1.8</v>
      </c>
      <c r="M3820" s="315"/>
      <c r="N3820" s="314">
        <f t="shared" si="995"/>
        <v>51.300000000000004</v>
      </c>
      <c r="O3820" s="313"/>
      <c r="P3820" s="318"/>
      <c r="Q3820" s="315"/>
      <c r="R3820" s="319">
        <f t="shared" si="996"/>
        <v>51.300000000000004</v>
      </c>
      <c r="S3820" s="313" t="s">
        <v>308</v>
      </c>
      <c r="T3820" s="320">
        <v>32</v>
      </c>
      <c r="U3820" s="321"/>
      <c r="V3820" s="291">
        <f t="shared" ca="1" si="986"/>
        <v>512.82000000000062</v>
      </c>
      <c r="W3820" s="256">
        <f t="shared" ca="1" si="990"/>
        <v>2</v>
      </c>
      <c r="X3820" s="256">
        <f t="shared" ca="1" si="991"/>
        <v>1</v>
      </c>
      <c r="Y3820" s="250"/>
      <c r="Z3820" s="250"/>
    </row>
    <row r="3821" spans="1:26" s="111" customFormat="1" ht="15.75" x14ac:dyDescent="0.2">
      <c r="A3821" s="288"/>
      <c r="B3821" s="311"/>
      <c r="C3821" s="312" t="s">
        <v>1069</v>
      </c>
      <c r="D3821" s="417">
        <v>92</v>
      </c>
      <c r="E3821" s="314" t="s">
        <v>518</v>
      </c>
      <c r="F3821" s="418">
        <v>12.9</v>
      </c>
      <c r="G3821" s="419">
        <v>100</v>
      </c>
      <c r="H3821" s="316" t="s">
        <v>518</v>
      </c>
      <c r="I3821" s="420">
        <v>0</v>
      </c>
      <c r="J3821" s="317"/>
      <c r="K3821" s="421">
        <f t="shared" si="994"/>
        <v>147.09999999999991</v>
      </c>
      <c r="L3821" s="317">
        <v>2.1</v>
      </c>
      <c r="M3821" s="315"/>
      <c r="N3821" s="314">
        <f t="shared" si="995"/>
        <v>308.9099999999998</v>
      </c>
      <c r="O3821" s="313"/>
      <c r="P3821" s="318"/>
      <c r="Q3821" s="315"/>
      <c r="R3821" s="319">
        <f t="shared" si="996"/>
        <v>308.9099999999998</v>
      </c>
      <c r="S3821" s="313" t="s">
        <v>308</v>
      </c>
      <c r="T3821" s="320">
        <v>32</v>
      </c>
      <c r="U3821" s="321"/>
      <c r="V3821" s="291">
        <f t="shared" ca="1" si="986"/>
        <v>512.82000000000062</v>
      </c>
      <c r="W3821" s="256">
        <f t="shared" ca="1" si="990"/>
        <v>2</v>
      </c>
      <c r="X3821" s="256">
        <f t="shared" ca="1" si="991"/>
        <v>1</v>
      </c>
      <c r="Y3821" s="250"/>
      <c r="Z3821" s="250"/>
    </row>
    <row r="3822" spans="1:26" s="111" customFormat="1" ht="15.75" x14ac:dyDescent="0.2">
      <c r="A3822" s="288"/>
      <c r="B3822" s="311"/>
      <c r="C3822" s="312" t="s">
        <v>1069</v>
      </c>
      <c r="D3822" s="417">
        <v>80</v>
      </c>
      <c r="E3822" s="314" t="s">
        <v>518</v>
      </c>
      <c r="F3822" s="418">
        <v>6</v>
      </c>
      <c r="G3822" s="419">
        <v>82</v>
      </c>
      <c r="H3822" s="316" t="s">
        <v>518</v>
      </c>
      <c r="I3822" s="420">
        <v>0.6</v>
      </c>
      <c r="J3822" s="317"/>
      <c r="K3822" s="421">
        <f t="shared" si="994"/>
        <v>34.599999999999909</v>
      </c>
      <c r="L3822" s="317">
        <v>2.2000000000000002</v>
      </c>
      <c r="M3822" s="315"/>
      <c r="N3822" s="314">
        <f t="shared" si="995"/>
        <v>76.119999999999806</v>
      </c>
      <c r="O3822" s="313"/>
      <c r="P3822" s="318"/>
      <c r="Q3822" s="315"/>
      <c r="R3822" s="319">
        <f t="shared" si="996"/>
        <v>76.119999999999806</v>
      </c>
      <c r="S3822" s="313" t="s">
        <v>308</v>
      </c>
      <c r="T3822" s="320">
        <v>32</v>
      </c>
      <c r="U3822" s="321"/>
      <c r="V3822" s="291">
        <f t="shared" ca="1" si="986"/>
        <v>512.82000000000062</v>
      </c>
      <c r="W3822" s="256">
        <f t="shared" ca="1" si="990"/>
        <v>2</v>
      </c>
      <c r="X3822" s="256">
        <f t="shared" ca="1" si="991"/>
        <v>1</v>
      </c>
      <c r="Y3822" s="250"/>
      <c r="Z3822" s="250"/>
    </row>
    <row r="3823" spans="1:26" s="111" customFormat="1" ht="15.75" x14ac:dyDescent="0.2">
      <c r="A3823" s="288"/>
      <c r="B3823" s="311"/>
      <c r="C3823" s="312" t="s">
        <v>1069</v>
      </c>
      <c r="D3823" s="419">
        <v>82</v>
      </c>
      <c r="E3823" s="316" t="s">
        <v>518</v>
      </c>
      <c r="F3823" s="420">
        <v>0.6</v>
      </c>
      <c r="G3823" s="419">
        <v>89</v>
      </c>
      <c r="H3823" s="316" t="s">
        <v>518</v>
      </c>
      <c r="I3823" s="420">
        <v>8.1</v>
      </c>
      <c r="J3823" s="317"/>
      <c r="K3823" s="421">
        <f t="shared" si="994"/>
        <v>147.5</v>
      </c>
      <c r="L3823" s="317">
        <v>2.2000000000000002</v>
      </c>
      <c r="M3823" s="315"/>
      <c r="N3823" s="314">
        <f t="shared" si="995"/>
        <v>324.5</v>
      </c>
      <c r="O3823" s="313"/>
      <c r="P3823" s="318"/>
      <c r="Q3823" s="315"/>
      <c r="R3823" s="319">
        <f t="shared" si="996"/>
        <v>324.5</v>
      </c>
      <c r="S3823" s="313" t="s">
        <v>308</v>
      </c>
      <c r="T3823" s="320">
        <v>32</v>
      </c>
      <c r="U3823" s="321"/>
      <c r="V3823" s="291">
        <f t="shared" ca="1" si="986"/>
        <v>512.82000000000062</v>
      </c>
      <c r="W3823" s="256">
        <f t="shared" ca="1" si="990"/>
        <v>2</v>
      </c>
      <c r="X3823" s="256">
        <f t="shared" ca="1" si="991"/>
        <v>1</v>
      </c>
      <c r="Y3823" s="250"/>
      <c r="Z3823" s="250"/>
    </row>
    <row r="3824" spans="1:26" s="111" customFormat="1" ht="15.75" x14ac:dyDescent="0.2">
      <c r="A3824" s="288"/>
      <c r="B3824" s="311"/>
      <c r="C3824" s="312" t="s">
        <v>1069</v>
      </c>
      <c r="D3824" s="419">
        <v>89</v>
      </c>
      <c r="E3824" s="316" t="s">
        <v>518</v>
      </c>
      <c r="F3824" s="420">
        <v>8.1</v>
      </c>
      <c r="G3824" s="419">
        <v>90</v>
      </c>
      <c r="H3824" s="316" t="s">
        <v>518</v>
      </c>
      <c r="I3824" s="420">
        <v>16.600000000000001</v>
      </c>
      <c r="J3824" s="317"/>
      <c r="K3824" s="421">
        <f t="shared" si="994"/>
        <v>28.5</v>
      </c>
      <c r="L3824" s="317">
        <v>2.2000000000000002</v>
      </c>
      <c r="M3824" s="315"/>
      <c r="N3824" s="314">
        <f t="shared" si="995"/>
        <v>62.7</v>
      </c>
      <c r="O3824" s="313"/>
      <c r="P3824" s="318"/>
      <c r="Q3824" s="315"/>
      <c r="R3824" s="319">
        <f t="shared" si="996"/>
        <v>62.7</v>
      </c>
      <c r="S3824" s="313" t="s">
        <v>308</v>
      </c>
      <c r="T3824" s="320">
        <v>32</v>
      </c>
      <c r="U3824" s="321"/>
      <c r="V3824" s="291">
        <f t="shared" ca="1" si="986"/>
        <v>512.82000000000062</v>
      </c>
      <c r="W3824" s="256">
        <f t="shared" ca="1" si="990"/>
        <v>2</v>
      </c>
      <c r="X3824" s="256">
        <f t="shared" ca="1" si="991"/>
        <v>1</v>
      </c>
      <c r="Y3824" s="250"/>
      <c r="Z3824" s="250"/>
    </row>
    <row r="3825" spans="1:29" s="111" customFormat="1" ht="15.75" x14ac:dyDescent="0.2">
      <c r="A3825" s="288"/>
      <c r="B3825" s="562"/>
      <c r="C3825" s="495" t="s">
        <v>1111</v>
      </c>
      <c r="D3825" s="496">
        <v>60</v>
      </c>
      <c r="E3825" s="497" t="s">
        <v>518</v>
      </c>
      <c r="F3825" s="498">
        <v>0</v>
      </c>
      <c r="G3825" s="496">
        <v>82</v>
      </c>
      <c r="H3825" s="497" t="s">
        <v>518</v>
      </c>
      <c r="I3825" s="498">
        <v>6</v>
      </c>
      <c r="J3825" s="560"/>
      <c r="K3825" s="500">
        <f t="shared" si="994"/>
        <v>446</v>
      </c>
      <c r="L3825" s="560">
        <v>2.71</v>
      </c>
      <c r="M3825" s="752"/>
      <c r="N3825" s="552">
        <f t="shared" si="995"/>
        <v>1208.6600000000001</v>
      </c>
      <c r="O3825" s="738"/>
      <c r="P3825" s="565"/>
      <c r="Q3825" s="752"/>
      <c r="R3825" s="558">
        <f t="shared" si="996"/>
        <v>1208.6600000000001</v>
      </c>
      <c r="S3825" s="313" t="s">
        <v>308</v>
      </c>
      <c r="T3825" s="320">
        <v>37</v>
      </c>
      <c r="U3825" s="568"/>
      <c r="V3825" s="291">
        <f t="shared" ca="1" si="986"/>
        <v>512.82000000000062</v>
      </c>
      <c r="W3825" s="256">
        <f t="shared" ref="W3825:W3831" ca="1" si="997">IF(LEFT(_xlfn.FORMULATEXT(V3825),3)="=SO",1,IF(COUNTA(A3825:U3825)=0,0,2))</f>
        <v>2</v>
      </c>
      <c r="X3825" s="256">
        <f t="shared" ref="X3825:X3831" ca="1" si="998">IF(COUNTA(OFFSET(A3824,1,0))-COUNTA(A3824)=-1,0,1)</f>
        <v>1</v>
      </c>
      <c r="Y3825" s="250"/>
      <c r="Z3825" s="250"/>
    </row>
    <row r="3826" spans="1:29" s="111" customFormat="1" ht="15.75" x14ac:dyDescent="0.2">
      <c r="A3826" s="288"/>
      <c r="B3826" s="562"/>
      <c r="C3826" s="495" t="s">
        <v>1300</v>
      </c>
      <c r="D3826" s="496">
        <v>58</v>
      </c>
      <c r="E3826" s="497" t="s">
        <v>518</v>
      </c>
      <c r="F3826" s="498">
        <v>12.6</v>
      </c>
      <c r="G3826" s="496">
        <v>60</v>
      </c>
      <c r="H3826" s="497" t="s">
        <v>518</v>
      </c>
      <c r="I3826" s="498">
        <v>0</v>
      </c>
      <c r="J3826" s="1109"/>
      <c r="K3826" s="500">
        <f t="shared" si="994"/>
        <v>27.400000000000091</v>
      </c>
      <c r="L3826" s="1109">
        <v>3.7</v>
      </c>
      <c r="M3826" s="752"/>
      <c r="N3826" s="552">
        <f t="shared" si="995"/>
        <v>101.38000000000034</v>
      </c>
      <c r="O3826" s="738"/>
      <c r="P3826" s="565"/>
      <c r="Q3826" s="752"/>
      <c r="R3826" s="558">
        <f t="shared" si="996"/>
        <v>101.38000000000034</v>
      </c>
      <c r="S3826" s="313" t="s">
        <v>308</v>
      </c>
      <c r="T3826" s="320">
        <v>41</v>
      </c>
      <c r="U3826" s="568"/>
      <c r="V3826" s="291">
        <f t="shared" ca="1" si="986"/>
        <v>512.82000000000062</v>
      </c>
      <c r="W3826" s="256">
        <f t="shared" ca="1" si="997"/>
        <v>2</v>
      </c>
      <c r="X3826" s="256">
        <f t="shared" ca="1" si="998"/>
        <v>1</v>
      </c>
      <c r="Y3826" s="250"/>
      <c r="Z3826" s="250"/>
    </row>
    <row r="3827" spans="1:29" s="111" customFormat="1" ht="15.75" x14ac:dyDescent="0.2">
      <c r="A3827" s="288"/>
      <c r="B3827" s="562"/>
      <c r="C3827" s="495" t="s">
        <v>1300</v>
      </c>
      <c r="D3827" s="496">
        <v>51</v>
      </c>
      <c r="E3827" s="497" t="s">
        <v>518</v>
      </c>
      <c r="F3827" s="498">
        <v>18.600000000000001</v>
      </c>
      <c r="G3827" s="496">
        <v>58</v>
      </c>
      <c r="H3827" s="497" t="s">
        <v>518</v>
      </c>
      <c r="I3827" s="498">
        <v>12.6</v>
      </c>
      <c r="J3827" s="1109"/>
      <c r="K3827" s="500">
        <f t="shared" si="994"/>
        <v>134</v>
      </c>
      <c r="L3827" s="1109">
        <v>3.7</v>
      </c>
      <c r="M3827" s="752"/>
      <c r="N3827" s="552">
        <f t="shared" si="995"/>
        <v>495.8</v>
      </c>
      <c r="O3827" s="738"/>
      <c r="P3827" s="565"/>
      <c r="Q3827" s="752"/>
      <c r="R3827" s="558">
        <f t="shared" si="996"/>
        <v>495.8</v>
      </c>
      <c r="S3827" s="313" t="s">
        <v>308</v>
      </c>
      <c r="T3827" s="320">
        <v>41</v>
      </c>
      <c r="U3827" s="568"/>
      <c r="V3827" s="291">
        <f t="shared" ca="1" si="986"/>
        <v>512.82000000000062</v>
      </c>
      <c r="W3827" s="256">
        <f t="shared" ref="W3827:W3829" ca="1" si="999">IF(LEFT(_xlfn.FORMULATEXT(V3827),3)="=SO",1,IF(COUNTA(A3827:U3827)=0,0,2))</f>
        <v>2</v>
      </c>
      <c r="X3827" s="256">
        <f t="shared" ref="X3827:X3829" ca="1" si="1000">IF(COUNTA(OFFSET(A3826,1,0))-COUNTA(A3826)=-1,0,1)</f>
        <v>1</v>
      </c>
      <c r="Y3827" s="250"/>
      <c r="Z3827" s="250"/>
    </row>
    <row r="3828" spans="1:29" s="111" customFormat="1" ht="15.75" x14ac:dyDescent="0.2">
      <c r="A3828" s="288"/>
      <c r="B3828" s="562"/>
      <c r="C3828" s="495" t="s">
        <v>1300</v>
      </c>
      <c r="D3828" s="496">
        <v>45</v>
      </c>
      <c r="E3828" s="497" t="s">
        <v>518</v>
      </c>
      <c r="F3828" s="498">
        <v>0</v>
      </c>
      <c r="G3828" s="496">
        <v>51</v>
      </c>
      <c r="H3828" s="497" t="s">
        <v>518</v>
      </c>
      <c r="I3828" s="498">
        <v>18.600000000000001</v>
      </c>
      <c r="J3828" s="1109"/>
      <c r="K3828" s="500">
        <f t="shared" si="994"/>
        <v>138.59999999999991</v>
      </c>
      <c r="L3828" s="1109">
        <v>3.7</v>
      </c>
      <c r="M3828" s="752"/>
      <c r="N3828" s="552">
        <f t="shared" si="995"/>
        <v>512.81999999999971</v>
      </c>
      <c r="O3828" s="738"/>
      <c r="P3828" s="565"/>
      <c r="Q3828" s="752"/>
      <c r="R3828" s="558">
        <f t="shared" si="996"/>
        <v>512.81999999999971</v>
      </c>
      <c r="S3828" s="313" t="s">
        <v>308</v>
      </c>
      <c r="T3828" s="320">
        <v>44</v>
      </c>
      <c r="U3828" s="568"/>
      <c r="V3828" s="291">
        <f t="shared" ca="1" si="986"/>
        <v>512.82000000000062</v>
      </c>
      <c r="W3828" s="256">
        <f t="shared" ca="1" si="999"/>
        <v>2</v>
      </c>
      <c r="X3828" s="256">
        <f t="shared" ca="1" si="1000"/>
        <v>1</v>
      </c>
      <c r="Y3828" s="250"/>
      <c r="Z3828" s="250"/>
    </row>
    <row r="3829" spans="1:29" s="111" customFormat="1" ht="15.75" x14ac:dyDescent="0.2">
      <c r="A3829" s="288"/>
      <c r="B3829" s="562"/>
      <c r="C3829" s="495"/>
      <c r="D3829" s="496"/>
      <c r="E3829" s="497"/>
      <c r="F3829" s="498"/>
      <c r="G3829" s="496"/>
      <c r="H3829" s="497"/>
      <c r="I3829" s="498"/>
      <c r="J3829" s="560"/>
      <c r="K3829" s="500"/>
      <c r="L3829" s="560"/>
      <c r="M3829" s="752"/>
      <c r="N3829" s="552"/>
      <c r="O3829" s="738"/>
      <c r="P3829" s="565"/>
      <c r="Q3829" s="752"/>
      <c r="R3829" s="558"/>
      <c r="S3829" s="738"/>
      <c r="T3829" s="506"/>
      <c r="U3829" s="568"/>
      <c r="V3829" s="291">
        <f t="shared" ca="1" si="986"/>
        <v>512.82000000000062</v>
      </c>
      <c r="W3829" s="256">
        <f t="shared" ca="1" si="999"/>
        <v>0</v>
      </c>
      <c r="X3829" s="256">
        <f t="shared" ca="1" si="1000"/>
        <v>1</v>
      </c>
      <c r="Y3829" s="250"/>
      <c r="Z3829" s="250"/>
    </row>
    <row r="3830" spans="1:29" s="111" customFormat="1" ht="15.75" x14ac:dyDescent="0.2">
      <c r="A3830" s="288"/>
      <c r="B3830" s="562"/>
      <c r="C3830" s="495"/>
      <c r="D3830" s="496"/>
      <c r="E3830" s="497"/>
      <c r="F3830" s="498"/>
      <c r="G3830" s="496"/>
      <c r="H3830" s="497"/>
      <c r="I3830" s="498"/>
      <c r="J3830" s="560"/>
      <c r="K3830" s="500"/>
      <c r="L3830" s="560"/>
      <c r="M3830" s="752"/>
      <c r="N3830" s="552"/>
      <c r="O3830" s="738"/>
      <c r="P3830" s="565"/>
      <c r="Q3830" s="752"/>
      <c r="R3830" s="558"/>
      <c r="S3830" s="738"/>
      <c r="T3830" s="506"/>
      <c r="U3830" s="568"/>
      <c r="V3830" s="291">
        <f t="shared" ca="1" si="986"/>
        <v>512.82000000000062</v>
      </c>
      <c r="W3830" s="256">
        <f t="shared" ca="1" si="997"/>
        <v>0</v>
      </c>
      <c r="X3830" s="256">
        <f t="shared" ca="1" si="998"/>
        <v>1</v>
      </c>
      <c r="Y3830" s="250"/>
      <c r="Z3830" s="250"/>
    </row>
    <row r="3831" spans="1:29" s="111" customFormat="1" ht="15.75" x14ac:dyDescent="0.2">
      <c r="A3831" s="288"/>
      <c r="B3831" s="562"/>
      <c r="C3831" s="495"/>
      <c r="D3831" s="496"/>
      <c r="E3831" s="497"/>
      <c r="F3831" s="498"/>
      <c r="G3831" s="496"/>
      <c r="H3831" s="497"/>
      <c r="I3831" s="498"/>
      <c r="J3831" s="560"/>
      <c r="K3831" s="500"/>
      <c r="L3831" s="560"/>
      <c r="M3831" s="752"/>
      <c r="N3831" s="552"/>
      <c r="O3831" s="738"/>
      <c r="P3831" s="565"/>
      <c r="Q3831" s="752"/>
      <c r="R3831" s="558"/>
      <c r="S3831" s="738"/>
      <c r="T3831" s="506"/>
      <c r="U3831" s="568"/>
      <c r="V3831" s="291">
        <f t="shared" ca="1" si="986"/>
        <v>512.82000000000062</v>
      </c>
      <c r="W3831" s="256">
        <f t="shared" ca="1" si="997"/>
        <v>0</v>
      </c>
      <c r="X3831" s="256">
        <f t="shared" ca="1" si="998"/>
        <v>1</v>
      </c>
      <c r="Y3831" s="250"/>
      <c r="Z3831" s="250"/>
    </row>
    <row r="3832" spans="1:29" s="111" customFormat="1" ht="15.75" customHeight="1" x14ac:dyDescent="0.2">
      <c r="A3832" s="288"/>
      <c r="B3832" s="354"/>
      <c r="C3832" s="355"/>
      <c r="D3832" s="1354" t="s">
        <v>492</v>
      </c>
      <c r="E3832" s="1355"/>
      <c r="F3832" s="1355"/>
      <c r="G3832" s="1355"/>
      <c r="H3832" s="1355"/>
      <c r="I3832" s="1356"/>
      <c r="J3832" s="1357">
        <f>VLOOKUP(A3834,'11 - FINANCEIRO'!_xlnm.Print_Area,6,FALSE)</f>
        <v>8978.41</v>
      </c>
      <c r="K3832" s="1358"/>
      <c r="L3832" s="356" t="str">
        <f>VLOOKUP(A3834,'11 - FINANCEIRO'!_xlnm.Print_Area,4,FALSE)</f>
        <v>m²</v>
      </c>
      <c r="M3832" s="1359" t="s">
        <v>493</v>
      </c>
      <c r="N3832" s="1360"/>
      <c r="O3832" s="1360"/>
      <c r="P3832" s="1360"/>
      <c r="Q3832" s="1361"/>
      <c r="R3832" s="357">
        <f>TRUNC(SUM(R3803:R3831),3)</f>
        <v>5211.22</v>
      </c>
      <c r="S3832" s="358" t="str">
        <f>L3832</f>
        <v>m²</v>
      </c>
      <c r="T3832" s="359"/>
      <c r="U3832" s="360"/>
      <c r="V3832" s="291">
        <f t="shared" ca="1" si="986"/>
        <v>512.82000000000062</v>
      </c>
      <c r="W3832" s="256">
        <f t="shared" ca="1" si="990"/>
        <v>2</v>
      </c>
      <c r="X3832" s="256">
        <f t="shared" ca="1" si="991"/>
        <v>1</v>
      </c>
      <c r="Y3832" s="250"/>
      <c r="Z3832" s="250"/>
    </row>
    <row r="3833" spans="1:29" s="293" customFormat="1" ht="15.75" customHeight="1" x14ac:dyDescent="0.2">
      <c r="A3833" s="288" t="s">
        <v>256</v>
      </c>
      <c r="B3833" s="354"/>
      <c r="C3833" s="361"/>
      <c r="D3833" s="1362" t="s">
        <v>494</v>
      </c>
      <c r="E3833" s="1363"/>
      <c r="F3833" s="1363"/>
      <c r="G3833" s="1363"/>
      <c r="H3833" s="1363"/>
      <c r="I3833" s="1364"/>
      <c r="J3833" s="1365">
        <f>R3832/J3832</f>
        <v>0.58041679985654482</v>
      </c>
      <c r="K3833" s="1366"/>
      <c r="L3833" s="1369"/>
      <c r="M3833" s="1371" t="s">
        <v>495</v>
      </c>
      <c r="N3833" s="1372"/>
      <c r="O3833" s="1372"/>
      <c r="P3833" s="1372"/>
      <c r="Q3833" s="1373"/>
      <c r="R3833" s="362">
        <f>VLOOKUP(A3834,'11 - FINANCEIRO'!_xlnm.Print_Area,8,FALSE)</f>
        <v>4698.3999999999996</v>
      </c>
      <c r="S3833" s="363" t="str">
        <f>L3832</f>
        <v>m²</v>
      </c>
      <c r="T3833" s="359"/>
      <c r="U3833" s="360"/>
      <c r="V3833" s="291">
        <f t="shared" ca="1" si="986"/>
        <v>512.82000000000062</v>
      </c>
      <c r="W3833" s="256">
        <f t="shared" ca="1" si="984"/>
        <v>2</v>
      </c>
      <c r="X3833" s="256">
        <f t="shared" ref="X3833:X3913" ca="1" si="1001">IF(COUNTA(OFFSET(A3832,1,0))-COUNTA(A3832)=-1,0,1)</f>
        <v>1</v>
      </c>
      <c r="Y3833" s="256"/>
      <c r="Z3833" s="256"/>
      <c r="AA3833" s="292"/>
      <c r="AB3833" s="292"/>
      <c r="AC3833" s="292"/>
    </row>
    <row r="3834" spans="1:29" s="293" customFormat="1" ht="15.75" customHeight="1" x14ac:dyDescent="0.2">
      <c r="A3834" s="288" t="s">
        <v>257</v>
      </c>
      <c r="B3834" s="364"/>
      <c r="C3834" s="365"/>
      <c r="D3834" s="1354"/>
      <c r="E3834" s="1355"/>
      <c r="F3834" s="1355"/>
      <c r="G3834" s="1355"/>
      <c r="H3834" s="1355"/>
      <c r="I3834" s="1356"/>
      <c r="J3834" s="1367"/>
      <c r="K3834" s="1368"/>
      <c r="L3834" s="1370"/>
      <c r="M3834" s="1371" t="s">
        <v>496</v>
      </c>
      <c r="N3834" s="1372"/>
      <c r="O3834" s="1372"/>
      <c r="P3834" s="1372"/>
      <c r="Q3834" s="1373"/>
      <c r="R3834" s="362">
        <f>R3832-R3833</f>
        <v>512.82000000000062</v>
      </c>
      <c r="S3834" s="363" t="str">
        <f>L3832</f>
        <v>m²</v>
      </c>
      <c r="T3834" s="366"/>
      <c r="U3834" s="367"/>
      <c r="V3834" s="291">
        <f t="shared" ca="1" si="986"/>
        <v>512.82000000000062</v>
      </c>
      <c r="W3834" s="256">
        <f t="shared" ca="1" si="984"/>
        <v>2</v>
      </c>
      <c r="X3834" s="256">
        <f t="shared" ca="1" si="1001"/>
        <v>1</v>
      </c>
      <c r="Y3834" s="256"/>
      <c r="Z3834" s="256"/>
      <c r="AA3834" s="292"/>
      <c r="AB3834" s="292"/>
      <c r="AC3834" s="292"/>
    </row>
    <row r="3835" spans="1:29" s="111" customFormat="1" ht="15.75" hidden="1" x14ac:dyDescent="0.2">
      <c r="A3835" s="288"/>
      <c r="B3835" s="368"/>
      <c r="C3835" s="365"/>
      <c r="D3835" s="369"/>
      <c r="E3835" s="370"/>
      <c r="F3835" s="369"/>
      <c r="G3835" s="369"/>
      <c r="H3835" s="369"/>
      <c r="I3835" s="369"/>
      <c r="J3835" s="371"/>
      <c r="K3835" s="372"/>
      <c r="L3835" s="373"/>
      <c r="M3835" s="374"/>
      <c r="N3835" s="374"/>
      <c r="O3835" s="374"/>
      <c r="P3835" s="374"/>
      <c r="Q3835" s="374"/>
      <c r="R3835" s="375"/>
      <c r="S3835" s="376"/>
      <c r="T3835" s="377"/>
      <c r="U3835" s="378"/>
      <c r="V3835" s="379">
        <f ca="1">SUM(V3801:V3834)</f>
        <v>17435.880000000005</v>
      </c>
      <c r="W3835" s="256">
        <f t="shared" ca="1" si="984"/>
        <v>1</v>
      </c>
      <c r="X3835" s="256">
        <f t="shared" ca="1" si="1001"/>
        <v>0</v>
      </c>
      <c r="Y3835" s="250"/>
      <c r="Z3835" s="250"/>
    </row>
    <row r="3836" spans="1:29" s="293" customFormat="1" ht="15.75" hidden="1" customHeight="1" x14ac:dyDescent="0.25">
      <c r="A3836" s="288"/>
      <c r="B3836" s="1374" t="str">
        <f>VLOOKUP(A3844,'11 - FINANCEIRO'!_xlnm.Print_Area,1,FALSE)</f>
        <v>5.2.2</v>
      </c>
      <c r="C3836" s="1376" t="str">
        <f>VLOOKUP(A3844,'11 - FINANCEIRO'!_xlnm.Print_Area,3,FALSE)</f>
        <v>Execução De Passeio Em Piso Intertravado, Com Bloco Retangular Cor Natural De 20 X 10 Cm, Espessura 6 Cm. Af_12/2015</v>
      </c>
      <c r="D3836" s="1378" t="s">
        <v>477</v>
      </c>
      <c r="E3836" s="1379"/>
      <c r="F3836" s="1379"/>
      <c r="G3836" s="1379"/>
      <c r="H3836" s="1379"/>
      <c r="I3836" s="1380"/>
      <c r="J3836" s="1338" t="s">
        <v>478</v>
      </c>
      <c r="K3836" s="1338" t="s">
        <v>479</v>
      </c>
      <c r="L3836" s="1338" t="s">
        <v>480</v>
      </c>
      <c r="M3836" s="1338" t="s">
        <v>481</v>
      </c>
      <c r="N3836" s="1338" t="s">
        <v>482</v>
      </c>
      <c r="O3836" s="1338" t="s">
        <v>483</v>
      </c>
      <c r="P3836" s="290" t="s">
        <v>484</v>
      </c>
      <c r="Q3836" s="1338" t="s">
        <v>485</v>
      </c>
      <c r="R3836" s="1336" t="s">
        <v>296</v>
      </c>
      <c r="S3836" s="1338" t="s">
        <v>486</v>
      </c>
      <c r="T3836" s="1338" t="s">
        <v>487</v>
      </c>
      <c r="U3836" s="1340" t="s">
        <v>488</v>
      </c>
      <c r="V3836" s="291">
        <f t="shared" ref="V3836:V3844" ca="1" si="1002">IF(OFFSET(V3836,1,1)=1,OFFSET(V3836,0,-4),OFFSET(V3836,1,0))</f>
        <v>0</v>
      </c>
      <c r="W3836" s="256">
        <f t="shared" ca="1" si="984"/>
        <v>2</v>
      </c>
      <c r="X3836" s="256">
        <f t="shared" ca="1" si="1001"/>
        <v>1</v>
      </c>
      <c r="Y3836" s="256"/>
      <c r="Z3836" s="256"/>
      <c r="AA3836" s="292"/>
      <c r="AB3836" s="292"/>
      <c r="AC3836" s="292"/>
    </row>
    <row r="3837" spans="1:29" s="337" customFormat="1" ht="15.75" hidden="1" x14ac:dyDescent="0.2">
      <c r="A3837" s="288"/>
      <c r="B3837" s="1375"/>
      <c r="C3837" s="1377" t="e">
        <f>VLOOKUP(LEFT(#REF!,5),'11 - FINANCEIRO'!_xlnm.Print_Area,2,FALSE)</f>
        <v>#REF!</v>
      </c>
      <c r="D3837" s="1342" t="s">
        <v>489</v>
      </c>
      <c r="E3837" s="1343"/>
      <c r="F3837" s="1344"/>
      <c r="G3837" s="1345" t="s">
        <v>490</v>
      </c>
      <c r="H3837" s="1346"/>
      <c r="I3837" s="1347"/>
      <c r="J3837" s="1339"/>
      <c r="K3837" s="1339"/>
      <c r="L3837" s="1339"/>
      <c r="M3837" s="1339"/>
      <c r="N3837" s="1339"/>
      <c r="O3837" s="1339"/>
      <c r="P3837" s="295" t="s">
        <v>491</v>
      </c>
      <c r="Q3837" s="1339"/>
      <c r="R3837" s="1337"/>
      <c r="S3837" s="1339"/>
      <c r="T3837" s="1339"/>
      <c r="U3837" s="1341"/>
      <c r="V3837" s="291">
        <f t="shared" ca="1" si="1002"/>
        <v>0</v>
      </c>
      <c r="W3837" s="256">
        <f t="shared" ca="1" si="984"/>
        <v>2</v>
      </c>
      <c r="X3837" s="256">
        <f t="shared" ca="1" si="1001"/>
        <v>1</v>
      </c>
      <c r="Y3837" s="336"/>
      <c r="Z3837" s="336"/>
    </row>
    <row r="3838" spans="1:29" s="337" customFormat="1" ht="15.75" hidden="1" x14ac:dyDescent="0.2">
      <c r="A3838" s="288"/>
      <c r="B3838" s="296"/>
      <c r="C3838" s="297" t="s">
        <v>1249</v>
      </c>
      <c r="D3838" s="417">
        <v>72</v>
      </c>
      <c r="E3838" s="314" t="s">
        <v>518</v>
      </c>
      <c r="F3838" s="418">
        <v>0</v>
      </c>
      <c r="G3838" s="419">
        <v>62</v>
      </c>
      <c r="H3838" s="316" t="s">
        <v>518</v>
      </c>
      <c r="I3838" s="420">
        <v>0</v>
      </c>
      <c r="J3838" s="317"/>
      <c r="K3838" s="421">
        <f t="shared" ref="K3838" si="1003">ABS((G3838*20+I3838)-(D3838*20+F3838))</f>
        <v>200</v>
      </c>
      <c r="L3838" s="304">
        <v>2</v>
      </c>
      <c r="M3838" s="304"/>
      <c r="N3838" s="304"/>
      <c r="O3838" s="304"/>
      <c r="P3838" s="306"/>
      <c r="Q3838" s="304"/>
      <c r="R3838" s="307">
        <f>K3838*L3838</f>
        <v>400</v>
      </c>
      <c r="S3838" s="304" t="s">
        <v>308</v>
      </c>
      <c r="T3838" s="309">
        <v>39</v>
      </c>
      <c r="U3838" s="310"/>
      <c r="V3838" s="291">
        <f t="shared" ca="1" si="1002"/>
        <v>0</v>
      </c>
      <c r="W3838" s="256">
        <f t="shared" ca="1" si="984"/>
        <v>2</v>
      </c>
      <c r="X3838" s="256">
        <f t="shared" ca="1" si="1001"/>
        <v>1</v>
      </c>
      <c r="Y3838" s="336"/>
      <c r="Z3838" s="336"/>
    </row>
    <row r="3839" spans="1:29" s="111" customFormat="1" ht="15.75" hidden="1" x14ac:dyDescent="0.2">
      <c r="A3839" s="288"/>
      <c r="B3839" s="311"/>
      <c r="C3839" s="312"/>
      <c r="D3839" s="313"/>
      <c r="E3839" s="314"/>
      <c r="F3839" s="315"/>
      <c r="G3839" s="380"/>
      <c r="H3839" s="316"/>
      <c r="I3839" s="381"/>
      <c r="J3839" s="317"/>
      <c r="K3839" s="313"/>
      <c r="L3839" s="317"/>
      <c r="M3839" s="315"/>
      <c r="N3839" s="314"/>
      <c r="O3839" s="313"/>
      <c r="P3839" s="318"/>
      <c r="Q3839" s="315"/>
      <c r="R3839" s="319"/>
      <c r="S3839" s="317"/>
      <c r="T3839" s="320"/>
      <c r="U3839" s="321"/>
      <c r="V3839" s="291">
        <f t="shared" ca="1" si="1002"/>
        <v>0</v>
      </c>
      <c r="W3839" s="256">
        <f t="shared" ca="1" si="984"/>
        <v>0</v>
      </c>
      <c r="X3839" s="256">
        <f t="shared" ca="1" si="1001"/>
        <v>1</v>
      </c>
      <c r="Y3839" s="250"/>
      <c r="Z3839" s="250"/>
    </row>
    <row r="3840" spans="1:29" s="111" customFormat="1" ht="15" hidden="1" x14ac:dyDescent="0.2">
      <c r="A3840" s="288"/>
      <c r="B3840" s="322"/>
      <c r="C3840" s="382"/>
      <c r="D3840" s="324"/>
      <c r="E3840" s="325"/>
      <c r="F3840" s="326"/>
      <c r="G3840" s="324"/>
      <c r="H3840" s="325"/>
      <c r="I3840" s="326"/>
      <c r="J3840" s="317"/>
      <c r="K3840" s="328"/>
      <c r="L3840" s="328"/>
      <c r="M3840" s="328"/>
      <c r="N3840" s="328"/>
      <c r="O3840" s="334"/>
      <c r="P3840" s="328"/>
      <c r="Q3840" s="334"/>
      <c r="R3840" s="333"/>
      <c r="S3840" s="331"/>
      <c r="T3840" s="320"/>
      <c r="U3840" s="335"/>
      <c r="V3840" s="291">
        <f t="shared" ca="1" si="1002"/>
        <v>0</v>
      </c>
      <c r="W3840" s="256">
        <f t="shared" ca="1" si="984"/>
        <v>0</v>
      </c>
      <c r="X3840" s="256">
        <f t="shared" ca="1" si="1001"/>
        <v>1</v>
      </c>
      <c r="Y3840" s="250"/>
      <c r="Z3840" s="250"/>
    </row>
    <row r="3841" spans="1:29" s="111" customFormat="1" ht="15" hidden="1" x14ac:dyDescent="0.2">
      <c r="A3841" s="288"/>
      <c r="B3841" s="338"/>
      <c r="C3841" s="339"/>
      <c r="D3841" s="340"/>
      <c r="E3841" s="341"/>
      <c r="F3841" s="342"/>
      <c r="G3841" s="340"/>
      <c r="H3841" s="341"/>
      <c r="I3841" s="342"/>
      <c r="J3841" s="343"/>
      <c r="K3841" s="344"/>
      <c r="L3841" s="345"/>
      <c r="M3841" s="346"/>
      <c r="N3841" s="347"/>
      <c r="O3841" s="348"/>
      <c r="P3841" s="345"/>
      <c r="Q3841" s="349"/>
      <c r="R3841" s="350"/>
      <c r="S3841" s="351"/>
      <c r="T3841" s="352"/>
      <c r="U3841" s="353"/>
      <c r="V3841" s="291">
        <f t="shared" ca="1" si="1002"/>
        <v>0</v>
      </c>
      <c r="W3841" s="256">
        <f t="shared" ca="1" si="984"/>
        <v>0</v>
      </c>
      <c r="X3841" s="256">
        <f t="shared" ca="1" si="1001"/>
        <v>1</v>
      </c>
      <c r="Y3841" s="250"/>
      <c r="Z3841" s="250"/>
    </row>
    <row r="3842" spans="1:29" s="111" customFormat="1" ht="15.75" hidden="1" customHeight="1" x14ac:dyDescent="0.2">
      <c r="A3842" s="288"/>
      <c r="B3842" s="354"/>
      <c r="C3842" s="355"/>
      <c r="D3842" s="1354" t="s">
        <v>492</v>
      </c>
      <c r="E3842" s="1355"/>
      <c r="F3842" s="1355"/>
      <c r="G3842" s="1355"/>
      <c r="H3842" s="1355"/>
      <c r="I3842" s="1356"/>
      <c r="J3842" s="1357">
        <f>VLOOKUP(A3844,'11 - FINANCEIRO'!_xlnm.Print_Area,6,FALSE)</f>
        <v>1612.58</v>
      </c>
      <c r="K3842" s="1358"/>
      <c r="L3842" s="356" t="str">
        <f>VLOOKUP(A3844,'11 - FINANCEIRO'!_xlnm.Print_Area,4,FALSE)</f>
        <v>m²</v>
      </c>
      <c r="M3842" s="1359" t="s">
        <v>493</v>
      </c>
      <c r="N3842" s="1360"/>
      <c r="O3842" s="1360"/>
      <c r="P3842" s="1360"/>
      <c r="Q3842" s="1361"/>
      <c r="R3842" s="357">
        <f>TRUNC(SUM(R3838:R3841),3)</f>
        <v>400</v>
      </c>
      <c r="S3842" s="358" t="str">
        <f>L3842</f>
        <v>m²</v>
      </c>
      <c r="T3842" s="359"/>
      <c r="U3842" s="360"/>
      <c r="V3842" s="291">
        <f t="shared" ca="1" si="1002"/>
        <v>0</v>
      </c>
      <c r="W3842" s="256">
        <f t="shared" ca="1" si="984"/>
        <v>2</v>
      </c>
      <c r="X3842" s="256">
        <f t="shared" ca="1" si="1001"/>
        <v>1</v>
      </c>
      <c r="Y3842" s="250"/>
      <c r="Z3842" s="250"/>
    </row>
    <row r="3843" spans="1:29" s="293" customFormat="1" ht="15.75" hidden="1" customHeight="1" x14ac:dyDescent="0.2">
      <c r="A3843" s="288"/>
      <c r="B3843" s="354"/>
      <c r="C3843" s="361"/>
      <c r="D3843" s="1362" t="s">
        <v>494</v>
      </c>
      <c r="E3843" s="1363"/>
      <c r="F3843" s="1363"/>
      <c r="G3843" s="1363"/>
      <c r="H3843" s="1363"/>
      <c r="I3843" s="1364"/>
      <c r="J3843" s="1365">
        <f>R3842/J3842</f>
        <v>0.24804970916171601</v>
      </c>
      <c r="K3843" s="1366"/>
      <c r="L3843" s="1369"/>
      <c r="M3843" s="1371" t="s">
        <v>495</v>
      </c>
      <c r="N3843" s="1372"/>
      <c r="O3843" s="1372"/>
      <c r="P3843" s="1372"/>
      <c r="Q3843" s="1373"/>
      <c r="R3843" s="362">
        <f>VLOOKUP(A3844,'11 - FINANCEIRO'!_xlnm.Print_Area,8,FALSE)</f>
        <v>400</v>
      </c>
      <c r="S3843" s="363" t="str">
        <f>L3842</f>
        <v>m²</v>
      </c>
      <c r="T3843" s="359"/>
      <c r="U3843" s="360"/>
      <c r="V3843" s="291">
        <f t="shared" ca="1" si="1002"/>
        <v>0</v>
      </c>
      <c r="W3843" s="256">
        <f t="shared" ca="1" si="984"/>
        <v>2</v>
      </c>
      <c r="X3843" s="256">
        <f t="shared" ca="1" si="1001"/>
        <v>1</v>
      </c>
      <c r="Y3843" s="256"/>
      <c r="Z3843" s="256"/>
      <c r="AA3843" s="292"/>
      <c r="AB3843" s="292"/>
      <c r="AC3843" s="292"/>
    </row>
    <row r="3844" spans="1:29" s="293" customFormat="1" ht="15.75" hidden="1" customHeight="1" x14ac:dyDescent="0.2">
      <c r="A3844" s="288" t="s">
        <v>258</v>
      </c>
      <c r="B3844" s="364"/>
      <c r="C3844" s="365"/>
      <c r="D3844" s="1354"/>
      <c r="E3844" s="1355"/>
      <c r="F3844" s="1355"/>
      <c r="G3844" s="1355"/>
      <c r="H3844" s="1355"/>
      <c r="I3844" s="1356"/>
      <c r="J3844" s="1367"/>
      <c r="K3844" s="1368"/>
      <c r="L3844" s="1370"/>
      <c r="M3844" s="1371" t="s">
        <v>496</v>
      </c>
      <c r="N3844" s="1372"/>
      <c r="O3844" s="1372"/>
      <c r="P3844" s="1372"/>
      <c r="Q3844" s="1373"/>
      <c r="R3844" s="362">
        <f>R3842-R3843</f>
        <v>0</v>
      </c>
      <c r="S3844" s="363" t="str">
        <f>L3842</f>
        <v>m²</v>
      </c>
      <c r="T3844" s="366"/>
      <c r="U3844" s="367"/>
      <c r="V3844" s="291">
        <f t="shared" ca="1" si="1002"/>
        <v>0</v>
      </c>
      <c r="W3844" s="256">
        <f t="shared" ca="1" si="984"/>
        <v>2</v>
      </c>
      <c r="X3844" s="256">
        <f t="shared" ca="1" si="1001"/>
        <v>1</v>
      </c>
      <c r="Y3844" s="256"/>
      <c r="Z3844" s="256"/>
      <c r="AA3844" s="292"/>
      <c r="AB3844" s="292"/>
      <c r="AC3844" s="292"/>
    </row>
    <row r="3845" spans="1:29" s="111" customFormat="1" ht="15.75" hidden="1" x14ac:dyDescent="0.2">
      <c r="A3845" s="288"/>
      <c r="B3845" s="368"/>
      <c r="C3845" s="365"/>
      <c r="D3845" s="369"/>
      <c r="E3845" s="370"/>
      <c r="F3845" s="369"/>
      <c r="G3845" s="369"/>
      <c r="H3845" s="369"/>
      <c r="I3845" s="369"/>
      <c r="J3845" s="371"/>
      <c r="K3845" s="372"/>
      <c r="L3845" s="373"/>
      <c r="M3845" s="374"/>
      <c r="N3845" s="374"/>
      <c r="O3845" s="374"/>
      <c r="P3845" s="374"/>
      <c r="Q3845" s="374"/>
      <c r="R3845" s="375"/>
      <c r="S3845" s="376"/>
      <c r="T3845" s="377"/>
      <c r="U3845" s="378"/>
      <c r="V3845" s="379">
        <f ca="1">SUM(V3836:V3844)</f>
        <v>0</v>
      </c>
      <c r="W3845" s="256">
        <f t="shared" ca="1" si="984"/>
        <v>1</v>
      </c>
      <c r="X3845" s="256">
        <f t="shared" ca="1" si="1001"/>
        <v>0</v>
      </c>
      <c r="Y3845" s="250"/>
      <c r="Z3845" s="250"/>
    </row>
    <row r="3846" spans="1:29" s="293" customFormat="1" ht="15.75" hidden="1" customHeight="1" x14ac:dyDescent="0.25">
      <c r="A3846" s="288"/>
      <c r="B3846" s="1374" t="str">
        <f>VLOOKUP(A3863,'11 - FINANCEIRO'!_xlnm.Print_Area,1,FALSE)</f>
        <v>5.2.3</v>
      </c>
      <c r="C3846" s="1376" t="str">
        <f>VLOOKUP(A3863,'11 - FINANCEIRO'!_xlnm.Print_Area,3,FALSE)</f>
        <v>Fornecimento E Assentamento De Ladrilho Hidráulico Pastilhado, Vermelho, Dim. 20X20 Cm, Esp. 1.5Cm, Assentado Com Pasta De Cimento Colante, Exclusive Regularização E Lastro</v>
      </c>
      <c r="D3846" s="1378" t="s">
        <v>477</v>
      </c>
      <c r="E3846" s="1379"/>
      <c r="F3846" s="1379"/>
      <c r="G3846" s="1379"/>
      <c r="H3846" s="1379"/>
      <c r="I3846" s="1380"/>
      <c r="J3846" s="1338" t="s">
        <v>478</v>
      </c>
      <c r="K3846" s="1338" t="s">
        <v>479</v>
      </c>
      <c r="L3846" s="1338" t="s">
        <v>480</v>
      </c>
      <c r="M3846" s="1338" t="s">
        <v>481</v>
      </c>
      <c r="N3846" s="1338" t="s">
        <v>482</v>
      </c>
      <c r="O3846" s="1338" t="s">
        <v>483</v>
      </c>
      <c r="P3846" s="290" t="s">
        <v>484</v>
      </c>
      <c r="Q3846" s="1338" t="s">
        <v>485</v>
      </c>
      <c r="R3846" s="1336" t="s">
        <v>296</v>
      </c>
      <c r="S3846" s="1338" t="s">
        <v>486</v>
      </c>
      <c r="T3846" s="1338" t="s">
        <v>487</v>
      </c>
      <c r="U3846" s="1340" t="s">
        <v>488</v>
      </c>
      <c r="V3846" s="291">
        <f t="shared" ref="V3846:V3863" ca="1" si="1004">IF(OFFSET(V3846,1,1)=1,OFFSET(V3846,0,-4),OFFSET(V3846,1,0))</f>
        <v>0</v>
      </c>
      <c r="W3846" s="256">
        <f t="shared" ca="1" si="984"/>
        <v>2</v>
      </c>
      <c r="X3846" s="256">
        <f t="shared" ca="1" si="1001"/>
        <v>1</v>
      </c>
      <c r="Y3846" s="256"/>
      <c r="Z3846" s="256"/>
      <c r="AA3846" s="292"/>
      <c r="AB3846" s="292"/>
      <c r="AC3846" s="292"/>
    </row>
    <row r="3847" spans="1:29" s="337" customFormat="1" ht="15.75" hidden="1" x14ac:dyDescent="0.2">
      <c r="A3847" s="288"/>
      <c r="B3847" s="1375"/>
      <c r="C3847" s="1377" t="e">
        <f>VLOOKUP(LEFT(#REF!,5),'11 - FINANCEIRO'!_xlnm.Print_Area,2,FALSE)</f>
        <v>#REF!</v>
      </c>
      <c r="D3847" s="1342" t="s">
        <v>489</v>
      </c>
      <c r="E3847" s="1343"/>
      <c r="F3847" s="1344"/>
      <c r="G3847" s="1345" t="s">
        <v>490</v>
      </c>
      <c r="H3847" s="1346"/>
      <c r="I3847" s="1347"/>
      <c r="J3847" s="1339"/>
      <c r="K3847" s="1339"/>
      <c r="L3847" s="1339"/>
      <c r="M3847" s="1339"/>
      <c r="N3847" s="1339"/>
      <c r="O3847" s="1339"/>
      <c r="P3847" s="295" t="s">
        <v>491</v>
      </c>
      <c r="Q3847" s="1339"/>
      <c r="R3847" s="1337"/>
      <c r="S3847" s="1339"/>
      <c r="T3847" s="1339"/>
      <c r="U3847" s="1341"/>
      <c r="V3847" s="291">
        <f t="shared" ca="1" si="1004"/>
        <v>0</v>
      </c>
      <c r="W3847" s="256">
        <f t="shared" ca="1" si="984"/>
        <v>2</v>
      </c>
      <c r="X3847" s="256">
        <f t="shared" ca="1" si="1001"/>
        <v>1</v>
      </c>
      <c r="Y3847" s="336"/>
      <c r="Z3847" s="336"/>
    </row>
    <row r="3848" spans="1:29" s="111" customFormat="1" ht="15.75" hidden="1" x14ac:dyDescent="0.2">
      <c r="A3848" s="288"/>
      <c r="B3848" s="311"/>
      <c r="C3848" s="312" t="s">
        <v>944</v>
      </c>
      <c r="D3848" s="417">
        <v>22</v>
      </c>
      <c r="E3848" s="314" t="s">
        <v>518</v>
      </c>
      <c r="F3848" s="418">
        <v>0</v>
      </c>
      <c r="G3848" s="419">
        <v>31</v>
      </c>
      <c r="H3848" s="316" t="s">
        <v>518</v>
      </c>
      <c r="I3848" s="420">
        <v>10</v>
      </c>
      <c r="J3848" s="317"/>
      <c r="K3848" s="421">
        <f>ABS((G3848*20+I3848)-(D3848*20+F3848))</f>
        <v>190</v>
      </c>
      <c r="L3848" s="317">
        <v>0.4</v>
      </c>
      <c r="M3848" s="315"/>
      <c r="N3848" s="314">
        <f t="shared" ref="N3848:N3858" si="1005">K3848*L3848</f>
        <v>76</v>
      </c>
      <c r="O3848" s="313"/>
      <c r="P3848" s="318"/>
      <c r="Q3848" s="315"/>
      <c r="R3848" s="319">
        <f t="shared" ref="R3848:R3858" si="1006">N3848</f>
        <v>76</v>
      </c>
      <c r="S3848" s="317" t="s">
        <v>308</v>
      </c>
      <c r="T3848" s="320">
        <v>24</v>
      </c>
      <c r="U3848" s="321"/>
      <c r="V3848" s="291">
        <f t="shared" ca="1" si="1004"/>
        <v>0</v>
      </c>
      <c r="W3848" s="256">
        <f t="shared" ref="W3848:W3853" ca="1" si="1007">IF(LEFT(_xlfn.FORMULATEXT(V3848),3)="=SO",1,IF(COUNTA(A3848:U3848)=0,0,2))</f>
        <v>2</v>
      </c>
      <c r="X3848" s="256">
        <f ca="1">IF(COUNTA(OFFSET(#REF!,1,0))-COUNTA(#REF!)=-1,0,1)</f>
        <v>1</v>
      </c>
      <c r="Y3848" s="250"/>
      <c r="Z3848" s="250"/>
    </row>
    <row r="3849" spans="1:29" s="111" customFormat="1" ht="15.75" hidden="1" x14ac:dyDescent="0.2">
      <c r="A3849" s="288"/>
      <c r="B3849" s="311"/>
      <c r="C3849" s="312" t="s">
        <v>944</v>
      </c>
      <c r="D3849" s="417">
        <v>26</v>
      </c>
      <c r="E3849" s="314" t="s">
        <v>518</v>
      </c>
      <c r="F3849" s="418">
        <v>0</v>
      </c>
      <c r="G3849" s="419">
        <v>30</v>
      </c>
      <c r="H3849" s="316" t="s">
        <v>518</v>
      </c>
      <c r="I3849" s="420">
        <v>0</v>
      </c>
      <c r="J3849" s="317"/>
      <c r="K3849" s="421">
        <f>ABS((G3849*20+I3849)-(D3849*20+F3849))</f>
        <v>80</v>
      </c>
      <c r="L3849" s="317">
        <v>0.2</v>
      </c>
      <c r="M3849" s="315"/>
      <c r="N3849" s="314">
        <f t="shared" si="1005"/>
        <v>16</v>
      </c>
      <c r="O3849" s="313"/>
      <c r="P3849" s="318"/>
      <c r="Q3849" s="315"/>
      <c r="R3849" s="319">
        <f t="shared" si="1006"/>
        <v>16</v>
      </c>
      <c r="S3849" s="317" t="s">
        <v>308</v>
      </c>
      <c r="T3849" s="320">
        <v>24</v>
      </c>
      <c r="U3849" s="321"/>
      <c r="V3849" s="291">
        <f t="shared" ca="1" si="1004"/>
        <v>0</v>
      </c>
      <c r="W3849" s="256">
        <f t="shared" ca="1" si="1007"/>
        <v>2</v>
      </c>
      <c r="X3849" s="256">
        <f t="shared" ca="1" si="1001"/>
        <v>1</v>
      </c>
      <c r="Y3849" s="250"/>
      <c r="Z3849" s="250"/>
    </row>
    <row r="3850" spans="1:29" s="111" customFormat="1" ht="15.75" hidden="1" x14ac:dyDescent="0.2">
      <c r="A3850" s="288"/>
      <c r="B3850" s="311"/>
      <c r="C3850" s="312" t="s">
        <v>1036</v>
      </c>
      <c r="D3850" s="417">
        <v>22</v>
      </c>
      <c r="E3850" s="314" t="s">
        <v>518</v>
      </c>
      <c r="F3850" s="418">
        <v>4.6100000000000003</v>
      </c>
      <c r="G3850" s="419">
        <v>22</v>
      </c>
      <c r="H3850" s="316" t="s">
        <v>518</v>
      </c>
      <c r="I3850" s="420">
        <v>4.6100000000000003</v>
      </c>
      <c r="J3850" s="317"/>
      <c r="K3850" s="421">
        <f>1.8+15.6+2.6+1.2</f>
        <v>21.2</v>
      </c>
      <c r="L3850" s="317">
        <v>0.4</v>
      </c>
      <c r="M3850" s="315"/>
      <c r="N3850" s="314">
        <f t="shared" si="1005"/>
        <v>8.48</v>
      </c>
      <c r="O3850" s="313"/>
      <c r="P3850" s="318"/>
      <c r="Q3850" s="315"/>
      <c r="R3850" s="319">
        <f t="shared" si="1006"/>
        <v>8.48</v>
      </c>
      <c r="S3850" s="317" t="s">
        <v>308</v>
      </c>
      <c r="T3850" s="320">
        <v>24</v>
      </c>
      <c r="U3850" s="321"/>
      <c r="V3850" s="291">
        <f t="shared" ca="1" si="1004"/>
        <v>0</v>
      </c>
      <c r="W3850" s="256">
        <f t="shared" ca="1" si="1007"/>
        <v>2</v>
      </c>
      <c r="X3850" s="256">
        <f ca="1">IF(COUNTA(OFFSET(A3849,1,0))-COUNTA(A3849)=-1,0,1)</f>
        <v>1</v>
      </c>
      <c r="Y3850" s="250"/>
      <c r="Z3850" s="250"/>
    </row>
    <row r="3851" spans="1:29" s="111" customFormat="1" ht="15.75" hidden="1" x14ac:dyDescent="0.2">
      <c r="A3851" s="288"/>
      <c r="B3851" s="311"/>
      <c r="C3851" s="312" t="s">
        <v>1037</v>
      </c>
      <c r="D3851" s="417">
        <v>22</v>
      </c>
      <c r="E3851" s="314" t="s">
        <v>518</v>
      </c>
      <c r="F3851" s="418">
        <v>4.6100000000000003</v>
      </c>
      <c r="G3851" s="419">
        <v>22</v>
      </c>
      <c r="H3851" s="316" t="s">
        <v>518</v>
      </c>
      <c r="I3851" s="420">
        <v>4.6100000000000003</v>
      </c>
      <c r="J3851" s="317"/>
      <c r="K3851" s="421">
        <f>3.12+10.88+2+10.26+2+10.26+3.21+1.2+1.2</f>
        <v>44.13</v>
      </c>
      <c r="L3851" s="317">
        <v>0.2</v>
      </c>
      <c r="M3851" s="315"/>
      <c r="N3851" s="314">
        <f t="shared" si="1005"/>
        <v>8.8260000000000005</v>
      </c>
      <c r="O3851" s="313"/>
      <c r="P3851" s="318"/>
      <c r="Q3851" s="315"/>
      <c r="R3851" s="319">
        <f t="shared" si="1006"/>
        <v>8.8260000000000005</v>
      </c>
      <c r="S3851" s="317" t="s">
        <v>308</v>
      </c>
      <c r="T3851" s="320">
        <v>28</v>
      </c>
      <c r="U3851" s="321"/>
      <c r="V3851" s="291">
        <f t="shared" ca="1" si="1004"/>
        <v>0</v>
      </c>
      <c r="W3851" s="256">
        <f t="shared" ca="1" si="1007"/>
        <v>2</v>
      </c>
      <c r="X3851" s="256">
        <f ca="1">IF(COUNTA(OFFSET(A3850,1,0))-COUNTA(A3850)=-1,0,1)</f>
        <v>1</v>
      </c>
      <c r="Y3851" s="250"/>
      <c r="Z3851" s="250"/>
    </row>
    <row r="3852" spans="1:29" s="111" customFormat="1" ht="15.75" hidden="1" x14ac:dyDescent="0.2">
      <c r="A3852" s="288"/>
      <c r="B3852" s="311"/>
      <c r="C3852" s="312" t="s">
        <v>1038</v>
      </c>
      <c r="D3852" s="417">
        <v>9</v>
      </c>
      <c r="E3852" s="314" t="s">
        <v>518</v>
      </c>
      <c r="F3852" s="418">
        <v>0</v>
      </c>
      <c r="G3852" s="419">
        <v>9</v>
      </c>
      <c r="H3852" s="316" t="s">
        <v>518</v>
      </c>
      <c r="I3852" s="420">
        <v>0</v>
      </c>
      <c r="J3852" s="317"/>
      <c r="K3852" s="421">
        <f>1.2+1.2</f>
        <v>2.4</v>
      </c>
      <c r="L3852" s="317">
        <v>0.2</v>
      </c>
      <c r="M3852" s="315"/>
      <c r="N3852" s="314">
        <f t="shared" si="1005"/>
        <v>0.48</v>
      </c>
      <c r="O3852" s="313"/>
      <c r="P3852" s="318"/>
      <c r="Q3852" s="315"/>
      <c r="R3852" s="319">
        <f t="shared" si="1006"/>
        <v>0.48</v>
      </c>
      <c r="S3852" s="317" t="s">
        <v>308</v>
      </c>
      <c r="T3852" s="320">
        <v>28</v>
      </c>
      <c r="U3852" s="321"/>
      <c r="V3852" s="291">
        <f t="shared" ca="1" si="1004"/>
        <v>0</v>
      </c>
      <c r="W3852" s="256">
        <f t="shared" ca="1" si="1007"/>
        <v>2</v>
      </c>
      <c r="X3852" s="256">
        <f ca="1">IF(COUNTA(OFFSET(#REF!,1,0))-COUNTA(#REF!)=-1,0,1)</f>
        <v>1</v>
      </c>
      <c r="Y3852" s="250"/>
      <c r="Z3852" s="250"/>
    </row>
    <row r="3853" spans="1:29" s="111" customFormat="1" ht="15.75" hidden="1" x14ac:dyDescent="0.2">
      <c r="A3853" s="288"/>
      <c r="B3853" s="311"/>
      <c r="C3853" s="312" t="s">
        <v>1079</v>
      </c>
      <c r="D3853" s="417">
        <v>87</v>
      </c>
      <c r="E3853" s="314" t="s">
        <v>518</v>
      </c>
      <c r="F3853" s="418">
        <v>0</v>
      </c>
      <c r="G3853" s="419">
        <v>90</v>
      </c>
      <c r="H3853" s="316" t="s">
        <v>518</v>
      </c>
      <c r="I3853" s="420">
        <v>0</v>
      </c>
      <c r="J3853" s="317"/>
      <c r="K3853" s="421">
        <f>ABS((G3853*20+I3853)-(D3853*20+F3853))</f>
        <v>60</v>
      </c>
      <c r="L3853" s="317">
        <v>0.4</v>
      </c>
      <c r="M3853" s="315"/>
      <c r="N3853" s="314">
        <f t="shared" si="1005"/>
        <v>24</v>
      </c>
      <c r="O3853" s="313"/>
      <c r="P3853" s="318"/>
      <c r="Q3853" s="315"/>
      <c r="R3853" s="319">
        <f t="shared" si="1006"/>
        <v>24</v>
      </c>
      <c r="S3853" s="317" t="s">
        <v>308</v>
      </c>
      <c r="T3853" s="320">
        <v>32</v>
      </c>
      <c r="U3853" s="321"/>
      <c r="V3853" s="291">
        <f t="shared" ca="1" si="1004"/>
        <v>0</v>
      </c>
      <c r="W3853" s="256">
        <f t="shared" ca="1" si="1007"/>
        <v>2</v>
      </c>
      <c r="X3853" s="256">
        <f ca="1">IF(COUNTA(OFFSET(#REF!,1,0))-COUNTA(#REF!)=-1,0,1)</f>
        <v>1</v>
      </c>
      <c r="Y3853" s="250"/>
      <c r="Z3853" s="250"/>
    </row>
    <row r="3854" spans="1:29" s="111" customFormat="1" ht="15.75" hidden="1" x14ac:dyDescent="0.2">
      <c r="A3854" s="288"/>
      <c r="B3854" s="562"/>
      <c r="C3854" s="312" t="s">
        <v>1079</v>
      </c>
      <c r="D3854" s="417">
        <v>81</v>
      </c>
      <c r="E3854" s="314" t="s">
        <v>518</v>
      </c>
      <c r="F3854" s="418">
        <v>0</v>
      </c>
      <c r="G3854" s="417">
        <v>87</v>
      </c>
      <c r="H3854" s="314" t="s">
        <v>518</v>
      </c>
      <c r="I3854" s="418">
        <v>0</v>
      </c>
      <c r="J3854" s="317"/>
      <c r="K3854" s="421">
        <f>ABS((G3854*20+I3854)-(D3854*20+F3854))</f>
        <v>120</v>
      </c>
      <c r="L3854" s="317">
        <v>0.4</v>
      </c>
      <c r="M3854" s="315"/>
      <c r="N3854" s="314">
        <f t="shared" si="1005"/>
        <v>48</v>
      </c>
      <c r="O3854" s="313"/>
      <c r="P3854" s="318"/>
      <c r="Q3854" s="315"/>
      <c r="R3854" s="319">
        <f t="shared" si="1006"/>
        <v>48</v>
      </c>
      <c r="S3854" s="317" t="s">
        <v>308</v>
      </c>
      <c r="T3854" s="320">
        <v>34</v>
      </c>
      <c r="U3854" s="568"/>
      <c r="V3854" s="291">
        <f t="shared" ca="1" si="1004"/>
        <v>0</v>
      </c>
      <c r="W3854" s="256">
        <f t="shared" ref="W3854:W3861" ca="1" si="1008">IF(LEFT(_xlfn.FORMULATEXT(V3854),3)="=SO",1,IF(COUNTA(A3854:U3854)=0,0,2))</f>
        <v>2</v>
      </c>
      <c r="X3854" s="256">
        <f ca="1">IF(COUNTA(OFFSET(#REF!,1,0))-COUNTA(#REF!)=-1,0,1)</f>
        <v>1</v>
      </c>
      <c r="Y3854" s="250"/>
      <c r="Z3854" s="250"/>
    </row>
    <row r="3855" spans="1:29" s="111" customFormat="1" ht="15.75" hidden="1" x14ac:dyDescent="0.2">
      <c r="A3855" s="288"/>
      <c r="B3855" s="562"/>
      <c r="C3855" s="312" t="s">
        <v>1079</v>
      </c>
      <c r="D3855" s="417">
        <v>90</v>
      </c>
      <c r="E3855" s="314" t="s">
        <v>518</v>
      </c>
      <c r="F3855" s="418">
        <v>0</v>
      </c>
      <c r="G3855" s="417">
        <v>91</v>
      </c>
      <c r="H3855" s="314" t="s">
        <v>518</v>
      </c>
      <c r="I3855" s="418">
        <v>10</v>
      </c>
      <c r="J3855" s="317"/>
      <c r="K3855" s="421">
        <f>ABS((G3855*20+I3855)-(D3855*20+F3855))</f>
        <v>30</v>
      </c>
      <c r="L3855" s="317">
        <v>0.4</v>
      </c>
      <c r="M3855" s="315"/>
      <c r="N3855" s="314">
        <f t="shared" si="1005"/>
        <v>12</v>
      </c>
      <c r="O3855" s="313"/>
      <c r="P3855" s="318"/>
      <c r="Q3855" s="315"/>
      <c r="R3855" s="319">
        <f t="shared" si="1006"/>
        <v>12</v>
      </c>
      <c r="S3855" s="317" t="s">
        <v>308</v>
      </c>
      <c r="T3855" s="320">
        <v>34</v>
      </c>
      <c r="U3855" s="568"/>
      <c r="V3855" s="291">
        <f t="shared" ca="1" si="1004"/>
        <v>0</v>
      </c>
      <c r="W3855" s="256">
        <f t="shared" ca="1" si="1008"/>
        <v>2</v>
      </c>
      <c r="X3855" s="256">
        <f ca="1">IF(COUNTA(OFFSET(#REF!,1,0))-COUNTA(#REF!)=-1,0,1)</f>
        <v>1</v>
      </c>
      <c r="Y3855" s="250"/>
      <c r="Z3855" s="250"/>
    </row>
    <row r="3856" spans="1:29" s="111" customFormat="1" ht="15.75" hidden="1" x14ac:dyDescent="0.2">
      <c r="A3856" s="288"/>
      <c r="B3856" s="562"/>
      <c r="C3856" s="312" t="s">
        <v>1079</v>
      </c>
      <c r="D3856" s="551">
        <v>80</v>
      </c>
      <c r="E3856" s="552" t="s">
        <v>518</v>
      </c>
      <c r="F3856" s="553">
        <v>9.6999999999999993</v>
      </c>
      <c r="G3856" s="496">
        <v>81</v>
      </c>
      <c r="H3856" s="497" t="s">
        <v>518</v>
      </c>
      <c r="I3856" s="498">
        <v>0</v>
      </c>
      <c r="J3856" s="560"/>
      <c r="K3856" s="421">
        <f>ABS((G3856*20+I3856)-(D3856*20+F3856))</f>
        <v>10.299999999999955</v>
      </c>
      <c r="L3856" s="560">
        <v>0.4</v>
      </c>
      <c r="M3856" s="752"/>
      <c r="N3856" s="552">
        <f t="shared" si="1005"/>
        <v>4.1199999999999823</v>
      </c>
      <c r="O3856" s="738"/>
      <c r="P3856" s="565"/>
      <c r="Q3856" s="752"/>
      <c r="R3856" s="558">
        <f t="shared" si="1006"/>
        <v>4.1199999999999823</v>
      </c>
      <c r="S3856" s="317" t="s">
        <v>308</v>
      </c>
      <c r="T3856" s="506">
        <v>36</v>
      </c>
      <c r="U3856" s="568"/>
      <c r="V3856" s="291">
        <f t="shared" ca="1" si="1004"/>
        <v>0</v>
      </c>
      <c r="W3856" s="256">
        <f t="shared" ca="1" si="1008"/>
        <v>2</v>
      </c>
      <c r="X3856" s="256">
        <f ca="1">IF(COUNTA(OFFSET(#REF!,1,0))-COUNTA(#REF!)=-1,0,1)</f>
        <v>1</v>
      </c>
      <c r="Y3856" s="250"/>
      <c r="Z3856" s="250"/>
    </row>
    <row r="3857" spans="1:29" s="111" customFormat="1" ht="15.75" hidden="1" x14ac:dyDescent="0.2">
      <c r="A3857" s="288"/>
      <c r="B3857" s="562"/>
      <c r="C3857" s="312" t="s">
        <v>1079</v>
      </c>
      <c r="D3857" s="551">
        <v>91</v>
      </c>
      <c r="E3857" s="552" t="s">
        <v>518</v>
      </c>
      <c r="F3857" s="553">
        <v>0</v>
      </c>
      <c r="G3857" s="496">
        <v>94</v>
      </c>
      <c r="H3857" s="497" t="s">
        <v>518</v>
      </c>
      <c r="I3857" s="498">
        <v>0</v>
      </c>
      <c r="J3857" s="560"/>
      <c r="K3857" s="500">
        <f>ABS((G3857*20+I3857)-(D3857*20+F3857))</f>
        <v>60</v>
      </c>
      <c r="L3857" s="560">
        <v>0.4</v>
      </c>
      <c r="M3857" s="752"/>
      <c r="N3857" s="552">
        <f t="shared" si="1005"/>
        <v>24</v>
      </c>
      <c r="O3857" s="738"/>
      <c r="P3857" s="565"/>
      <c r="Q3857" s="752"/>
      <c r="R3857" s="558">
        <f t="shared" si="1006"/>
        <v>24</v>
      </c>
      <c r="S3857" s="508" t="str">
        <f>$L$3861</f>
        <v>m²</v>
      </c>
      <c r="T3857" s="506">
        <v>36</v>
      </c>
      <c r="U3857" s="568"/>
      <c r="V3857" s="291">
        <f t="shared" ca="1" si="1004"/>
        <v>0</v>
      </c>
      <c r="W3857" s="256">
        <f t="shared" ca="1" si="1008"/>
        <v>2</v>
      </c>
      <c r="X3857" s="256">
        <f ca="1">IF(COUNTA(OFFSET(#REF!,1,0))-COUNTA(#REF!)=-1,0,1)</f>
        <v>1</v>
      </c>
      <c r="Y3857" s="250"/>
      <c r="Z3857" s="250"/>
    </row>
    <row r="3858" spans="1:29" s="111" customFormat="1" ht="15.75" hidden="1" x14ac:dyDescent="0.2">
      <c r="A3858" s="288"/>
      <c r="B3858" s="562"/>
      <c r="C3858" s="312" t="s">
        <v>1079</v>
      </c>
      <c r="D3858" s="551">
        <v>56</v>
      </c>
      <c r="E3858" s="552" t="s">
        <v>518</v>
      </c>
      <c r="F3858" s="553">
        <v>0</v>
      </c>
      <c r="G3858" s="496">
        <v>60</v>
      </c>
      <c r="H3858" s="497" t="s">
        <v>518</v>
      </c>
      <c r="I3858" s="498">
        <v>0</v>
      </c>
      <c r="J3858" s="1109"/>
      <c r="K3858" s="500">
        <f t="shared" ref="K3858" si="1009">ABS((G3858*20+I3858)-(D3858*20+F3858))</f>
        <v>80</v>
      </c>
      <c r="L3858" s="1109">
        <v>0.4</v>
      </c>
      <c r="M3858" s="752"/>
      <c r="N3858" s="834">
        <f t="shared" si="1005"/>
        <v>32</v>
      </c>
      <c r="O3858" s="738"/>
      <c r="P3858" s="565"/>
      <c r="Q3858" s="752"/>
      <c r="R3858" s="558">
        <f t="shared" si="1006"/>
        <v>32</v>
      </c>
      <c r="S3858" s="1109" t="s">
        <v>308</v>
      </c>
      <c r="T3858" s="506">
        <v>41</v>
      </c>
      <c r="U3858" s="568"/>
      <c r="V3858" s="291">
        <f t="shared" ca="1" si="1004"/>
        <v>0</v>
      </c>
      <c r="W3858" s="256">
        <f t="shared" ca="1" si="1008"/>
        <v>2</v>
      </c>
      <c r="X3858" s="256">
        <f ca="1">IF(COUNTA(OFFSET(#REF!,1,0))-COUNTA(#REF!)=-1,0,1)</f>
        <v>1</v>
      </c>
      <c r="Y3858" s="250"/>
      <c r="Z3858" s="250"/>
    </row>
    <row r="3859" spans="1:29" s="111" customFormat="1" ht="15.75" hidden="1" x14ac:dyDescent="0.2">
      <c r="A3859" s="288"/>
      <c r="B3859" s="562"/>
      <c r="C3859" s="495"/>
      <c r="D3859" s="551"/>
      <c r="E3859" s="552"/>
      <c r="F3859" s="553"/>
      <c r="G3859" s="496"/>
      <c r="H3859" s="497"/>
      <c r="I3859" s="498"/>
      <c r="J3859" s="560"/>
      <c r="K3859" s="500"/>
      <c r="L3859" s="560"/>
      <c r="M3859" s="752"/>
      <c r="N3859" s="552"/>
      <c r="O3859" s="738"/>
      <c r="P3859" s="565"/>
      <c r="Q3859" s="752"/>
      <c r="R3859" s="558"/>
      <c r="S3859" s="560"/>
      <c r="T3859" s="506"/>
      <c r="U3859" s="568"/>
      <c r="V3859" s="291">
        <f t="shared" ca="1" si="1004"/>
        <v>0</v>
      </c>
      <c r="W3859" s="256">
        <f t="shared" ca="1" si="1008"/>
        <v>0</v>
      </c>
      <c r="X3859" s="256">
        <f ca="1">IF(COUNTA(OFFSET(#REF!,1,0))-COUNTA(#REF!)=-1,0,1)</f>
        <v>1</v>
      </c>
      <c r="Y3859" s="250"/>
      <c r="Z3859" s="250"/>
    </row>
    <row r="3860" spans="1:29" s="111" customFormat="1" ht="15" hidden="1" x14ac:dyDescent="0.2">
      <c r="A3860" s="288"/>
      <c r="B3860" s="338"/>
      <c r="C3860" s="339"/>
      <c r="D3860" s="340"/>
      <c r="E3860" s="341"/>
      <c r="F3860" s="342"/>
      <c r="G3860" s="340"/>
      <c r="H3860" s="341"/>
      <c r="I3860" s="342"/>
      <c r="J3860" s="343"/>
      <c r="K3860" s="344"/>
      <c r="L3860" s="345"/>
      <c r="M3860" s="346"/>
      <c r="N3860" s="347"/>
      <c r="O3860" s="348"/>
      <c r="P3860" s="345"/>
      <c r="Q3860" s="349"/>
      <c r="R3860" s="350"/>
      <c r="S3860" s="351"/>
      <c r="T3860" s="352"/>
      <c r="U3860" s="353"/>
      <c r="V3860" s="291">
        <f t="shared" ca="1" si="1004"/>
        <v>0</v>
      </c>
      <c r="W3860" s="256">
        <f t="shared" ca="1" si="1008"/>
        <v>0</v>
      </c>
      <c r="X3860" s="256">
        <f ca="1">IF(COUNTA(OFFSET(#REF!,1,0))-COUNTA(#REF!)=-1,0,1)</f>
        <v>1</v>
      </c>
      <c r="Y3860" s="250"/>
      <c r="Z3860" s="250"/>
    </row>
    <row r="3861" spans="1:29" s="111" customFormat="1" ht="15.75" hidden="1" customHeight="1" x14ac:dyDescent="0.2">
      <c r="A3861" s="288"/>
      <c r="B3861" s="354"/>
      <c r="C3861" s="355"/>
      <c r="D3861" s="1354" t="s">
        <v>492</v>
      </c>
      <c r="E3861" s="1355"/>
      <c r="F3861" s="1355"/>
      <c r="G3861" s="1355"/>
      <c r="H3861" s="1355"/>
      <c r="I3861" s="1356"/>
      <c r="J3861" s="1357">
        <f>VLOOKUP(A3863,'11 - FINANCEIRO'!_xlnm.Print_Area,6,FALSE)</f>
        <v>1198.71</v>
      </c>
      <c r="K3861" s="1358"/>
      <c r="L3861" s="356" t="str">
        <f>VLOOKUP(A3863,'11 - FINANCEIRO'!_xlnm.Print_Area,4,FALSE)</f>
        <v>m²</v>
      </c>
      <c r="M3861" s="1359" t="s">
        <v>493</v>
      </c>
      <c r="N3861" s="1360"/>
      <c r="O3861" s="1360"/>
      <c r="P3861" s="1360"/>
      <c r="Q3861" s="1361"/>
      <c r="R3861" s="357">
        <f>TRUNC(SUM(R3848:R3860),3)</f>
        <v>253.90600000000001</v>
      </c>
      <c r="S3861" s="358" t="str">
        <f>L3861</f>
        <v>m²</v>
      </c>
      <c r="T3861" s="359"/>
      <c r="U3861" s="360"/>
      <c r="V3861" s="291">
        <f t="shared" ca="1" si="1004"/>
        <v>0</v>
      </c>
      <c r="W3861" s="256">
        <f t="shared" ca="1" si="1008"/>
        <v>2</v>
      </c>
      <c r="X3861" s="256">
        <f ca="1">IF(COUNTA(OFFSET(#REF!,1,0))-COUNTA(#REF!)=-1,0,1)</f>
        <v>1</v>
      </c>
      <c r="Y3861" s="250"/>
      <c r="Z3861" s="250"/>
    </row>
    <row r="3862" spans="1:29" s="293" customFormat="1" ht="15.75" hidden="1" customHeight="1" x14ac:dyDescent="0.2">
      <c r="A3862" s="288"/>
      <c r="B3862" s="354"/>
      <c r="C3862" s="361"/>
      <c r="D3862" s="1362" t="s">
        <v>494</v>
      </c>
      <c r="E3862" s="1363"/>
      <c r="F3862" s="1363"/>
      <c r="G3862" s="1363"/>
      <c r="H3862" s="1363"/>
      <c r="I3862" s="1364"/>
      <c r="J3862" s="1365">
        <f>R3861/J3861</f>
        <v>0.21181603557157277</v>
      </c>
      <c r="K3862" s="1366"/>
      <c r="L3862" s="1369"/>
      <c r="M3862" s="1371" t="s">
        <v>495</v>
      </c>
      <c r="N3862" s="1372"/>
      <c r="O3862" s="1372"/>
      <c r="P3862" s="1372"/>
      <c r="Q3862" s="1373"/>
      <c r="R3862" s="362">
        <f>VLOOKUP(A3863,'11 - FINANCEIRO'!_xlnm.Print_Area,8,FALSE)</f>
        <v>253.90600000000001</v>
      </c>
      <c r="S3862" s="363" t="str">
        <f>L3861</f>
        <v>m²</v>
      </c>
      <c r="T3862" s="359"/>
      <c r="U3862" s="360"/>
      <c r="V3862" s="291">
        <f t="shared" ca="1" si="1004"/>
        <v>0</v>
      </c>
      <c r="W3862" s="256">
        <f t="shared" ca="1" si="984"/>
        <v>2</v>
      </c>
      <c r="X3862" s="256">
        <f t="shared" ca="1" si="1001"/>
        <v>1</v>
      </c>
      <c r="Y3862" s="256"/>
      <c r="Z3862" s="256"/>
      <c r="AA3862" s="292"/>
      <c r="AB3862" s="292"/>
      <c r="AC3862" s="292"/>
    </row>
    <row r="3863" spans="1:29" s="293" customFormat="1" ht="15.75" hidden="1" customHeight="1" x14ac:dyDescent="0.2">
      <c r="A3863" s="288" t="s">
        <v>259</v>
      </c>
      <c r="B3863" s="364"/>
      <c r="C3863" s="365"/>
      <c r="D3863" s="1354"/>
      <c r="E3863" s="1355"/>
      <c r="F3863" s="1355"/>
      <c r="G3863" s="1355"/>
      <c r="H3863" s="1355"/>
      <c r="I3863" s="1356"/>
      <c r="J3863" s="1367"/>
      <c r="K3863" s="1368"/>
      <c r="L3863" s="1370"/>
      <c r="M3863" s="1371" t="s">
        <v>496</v>
      </c>
      <c r="N3863" s="1372"/>
      <c r="O3863" s="1372"/>
      <c r="P3863" s="1372"/>
      <c r="Q3863" s="1373"/>
      <c r="R3863" s="362">
        <f>R3861-R3862</f>
        <v>0</v>
      </c>
      <c r="S3863" s="363" t="str">
        <f>L3861</f>
        <v>m²</v>
      </c>
      <c r="T3863" s="366"/>
      <c r="U3863" s="367"/>
      <c r="V3863" s="291">
        <f t="shared" ca="1" si="1004"/>
        <v>0</v>
      </c>
      <c r="W3863" s="256">
        <f t="shared" ca="1" si="984"/>
        <v>2</v>
      </c>
      <c r="X3863" s="256">
        <f t="shared" ca="1" si="1001"/>
        <v>1</v>
      </c>
      <c r="Y3863" s="256"/>
      <c r="Z3863" s="256"/>
      <c r="AA3863" s="292"/>
      <c r="AB3863" s="292"/>
      <c r="AC3863" s="292"/>
    </row>
    <row r="3864" spans="1:29" s="111" customFormat="1" ht="15.75" hidden="1" x14ac:dyDescent="0.2">
      <c r="A3864" s="288"/>
      <c r="B3864" s="368"/>
      <c r="C3864" s="365"/>
      <c r="D3864" s="369"/>
      <c r="E3864" s="370"/>
      <c r="F3864" s="369"/>
      <c r="G3864" s="369"/>
      <c r="H3864" s="369"/>
      <c r="I3864" s="369"/>
      <c r="J3864" s="371"/>
      <c r="K3864" s="372"/>
      <c r="L3864" s="373"/>
      <c r="M3864" s="374"/>
      <c r="N3864" s="374"/>
      <c r="O3864" s="374"/>
      <c r="P3864" s="374"/>
      <c r="Q3864" s="374"/>
      <c r="R3864" s="375"/>
      <c r="S3864" s="376"/>
      <c r="T3864" s="377"/>
      <c r="U3864" s="378"/>
      <c r="V3864" s="379">
        <f ca="1">SUM(V3846:V3863)</f>
        <v>0</v>
      </c>
      <c r="W3864" s="256">
        <f t="shared" ca="1" si="984"/>
        <v>1</v>
      </c>
      <c r="X3864" s="256">
        <f t="shared" ca="1" si="1001"/>
        <v>0</v>
      </c>
      <c r="Y3864" s="250"/>
      <c r="Z3864" s="250"/>
    </row>
    <row r="3865" spans="1:29" s="293" customFormat="1" ht="15.75" hidden="1" customHeight="1" x14ac:dyDescent="0.25">
      <c r="A3865" s="288"/>
      <c r="B3865" s="1374" t="str">
        <f>VLOOKUP(A3873,'11 - FINANCEIRO'!_xlnm.Print_Area,1,FALSE)</f>
        <v>5.2.4</v>
      </c>
      <c r="C3865" s="1376" t="str">
        <f>VLOOKUP(A3873,'11 - FINANCEIRO'!_xlnm.Print_Area,3,FALSE)</f>
        <v>Fornecimento E Assentamento De Ladrilho Hidráulico Ranhurado, Vermelho, Dim. 20X20 Cm, Esp. 1.5Cm, Assentado Com Pasta De Cimento Colante, Exclusive Regularização E Lastro</v>
      </c>
      <c r="D3865" s="1378" t="s">
        <v>477</v>
      </c>
      <c r="E3865" s="1379"/>
      <c r="F3865" s="1379"/>
      <c r="G3865" s="1379"/>
      <c r="H3865" s="1379"/>
      <c r="I3865" s="1380"/>
      <c r="J3865" s="1338" t="s">
        <v>478</v>
      </c>
      <c r="K3865" s="1338" t="s">
        <v>479</v>
      </c>
      <c r="L3865" s="1338" t="s">
        <v>480</v>
      </c>
      <c r="M3865" s="1338" t="s">
        <v>481</v>
      </c>
      <c r="N3865" s="1338" t="s">
        <v>482</v>
      </c>
      <c r="O3865" s="1338" t="s">
        <v>483</v>
      </c>
      <c r="P3865" s="290" t="s">
        <v>484</v>
      </c>
      <c r="Q3865" s="1338" t="s">
        <v>485</v>
      </c>
      <c r="R3865" s="1336" t="s">
        <v>296</v>
      </c>
      <c r="S3865" s="1338" t="s">
        <v>486</v>
      </c>
      <c r="T3865" s="1338" t="s">
        <v>487</v>
      </c>
      <c r="U3865" s="1340" t="s">
        <v>488</v>
      </c>
      <c r="V3865" s="291">
        <f t="shared" ref="V3865:V3873" ca="1" si="1010">IF(OFFSET(V3865,1,1)=1,OFFSET(V3865,0,-4),OFFSET(V3865,1,0))</f>
        <v>0</v>
      </c>
      <c r="W3865" s="256">
        <f t="shared" ca="1" si="984"/>
        <v>2</v>
      </c>
      <c r="X3865" s="256">
        <f t="shared" ca="1" si="1001"/>
        <v>1</v>
      </c>
      <c r="Y3865" s="256"/>
      <c r="Z3865" s="256"/>
      <c r="AA3865" s="292"/>
      <c r="AB3865" s="292"/>
      <c r="AC3865" s="292"/>
    </row>
    <row r="3866" spans="1:29" s="337" customFormat="1" ht="15.75" hidden="1" x14ac:dyDescent="0.2">
      <c r="A3866" s="288"/>
      <c r="B3866" s="1375"/>
      <c r="C3866" s="1377" t="e">
        <f>VLOOKUP(LEFT(#REF!,5),'11 - FINANCEIRO'!_xlnm.Print_Area,2,FALSE)</f>
        <v>#REF!</v>
      </c>
      <c r="D3866" s="1342" t="s">
        <v>489</v>
      </c>
      <c r="E3866" s="1343"/>
      <c r="F3866" s="1344"/>
      <c r="G3866" s="1345" t="s">
        <v>490</v>
      </c>
      <c r="H3866" s="1346"/>
      <c r="I3866" s="1347"/>
      <c r="J3866" s="1339"/>
      <c r="K3866" s="1339"/>
      <c r="L3866" s="1339"/>
      <c r="M3866" s="1339"/>
      <c r="N3866" s="1339"/>
      <c r="O3866" s="1339"/>
      <c r="P3866" s="295" t="s">
        <v>491</v>
      </c>
      <c r="Q3866" s="1339"/>
      <c r="R3866" s="1337"/>
      <c r="S3866" s="1339"/>
      <c r="T3866" s="1339"/>
      <c r="U3866" s="1341"/>
      <c r="V3866" s="291">
        <f t="shared" ca="1" si="1010"/>
        <v>0</v>
      </c>
      <c r="W3866" s="256">
        <f t="shared" ca="1" si="984"/>
        <v>2</v>
      </c>
      <c r="X3866" s="256">
        <f t="shared" ca="1" si="1001"/>
        <v>1</v>
      </c>
      <c r="Y3866" s="336"/>
      <c r="Z3866" s="336"/>
    </row>
    <row r="3867" spans="1:29" s="337" customFormat="1" ht="15.75" hidden="1" x14ac:dyDescent="0.2">
      <c r="A3867" s="288"/>
      <c r="B3867" s="296"/>
      <c r="C3867" s="297"/>
      <c r="D3867" s="298"/>
      <c r="E3867" s="299"/>
      <c r="F3867" s="300"/>
      <c r="G3867" s="301"/>
      <c r="H3867" s="302"/>
      <c r="I3867" s="303"/>
      <c r="J3867" s="304"/>
      <c r="K3867" s="304"/>
      <c r="L3867" s="304"/>
      <c r="M3867" s="304"/>
      <c r="N3867" s="304"/>
      <c r="O3867" s="304"/>
      <c r="P3867" s="306"/>
      <c r="Q3867" s="304"/>
      <c r="R3867" s="307"/>
      <c r="S3867" s="304"/>
      <c r="T3867" s="309"/>
      <c r="U3867" s="310"/>
      <c r="V3867" s="291">
        <f t="shared" ca="1" si="1010"/>
        <v>0</v>
      </c>
      <c r="W3867" s="256">
        <f t="shared" ca="1" si="984"/>
        <v>0</v>
      </c>
      <c r="X3867" s="256">
        <f t="shared" ca="1" si="1001"/>
        <v>1</v>
      </c>
      <c r="Y3867" s="336"/>
      <c r="Z3867" s="336"/>
    </row>
    <row r="3868" spans="1:29" s="111" customFormat="1" ht="15.75" hidden="1" x14ac:dyDescent="0.2">
      <c r="A3868" s="288"/>
      <c r="B3868" s="311"/>
      <c r="C3868" s="312"/>
      <c r="D3868" s="313"/>
      <c r="E3868" s="314"/>
      <c r="F3868" s="315"/>
      <c r="G3868" s="380"/>
      <c r="H3868" s="316"/>
      <c r="I3868" s="381"/>
      <c r="J3868" s="317"/>
      <c r="K3868" s="313"/>
      <c r="L3868" s="317"/>
      <c r="M3868" s="315"/>
      <c r="N3868" s="314"/>
      <c r="O3868" s="313"/>
      <c r="P3868" s="318"/>
      <c r="Q3868" s="315"/>
      <c r="R3868" s="319"/>
      <c r="S3868" s="317"/>
      <c r="T3868" s="320"/>
      <c r="U3868" s="321"/>
      <c r="V3868" s="291">
        <f t="shared" ca="1" si="1010"/>
        <v>0</v>
      </c>
      <c r="W3868" s="256">
        <f t="shared" ca="1" si="984"/>
        <v>0</v>
      </c>
      <c r="X3868" s="256">
        <f t="shared" ca="1" si="1001"/>
        <v>1</v>
      </c>
      <c r="Y3868" s="250"/>
      <c r="Z3868" s="250"/>
    </row>
    <row r="3869" spans="1:29" s="111" customFormat="1" ht="15" hidden="1" x14ac:dyDescent="0.2">
      <c r="A3869" s="288"/>
      <c r="B3869" s="322"/>
      <c r="C3869" s="382"/>
      <c r="D3869" s="324"/>
      <c r="E3869" s="325"/>
      <c r="F3869" s="326"/>
      <c r="G3869" s="324"/>
      <c r="H3869" s="325"/>
      <c r="I3869" s="326"/>
      <c r="J3869" s="317"/>
      <c r="K3869" s="328"/>
      <c r="L3869" s="328"/>
      <c r="M3869" s="328"/>
      <c r="N3869" s="328"/>
      <c r="O3869" s="334"/>
      <c r="P3869" s="328"/>
      <c r="Q3869" s="334"/>
      <c r="R3869" s="333"/>
      <c r="S3869" s="331"/>
      <c r="T3869" s="320"/>
      <c r="U3869" s="335"/>
      <c r="V3869" s="291">
        <f t="shared" ca="1" si="1010"/>
        <v>0</v>
      </c>
      <c r="W3869" s="256">
        <f t="shared" ca="1" si="984"/>
        <v>0</v>
      </c>
      <c r="X3869" s="256">
        <f t="shared" ca="1" si="1001"/>
        <v>1</v>
      </c>
      <c r="Y3869" s="250"/>
      <c r="Z3869" s="250"/>
    </row>
    <row r="3870" spans="1:29" s="111" customFormat="1" ht="15" hidden="1" x14ac:dyDescent="0.2">
      <c r="A3870" s="288"/>
      <c r="B3870" s="338"/>
      <c r="C3870" s="339"/>
      <c r="D3870" s="340"/>
      <c r="E3870" s="341"/>
      <c r="F3870" s="342"/>
      <c r="G3870" s="340"/>
      <c r="H3870" s="341"/>
      <c r="I3870" s="342"/>
      <c r="J3870" s="343"/>
      <c r="K3870" s="344"/>
      <c r="L3870" s="345"/>
      <c r="M3870" s="346"/>
      <c r="N3870" s="347"/>
      <c r="O3870" s="348"/>
      <c r="P3870" s="345"/>
      <c r="Q3870" s="349"/>
      <c r="R3870" s="350"/>
      <c r="S3870" s="351"/>
      <c r="T3870" s="352"/>
      <c r="U3870" s="353"/>
      <c r="V3870" s="291">
        <f t="shared" ca="1" si="1010"/>
        <v>0</v>
      </c>
      <c r="W3870" s="256">
        <f t="shared" ca="1" si="984"/>
        <v>0</v>
      </c>
      <c r="X3870" s="256">
        <f t="shared" ca="1" si="1001"/>
        <v>1</v>
      </c>
      <c r="Y3870" s="250"/>
      <c r="Z3870" s="250"/>
    </row>
    <row r="3871" spans="1:29" s="111" customFormat="1" ht="15.75" hidden="1" customHeight="1" x14ac:dyDescent="0.2">
      <c r="A3871" s="288"/>
      <c r="B3871" s="354"/>
      <c r="C3871" s="355"/>
      <c r="D3871" s="1354" t="s">
        <v>492</v>
      </c>
      <c r="E3871" s="1355"/>
      <c r="F3871" s="1355"/>
      <c r="G3871" s="1355"/>
      <c r="H3871" s="1355"/>
      <c r="I3871" s="1356"/>
      <c r="J3871" s="1357">
        <f>VLOOKUP(A3873,'11 - FINANCEIRO'!_xlnm.Print_Area,6,FALSE)</f>
        <v>239.74</v>
      </c>
      <c r="K3871" s="1358"/>
      <c r="L3871" s="356" t="str">
        <f>VLOOKUP(A3873,'11 - FINANCEIRO'!_xlnm.Print_Area,4,FALSE)</f>
        <v>m²</v>
      </c>
      <c r="M3871" s="1359" t="s">
        <v>493</v>
      </c>
      <c r="N3871" s="1360"/>
      <c r="O3871" s="1360"/>
      <c r="P3871" s="1360"/>
      <c r="Q3871" s="1361"/>
      <c r="R3871" s="357">
        <f>TRUNC(SUM(R3867:R3870),3)</f>
        <v>0</v>
      </c>
      <c r="S3871" s="358" t="str">
        <f>L3871</f>
        <v>m²</v>
      </c>
      <c r="T3871" s="359"/>
      <c r="U3871" s="360"/>
      <c r="V3871" s="291">
        <f t="shared" ca="1" si="1010"/>
        <v>0</v>
      </c>
      <c r="W3871" s="256">
        <f t="shared" ca="1" si="984"/>
        <v>2</v>
      </c>
      <c r="X3871" s="256">
        <f t="shared" ca="1" si="1001"/>
        <v>1</v>
      </c>
      <c r="Y3871" s="250"/>
      <c r="Z3871" s="250"/>
    </row>
    <row r="3872" spans="1:29" s="293" customFormat="1" ht="15.75" hidden="1" customHeight="1" x14ac:dyDescent="0.2">
      <c r="A3872" s="288"/>
      <c r="B3872" s="354"/>
      <c r="C3872" s="361"/>
      <c r="D3872" s="1362" t="s">
        <v>494</v>
      </c>
      <c r="E3872" s="1363"/>
      <c r="F3872" s="1363"/>
      <c r="G3872" s="1363"/>
      <c r="H3872" s="1363"/>
      <c r="I3872" s="1364"/>
      <c r="J3872" s="1365">
        <f>R3871/J3871</f>
        <v>0</v>
      </c>
      <c r="K3872" s="1366"/>
      <c r="L3872" s="1369"/>
      <c r="M3872" s="1371" t="s">
        <v>495</v>
      </c>
      <c r="N3872" s="1372"/>
      <c r="O3872" s="1372"/>
      <c r="P3872" s="1372"/>
      <c r="Q3872" s="1373"/>
      <c r="R3872" s="362">
        <f>VLOOKUP(A3873,'11 - FINANCEIRO'!_xlnm.Print_Area,8,FALSE)</f>
        <v>0</v>
      </c>
      <c r="S3872" s="363" t="str">
        <f>L3871</f>
        <v>m²</v>
      </c>
      <c r="T3872" s="359"/>
      <c r="U3872" s="360"/>
      <c r="V3872" s="291">
        <f t="shared" ca="1" si="1010"/>
        <v>0</v>
      </c>
      <c r="W3872" s="256">
        <f t="shared" ca="1" si="984"/>
        <v>2</v>
      </c>
      <c r="X3872" s="256">
        <f t="shared" ca="1" si="1001"/>
        <v>1</v>
      </c>
      <c r="Y3872" s="256"/>
      <c r="Z3872" s="256"/>
      <c r="AA3872" s="292"/>
      <c r="AB3872" s="292"/>
      <c r="AC3872" s="292"/>
    </row>
    <row r="3873" spans="1:29" s="293" customFormat="1" ht="15.75" hidden="1" x14ac:dyDescent="0.2">
      <c r="A3873" s="288" t="s">
        <v>260</v>
      </c>
      <c r="B3873" s="364"/>
      <c r="C3873" s="365"/>
      <c r="D3873" s="1354"/>
      <c r="E3873" s="1355"/>
      <c r="F3873" s="1355"/>
      <c r="G3873" s="1355"/>
      <c r="H3873" s="1355"/>
      <c r="I3873" s="1356"/>
      <c r="J3873" s="1367"/>
      <c r="K3873" s="1368"/>
      <c r="L3873" s="1370"/>
      <c r="M3873" s="1371" t="s">
        <v>496</v>
      </c>
      <c r="N3873" s="1372"/>
      <c r="O3873" s="1372"/>
      <c r="P3873" s="1372"/>
      <c r="Q3873" s="1373"/>
      <c r="R3873" s="362">
        <f>R3871-R3872</f>
        <v>0</v>
      </c>
      <c r="S3873" s="363" t="str">
        <f>L3871</f>
        <v>m²</v>
      </c>
      <c r="T3873" s="366"/>
      <c r="U3873" s="367"/>
      <c r="V3873" s="291">
        <f t="shared" ca="1" si="1010"/>
        <v>0</v>
      </c>
      <c r="W3873" s="256">
        <f t="shared" ca="1" si="984"/>
        <v>2</v>
      </c>
      <c r="X3873" s="256">
        <f t="shared" ca="1" si="1001"/>
        <v>1</v>
      </c>
      <c r="Y3873" s="256"/>
      <c r="Z3873" s="256"/>
      <c r="AA3873" s="292"/>
      <c r="AB3873" s="292"/>
      <c r="AC3873" s="292"/>
    </row>
    <row r="3874" spans="1:29" s="111" customFormat="1" ht="15.75" x14ac:dyDescent="0.2">
      <c r="A3874" s="288"/>
      <c r="B3874" s="368"/>
      <c r="C3874" s="365"/>
      <c r="D3874" s="369"/>
      <c r="E3874" s="370"/>
      <c r="F3874" s="369"/>
      <c r="G3874" s="369"/>
      <c r="H3874" s="369"/>
      <c r="I3874" s="369"/>
      <c r="J3874" s="371"/>
      <c r="K3874" s="372"/>
      <c r="L3874" s="373"/>
      <c r="M3874" s="374"/>
      <c r="N3874" s="374"/>
      <c r="O3874" s="374"/>
      <c r="P3874" s="374"/>
      <c r="Q3874" s="374"/>
      <c r="R3874" s="375"/>
      <c r="S3874" s="376"/>
      <c r="T3874" s="377"/>
      <c r="U3874" s="378"/>
      <c r="V3874" s="379">
        <f ca="1">SUM(V3865:V3873)</f>
        <v>0</v>
      </c>
      <c r="W3874" s="256">
        <f t="shared" ca="1" si="984"/>
        <v>1</v>
      </c>
      <c r="X3874" s="256">
        <f t="shared" ca="1" si="1001"/>
        <v>0</v>
      </c>
      <c r="Y3874" s="250"/>
      <c r="Z3874" s="250"/>
    </row>
    <row r="3875" spans="1:29" s="293" customFormat="1" ht="15.75" x14ac:dyDescent="0.25">
      <c r="A3875" s="288"/>
      <c r="B3875" s="1374" t="str">
        <f>VLOOKUP(A3893,'11 - FINANCEIRO'!_xlnm.Print_Area,1,FALSE)</f>
        <v>5.2.5</v>
      </c>
      <c r="C3875" s="1376" t="str">
        <f>VLOOKUP(A3893,'11 - FINANCEIRO'!_xlnm.Print_Area,3,FALSE)</f>
        <v>Assentamento De Guia (Meio-Fio) Em Trecho Reto, Confeccionada Em Concreto Pré-Fabricado, Dimensões 100X15X13X30 Cm (Comprimento X Base Inferior X Base Superior X Altura), Para Vias Urbanas (Uso Viário). Af_06/2016</v>
      </c>
      <c r="D3875" s="1378" t="s">
        <v>477</v>
      </c>
      <c r="E3875" s="1379"/>
      <c r="F3875" s="1379"/>
      <c r="G3875" s="1379"/>
      <c r="H3875" s="1379"/>
      <c r="I3875" s="1380"/>
      <c r="J3875" s="1338" t="s">
        <v>478</v>
      </c>
      <c r="K3875" s="1338" t="s">
        <v>479</v>
      </c>
      <c r="L3875" s="1338" t="s">
        <v>480</v>
      </c>
      <c r="M3875" s="1338" t="s">
        <v>481</v>
      </c>
      <c r="N3875" s="1338" t="s">
        <v>482</v>
      </c>
      <c r="O3875" s="1338" t="s">
        <v>483</v>
      </c>
      <c r="P3875" s="290" t="s">
        <v>484</v>
      </c>
      <c r="Q3875" s="1338" t="s">
        <v>678</v>
      </c>
      <c r="R3875" s="1336" t="s">
        <v>296</v>
      </c>
      <c r="S3875" s="1338" t="s">
        <v>486</v>
      </c>
      <c r="T3875" s="1338" t="s">
        <v>487</v>
      </c>
      <c r="U3875" s="1340" t="s">
        <v>488</v>
      </c>
      <c r="V3875" s="291">
        <f t="shared" ref="V3875:V3893" ca="1" si="1011">IF(OFFSET(V3875,1,1)=1,OFFSET(V3875,0,-4),OFFSET(V3875,1,0))</f>
        <v>200</v>
      </c>
      <c r="W3875" s="256">
        <f t="shared" ca="1" si="984"/>
        <v>2</v>
      </c>
      <c r="X3875" s="256">
        <f t="shared" ca="1" si="1001"/>
        <v>1</v>
      </c>
      <c r="Y3875" s="256"/>
      <c r="Z3875" s="256"/>
      <c r="AA3875" s="292"/>
      <c r="AB3875" s="292"/>
      <c r="AC3875" s="292"/>
    </row>
    <row r="3876" spans="1:29" s="337" customFormat="1" ht="15.75" x14ac:dyDescent="0.2">
      <c r="A3876" s="288"/>
      <c r="B3876" s="1375"/>
      <c r="C3876" s="1377" t="e">
        <f>VLOOKUP(LEFT(#REF!,5),'11 - FINANCEIRO'!_xlnm.Print_Area,2,FALSE)</f>
        <v>#REF!</v>
      </c>
      <c r="D3876" s="1342" t="s">
        <v>489</v>
      </c>
      <c r="E3876" s="1343"/>
      <c r="F3876" s="1344"/>
      <c r="G3876" s="1345" t="s">
        <v>490</v>
      </c>
      <c r="H3876" s="1346"/>
      <c r="I3876" s="1347"/>
      <c r="J3876" s="1339"/>
      <c r="K3876" s="1339"/>
      <c r="L3876" s="1339"/>
      <c r="M3876" s="1339"/>
      <c r="N3876" s="1339"/>
      <c r="O3876" s="1339"/>
      <c r="P3876" s="295" t="s">
        <v>491</v>
      </c>
      <c r="Q3876" s="1339"/>
      <c r="R3876" s="1337"/>
      <c r="S3876" s="1339"/>
      <c r="T3876" s="1339"/>
      <c r="U3876" s="1341"/>
      <c r="V3876" s="291">
        <f t="shared" ca="1" si="1011"/>
        <v>200</v>
      </c>
      <c r="W3876" s="256">
        <f t="shared" ca="1" si="984"/>
        <v>2</v>
      </c>
      <c r="X3876" s="256">
        <f t="shared" ca="1" si="1001"/>
        <v>1</v>
      </c>
      <c r="Y3876" s="336"/>
      <c r="Z3876" s="336"/>
    </row>
    <row r="3877" spans="1:29" s="337" customFormat="1" ht="15.75" x14ac:dyDescent="0.2">
      <c r="A3877" s="288"/>
      <c r="B3877" s="296"/>
      <c r="C3877" s="297" t="s">
        <v>667</v>
      </c>
      <c r="D3877" s="583">
        <v>6</v>
      </c>
      <c r="E3877" s="584" t="s">
        <v>518</v>
      </c>
      <c r="F3877" s="585">
        <v>10</v>
      </c>
      <c r="G3877" s="586">
        <v>31</v>
      </c>
      <c r="H3877" s="587" t="s">
        <v>518</v>
      </c>
      <c r="I3877" s="588">
        <v>10</v>
      </c>
      <c r="J3877" s="589"/>
      <c r="K3877" s="590">
        <f>ABS((G3877*20+I3877)-(D3877*20+F3877))</f>
        <v>500</v>
      </c>
      <c r="L3877" s="304"/>
      <c r="M3877" s="304"/>
      <c r="N3877" s="304"/>
      <c r="O3877" s="304"/>
      <c r="P3877" s="306"/>
      <c r="Q3877" s="304">
        <v>2</v>
      </c>
      <c r="R3877" s="307">
        <f t="shared" ref="R3877:R3882" si="1012">K3877*Q3877</f>
        <v>1000</v>
      </c>
      <c r="S3877" s="433" t="str">
        <f t="shared" ref="S3877:S3889" si="1013">$L$3891</f>
        <v>m</v>
      </c>
      <c r="T3877" s="593">
        <v>22</v>
      </c>
      <c r="U3877" s="310"/>
      <c r="V3877" s="291">
        <f t="shared" ca="1" si="1011"/>
        <v>200</v>
      </c>
      <c r="W3877" s="256">
        <f t="shared" ca="1" si="984"/>
        <v>2</v>
      </c>
      <c r="X3877" s="256">
        <f t="shared" ca="1" si="1001"/>
        <v>1</v>
      </c>
      <c r="Y3877" s="336"/>
      <c r="Z3877" s="336"/>
    </row>
    <row r="3878" spans="1:29" s="111" customFormat="1" ht="15.75" x14ac:dyDescent="0.2">
      <c r="A3878" s="288"/>
      <c r="B3878" s="311"/>
      <c r="C3878" s="312" t="s">
        <v>944</v>
      </c>
      <c r="D3878" s="417">
        <v>22</v>
      </c>
      <c r="E3878" s="314" t="s">
        <v>518</v>
      </c>
      <c r="F3878" s="418">
        <v>0</v>
      </c>
      <c r="G3878" s="419">
        <v>30</v>
      </c>
      <c r="H3878" s="316" t="s">
        <v>518</v>
      </c>
      <c r="I3878" s="420">
        <v>0</v>
      </c>
      <c r="J3878" s="317"/>
      <c r="K3878" s="421">
        <f>ABS((G3878*20+I3878)-(D3878*20+F3878))</f>
        <v>160</v>
      </c>
      <c r="L3878" s="317"/>
      <c r="M3878" s="315"/>
      <c r="N3878" s="314"/>
      <c r="O3878" s="313"/>
      <c r="P3878" s="318"/>
      <c r="Q3878" s="315">
        <v>1</v>
      </c>
      <c r="R3878" s="319">
        <f t="shared" si="1012"/>
        <v>160</v>
      </c>
      <c r="S3878" s="433" t="str">
        <f>$L$3891</f>
        <v>m</v>
      </c>
      <c r="T3878" s="320">
        <v>24</v>
      </c>
      <c r="U3878" s="321"/>
      <c r="V3878" s="291">
        <f t="shared" ca="1" si="1011"/>
        <v>200</v>
      </c>
      <c r="W3878" s="256">
        <f t="shared" ref="W3878:W3885" ca="1" si="1014">IF(LEFT(_xlfn.FORMULATEXT(V3878),3)="=SO",1,IF(COUNTA(A3878:U3878)=0,0,2))</f>
        <v>2</v>
      </c>
      <c r="X3878" s="256">
        <f ca="1">IF(COUNTA(OFFSET(#REF!,1,0))-COUNTA(#REF!)=-1,0,1)</f>
        <v>1</v>
      </c>
      <c r="Y3878" s="250"/>
      <c r="Z3878" s="250"/>
    </row>
    <row r="3879" spans="1:29" s="111" customFormat="1" ht="15.75" x14ac:dyDescent="0.2">
      <c r="A3879" s="288"/>
      <c r="B3879" s="311"/>
      <c r="C3879" s="312" t="s">
        <v>954</v>
      </c>
      <c r="D3879" s="417">
        <v>0</v>
      </c>
      <c r="E3879" s="314" t="s">
        <v>518</v>
      </c>
      <c r="F3879" s="418">
        <v>0</v>
      </c>
      <c r="G3879" s="419">
        <v>0</v>
      </c>
      <c r="H3879" s="316" t="s">
        <v>518</v>
      </c>
      <c r="I3879" s="420">
        <v>0</v>
      </c>
      <c r="J3879" s="317"/>
      <c r="K3879" s="421">
        <v>65.09</v>
      </c>
      <c r="L3879" s="317"/>
      <c r="M3879" s="315"/>
      <c r="N3879" s="314"/>
      <c r="O3879" s="313"/>
      <c r="P3879" s="318"/>
      <c r="Q3879" s="315">
        <v>1</v>
      </c>
      <c r="R3879" s="319">
        <f t="shared" si="1012"/>
        <v>65.09</v>
      </c>
      <c r="S3879" s="433" t="str">
        <f t="shared" si="1013"/>
        <v>m</v>
      </c>
      <c r="T3879" s="320">
        <v>24</v>
      </c>
      <c r="U3879" s="321"/>
      <c r="V3879" s="291">
        <f t="shared" ca="1" si="1011"/>
        <v>200</v>
      </c>
      <c r="W3879" s="256">
        <f t="shared" ca="1" si="1014"/>
        <v>2</v>
      </c>
      <c r="X3879" s="256">
        <f ca="1">IF(COUNTA(OFFSET(A3878,1,0))-COUNTA(A3878)=-1,0,1)</f>
        <v>1</v>
      </c>
      <c r="Y3879" s="250"/>
      <c r="Z3879" s="250"/>
    </row>
    <row r="3880" spans="1:29" s="111" customFormat="1" ht="15.75" x14ac:dyDescent="0.2">
      <c r="A3880" s="288"/>
      <c r="B3880" s="311"/>
      <c r="C3880" s="312" t="s">
        <v>955</v>
      </c>
      <c r="D3880" s="417">
        <v>0</v>
      </c>
      <c r="E3880" s="314" t="s">
        <v>518</v>
      </c>
      <c r="F3880" s="418">
        <v>0</v>
      </c>
      <c r="G3880" s="419">
        <v>0</v>
      </c>
      <c r="H3880" s="316" t="s">
        <v>518</v>
      </c>
      <c r="I3880" s="420">
        <v>0</v>
      </c>
      <c r="J3880" s="317"/>
      <c r="K3880" s="421">
        <v>114.5</v>
      </c>
      <c r="L3880" s="317"/>
      <c r="M3880" s="315"/>
      <c r="N3880" s="314"/>
      <c r="O3880" s="313"/>
      <c r="P3880" s="318"/>
      <c r="Q3880" s="315">
        <v>1</v>
      </c>
      <c r="R3880" s="319">
        <f t="shared" si="1012"/>
        <v>114.5</v>
      </c>
      <c r="S3880" s="433" t="str">
        <f t="shared" si="1013"/>
        <v>m</v>
      </c>
      <c r="T3880" s="320">
        <v>24</v>
      </c>
      <c r="U3880" s="321"/>
      <c r="V3880" s="291">
        <f t="shared" ca="1" si="1011"/>
        <v>200</v>
      </c>
      <c r="W3880" s="256">
        <f t="shared" ca="1" si="1014"/>
        <v>2</v>
      </c>
      <c r="X3880" s="256">
        <f ca="1">IF(COUNTA(OFFSET(A3879,1,0))-COUNTA(A3879)=-1,0,1)</f>
        <v>1</v>
      </c>
      <c r="Y3880" s="250"/>
      <c r="Z3880" s="250"/>
    </row>
    <row r="3881" spans="1:29" s="111" customFormat="1" ht="15.75" x14ac:dyDescent="0.2">
      <c r="A3881" s="288"/>
      <c r="B3881" s="311"/>
      <c r="C3881" s="312" t="s">
        <v>955</v>
      </c>
      <c r="D3881" s="417">
        <v>0</v>
      </c>
      <c r="E3881" s="314" t="s">
        <v>518</v>
      </c>
      <c r="F3881" s="418">
        <v>0</v>
      </c>
      <c r="G3881" s="419">
        <v>0</v>
      </c>
      <c r="H3881" s="316" t="s">
        <v>518</v>
      </c>
      <c r="I3881" s="420">
        <v>0</v>
      </c>
      <c r="J3881" s="317"/>
      <c r="K3881" s="421">
        <v>43.1</v>
      </c>
      <c r="L3881" s="317"/>
      <c r="M3881" s="315"/>
      <c r="N3881" s="314"/>
      <c r="O3881" s="313"/>
      <c r="P3881" s="318"/>
      <c r="Q3881" s="315">
        <v>1</v>
      </c>
      <c r="R3881" s="319">
        <f t="shared" si="1012"/>
        <v>43.1</v>
      </c>
      <c r="S3881" s="433" t="str">
        <f t="shared" si="1013"/>
        <v>m</v>
      </c>
      <c r="T3881" s="320">
        <v>24</v>
      </c>
      <c r="U3881" s="321"/>
      <c r="V3881" s="291">
        <f t="shared" ca="1" si="1011"/>
        <v>200</v>
      </c>
      <c r="W3881" s="256">
        <f t="shared" ca="1" si="1014"/>
        <v>2</v>
      </c>
      <c r="X3881" s="256">
        <f ca="1">IF(COUNTA(OFFSET(A3880,1,0))-COUNTA(A3880)=-1,0,1)</f>
        <v>1</v>
      </c>
      <c r="Y3881" s="250"/>
      <c r="Z3881" s="250"/>
    </row>
    <row r="3882" spans="1:29" s="111" customFormat="1" ht="15.75" x14ac:dyDescent="0.2">
      <c r="A3882" s="288"/>
      <c r="B3882" s="311"/>
      <c r="C3882" s="312" t="s">
        <v>1011</v>
      </c>
      <c r="D3882" s="417">
        <v>80</v>
      </c>
      <c r="E3882" s="314" t="s">
        <v>518</v>
      </c>
      <c r="F3882" s="418">
        <v>6</v>
      </c>
      <c r="G3882" s="419">
        <v>100</v>
      </c>
      <c r="H3882" s="316" t="s">
        <v>518</v>
      </c>
      <c r="I3882" s="420">
        <v>0</v>
      </c>
      <c r="J3882" s="317"/>
      <c r="K3882" s="421">
        <f>ABS((G3882*20+I3882)-(D3882*20+F3882))</f>
        <v>394</v>
      </c>
      <c r="L3882" s="317"/>
      <c r="M3882" s="315"/>
      <c r="N3882" s="314"/>
      <c r="O3882" s="313"/>
      <c r="P3882" s="318"/>
      <c r="Q3882" s="315">
        <v>1</v>
      </c>
      <c r="R3882" s="319">
        <f t="shared" si="1012"/>
        <v>394</v>
      </c>
      <c r="S3882" s="433" t="str">
        <f t="shared" si="1013"/>
        <v>m</v>
      </c>
      <c r="T3882" s="320">
        <v>31</v>
      </c>
      <c r="U3882" s="321"/>
      <c r="V3882" s="291">
        <f t="shared" ca="1" si="1011"/>
        <v>200</v>
      </c>
      <c r="W3882" s="256">
        <f t="shared" ca="1" si="1014"/>
        <v>2</v>
      </c>
      <c r="X3882" s="256">
        <f ca="1">IF(COUNTA(OFFSET(#REF!,1,0))-COUNTA(#REF!)=-1,0,1)</f>
        <v>1</v>
      </c>
      <c r="Y3882" s="250"/>
      <c r="Z3882" s="250"/>
    </row>
    <row r="3883" spans="1:29" s="111" customFormat="1" ht="15.75" x14ac:dyDescent="0.2">
      <c r="A3883" s="288"/>
      <c r="B3883" s="311"/>
      <c r="C3883" s="312" t="s">
        <v>1011</v>
      </c>
      <c r="D3883" s="417">
        <v>93</v>
      </c>
      <c r="E3883" s="314" t="s">
        <v>518</v>
      </c>
      <c r="F3883" s="418">
        <v>14</v>
      </c>
      <c r="G3883" s="419">
        <v>100</v>
      </c>
      <c r="H3883" s="316" t="s">
        <v>518</v>
      </c>
      <c r="I3883" s="420">
        <v>0</v>
      </c>
      <c r="J3883" s="317"/>
      <c r="K3883" s="421">
        <f>ABS((G3883*20+I3883)-(D3883*20+F3883))+88.8</f>
        <v>214.8</v>
      </c>
      <c r="L3883" s="317"/>
      <c r="M3883" s="315"/>
      <c r="N3883" s="314"/>
      <c r="O3883" s="313"/>
      <c r="P3883" s="318"/>
      <c r="Q3883" s="315">
        <v>1</v>
      </c>
      <c r="R3883" s="319">
        <f t="shared" ref="R3883" si="1015">K3883*Q3883</f>
        <v>214.8</v>
      </c>
      <c r="S3883" s="433" t="str">
        <f t="shared" si="1013"/>
        <v>m</v>
      </c>
      <c r="T3883" s="320">
        <v>31</v>
      </c>
      <c r="U3883" s="321"/>
      <c r="V3883" s="291">
        <f t="shared" ca="1" si="1011"/>
        <v>200</v>
      </c>
      <c r="W3883" s="256">
        <f t="shared" ref="W3883" ca="1" si="1016">IF(LEFT(_xlfn.FORMULATEXT(V3883),3)="=SO",1,IF(COUNTA(A3883:U3883)=0,0,2))</f>
        <v>2</v>
      </c>
      <c r="X3883" s="256">
        <f ca="1">IF(COUNTA(OFFSET(#REF!,1,0))-COUNTA(#REF!)=-1,0,1)</f>
        <v>1</v>
      </c>
      <c r="Y3883" s="250"/>
      <c r="Z3883" s="250"/>
    </row>
    <row r="3884" spans="1:29" s="111" customFormat="1" ht="15.75" x14ac:dyDescent="0.2">
      <c r="A3884" s="288"/>
      <c r="B3884" s="311"/>
      <c r="C3884" s="312" t="s">
        <v>1112</v>
      </c>
      <c r="D3884" s="417">
        <v>89</v>
      </c>
      <c r="E3884" s="314" t="s">
        <v>518</v>
      </c>
      <c r="F3884" s="418">
        <v>16</v>
      </c>
      <c r="G3884" s="419">
        <v>82</v>
      </c>
      <c r="H3884" s="316" t="s">
        <v>518</v>
      </c>
      <c r="I3884" s="420">
        <v>4</v>
      </c>
      <c r="J3884" s="317"/>
      <c r="K3884" s="421">
        <f>ABS((G3884*20+I3884)-(D3884*20+F3884))</f>
        <v>152</v>
      </c>
      <c r="L3884" s="317"/>
      <c r="M3884" s="315"/>
      <c r="N3884" s="314"/>
      <c r="O3884" s="313"/>
      <c r="P3884" s="318"/>
      <c r="Q3884" s="315">
        <v>1</v>
      </c>
      <c r="R3884" s="319">
        <f t="shared" ref="R3884" si="1017">K3884*Q3884</f>
        <v>152</v>
      </c>
      <c r="S3884" s="433" t="str">
        <f t="shared" si="1013"/>
        <v>m</v>
      </c>
      <c r="T3884" s="320">
        <v>31</v>
      </c>
      <c r="U3884" s="321"/>
      <c r="V3884" s="291">
        <f t="shared" ca="1" si="1011"/>
        <v>200</v>
      </c>
      <c r="W3884" s="256">
        <f t="shared" ref="W3884" ca="1" si="1018">IF(LEFT(_xlfn.FORMULATEXT(V3884),3)="=SO",1,IF(COUNTA(A3884:U3884)=0,0,2))</f>
        <v>2</v>
      </c>
      <c r="X3884" s="256">
        <f ca="1">IF(COUNTA(OFFSET(#REF!,1,0))-COUNTA(#REF!)=-1,0,1)</f>
        <v>1</v>
      </c>
      <c r="Y3884" s="250"/>
      <c r="Z3884" s="250"/>
    </row>
    <row r="3885" spans="1:29" s="292" customFormat="1" ht="15.75" x14ac:dyDescent="0.2">
      <c r="A3885" s="866"/>
      <c r="B3885" s="867"/>
      <c r="C3885" s="868" t="s">
        <v>667</v>
      </c>
      <c r="D3885" s="417">
        <v>90</v>
      </c>
      <c r="E3885" s="314" t="s">
        <v>518</v>
      </c>
      <c r="F3885" s="418">
        <v>0</v>
      </c>
      <c r="G3885" s="419">
        <v>99</v>
      </c>
      <c r="H3885" s="316" t="s">
        <v>518</v>
      </c>
      <c r="I3885" s="420">
        <v>6.4</v>
      </c>
      <c r="J3885" s="870"/>
      <c r="K3885" s="871">
        <f>ABS((G3885*20+I3885)-(D3885*20+F3885))</f>
        <v>186.40000000000009</v>
      </c>
      <c r="L3885" s="870"/>
      <c r="M3885" s="872"/>
      <c r="N3885" s="869"/>
      <c r="O3885" s="873"/>
      <c r="P3885" s="874"/>
      <c r="Q3885" s="872">
        <v>1</v>
      </c>
      <c r="R3885" s="875">
        <f t="shared" ref="R3885:R3889" si="1019">K3885*Q3885</f>
        <v>186.40000000000009</v>
      </c>
      <c r="S3885" s="433" t="str">
        <f t="shared" si="1013"/>
        <v>m</v>
      </c>
      <c r="T3885" s="876">
        <v>31</v>
      </c>
      <c r="U3885" s="877"/>
      <c r="V3885" s="291">
        <f t="shared" ca="1" si="1011"/>
        <v>200</v>
      </c>
      <c r="W3885" s="256">
        <f t="shared" ca="1" si="1014"/>
        <v>2</v>
      </c>
      <c r="X3885" s="256">
        <f ca="1">IF(COUNTA(OFFSET(#REF!,1,0))-COUNTA(#REF!)=-1,0,1)</f>
        <v>1</v>
      </c>
      <c r="Y3885" s="256"/>
      <c r="Z3885" s="256"/>
    </row>
    <row r="3886" spans="1:29" s="292" customFormat="1" ht="15.75" x14ac:dyDescent="0.2">
      <c r="A3886" s="866"/>
      <c r="B3886" s="1054"/>
      <c r="C3886" s="312" t="s">
        <v>1211</v>
      </c>
      <c r="D3886" s="417">
        <v>60</v>
      </c>
      <c r="E3886" s="314" t="s">
        <v>518</v>
      </c>
      <c r="F3886" s="418">
        <v>0</v>
      </c>
      <c r="G3886" s="419">
        <v>80</v>
      </c>
      <c r="H3886" s="316" t="s">
        <v>518</v>
      </c>
      <c r="I3886" s="420">
        <v>6</v>
      </c>
      <c r="J3886" s="870"/>
      <c r="K3886" s="871">
        <f>ABS((G3886*20+I3886)-(D3886*20+F3886))</f>
        <v>406</v>
      </c>
      <c r="L3886" s="870"/>
      <c r="M3886" s="872"/>
      <c r="N3886" s="869"/>
      <c r="O3886" s="873"/>
      <c r="P3886" s="874"/>
      <c r="Q3886" s="872">
        <v>1</v>
      </c>
      <c r="R3886" s="875">
        <f t="shared" si="1019"/>
        <v>406</v>
      </c>
      <c r="S3886" s="433" t="str">
        <f t="shared" si="1013"/>
        <v>m</v>
      </c>
      <c r="T3886" s="876">
        <v>37</v>
      </c>
      <c r="U3886" s="1063"/>
      <c r="V3886" s="291">
        <f t="shared" ca="1" si="1011"/>
        <v>200</v>
      </c>
      <c r="W3886" s="256">
        <f t="shared" ref="W3886:W3887" ca="1" si="1020">IF(LEFT(_xlfn.FORMULATEXT(V3886),3)="=SO",1,IF(COUNTA(A3886:U3886)=0,0,2))</f>
        <v>2</v>
      </c>
      <c r="X3886" s="256">
        <f ca="1">IF(COUNTA(OFFSET(#REF!,1,0))-COUNTA(#REF!)=-1,0,1)</f>
        <v>1</v>
      </c>
      <c r="Y3886" s="256"/>
      <c r="Z3886" s="256"/>
    </row>
    <row r="3887" spans="1:29" s="292" customFormat="1" ht="15.75" x14ac:dyDescent="0.2">
      <c r="A3887" s="866"/>
      <c r="B3887" s="1054"/>
      <c r="C3887" s="312" t="s">
        <v>1249</v>
      </c>
      <c r="D3887" s="417">
        <v>72</v>
      </c>
      <c r="E3887" s="314" t="s">
        <v>518</v>
      </c>
      <c r="F3887" s="418">
        <v>0</v>
      </c>
      <c r="G3887" s="419">
        <v>62</v>
      </c>
      <c r="H3887" s="316" t="s">
        <v>518</v>
      </c>
      <c r="I3887" s="420">
        <v>0</v>
      </c>
      <c r="J3887" s="317"/>
      <c r="K3887" s="421">
        <f t="shared" ref="K3887" si="1021">ABS((G3887*20+I3887)-(D3887*20+F3887))</f>
        <v>200</v>
      </c>
      <c r="L3887" s="317"/>
      <c r="M3887" s="317"/>
      <c r="N3887" s="317"/>
      <c r="O3887" s="317"/>
      <c r="P3887" s="318"/>
      <c r="Q3887" s="317">
        <v>2</v>
      </c>
      <c r="R3887" s="319">
        <f t="shared" si="1019"/>
        <v>400</v>
      </c>
      <c r="S3887" s="433" t="str">
        <f t="shared" si="1013"/>
        <v>m</v>
      </c>
      <c r="T3887" s="320">
        <v>39</v>
      </c>
      <c r="U3887" s="1063"/>
      <c r="V3887" s="291">
        <f t="shared" ca="1" si="1011"/>
        <v>200</v>
      </c>
      <c r="W3887" s="256">
        <f t="shared" ca="1" si="1020"/>
        <v>2</v>
      </c>
      <c r="X3887" s="256">
        <f ca="1">IF(COUNTA(OFFSET(#REF!,1,0))-COUNTA(#REF!)=-1,0,1)</f>
        <v>1</v>
      </c>
      <c r="Y3887" s="256"/>
      <c r="Z3887" s="256"/>
    </row>
    <row r="3888" spans="1:29" s="292" customFormat="1" ht="15.75" x14ac:dyDescent="0.2">
      <c r="A3888" s="866"/>
      <c r="B3888" s="1054"/>
      <c r="C3888" s="495" t="s">
        <v>1211</v>
      </c>
      <c r="D3888" s="1162">
        <v>50</v>
      </c>
      <c r="E3888" s="1163" t="s">
        <v>518</v>
      </c>
      <c r="F3888" s="1164">
        <v>0</v>
      </c>
      <c r="G3888" s="1162">
        <v>60</v>
      </c>
      <c r="H3888" s="1163" t="s">
        <v>518</v>
      </c>
      <c r="I3888" s="1164">
        <v>0</v>
      </c>
      <c r="J3888" s="1056"/>
      <c r="K3888" s="1057">
        <f>ABS((G3888*20+I3888)-(D3888*20+F3888))</f>
        <v>200</v>
      </c>
      <c r="L3888" s="1056"/>
      <c r="M3888" s="1058"/>
      <c r="N3888" s="1055"/>
      <c r="O3888" s="1059"/>
      <c r="P3888" s="1060"/>
      <c r="Q3888" s="1058">
        <v>2</v>
      </c>
      <c r="R3888" s="1061">
        <f t="shared" si="1019"/>
        <v>400</v>
      </c>
      <c r="S3888" s="433" t="str">
        <f t="shared" si="1013"/>
        <v>m</v>
      </c>
      <c r="T3888" s="1062">
        <v>41</v>
      </c>
      <c r="U3888" s="1063"/>
      <c r="V3888" s="291">
        <f t="shared" ca="1" si="1011"/>
        <v>200</v>
      </c>
      <c r="W3888" s="256">
        <f t="shared" ref="W3888:W3890" ca="1" si="1022">IF(LEFT(_xlfn.FORMULATEXT(V3888),3)="=SO",1,IF(COUNTA(A3888:U3888)=0,0,2))</f>
        <v>2</v>
      </c>
      <c r="X3888" s="256">
        <f ca="1">IF(COUNTA(OFFSET(#REF!,1,0))-COUNTA(#REF!)=-1,0,1)</f>
        <v>1</v>
      </c>
      <c r="Y3888" s="256"/>
      <c r="Z3888" s="256"/>
    </row>
    <row r="3889" spans="1:29" s="292" customFormat="1" ht="15.75" x14ac:dyDescent="0.2">
      <c r="A3889" s="866"/>
      <c r="B3889" s="1054"/>
      <c r="C3889" s="495" t="s">
        <v>1367</v>
      </c>
      <c r="D3889" s="1162">
        <v>45</v>
      </c>
      <c r="E3889" s="1163" t="s">
        <v>518</v>
      </c>
      <c r="F3889" s="1164">
        <v>0</v>
      </c>
      <c r="G3889" s="1162">
        <v>50</v>
      </c>
      <c r="H3889" s="1163" t="s">
        <v>518</v>
      </c>
      <c r="I3889" s="1164">
        <v>0</v>
      </c>
      <c r="J3889" s="1056"/>
      <c r="K3889" s="1057">
        <f>ABS((G3889*20+I3889)-(D3889*20+F3889))</f>
        <v>100</v>
      </c>
      <c r="L3889" s="1109"/>
      <c r="M3889" s="752"/>
      <c r="N3889" s="552"/>
      <c r="O3889" s="738"/>
      <c r="P3889" s="565"/>
      <c r="Q3889" s="1058">
        <v>2</v>
      </c>
      <c r="R3889" s="1061">
        <f t="shared" si="1019"/>
        <v>200</v>
      </c>
      <c r="S3889" s="433" t="str">
        <f t="shared" si="1013"/>
        <v>m</v>
      </c>
      <c r="T3889" s="1062">
        <v>44</v>
      </c>
      <c r="U3889" s="1063"/>
      <c r="V3889" s="291">
        <f t="shared" ca="1" si="1011"/>
        <v>200</v>
      </c>
      <c r="W3889" s="256">
        <f t="shared" ca="1" si="1022"/>
        <v>2</v>
      </c>
      <c r="X3889" s="256">
        <f ca="1">IF(COUNTA(OFFSET(#REF!,1,0))-COUNTA(#REF!)=-1,0,1)</f>
        <v>1</v>
      </c>
      <c r="Y3889" s="256"/>
      <c r="Z3889" s="256"/>
    </row>
    <row r="3890" spans="1:29" s="111" customFormat="1" ht="15" x14ac:dyDescent="0.2">
      <c r="A3890" s="288"/>
      <c r="B3890" s="338"/>
      <c r="C3890" s="339"/>
      <c r="D3890" s="340"/>
      <c r="E3890" s="341"/>
      <c r="F3890" s="342"/>
      <c r="G3890" s="340"/>
      <c r="H3890" s="341"/>
      <c r="I3890" s="342"/>
      <c r="J3890" s="343"/>
      <c r="K3890" s="344"/>
      <c r="L3890" s="345"/>
      <c r="M3890" s="346"/>
      <c r="N3890" s="347"/>
      <c r="O3890" s="348"/>
      <c r="P3890" s="345"/>
      <c r="Q3890" s="349"/>
      <c r="R3890" s="350"/>
      <c r="S3890" s="351"/>
      <c r="T3890" s="352"/>
      <c r="U3890" s="353"/>
      <c r="V3890" s="291">
        <f t="shared" ca="1" si="1011"/>
        <v>200</v>
      </c>
      <c r="W3890" s="256">
        <f t="shared" ca="1" si="1022"/>
        <v>0</v>
      </c>
      <c r="X3890" s="256">
        <f ca="1">IF(COUNTA(OFFSET(#REF!,1,0))-COUNTA(#REF!)=-1,0,1)</f>
        <v>1</v>
      </c>
      <c r="Y3890" s="250"/>
      <c r="Z3890" s="250"/>
    </row>
    <row r="3891" spans="1:29" s="111" customFormat="1" ht="15.75" x14ac:dyDescent="0.2">
      <c r="A3891" s="288"/>
      <c r="B3891" s="354"/>
      <c r="C3891" s="355"/>
      <c r="D3891" s="1354" t="s">
        <v>492</v>
      </c>
      <c r="E3891" s="1355"/>
      <c r="F3891" s="1355"/>
      <c r="G3891" s="1355"/>
      <c r="H3891" s="1355"/>
      <c r="I3891" s="1356"/>
      <c r="J3891" s="1357">
        <f>VLOOKUP(A3893,'11 - FINANCEIRO'!_xlnm.Print_Area,6,FALSE)</f>
        <v>8083.21</v>
      </c>
      <c r="K3891" s="1358"/>
      <c r="L3891" s="356" t="str">
        <f>VLOOKUP(A3893,'11 - FINANCEIRO'!_xlnm.Print_Area,4,FALSE)</f>
        <v>m</v>
      </c>
      <c r="M3891" s="1359" t="s">
        <v>493</v>
      </c>
      <c r="N3891" s="1360"/>
      <c r="O3891" s="1360"/>
      <c r="P3891" s="1360"/>
      <c r="Q3891" s="1361"/>
      <c r="R3891" s="357">
        <f>TRUNC(SUM(R3877:R3890),3)</f>
        <v>3735.89</v>
      </c>
      <c r="S3891" s="358" t="str">
        <f>L3891</f>
        <v>m</v>
      </c>
      <c r="T3891" s="359"/>
      <c r="U3891" s="360"/>
      <c r="V3891" s="291">
        <f t="shared" ca="1" si="1011"/>
        <v>200</v>
      </c>
      <c r="W3891" s="256">
        <f t="shared" ref="W3891:W3962" ca="1" si="1023">IF(LEFT(_xlfn.FORMULATEXT(V3891),3)="=SO",1,IF(COUNTA(A3891:U3891)=0,0,2))</f>
        <v>2</v>
      </c>
      <c r="X3891" s="256">
        <f t="shared" ca="1" si="1001"/>
        <v>1</v>
      </c>
      <c r="Y3891" s="250"/>
      <c r="Z3891" s="250"/>
    </row>
    <row r="3892" spans="1:29" s="293" customFormat="1" ht="15.75" x14ac:dyDescent="0.2">
      <c r="A3892" s="288"/>
      <c r="B3892" s="354"/>
      <c r="C3892" s="361"/>
      <c r="D3892" s="1362" t="s">
        <v>494</v>
      </c>
      <c r="E3892" s="1363"/>
      <c r="F3892" s="1363"/>
      <c r="G3892" s="1363"/>
      <c r="H3892" s="1363"/>
      <c r="I3892" s="1364"/>
      <c r="J3892" s="1365">
        <f>R3891/J3891</f>
        <v>0.46217901056634675</v>
      </c>
      <c r="K3892" s="1366"/>
      <c r="L3892" s="1369"/>
      <c r="M3892" s="1371" t="s">
        <v>495</v>
      </c>
      <c r="N3892" s="1372"/>
      <c r="O3892" s="1372"/>
      <c r="P3892" s="1372"/>
      <c r="Q3892" s="1373"/>
      <c r="R3892" s="362">
        <f>VLOOKUP(A3893,'11 - FINANCEIRO'!_xlnm.Print_Area,8,FALSE)</f>
        <v>3535.89</v>
      </c>
      <c r="S3892" s="363" t="str">
        <f>L3891</f>
        <v>m</v>
      </c>
      <c r="T3892" s="359"/>
      <c r="U3892" s="360"/>
      <c r="V3892" s="291">
        <f t="shared" ca="1" si="1011"/>
        <v>200</v>
      </c>
      <c r="W3892" s="256">
        <f t="shared" ca="1" si="1023"/>
        <v>2</v>
      </c>
      <c r="X3892" s="256">
        <f t="shared" ca="1" si="1001"/>
        <v>1</v>
      </c>
      <c r="Y3892" s="256"/>
      <c r="Z3892" s="256"/>
      <c r="AA3892" s="292"/>
      <c r="AB3892" s="292"/>
      <c r="AC3892" s="292"/>
    </row>
    <row r="3893" spans="1:29" s="293" customFormat="1" ht="15.75" x14ac:dyDescent="0.2">
      <c r="A3893" s="288" t="s">
        <v>261</v>
      </c>
      <c r="B3893" s="364"/>
      <c r="C3893" s="365"/>
      <c r="D3893" s="1354"/>
      <c r="E3893" s="1355"/>
      <c r="F3893" s="1355"/>
      <c r="G3893" s="1355"/>
      <c r="H3893" s="1355"/>
      <c r="I3893" s="1356"/>
      <c r="J3893" s="1367"/>
      <c r="K3893" s="1368"/>
      <c r="L3893" s="1370"/>
      <c r="M3893" s="1371" t="s">
        <v>496</v>
      </c>
      <c r="N3893" s="1372"/>
      <c r="O3893" s="1372"/>
      <c r="P3893" s="1372"/>
      <c r="Q3893" s="1373"/>
      <c r="R3893" s="362">
        <f>R3891-R3892</f>
        <v>200</v>
      </c>
      <c r="S3893" s="363" t="str">
        <f>L3891</f>
        <v>m</v>
      </c>
      <c r="T3893" s="366"/>
      <c r="U3893" s="367"/>
      <c r="V3893" s="291">
        <f t="shared" ca="1" si="1011"/>
        <v>200</v>
      </c>
      <c r="W3893" s="256">
        <f t="shared" ca="1" si="1023"/>
        <v>2</v>
      </c>
      <c r="X3893" s="256">
        <f t="shared" ca="1" si="1001"/>
        <v>1</v>
      </c>
      <c r="Y3893" s="256"/>
      <c r="Z3893" s="256"/>
      <c r="AA3893" s="292"/>
      <c r="AB3893" s="292"/>
      <c r="AC3893" s="292"/>
    </row>
    <row r="3894" spans="1:29" s="111" customFormat="1" ht="15.75" x14ac:dyDescent="0.2">
      <c r="A3894" s="288"/>
      <c r="B3894" s="368"/>
      <c r="C3894" s="365"/>
      <c r="D3894" s="369"/>
      <c r="E3894" s="370"/>
      <c r="F3894" s="369"/>
      <c r="G3894" s="369"/>
      <c r="H3894" s="369"/>
      <c r="I3894" s="369"/>
      <c r="J3894" s="371"/>
      <c r="K3894" s="372"/>
      <c r="L3894" s="373"/>
      <c r="M3894" s="374"/>
      <c r="N3894" s="374"/>
      <c r="O3894" s="374"/>
      <c r="P3894" s="374"/>
      <c r="Q3894" s="374"/>
      <c r="R3894" s="375"/>
      <c r="S3894" s="376"/>
      <c r="T3894" s="377"/>
      <c r="U3894" s="378"/>
      <c r="V3894" s="379">
        <f ca="1">SUM(V3875:V3893)</f>
        <v>3800</v>
      </c>
      <c r="W3894" s="256">
        <f t="shared" ca="1" si="1023"/>
        <v>1</v>
      </c>
      <c r="X3894" s="256">
        <f t="shared" ca="1" si="1001"/>
        <v>0</v>
      </c>
      <c r="Y3894" s="250"/>
      <c r="Z3894" s="250"/>
    </row>
    <row r="3895" spans="1:29" s="293" customFormat="1" ht="15.75" hidden="1" x14ac:dyDescent="0.25">
      <c r="A3895" s="288"/>
      <c r="B3895" s="1374" t="str">
        <f>VLOOKUP(A3903,'11 - FINANCEIRO'!_xlnm.Print_Area,1,FALSE)</f>
        <v>5.2.6</v>
      </c>
      <c r="C3895" s="1376" t="str">
        <f>VLOOKUP(A3903,'11 - FINANCEIRO'!_xlnm.Print_Area,3,FALSE)</f>
        <v>Pintura De Faixa Com Termoplástico Por Aspersão - Espessura De 1,5 Mm</v>
      </c>
      <c r="D3895" s="1378" t="s">
        <v>477</v>
      </c>
      <c r="E3895" s="1379"/>
      <c r="F3895" s="1379"/>
      <c r="G3895" s="1379"/>
      <c r="H3895" s="1379"/>
      <c r="I3895" s="1380"/>
      <c r="J3895" s="1338" t="s">
        <v>478</v>
      </c>
      <c r="K3895" s="1338" t="s">
        <v>479</v>
      </c>
      <c r="L3895" s="1338" t="s">
        <v>480</v>
      </c>
      <c r="M3895" s="1338" t="s">
        <v>481</v>
      </c>
      <c r="N3895" s="1338" t="s">
        <v>482</v>
      </c>
      <c r="O3895" s="1338" t="s">
        <v>483</v>
      </c>
      <c r="P3895" s="290" t="s">
        <v>484</v>
      </c>
      <c r="Q3895" s="1338" t="s">
        <v>485</v>
      </c>
      <c r="R3895" s="1336" t="s">
        <v>296</v>
      </c>
      <c r="S3895" s="1338" t="s">
        <v>486</v>
      </c>
      <c r="T3895" s="1338" t="s">
        <v>487</v>
      </c>
      <c r="U3895" s="1340" t="s">
        <v>488</v>
      </c>
      <c r="V3895" s="291">
        <f t="shared" ref="V3895:V3903" ca="1" si="1024">IF(OFFSET(V3895,1,1)=1,OFFSET(V3895,0,-4),OFFSET(V3895,1,0))</f>
        <v>0</v>
      </c>
      <c r="W3895" s="256">
        <f t="shared" ca="1" si="1023"/>
        <v>2</v>
      </c>
      <c r="X3895" s="256">
        <f t="shared" ca="1" si="1001"/>
        <v>1</v>
      </c>
      <c r="Y3895" s="256"/>
      <c r="Z3895" s="256"/>
      <c r="AA3895" s="292"/>
      <c r="AB3895" s="292"/>
      <c r="AC3895" s="292"/>
    </row>
    <row r="3896" spans="1:29" s="337" customFormat="1" ht="15.75" hidden="1" x14ac:dyDescent="0.2">
      <c r="A3896" s="288"/>
      <c r="B3896" s="1375"/>
      <c r="C3896" s="1377" t="e">
        <f>VLOOKUP(LEFT(#REF!,5),'11 - FINANCEIRO'!_xlnm.Print_Area,2,FALSE)</f>
        <v>#REF!</v>
      </c>
      <c r="D3896" s="1342" t="s">
        <v>489</v>
      </c>
      <c r="E3896" s="1343"/>
      <c r="F3896" s="1344"/>
      <c r="G3896" s="1345" t="s">
        <v>490</v>
      </c>
      <c r="H3896" s="1346"/>
      <c r="I3896" s="1347"/>
      <c r="J3896" s="1339"/>
      <c r="K3896" s="1339"/>
      <c r="L3896" s="1339"/>
      <c r="M3896" s="1339"/>
      <c r="N3896" s="1339"/>
      <c r="O3896" s="1339"/>
      <c r="P3896" s="295" t="s">
        <v>491</v>
      </c>
      <c r="Q3896" s="1339"/>
      <c r="R3896" s="1337"/>
      <c r="S3896" s="1339"/>
      <c r="T3896" s="1339"/>
      <c r="U3896" s="1341"/>
      <c r="V3896" s="291">
        <f t="shared" ca="1" si="1024"/>
        <v>0</v>
      </c>
      <c r="W3896" s="256">
        <f t="shared" ca="1" si="1023"/>
        <v>2</v>
      </c>
      <c r="X3896" s="256">
        <f t="shared" ca="1" si="1001"/>
        <v>1</v>
      </c>
      <c r="Y3896" s="336"/>
      <c r="Z3896" s="336"/>
    </row>
    <row r="3897" spans="1:29" s="337" customFormat="1" ht="15.75" hidden="1" x14ac:dyDescent="0.2">
      <c r="A3897" s="288"/>
      <c r="B3897" s="296"/>
      <c r="C3897" s="297"/>
      <c r="D3897" s="298"/>
      <c r="E3897" s="299"/>
      <c r="F3897" s="300"/>
      <c r="G3897" s="301"/>
      <c r="H3897" s="302"/>
      <c r="I3897" s="303"/>
      <c r="J3897" s="304"/>
      <c r="K3897" s="304"/>
      <c r="L3897" s="304"/>
      <c r="M3897" s="304"/>
      <c r="N3897" s="304"/>
      <c r="O3897" s="304"/>
      <c r="P3897" s="306"/>
      <c r="Q3897" s="304"/>
      <c r="R3897" s="307"/>
      <c r="S3897" s="304"/>
      <c r="T3897" s="309"/>
      <c r="U3897" s="310"/>
      <c r="V3897" s="291">
        <f t="shared" ca="1" si="1024"/>
        <v>0</v>
      </c>
      <c r="W3897" s="256">
        <f t="shared" ca="1" si="1023"/>
        <v>0</v>
      </c>
      <c r="X3897" s="256">
        <f t="shared" ca="1" si="1001"/>
        <v>1</v>
      </c>
      <c r="Y3897" s="336"/>
      <c r="Z3897" s="336"/>
    </row>
    <row r="3898" spans="1:29" s="111" customFormat="1" ht="15.75" hidden="1" x14ac:dyDescent="0.2">
      <c r="A3898" s="288"/>
      <c r="B3898" s="311"/>
      <c r="C3898" s="312"/>
      <c r="D3898" s="313"/>
      <c r="E3898" s="314"/>
      <c r="F3898" s="315"/>
      <c r="G3898" s="380"/>
      <c r="H3898" s="316"/>
      <c r="I3898" s="381"/>
      <c r="J3898" s="317"/>
      <c r="K3898" s="313"/>
      <c r="L3898" s="317"/>
      <c r="M3898" s="315"/>
      <c r="N3898" s="314"/>
      <c r="O3898" s="313"/>
      <c r="P3898" s="318"/>
      <c r="Q3898" s="315"/>
      <c r="R3898" s="319"/>
      <c r="S3898" s="317"/>
      <c r="T3898" s="320"/>
      <c r="U3898" s="321"/>
      <c r="V3898" s="291">
        <f t="shared" ca="1" si="1024"/>
        <v>0</v>
      </c>
      <c r="W3898" s="256">
        <f t="shared" ca="1" si="1023"/>
        <v>0</v>
      </c>
      <c r="X3898" s="256">
        <f t="shared" ca="1" si="1001"/>
        <v>1</v>
      </c>
      <c r="Y3898" s="250"/>
      <c r="Z3898" s="250"/>
    </row>
    <row r="3899" spans="1:29" s="111" customFormat="1" ht="15" hidden="1" x14ac:dyDescent="0.2">
      <c r="A3899" s="288"/>
      <c r="B3899" s="322"/>
      <c r="C3899" s="382"/>
      <c r="D3899" s="324"/>
      <c r="E3899" s="325"/>
      <c r="F3899" s="326"/>
      <c r="G3899" s="324"/>
      <c r="H3899" s="325"/>
      <c r="I3899" s="326"/>
      <c r="J3899" s="317"/>
      <c r="K3899" s="328"/>
      <c r="L3899" s="328"/>
      <c r="M3899" s="328"/>
      <c r="N3899" s="328"/>
      <c r="O3899" s="334"/>
      <c r="P3899" s="328"/>
      <c r="Q3899" s="334"/>
      <c r="R3899" s="333"/>
      <c r="S3899" s="331"/>
      <c r="T3899" s="320"/>
      <c r="U3899" s="335"/>
      <c r="V3899" s="291">
        <f t="shared" ca="1" si="1024"/>
        <v>0</v>
      </c>
      <c r="W3899" s="256">
        <f t="shared" ca="1" si="1023"/>
        <v>0</v>
      </c>
      <c r="X3899" s="256">
        <f t="shared" ca="1" si="1001"/>
        <v>1</v>
      </c>
      <c r="Y3899" s="250"/>
      <c r="Z3899" s="250"/>
    </row>
    <row r="3900" spans="1:29" s="111" customFormat="1" ht="15" hidden="1" x14ac:dyDescent="0.2">
      <c r="A3900" s="288"/>
      <c r="B3900" s="338"/>
      <c r="C3900" s="339"/>
      <c r="D3900" s="340"/>
      <c r="E3900" s="341"/>
      <c r="F3900" s="342"/>
      <c r="G3900" s="340"/>
      <c r="H3900" s="341"/>
      <c r="I3900" s="342"/>
      <c r="J3900" s="343"/>
      <c r="K3900" s="344"/>
      <c r="L3900" s="345"/>
      <c r="M3900" s="346"/>
      <c r="N3900" s="347"/>
      <c r="O3900" s="348"/>
      <c r="P3900" s="345"/>
      <c r="Q3900" s="349"/>
      <c r="R3900" s="350"/>
      <c r="S3900" s="351"/>
      <c r="T3900" s="352"/>
      <c r="U3900" s="353"/>
      <c r="V3900" s="291">
        <f t="shared" ca="1" si="1024"/>
        <v>0</v>
      </c>
      <c r="W3900" s="256">
        <f t="shared" ca="1" si="1023"/>
        <v>0</v>
      </c>
      <c r="X3900" s="256">
        <f t="shared" ca="1" si="1001"/>
        <v>1</v>
      </c>
      <c r="Y3900" s="250"/>
      <c r="Z3900" s="250"/>
    </row>
    <row r="3901" spans="1:29" s="111" customFormat="1" ht="15.75" hidden="1" x14ac:dyDescent="0.2">
      <c r="A3901" s="288"/>
      <c r="B3901" s="354"/>
      <c r="C3901" s="355"/>
      <c r="D3901" s="1354" t="s">
        <v>492</v>
      </c>
      <c r="E3901" s="1355"/>
      <c r="F3901" s="1355"/>
      <c r="G3901" s="1355"/>
      <c r="H3901" s="1355"/>
      <c r="I3901" s="1356"/>
      <c r="J3901" s="1357">
        <f>VLOOKUP(A3903,'11 - FINANCEIRO'!_xlnm.Print_Area,6,FALSE)</f>
        <v>6497.61</v>
      </c>
      <c r="K3901" s="1358"/>
      <c r="L3901" s="356" t="str">
        <f>VLOOKUP(A3903,'11 - FINANCEIRO'!_xlnm.Print_Area,4,FALSE)</f>
        <v>m²</v>
      </c>
      <c r="M3901" s="1359" t="s">
        <v>493</v>
      </c>
      <c r="N3901" s="1360"/>
      <c r="O3901" s="1360"/>
      <c r="P3901" s="1360"/>
      <c r="Q3901" s="1361"/>
      <c r="R3901" s="357">
        <f>TRUNC(SUM(R3897:R3900),3)</f>
        <v>0</v>
      </c>
      <c r="S3901" s="358" t="str">
        <f>L3901</f>
        <v>m²</v>
      </c>
      <c r="T3901" s="359"/>
      <c r="U3901" s="360"/>
      <c r="V3901" s="291">
        <f t="shared" ca="1" si="1024"/>
        <v>0</v>
      </c>
      <c r="W3901" s="256">
        <f t="shared" ca="1" si="1023"/>
        <v>2</v>
      </c>
      <c r="X3901" s="256">
        <f t="shared" ca="1" si="1001"/>
        <v>1</v>
      </c>
      <c r="Y3901" s="250"/>
      <c r="Z3901" s="250"/>
    </row>
    <row r="3902" spans="1:29" s="293" customFormat="1" ht="15.75" hidden="1" x14ac:dyDescent="0.2">
      <c r="A3902" s="288"/>
      <c r="B3902" s="354"/>
      <c r="C3902" s="361"/>
      <c r="D3902" s="1362" t="s">
        <v>494</v>
      </c>
      <c r="E3902" s="1363"/>
      <c r="F3902" s="1363"/>
      <c r="G3902" s="1363"/>
      <c r="H3902" s="1363"/>
      <c r="I3902" s="1364"/>
      <c r="J3902" s="1365">
        <f>R3901/J3901</f>
        <v>0</v>
      </c>
      <c r="K3902" s="1366"/>
      <c r="L3902" s="1369"/>
      <c r="M3902" s="1371" t="s">
        <v>495</v>
      </c>
      <c r="N3902" s="1372"/>
      <c r="O3902" s="1372"/>
      <c r="P3902" s="1372"/>
      <c r="Q3902" s="1373"/>
      <c r="R3902" s="362">
        <f>VLOOKUP(A3903,'11 - FINANCEIRO'!_xlnm.Print_Area,8,FALSE)</f>
        <v>0</v>
      </c>
      <c r="S3902" s="363" t="str">
        <f>L3901</f>
        <v>m²</v>
      </c>
      <c r="T3902" s="359"/>
      <c r="U3902" s="360"/>
      <c r="V3902" s="291">
        <f t="shared" ca="1" si="1024"/>
        <v>0</v>
      </c>
      <c r="W3902" s="256">
        <f t="shared" ca="1" si="1023"/>
        <v>2</v>
      </c>
      <c r="X3902" s="256">
        <f t="shared" ca="1" si="1001"/>
        <v>1</v>
      </c>
      <c r="Y3902" s="256"/>
      <c r="Z3902" s="256"/>
      <c r="AA3902" s="292"/>
      <c r="AB3902" s="292"/>
      <c r="AC3902" s="292"/>
    </row>
    <row r="3903" spans="1:29" s="293" customFormat="1" ht="15.75" hidden="1" x14ac:dyDescent="0.2">
      <c r="A3903" s="288" t="s">
        <v>262</v>
      </c>
      <c r="B3903" s="364"/>
      <c r="C3903" s="365"/>
      <c r="D3903" s="1354"/>
      <c r="E3903" s="1355"/>
      <c r="F3903" s="1355"/>
      <c r="G3903" s="1355"/>
      <c r="H3903" s="1355"/>
      <c r="I3903" s="1356"/>
      <c r="J3903" s="1367"/>
      <c r="K3903" s="1368"/>
      <c r="L3903" s="1370"/>
      <c r="M3903" s="1371" t="s">
        <v>496</v>
      </c>
      <c r="N3903" s="1372"/>
      <c r="O3903" s="1372"/>
      <c r="P3903" s="1372"/>
      <c r="Q3903" s="1373"/>
      <c r="R3903" s="362">
        <f>R3901-R3902</f>
        <v>0</v>
      </c>
      <c r="S3903" s="363" t="str">
        <f>L3901</f>
        <v>m²</v>
      </c>
      <c r="T3903" s="366"/>
      <c r="U3903" s="367"/>
      <c r="V3903" s="291">
        <f t="shared" ca="1" si="1024"/>
        <v>0</v>
      </c>
      <c r="W3903" s="256">
        <f t="shared" ca="1" si="1023"/>
        <v>2</v>
      </c>
      <c r="X3903" s="256">
        <f t="shared" ca="1" si="1001"/>
        <v>1</v>
      </c>
      <c r="Y3903" s="256"/>
      <c r="Z3903" s="256"/>
      <c r="AA3903" s="292"/>
      <c r="AB3903" s="292"/>
      <c r="AC3903" s="292"/>
    </row>
    <row r="3904" spans="1:29" s="111" customFormat="1" ht="15.75" hidden="1" x14ac:dyDescent="0.2">
      <c r="A3904" s="288"/>
      <c r="B3904" s="368"/>
      <c r="C3904" s="365"/>
      <c r="D3904" s="369"/>
      <c r="E3904" s="370"/>
      <c r="F3904" s="369"/>
      <c r="G3904" s="369"/>
      <c r="H3904" s="369"/>
      <c r="I3904" s="369"/>
      <c r="J3904" s="371"/>
      <c r="K3904" s="372"/>
      <c r="L3904" s="373"/>
      <c r="M3904" s="374"/>
      <c r="N3904" s="374"/>
      <c r="O3904" s="374"/>
      <c r="P3904" s="374"/>
      <c r="Q3904" s="374"/>
      <c r="R3904" s="375"/>
      <c r="S3904" s="376"/>
      <c r="T3904" s="377"/>
      <c r="U3904" s="378"/>
      <c r="V3904" s="379">
        <f ca="1">SUM(V3895:V3903)</f>
        <v>0</v>
      </c>
      <c r="W3904" s="256">
        <f t="shared" ca="1" si="1023"/>
        <v>1</v>
      </c>
      <c r="X3904" s="256">
        <f t="shared" ca="1" si="1001"/>
        <v>0</v>
      </c>
      <c r="Y3904" s="250"/>
      <c r="Z3904" s="250"/>
    </row>
    <row r="3905" spans="1:29" s="293" customFormat="1" ht="15.75" hidden="1" x14ac:dyDescent="0.25">
      <c r="A3905" s="288"/>
      <c r="B3905" s="1374" t="str">
        <f>VLOOKUP(A3913,'11 - FINANCEIRO'!_xlnm.Print_Area,1,FALSE)</f>
        <v>5.2.7</v>
      </c>
      <c r="C3905" s="1376" t="str">
        <f>VLOOKUP(A3913,'11 - FINANCEIRO'!_xlnm.Print_Area,3,FALSE)</f>
        <v>Pintura De Setas E Zebrados Com Termoplástico Por Aspersão - Espessura De 1,5 Mm</v>
      </c>
      <c r="D3905" s="1378" t="s">
        <v>477</v>
      </c>
      <c r="E3905" s="1379"/>
      <c r="F3905" s="1379"/>
      <c r="G3905" s="1379"/>
      <c r="H3905" s="1379"/>
      <c r="I3905" s="1380"/>
      <c r="J3905" s="1338" t="s">
        <v>478</v>
      </c>
      <c r="K3905" s="1338" t="s">
        <v>479</v>
      </c>
      <c r="L3905" s="1338" t="s">
        <v>480</v>
      </c>
      <c r="M3905" s="1338" t="s">
        <v>481</v>
      </c>
      <c r="N3905" s="1338" t="s">
        <v>482</v>
      </c>
      <c r="O3905" s="1338" t="s">
        <v>483</v>
      </c>
      <c r="P3905" s="290" t="s">
        <v>484</v>
      </c>
      <c r="Q3905" s="1338" t="s">
        <v>485</v>
      </c>
      <c r="R3905" s="1336" t="s">
        <v>296</v>
      </c>
      <c r="S3905" s="1338" t="s">
        <v>486</v>
      </c>
      <c r="T3905" s="1338" t="s">
        <v>487</v>
      </c>
      <c r="U3905" s="1340" t="s">
        <v>488</v>
      </c>
      <c r="V3905" s="291">
        <f t="shared" ref="V3905:V3913" ca="1" si="1025">IF(OFFSET(V3905,1,1)=1,OFFSET(V3905,0,-4),OFFSET(V3905,1,0))</f>
        <v>0</v>
      </c>
      <c r="W3905" s="256">
        <f t="shared" ca="1" si="1023"/>
        <v>2</v>
      </c>
      <c r="X3905" s="256">
        <f t="shared" ca="1" si="1001"/>
        <v>1</v>
      </c>
      <c r="Y3905" s="256"/>
      <c r="Z3905" s="256"/>
      <c r="AA3905" s="292"/>
      <c r="AB3905" s="292"/>
      <c r="AC3905" s="292"/>
    </row>
    <row r="3906" spans="1:29" s="337" customFormat="1" ht="15.75" hidden="1" x14ac:dyDescent="0.2">
      <c r="A3906" s="288"/>
      <c r="B3906" s="1375"/>
      <c r="C3906" s="1377" t="e">
        <f>VLOOKUP(LEFT(#REF!,5),'11 - FINANCEIRO'!_xlnm.Print_Area,2,FALSE)</f>
        <v>#REF!</v>
      </c>
      <c r="D3906" s="1342" t="s">
        <v>489</v>
      </c>
      <c r="E3906" s="1343"/>
      <c r="F3906" s="1344"/>
      <c r="G3906" s="1345" t="s">
        <v>490</v>
      </c>
      <c r="H3906" s="1346"/>
      <c r="I3906" s="1347"/>
      <c r="J3906" s="1339"/>
      <c r="K3906" s="1339"/>
      <c r="L3906" s="1339"/>
      <c r="M3906" s="1339"/>
      <c r="N3906" s="1339"/>
      <c r="O3906" s="1339"/>
      <c r="P3906" s="295" t="s">
        <v>491</v>
      </c>
      <c r="Q3906" s="1339"/>
      <c r="R3906" s="1337"/>
      <c r="S3906" s="1339"/>
      <c r="T3906" s="1339"/>
      <c r="U3906" s="1341"/>
      <c r="V3906" s="291">
        <f t="shared" ca="1" si="1025"/>
        <v>0</v>
      </c>
      <c r="W3906" s="256">
        <f t="shared" ca="1" si="1023"/>
        <v>2</v>
      </c>
      <c r="X3906" s="256">
        <f t="shared" ca="1" si="1001"/>
        <v>1</v>
      </c>
      <c r="Y3906" s="336"/>
      <c r="Z3906" s="336"/>
    </row>
    <row r="3907" spans="1:29" s="337" customFormat="1" ht="15.75" hidden="1" x14ac:dyDescent="0.2">
      <c r="A3907" s="288"/>
      <c r="B3907" s="296"/>
      <c r="C3907" s="297"/>
      <c r="D3907" s="298"/>
      <c r="E3907" s="299"/>
      <c r="F3907" s="300"/>
      <c r="G3907" s="301"/>
      <c r="H3907" s="302"/>
      <c r="I3907" s="303"/>
      <c r="J3907" s="304"/>
      <c r="K3907" s="304"/>
      <c r="L3907" s="304"/>
      <c r="M3907" s="304"/>
      <c r="N3907" s="304"/>
      <c r="O3907" s="304"/>
      <c r="P3907" s="306"/>
      <c r="Q3907" s="304"/>
      <c r="R3907" s="307"/>
      <c r="S3907" s="304"/>
      <c r="T3907" s="309"/>
      <c r="U3907" s="310"/>
      <c r="V3907" s="291">
        <f t="shared" ca="1" si="1025"/>
        <v>0</v>
      </c>
      <c r="W3907" s="256">
        <f t="shared" ca="1" si="1023"/>
        <v>0</v>
      </c>
      <c r="X3907" s="256">
        <f t="shared" ca="1" si="1001"/>
        <v>1</v>
      </c>
      <c r="Y3907" s="336"/>
      <c r="Z3907" s="336"/>
    </row>
    <row r="3908" spans="1:29" s="111" customFormat="1" ht="15.75" hidden="1" x14ac:dyDescent="0.2">
      <c r="A3908" s="288"/>
      <c r="B3908" s="311"/>
      <c r="C3908" s="312"/>
      <c r="D3908" s="313"/>
      <c r="E3908" s="314"/>
      <c r="F3908" s="315"/>
      <c r="G3908" s="380"/>
      <c r="H3908" s="316"/>
      <c r="I3908" s="381"/>
      <c r="J3908" s="317"/>
      <c r="K3908" s="313"/>
      <c r="L3908" s="317"/>
      <c r="M3908" s="315"/>
      <c r="N3908" s="314"/>
      <c r="O3908" s="313"/>
      <c r="P3908" s="318"/>
      <c r="Q3908" s="315"/>
      <c r="R3908" s="319"/>
      <c r="S3908" s="317"/>
      <c r="T3908" s="320"/>
      <c r="U3908" s="321"/>
      <c r="V3908" s="291">
        <f t="shared" ca="1" si="1025"/>
        <v>0</v>
      </c>
      <c r="W3908" s="256">
        <f t="shared" ca="1" si="1023"/>
        <v>0</v>
      </c>
      <c r="X3908" s="256">
        <f t="shared" ca="1" si="1001"/>
        <v>1</v>
      </c>
      <c r="Y3908" s="250"/>
      <c r="Z3908" s="250"/>
    </row>
    <row r="3909" spans="1:29" s="111" customFormat="1" ht="15" hidden="1" x14ac:dyDescent="0.2">
      <c r="A3909" s="288"/>
      <c r="B3909" s="322"/>
      <c r="C3909" s="382"/>
      <c r="D3909" s="324"/>
      <c r="E3909" s="325"/>
      <c r="F3909" s="326"/>
      <c r="G3909" s="324"/>
      <c r="H3909" s="325"/>
      <c r="I3909" s="326"/>
      <c r="J3909" s="317"/>
      <c r="K3909" s="328"/>
      <c r="L3909" s="328"/>
      <c r="M3909" s="328"/>
      <c r="N3909" s="328"/>
      <c r="O3909" s="334"/>
      <c r="P3909" s="328"/>
      <c r="Q3909" s="334"/>
      <c r="R3909" s="333"/>
      <c r="S3909" s="331"/>
      <c r="T3909" s="320"/>
      <c r="U3909" s="335"/>
      <c r="V3909" s="291">
        <f t="shared" ca="1" si="1025"/>
        <v>0</v>
      </c>
      <c r="W3909" s="256">
        <f t="shared" ca="1" si="1023"/>
        <v>0</v>
      </c>
      <c r="X3909" s="256">
        <f t="shared" ca="1" si="1001"/>
        <v>1</v>
      </c>
      <c r="Y3909" s="250"/>
      <c r="Z3909" s="250"/>
    </row>
    <row r="3910" spans="1:29" s="111" customFormat="1" ht="15" hidden="1" x14ac:dyDescent="0.2">
      <c r="A3910" s="288"/>
      <c r="B3910" s="338"/>
      <c r="C3910" s="339"/>
      <c r="D3910" s="340"/>
      <c r="E3910" s="341"/>
      <c r="F3910" s="342"/>
      <c r="G3910" s="340"/>
      <c r="H3910" s="341"/>
      <c r="I3910" s="342"/>
      <c r="J3910" s="343"/>
      <c r="K3910" s="344"/>
      <c r="L3910" s="345"/>
      <c r="M3910" s="346"/>
      <c r="N3910" s="347"/>
      <c r="O3910" s="348"/>
      <c r="P3910" s="345"/>
      <c r="Q3910" s="349"/>
      <c r="R3910" s="350"/>
      <c r="S3910" s="351"/>
      <c r="T3910" s="352"/>
      <c r="U3910" s="353"/>
      <c r="V3910" s="291">
        <f t="shared" ca="1" si="1025"/>
        <v>0</v>
      </c>
      <c r="W3910" s="256">
        <f t="shared" ca="1" si="1023"/>
        <v>0</v>
      </c>
      <c r="X3910" s="256">
        <f t="shared" ca="1" si="1001"/>
        <v>1</v>
      </c>
      <c r="Y3910" s="250"/>
      <c r="Z3910" s="250"/>
    </row>
    <row r="3911" spans="1:29" s="111" customFormat="1" ht="15.75" hidden="1" x14ac:dyDescent="0.2">
      <c r="A3911" s="288"/>
      <c r="B3911" s="354"/>
      <c r="C3911" s="355"/>
      <c r="D3911" s="1354" t="s">
        <v>492</v>
      </c>
      <c r="E3911" s="1355"/>
      <c r="F3911" s="1355"/>
      <c r="G3911" s="1355"/>
      <c r="H3911" s="1355"/>
      <c r="I3911" s="1356"/>
      <c r="J3911" s="1357">
        <f>VLOOKUP(A3913,'11 - FINANCEIRO'!_xlnm.Print_Area,6,FALSE)</f>
        <v>303.43</v>
      </c>
      <c r="K3911" s="1358"/>
      <c r="L3911" s="356" t="str">
        <f>VLOOKUP(A3913,'11 - FINANCEIRO'!_xlnm.Print_Area,4,FALSE)</f>
        <v>m²</v>
      </c>
      <c r="M3911" s="1359" t="s">
        <v>493</v>
      </c>
      <c r="N3911" s="1360"/>
      <c r="O3911" s="1360"/>
      <c r="P3911" s="1360"/>
      <c r="Q3911" s="1361"/>
      <c r="R3911" s="357">
        <f>TRUNC(SUM(R3907:R3910),3)</f>
        <v>0</v>
      </c>
      <c r="S3911" s="358" t="str">
        <f>L3911</f>
        <v>m²</v>
      </c>
      <c r="T3911" s="359"/>
      <c r="U3911" s="360"/>
      <c r="V3911" s="291">
        <f t="shared" ca="1" si="1025"/>
        <v>0</v>
      </c>
      <c r="W3911" s="256">
        <f t="shared" ca="1" si="1023"/>
        <v>2</v>
      </c>
      <c r="X3911" s="256">
        <f t="shared" ca="1" si="1001"/>
        <v>1</v>
      </c>
      <c r="Y3911" s="250"/>
      <c r="Z3911" s="250"/>
    </row>
    <row r="3912" spans="1:29" s="293" customFormat="1" ht="15.75" hidden="1" x14ac:dyDescent="0.2">
      <c r="A3912" s="288"/>
      <c r="B3912" s="354"/>
      <c r="C3912" s="361"/>
      <c r="D3912" s="1362" t="s">
        <v>494</v>
      </c>
      <c r="E3912" s="1363"/>
      <c r="F3912" s="1363"/>
      <c r="G3912" s="1363"/>
      <c r="H3912" s="1363"/>
      <c r="I3912" s="1364"/>
      <c r="J3912" s="1365">
        <f>R3911/J3911</f>
        <v>0</v>
      </c>
      <c r="K3912" s="1366"/>
      <c r="L3912" s="1369"/>
      <c r="M3912" s="1371" t="s">
        <v>495</v>
      </c>
      <c r="N3912" s="1372"/>
      <c r="O3912" s="1372"/>
      <c r="P3912" s="1372"/>
      <c r="Q3912" s="1373"/>
      <c r="R3912" s="362">
        <f>VLOOKUP(A3913,'11 - FINANCEIRO'!_xlnm.Print_Area,8,FALSE)</f>
        <v>0</v>
      </c>
      <c r="S3912" s="363" t="str">
        <f>L3911</f>
        <v>m²</v>
      </c>
      <c r="T3912" s="359"/>
      <c r="U3912" s="360"/>
      <c r="V3912" s="291">
        <f t="shared" ca="1" si="1025"/>
        <v>0</v>
      </c>
      <c r="W3912" s="256">
        <f t="shared" ca="1" si="1023"/>
        <v>2</v>
      </c>
      <c r="X3912" s="256">
        <f t="shared" ca="1" si="1001"/>
        <v>1</v>
      </c>
      <c r="Y3912" s="256"/>
      <c r="Z3912" s="256"/>
      <c r="AA3912" s="292"/>
      <c r="AB3912" s="292"/>
      <c r="AC3912" s="292"/>
    </row>
    <row r="3913" spans="1:29" s="293" customFormat="1" ht="15.75" hidden="1" x14ac:dyDescent="0.2">
      <c r="A3913" s="288" t="s">
        <v>263</v>
      </c>
      <c r="B3913" s="364"/>
      <c r="C3913" s="365"/>
      <c r="D3913" s="1354"/>
      <c r="E3913" s="1355"/>
      <c r="F3913" s="1355"/>
      <c r="G3913" s="1355"/>
      <c r="H3913" s="1355"/>
      <c r="I3913" s="1356"/>
      <c r="J3913" s="1367"/>
      <c r="K3913" s="1368"/>
      <c r="L3913" s="1370"/>
      <c r="M3913" s="1371" t="s">
        <v>496</v>
      </c>
      <c r="N3913" s="1372"/>
      <c r="O3913" s="1372"/>
      <c r="P3913" s="1372"/>
      <c r="Q3913" s="1373"/>
      <c r="R3913" s="362">
        <f>R3911-R3912</f>
        <v>0</v>
      </c>
      <c r="S3913" s="363" t="str">
        <f>L3911</f>
        <v>m²</v>
      </c>
      <c r="T3913" s="366"/>
      <c r="U3913" s="367"/>
      <c r="V3913" s="291">
        <f t="shared" ca="1" si="1025"/>
        <v>0</v>
      </c>
      <c r="W3913" s="256">
        <f t="shared" ca="1" si="1023"/>
        <v>2</v>
      </c>
      <c r="X3913" s="256">
        <f t="shared" ca="1" si="1001"/>
        <v>1</v>
      </c>
      <c r="Y3913" s="256"/>
      <c r="Z3913" s="256"/>
      <c r="AA3913" s="292"/>
      <c r="AB3913" s="292"/>
      <c r="AC3913" s="292"/>
    </row>
    <row r="3914" spans="1:29" s="111" customFormat="1" ht="15.75" hidden="1" x14ac:dyDescent="0.2">
      <c r="A3914" s="288"/>
      <c r="B3914" s="368"/>
      <c r="C3914" s="365"/>
      <c r="D3914" s="369"/>
      <c r="E3914" s="370"/>
      <c r="F3914" s="369"/>
      <c r="G3914" s="369"/>
      <c r="H3914" s="369"/>
      <c r="I3914" s="369"/>
      <c r="J3914" s="371"/>
      <c r="K3914" s="372"/>
      <c r="L3914" s="373"/>
      <c r="M3914" s="374"/>
      <c r="N3914" s="374"/>
      <c r="O3914" s="374"/>
      <c r="P3914" s="374"/>
      <c r="Q3914" s="374"/>
      <c r="R3914" s="375"/>
      <c r="S3914" s="376"/>
      <c r="T3914" s="377"/>
      <c r="U3914" s="378"/>
      <c r="V3914" s="379">
        <f ca="1">SUM(V3905:V3913)</f>
        <v>0</v>
      </c>
      <c r="W3914" s="256">
        <f t="shared" ca="1" si="1023"/>
        <v>1</v>
      </c>
      <c r="X3914" s="256">
        <f t="shared" ref="X3914:X4055" ca="1" si="1026">IF(COUNTA(OFFSET(A3913,1,0))-COUNTA(A3913)=-1,0,1)</f>
        <v>0</v>
      </c>
      <c r="Y3914" s="250"/>
      <c r="Z3914" s="250"/>
    </row>
    <row r="3915" spans="1:29" s="293" customFormat="1" ht="15.75" hidden="1" x14ac:dyDescent="0.25">
      <c r="A3915" s="288"/>
      <c r="B3915" s="1374" t="str">
        <f>VLOOKUP(A3923,'11 - FINANCEIRO'!_xlnm.Print_Area,1,FALSE)</f>
        <v>5.2.8</v>
      </c>
      <c r="C3915" s="1376" t="str">
        <f>VLOOKUP(A3923,'11 - FINANCEIRO'!_xlnm.Print_Area,3,FALSE)</f>
        <v>Sinalização Vertical Com Chapa Revestida Em Película, Inclusive Suporte Em Madeira</v>
      </c>
      <c r="D3915" s="1378" t="s">
        <v>477</v>
      </c>
      <c r="E3915" s="1379"/>
      <c r="F3915" s="1379"/>
      <c r="G3915" s="1379"/>
      <c r="H3915" s="1379"/>
      <c r="I3915" s="1380"/>
      <c r="J3915" s="1338" t="s">
        <v>478</v>
      </c>
      <c r="K3915" s="1338" t="s">
        <v>479</v>
      </c>
      <c r="L3915" s="1338" t="s">
        <v>480</v>
      </c>
      <c r="M3915" s="1338" t="s">
        <v>481</v>
      </c>
      <c r="N3915" s="1338" t="s">
        <v>482</v>
      </c>
      <c r="O3915" s="1338" t="s">
        <v>483</v>
      </c>
      <c r="P3915" s="290" t="s">
        <v>484</v>
      </c>
      <c r="Q3915" s="1338" t="s">
        <v>485</v>
      </c>
      <c r="R3915" s="1336" t="s">
        <v>296</v>
      </c>
      <c r="S3915" s="1338" t="s">
        <v>486</v>
      </c>
      <c r="T3915" s="1338" t="s">
        <v>487</v>
      </c>
      <c r="U3915" s="1340" t="s">
        <v>488</v>
      </c>
      <c r="V3915" s="291">
        <f t="shared" ref="V3915:V3923" ca="1" si="1027">IF(OFFSET(V3915,1,1)=1,OFFSET(V3915,0,-4),OFFSET(V3915,1,0))</f>
        <v>0</v>
      </c>
      <c r="W3915" s="256">
        <f t="shared" ca="1" si="1023"/>
        <v>2</v>
      </c>
      <c r="X3915" s="256">
        <f t="shared" ca="1" si="1026"/>
        <v>1</v>
      </c>
      <c r="Y3915" s="256"/>
      <c r="Z3915" s="256"/>
      <c r="AA3915" s="292"/>
      <c r="AB3915" s="292"/>
      <c r="AC3915" s="292"/>
    </row>
    <row r="3916" spans="1:29" s="337" customFormat="1" ht="15.75" hidden="1" x14ac:dyDescent="0.2">
      <c r="A3916" s="288"/>
      <c r="B3916" s="1375"/>
      <c r="C3916" s="1377" t="e">
        <f>VLOOKUP(LEFT(#REF!,5),'11 - FINANCEIRO'!_xlnm.Print_Area,2,FALSE)</f>
        <v>#REF!</v>
      </c>
      <c r="D3916" s="1342" t="s">
        <v>489</v>
      </c>
      <c r="E3916" s="1343"/>
      <c r="F3916" s="1344"/>
      <c r="G3916" s="1345" t="s">
        <v>490</v>
      </c>
      <c r="H3916" s="1346"/>
      <c r="I3916" s="1347"/>
      <c r="J3916" s="1339"/>
      <c r="K3916" s="1339"/>
      <c r="L3916" s="1339"/>
      <c r="M3916" s="1339"/>
      <c r="N3916" s="1339"/>
      <c r="O3916" s="1339"/>
      <c r="P3916" s="295" t="s">
        <v>491</v>
      </c>
      <c r="Q3916" s="1339"/>
      <c r="R3916" s="1337"/>
      <c r="S3916" s="1339"/>
      <c r="T3916" s="1339"/>
      <c r="U3916" s="1341"/>
      <c r="V3916" s="291">
        <f t="shared" ca="1" si="1027"/>
        <v>0</v>
      </c>
      <c r="W3916" s="256">
        <f t="shared" ca="1" si="1023"/>
        <v>2</v>
      </c>
      <c r="X3916" s="256">
        <f t="shared" ca="1" si="1026"/>
        <v>1</v>
      </c>
      <c r="Y3916" s="336"/>
      <c r="Z3916" s="336"/>
    </row>
    <row r="3917" spans="1:29" s="337" customFormat="1" ht="15.75" hidden="1" x14ac:dyDescent="0.2">
      <c r="A3917" s="288"/>
      <c r="B3917" s="296"/>
      <c r="C3917" s="297"/>
      <c r="D3917" s="298"/>
      <c r="E3917" s="299"/>
      <c r="F3917" s="300"/>
      <c r="G3917" s="301"/>
      <c r="H3917" s="302"/>
      <c r="I3917" s="303"/>
      <c r="J3917" s="304"/>
      <c r="K3917" s="304"/>
      <c r="L3917" s="304"/>
      <c r="M3917" s="304"/>
      <c r="N3917" s="304"/>
      <c r="O3917" s="304"/>
      <c r="P3917" s="306"/>
      <c r="Q3917" s="304"/>
      <c r="R3917" s="307"/>
      <c r="S3917" s="304"/>
      <c r="T3917" s="309"/>
      <c r="U3917" s="310"/>
      <c r="V3917" s="291">
        <f t="shared" ca="1" si="1027"/>
        <v>0</v>
      </c>
      <c r="W3917" s="256">
        <f t="shared" ca="1" si="1023"/>
        <v>0</v>
      </c>
      <c r="X3917" s="256">
        <f t="shared" ca="1" si="1026"/>
        <v>1</v>
      </c>
      <c r="Y3917" s="336"/>
      <c r="Z3917" s="336"/>
    </row>
    <row r="3918" spans="1:29" s="111" customFormat="1" ht="15.75" hidden="1" x14ac:dyDescent="0.2">
      <c r="A3918" s="288"/>
      <c r="B3918" s="311"/>
      <c r="C3918" s="312"/>
      <c r="D3918" s="313"/>
      <c r="E3918" s="314"/>
      <c r="F3918" s="315"/>
      <c r="G3918" s="380"/>
      <c r="H3918" s="316"/>
      <c r="I3918" s="381"/>
      <c r="J3918" s="317"/>
      <c r="K3918" s="313"/>
      <c r="L3918" s="317"/>
      <c r="M3918" s="315"/>
      <c r="N3918" s="314"/>
      <c r="O3918" s="313"/>
      <c r="P3918" s="318"/>
      <c r="Q3918" s="315"/>
      <c r="R3918" s="319"/>
      <c r="S3918" s="317"/>
      <c r="T3918" s="320"/>
      <c r="U3918" s="321"/>
      <c r="V3918" s="291">
        <f t="shared" ca="1" si="1027"/>
        <v>0</v>
      </c>
      <c r="W3918" s="256">
        <f t="shared" ca="1" si="1023"/>
        <v>0</v>
      </c>
      <c r="X3918" s="256">
        <f t="shared" ca="1" si="1026"/>
        <v>1</v>
      </c>
      <c r="Y3918" s="250"/>
      <c r="Z3918" s="250"/>
    </row>
    <row r="3919" spans="1:29" s="111" customFormat="1" ht="15" hidden="1" x14ac:dyDescent="0.2">
      <c r="A3919" s="288"/>
      <c r="B3919" s="322"/>
      <c r="C3919" s="382"/>
      <c r="D3919" s="324"/>
      <c r="E3919" s="325"/>
      <c r="F3919" s="326"/>
      <c r="G3919" s="324"/>
      <c r="H3919" s="325"/>
      <c r="I3919" s="326"/>
      <c r="J3919" s="317"/>
      <c r="K3919" s="328"/>
      <c r="L3919" s="328"/>
      <c r="M3919" s="328"/>
      <c r="N3919" s="328"/>
      <c r="O3919" s="334"/>
      <c r="P3919" s="328"/>
      <c r="Q3919" s="334"/>
      <c r="R3919" s="333"/>
      <c r="S3919" s="331"/>
      <c r="T3919" s="320"/>
      <c r="U3919" s="335"/>
      <c r="V3919" s="291">
        <f t="shared" ca="1" si="1027"/>
        <v>0</v>
      </c>
      <c r="W3919" s="256">
        <f t="shared" ca="1" si="1023"/>
        <v>0</v>
      </c>
      <c r="X3919" s="256">
        <f t="shared" ca="1" si="1026"/>
        <v>1</v>
      </c>
      <c r="Y3919" s="250"/>
      <c r="Z3919" s="250"/>
    </row>
    <row r="3920" spans="1:29" s="111" customFormat="1" ht="15" hidden="1" x14ac:dyDescent="0.2">
      <c r="A3920" s="288"/>
      <c r="B3920" s="338"/>
      <c r="C3920" s="339"/>
      <c r="D3920" s="340"/>
      <c r="E3920" s="341"/>
      <c r="F3920" s="342"/>
      <c r="G3920" s="340"/>
      <c r="H3920" s="341"/>
      <c r="I3920" s="342"/>
      <c r="J3920" s="343"/>
      <c r="K3920" s="344"/>
      <c r="L3920" s="345"/>
      <c r="M3920" s="346"/>
      <c r="N3920" s="347"/>
      <c r="O3920" s="348"/>
      <c r="P3920" s="345"/>
      <c r="Q3920" s="349"/>
      <c r="R3920" s="350"/>
      <c r="S3920" s="351"/>
      <c r="T3920" s="352"/>
      <c r="U3920" s="353"/>
      <c r="V3920" s="291">
        <f t="shared" ca="1" si="1027"/>
        <v>0</v>
      </c>
      <c r="W3920" s="256">
        <f t="shared" ca="1" si="1023"/>
        <v>0</v>
      </c>
      <c r="X3920" s="256">
        <f t="shared" ca="1" si="1026"/>
        <v>1</v>
      </c>
      <c r="Y3920" s="250"/>
      <c r="Z3920" s="250"/>
    </row>
    <row r="3921" spans="1:29" s="111" customFormat="1" ht="15.75" hidden="1" x14ac:dyDescent="0.2">
      <c r="A3921" s="288"/>
      <c r="B3921" s="354"/>
      <c r="C3921" s="355"/>
      <c r="D3921" s="1354" t="s">
        <v>492</v>
      </c>
      <c r="E3921" s="1355"/>
      <c r="F3921" s="1355"/>
      <c r="G3921" s="1355"/>
      <c r="H3921" s="1355"/>
      <c r="I3921" s="1356"/>
      <c r="J3921" s="1357">
        <f>VLOOKUP(A3923,'11 - FINANCEIRO'!_xlnm.Print_Area,6,FALSE)</f>
        <v>21.87</v>
      </c>
      <c r="K3921" s="1358"/>
      <c r="L3921" s="356" t="str">
        <f>VLOOKUP(A3923,'11 - FINANCEIRO'!_xlnm.Print_Area,4,FALSE)</f>
        <v>m²</v>
      </c>
      <c r="M3921" s="1359" t="s">
        <v>493</v>
      </c>
      <c r="N3921" s="1360"/>
      <c r="O3921" s="1360"/>
      <c r="P3921" s="1360"/>
      <c r="Q3921" s="1361"/>
      <c r="R3921" s="357">
        <f>TRUNC(SUM(R3917:R3920),3)</f>
        <v>0</v>
      </c>
      <c r="S3921" s="358" t="str">
        <f>L3921</f>
        <v>m²</v>
      </c>
      <c r="T3921" s="359"/>
      <c r="U3921" s="360"/>
      <c r="V3921" s="291">
        <f t="shared" ca="1" si="1027"/>
        <v>0</v>
      </c>
      <c r="W3921" s="256">
        <f t="shared" ca="1" si="1023"/>
        <v>2</v>
      </c>
      <c r="X3921" s="256">
        <f t="shared" ca="1" si="1026"/>
        <v>1</v>
      </c>
      <c r="Y3921" s="250"/>
      <c r="Z3921" s="250"/>
    </row>
    <row r="3922" spans="1:29" s="395" customFormat="1" ht="15.75" hidden="1" x14ac:dyDescent="0.2">
      <c r="A3922" s="276"/>
      <c r="B3922" s="354"/>
      <c r="C3922" s="361"/>
      <c r="D3922" s="1362" t="s">
        <v>494</v>
      </c>
      <c r="E3922" s="1363"/>
      <c r="F3922" s="1363"/>
      <c r="G3922" s="1363"/>
      <c r="H3922" s="1363"/>
      <c r="I3922" s="1364"/>
      <c r="J3922" s="1365">
        <f>R3921/J3921</f>
        <v>0</v>
      </c>
      <c r="K3922" s="1366"/>
      <c r="L3922" s="1369"/>
      <c r="M3922" s="1371" t="s">
        <v>495</v>
      </c>
      <c r="N3922" s="1372"/>
      <c r="O3922" s="1372"/>
      <c r="P3922" s="1372"/>
      <c r="Q3922" s="1373"/>
      <c r="R3922" s="362">
        <f>VLOOKUP(A3923,'11 - FINANCEIRO'!_xlnm.Print_Area,8,FALSE)</f>
        <v>0</v>
      </c>
      <c r="S3922" s="363" t="str">
        <f>L3921</f>
        <v>m²</v>
      </c>
      <c r="T3922" s="359"/>
      <c r="U3922" s="360"/>
      <c r="V3922" s="291">
        <f t="shared" ca="1" si="1027"/>
        <v>0</v>
      </c>
      <c r="W3922" s="256">
        <f t="shared" ca="1" si="1023"/>
        <v>2</v>
      </c>
      <c r="X3922" s="256">
        <f t="shared" ca="1" si="1026"/>
        <v>1</v>
      </c>
    </row>
    <row r="3923" spans="1:29" s="293" customFormat="1" ht="15.75" hidden="1" x14ac:dyDescent="0.2">
      <c r="A3923" s="288" t="s">
        <v>264</v>
      </c>
      <c r="B3923" s="364"/>
      <c r="C3923" s="365"/>
      <c r="D3923" s="1354"/>
      <c r="E3923" s="1355"/>
      <c r="F3923" s="1355"/>
      <c r="G3923" s="1355"/>
      <c r="H3923" s="1355"/>
      <c r="I3923" s="1356"/>
      <c r="J3923" s="1367"/>
      <c r="K3923" s="1368"/>
      <c r="L3923" s="1370"/>
      <c r="M3923" s="1371" t="s">
        <v>496</v>
      </c>
      <c r="N3923" s="1372"/>
      <c r="O3923" s="1372"/>
      <c r="P3923" s="1372"/>
      <c r="Q3923" s="1373"/>
      <c r="R3923" s="362">
        <f>R3921-R3922</f>
        <v>0</v>
      </c>
      <c r="S3923" s="363" t="str">
        <f>L3921</f>
        <v>m²</v>
      </c>
      <c r="T3923" s="366"/>
      <c r="U3923" s="367"/>
      <c r="V3923" s="291">
        <f t="shared" ca="1" si="1027"/>
        <v>0</v>
      </c>
      <c r="W3923" s="256">
        <f t="shared" ca="1" si="1023"/>
        <v>2</v>
      </c>
      <c r="X3923" s="256">
        <f t="shared" ca="1" si="1026"/>
        <v>1</v>
      </c>
      <c r="Y3923" s="256"/>
      <c r="Z3923" s="256"/>
      <c r="AA3923" s="292"/>
      <c r="AB3923" s="292"/>
      <c r="AC3923" s="292"/>
    </row>
    <row r="3924" spans="1:29" s="111" customFormat="1" ht="15.75" hidden="1" x14ac:dyDescent="0.2">
      <c r="A3924" s="288"/>
      <c r="B3924" s="368"/>
      <c r="C3924" s="365"/>
      <c r="D3924" s="369"/>
      <c r="E3924" s="370"/>
      <c r="F3924" s="369"/>
      <c r="G3924" s="369"/>
      <c r="H3924" s="369"/>
      <c r="I3924" s="369"/>
      <c r="J3924" s="371"/>
      <c r="K3924" s="372"/>
      <c r="L3924" s="373"/>
      <c r="M3924" s="374"/>
      <c r="N3924" s="374"/>
      <c r="O3924" s="374"/>
      <c r="P3924" s="374"/>
      <c r="Q3924" s="374"/>
      <c r="R3924" s="375"/>
      <c r="S3924" s="376"/>
      <c r="T3924" s="377"/>
      <c r="U3924" s="378"/>
      <c r="V3924" s="379">
        <f ca="1">SUM(V3915:V3923)</f>
        <v>0</v>
      </c>
      <c r="W3924" s="256">
        <f t="shared" ca="1" si="1023"/>
        <v>1</v>
      </c>
      <c r="X3924" s="256">
        <f t="shared" ca="1" si="1026"/>
        <v>0</v>
      </c>
      <c r="Y3924" s="250"/>
      <c r="Z3924" s="250"/>
    </row>
    <row r="3925" spans="1:29" s="293" customFormat="1" ht="15.75" x14ac:dyDescent="0.2">
      <c r="A3925" s="288"/>
      <c r="B3925" s="385" t="str">
        <f>LEFT(A3945,9)</f>
        <v>5.3</v>
      </c>
      <c r="C3925" s="386" t="str">
        <f>VLOOKUP(LEFT(A3945,9),'11 - FINANCEIRO'!_xlnm.Print_Area,2,FALSE)</f>
        <v>Paisagismo</v>
      </c>
      <c r="D3925" s="386"/>
      <c r="E3925" s="387"/>
      <c r="F3925" s="386"/>
      <c r="G3925" s="388"/>
      <c r="H3925" s="391"/>
      <c r="I3925" s="391"/>
      <c r="J3925" s="610"/>
      <c r="K3925" s="610"/>
      <c r="L3925" s="610"/>
      <c r="M3925" s="611"/>
      <c r="N3925" s="612"/>
      <c r="O3925" s="611"/>
      <c r="P3925" s="611"/>
      <c r="Q3925" s="611"/>
      <c r="R3925" s="612"/>
      <c r="S3925" s="611"/>
      <c r="T3925" s="611"/>
      <c r="U3925" s="613"/>
      <c r="V3925" s="549">
        <f ca="1">SUM(V3926:V3957)</f>
        <v>21787.5</v>
      </c>
      <c r="W3925" s="256">
        <f t="shared" ca="1" si="1023"/>
        <v>1</v>
      </c>
      <c r="X3925" s="256">
        <f t="shared" ca="1" si="1026"/>
        <v>1</v>
      </c>
      <c r="Y3925" s="256"/>
      <c r="Z3925" s="256"/>
      <c r="AA3925" s="292"/>
      <c r="AB3925" s="292"/>
      <c r="AC3925" s="292"/>
    </row>
    <row r="3926" spans="1:29" s="293" customFormat="1" ht="15.75" x14ac:dyDescent="0.25">
      <c r="A3926" s="288"/>
      <c r="B3926" s="1374" t="str">
        <f>VLOOKUP(A3946,'11 - FINANCEIRO'!_xlnm.Print_Area,1,FALSE)</f>
        <v>5.3.1</v>
      </c>
      <c r="C3926" s="1376" t="str">
        <f>VLOOKUP(A3946,'11 - FINANCEIRO'!_xlnm.Print_Area,3,FALSE)</f>
        <v>Fornecimento E Plantio De Grama Em Placas Tipo Esmeralda, Inclusive Fornecimento De Terra Vegetal</v>
      </c>
      <c r="D3926" s="1378" t="s">
        <v>477</v>
      </c>
      <c r="E3926" s="1379"/>
      <c r="F3926" s="1379"/>
      <c r="G3926" s="1379"/>
      <c r="H3926" s="1379"/>
      <c r="I3926" s="1380"/>
      <c r="J3926" s="1338" t="s">
        <v>478</v>
      </c>
      <c r="K3926" s="1338" t="s">
        <v>479</v>
      </c>
      <c r="L3926" s="1338" t="s">
        <v>480</v>
      </c>
      <c r="M3926" s="1338" t="s">
        <v>481</v>
      </c>
      <c r="N3926" s="1338" t="s">
        <v>482</v>
      </c>
      <c r="O3926" s="1338" t="s">
        <v>483</v>
      </c>
      <c r="P3926" s="290" t="s">
        <v>484</v>
      </c>
      <c r="Q3926" s="1338" t="s">
        <v>485</v>
      </c>
      <c r="R3926" s="1336" t="s">
        <v>296</v>
      </c>
      <c r="S3926" s="1338" t="s">
        <v>486</v>
      </c>
      <c r="T3926" s="1338" t="s">
        <v>487</v>
      </c>
      <c r="U3926" s="1340" t="s">
        <v>488</v>
      </c>
      <c r="V3926" s="291">
        <f t="shared" ref="V3926:V3946" ca="1" si="1028">IF(OFFSET(V3926,1,1)=1,OFFSET(V3926,0,-4),OFFSET(V3926,1,0))</f>
        <v>518.75</v>
      </c>
      <c r="W3926" s="256">
        <f t="shared" ca="1" si="1023"/>
        <v>2</v>
      </c>
      <c r="X3926" s="256">
        <f t="shared" ca="1" si="1026"/>
        <v>1</v>
      </c>
      <c r="Y3926" s="256"/>
      <c r="Z3926" s="256"/>
      <c r="AA3926" s="292"/>
      <c r="AB3926" s="292"/>
      <c r="AC3926" s="292"/>
    </row>
    <row r="3927" spans="1:29" s="337" customFormat="1" ht="15.75" x14ac:dyDescent="0.2">
      <c r="A3927" s="288"/>
      <c r="B3927" s="1375"/>
      <c r="C3927" s="1377" t="e">
        <f>VLOOKUP(LEFT(#REF!,5),'11 - FINANCEIRO'!_xlnm.Print_Area,2,FALSE)</f>
        <v>#REF!</v>
      </c>
      <c r="D3927" s="1342" t="s">
        <v>489</v>
      </c>
      <c r="E3927" s="1343"/>
      <c r="F3927" s="1344"/>
      <c r="G3927" s="1345" t="s">
        <v>490</v>
      </c>
      <c r="H3927" s="1346"/>
      <c r="I3927" s="1347"/>
      <c r="J3927" s="1339"/>
      <c r="K3927" s="1339"/>
      <c r="L3927" s="1339"/>
      <c r="M3927" s="1339"/>
      <c r="N3927" s="1339"/>
      <c r="O3927" s="1339"/>
      <c r="P3927" s="295" t="s">
        <v>491</v>
      </c>
      <c r="Q3927" s="1339"/>
      <c r="R3927" s="1337"/>
      <c r="S3927" s="1339"/>
      <c r="T3927" s="1339"/>
      <c r="U3927" s="1341"/>
      <c r="V3927" s="291">
        <f t="shared" ca="1" si="1028"/>
        <v>518.75</v>
      </c>
      <c r="W3927" s="256">
        <f t="shared" ref="W3927:W3946" ca="1" si="1029">IF(LEFT(_xlfn.FORMULATEXT(V3927),3)="=SO",1,IF(COUNTA(A3927:U3927)=0,0,2))</f>
        <v>2</v>
      </c>
      <c r="X3927" s="256">
        <f t="shared" ref="X3927:X3946" ca="1" si="1030">IF(COUNTA(OFFSET(A3926,1,0))-COUNTA(A3926)=-1,0,1)</f>
        <v>1</v>
      </c>
      <c r="Y3927" s="336"/>
      <c r="Z3927" s="336"/>
    </row>
    <row r="3928" spans="1:29" s="337" customFormat="1" ht="15.75" x14ac:dyDescent="0.2">
      <c r="A3928" s="288"/>
      <c r="B3928" s="296"/>
      <c r="C3928" s="297" t="s">
        <v>667</v>
      </c>
      <c r="D3928" s="583">
        <v>5</v>
      </c>
      <c r="E3928" s="584" t="s">
        <v>518</v>
      </c>
      <c r="F3928" s="585">
        <v>0</v>
      </c>
      <c r="G3928" s="586">
        <v>30</v>
      </c>
      <c r="H3928" s="587" t="s">
        <v>518</v>
      </c>
      <c r="I3928" s="588">
        <v>0</v>
      </c>
      <c r="J3928" s="589"/>
      <c r="K3928" s="590">
        <f>ABS((G3928*20+I3928)-(D3928*20+F3928))</f>
        <v>500</v>
      </c>
      <c r="L3928" s="304"/>
      <c r="M3928" s="304"/>
      <c r="N3928" s="304"/>
      <c r="O3928" s="304"/>
      <c r="P3928" s="306"/>
      <c r="Q3928" s="304"/>
      <c r="R3928" s="307">
        <v>1600</v>
      </c>
      <c r="S3928" s="589" t="s">
        <v>301</v>
      </c>
      <c r="T3928" s="593">
        <v>26</v>
      </c>
      <c r="U3928" s="310"/>
      <c r="V3928" s="291">
        <f t="shared" ca="1" si="1028"/>
        <v>518.75</v>
      </c>
      <c r="W3928" s="256">
        <f t="shared" ca="1" si="1029"/>
        <v>2</v>
      </c>
      <c r="X3928" s="256">
        <f t="shared" ca="1" si="1030"/>
        <v>1</v>
      </c>
      <c r="Y3928" s="336"/>
      <c r="Z3928" s="336"/>
    </row>
    <row r="3929" spans="1:29" s="337" customFormat="1" ht="15.75" x14ac:dyDescent="0.2">
      <c r="A3929" s="288"/>
      <c r="B3929" s="512"/>
      <c r="C3929" s="426"/>
      <c r="D3929" s="1165"/>
      <c r="E3929" s="972"/>
      <c r="F3929" s="1002"/>
      <c r="G3929" s="1134"/>
      <c r="H3929" s="1166"/>
      <c r="I3929" s="1077"/>
      <c r="J3929" s="774"/>
      <c r="K3929" s="1148"/>
      <c r="L3929" s="1110"/>
      <c r="M3929" s="513"/>
      <c r="N3929" s="520"/>
      <c r="O3929" s="519"/>
      <c r="P3929" s="428"/>
      <c r="Q3929" s="513"/>
      <c r="R3929" s="524"/>
      <c r="S3929" s="774"/>
      <c r="T3929" s="792"/>
      <c r="U3929" s="765"/>
      <c r="V3929" s="291">
        <f t="shared" ca="1" si="1028"/>
        <v>518.75</v>
      </c>
      <c r="W3929" s="256">
        <f t="shared" ca="1" si="1029"/>
        <v>0</v>
      </c>
      <c r="X3929" s="256">
        <f t="shared" ca="1" si="1030"/>
        <v>1</v>
      </c>
      <c r="Y3929" s="336"/>
      <c r="Z3929" s="336"/>
    </row>
    <row r="3930" spans="1:29" s="337" customFormat="1" ht="15.75" x14ac:dyDescent="0.2">
      <c r="A3930" s="288"/>
      <c r="B3930" s="512"/>
      <c r="C3930" s="312" t="s">
        <v>1301</v>
      </c>
      <c r="D3930" s="417">
        <v>62</v>
      </c>
      <c r="E3930" s="314" t="s">
        <v>518</v>
      </c>
      <c r="F3930" s="418">
        <v>15</v>
      </c>
      <c r="G3930" s="419">
        <v>60</v>
      </c>
      <c r="H3930" s="316" t="s">
        <v>518</v>
      </c>
      <c r="I3930" s="420">
        <v>0</v>
      </c>
      <c r="J3930" s="317"/>
      <c r="K3930" s="421">
        <f>ABS((G3930*20+I3930)-(D3930*20+F3930))</f>
        <v>55</v>
      </c>
      <c r="L3930" s="433">
        <v>2</v>
      </c>
      <c r="M3930" s="315"/>
      <c r="N3930" s="314"/>
      <c r="O3930" s="313"/>
      <c r="P3930" s="318"/>
      <c r="Q3930" s="315"/>
      <c r="R3930" s="319">
        <f>K3930*L3930</f>
        <v>110</v>
      </c>
      <c r="S3930" s="421" t="str">
        <f>L$3944</f>
        <v>m²</v>
      </c>
      <c r="T3930" s="320">
        <v>41</v>
      </c>
      <c r="U3930" s="765"/>
      <c r="V3930" s="291">
        <f t="shared" ca="1" si="1028"/>
        <v>518.75</v>
      </c>
      <c r="W3930" s="256">
        <f t="shared" ca="1" si="1029"/>
        <v>2</v>
      </c>
      <c r="X3930" s="256">
        <f t="shared" ca="1" si="1030"/>
        <v>1</v>
      </c>
      <c r="Y3930" s="336"/>
      <c r="Z3930" s="336"/>
    </row>
    <row r="3931" spans="1:29" s="337" customFormat="1" ht="15.75" x14ac:dyDescent="0.2">
      <c r="A3931" s="288"/>
      <c r="B3931" s="512"/>
      <c r="C3931" s="312" t="s">
        <v>1301</v>
      </c>
      <c r="D3931" s="417">
        <v>65</v>
      </c>
      <c r="E3931" s="314" t="s">
        <v>518</v>
      </c>
      <c r="F3931" s="418">
        <v>4</v>
      </c>
      <c r="G3931" s="417">
        <v>62</v>
      </c>
      <c r="H3931" s="314" t="s">
        <v>518</v>
      </c>
      <c r="I3931" s="418">
        <v>15</v>
      </c>
      <c r="J3931" s="317"/>
      <c r="K3931" s="421">
        <f t="shared" ref="K3931:K3938" si="1031">ABS((G3931*20+I3931)-(D3931*20+F3931))</f>
        <v>49</v>
      </c>
      <c r="L3931" s="433">
        <f>(2.5+3.1)/2</f>
        <v>2.8</v>
      </c>
      <c r="M3931" s="315"/>
      <c r="N3931" s="314"/>
      <c r="O3931" s="313"/>
      <c r="P3931" s="318"/>
      <c r="Q3931" s="315"/>
      <c r="R3931" s="319">
        <f t="shared" ref="R3931:R3936" si="1032">K3931*L3931</f>
        <v>137.19999999999999</v>
      </c>
      <c r="S3931" s="421" t="str">
        <f t="shared" ref="S3931:S3940" si="1033">L$3944</f>
        <v>m²</v>
      </c>
      <c r="T3931" s="320">
        <v>41</v>
      </c>
      <c r="U3931" s="765"/>
      <c r="V3931" s="291">
        <f t="shared" ca="1" si="1028"/>
        <v>518.75</v>
      </c>
      <c r="W3931" s="256">
        <f t="shared" ca="1" si="1029"/>
        <v>2</v>
      </c>
      <c r="X3931" s="256">
        <f t="shared" ca="1" si="1030"/>
        <v>1</v>
      </c>
      <c r="Y3931" s="336"/>
      <c r="Z3931" s="336"/>
    </row>
    <row r="3932" spans="1:29" s="337" customFormat="1" ht="15.75" x14ac:dyDescent="0.2">
      <c r="A3932" s="288"/>
      <c r="B3932" s="512"/>
      <c r="C3932" s="312" t="s">
        <v>1301</v>
      </c>
      <c r="D3932" s="417">
        <v>66</v>
      </c>
      <c r="E3932" s="314" t="s">
        <v>518</v>
      </c>
      <c r="F3932" s="418">
        <v>2.8</v>
      </c>
      <c r="G3932" s="417">
        <v>65</v>
      </c>
      <c r="H3932" s="314" t="s">
        <v>518</v>
      </c>
      <c r="I3932" s="418">
        <v>4</v>
      </c>
      <c r="J3932" s="317"/>
      <c r="K3932" s="421">
        <f t="shared" si="1031"/>
        <v>18.799999999999955</v>
      </c>
      <c r="L3932" s="433">
        <v>2.87</v>
      </c>
      <c r="M3932" s="315"/>
      <c r="N3932" s="314"/>
      <c r="O3932" s="313"/>
      <c r="P3932" s="318"/>
      <c r="Q3932" s="315"/>
      <c r="R3932" s="319">
        <f t="shared" si="1032"/>
        <v>53.955999999999868</v>
      </c>
      <c r="S3932" s="421" t="str">
        <f t="shared" si="1033"/>
        <v>m²</v>
      </c>
      <c r="T3932" s="320">
        <v>41</v>
      </c>
      <c r="U3932" s="765"/>
      <c r="V3932" s="291">
        <f t="shared" ca="1" si="1028"/>
        <v>518.75</v>
      </c>
      <c r="W3932" s="256">
        <f t="shared" ca="1" si="1029"/>
        <v>2</v>
      </c>
      <c r="X3932" s="256">
        <f t="shared" ca="1" si="1030"/>
        <v>1</v>
      </c>
      <c r="Y3932" s="336"/>
      <c r="Z3932" s="336"/>
    </row>
    <row r="3933" spans="1:29" s="337" customFormat="1" ht="15.75" x14ac:dyDescent="0.2">
      <c r="A3933" s="288"/>
      <c r="B3933" s="512"/>
      <c r="C3933" s="312" t="s">
        <v>1301</v>
      </c>
      <c r="D3933" s="417">
        <v>67</v>
      </c>
      <c r="E3933" s="314" t="s">
        <v>518</v>
      </c>
      <c r="F3933" s="418">
        <v>1.5</v>
      </c>
      <c r="G3933" s="417">
        <v>66</v>
      </c>
      <c r="H3933" s="314" t="s">
        <v>518</v>
      </c>
      <c r="I3933" s="418">
        <v>2.8</v>
      </c>
      <c r="J3933" s="317"/>
      <c r="K3933" s="421">
        <f t="shared" si="1031"/>
        <v>18.700000000000045</v>
      </c>
      <c r="L3933" s="433">
        <v>1.85</v>
      </c>
      <c r="M3933" s="315"/>
      <c r="N3933" s="314"/>
      <c r="O3933" s="313"/>
      <c r="P3933" s="318"/>
      <c r="Q3933" s="315"/>
      <c r="R3933" s="319">
        <f t="shared" si="1032"/>
        <v>34.595000000000084</v>
      </c>
      <c r="S3933" s="421" t="str">
        <f t="shared" si="1033"/>
        <v>m²</v>
      </c>
      <c r="T3933" s="320">
        <v>41</v>
      </c>
      <c r="U3933" s="765"/>
      <c r="V3933" s="291">
        <f t="shared" ca="1" si="1028"/>
        <v>518.75</v>
      </c>
      <c r="W3933" s="256">
        <f t="shared" ca="1" si="1029"/>
        <v>2</v>
      </c>
      <c r="X3933" s="256">
        <f t="shared" ca="1" si="1030"/>
        <v>1</v>
      </c>
      <c r="Y3933" s="336"/>
      <c r="Z3933" s="336"/>
    </row>
    <row r="3934" spans="1:29" s="337" customFormat="1" ht="15.75" x14ac:dyDescent="0.2">
      <c r="A3934" s="288"/>
      <c r="B3934" s="512"/>
      <c r="C3934" s="312" t="s">
        <v>1301</v>
      </c>
      <c r="D3934" s="417">
        <v>67</v>
      </c>
      <c r="E3934" s="314" t="s">
        <v>518</v>
      </c>
      <c r="F3934" s="418">
        <v>10.8</v>
      </c>
      <c r="G3934" s="417">
        <v>67</v>
      </c>
      <c r="H3934" s="314" t="s">
        <v>518</v>
      </c>
      <c r="I3934" s="418">
        <v>1.5</v>
      </c>
      <c r="J3934" s="317"/>
      <c r="K3934" s="421">
        <f t="shared" si="1031"/>
        <v>9.2999999999999545</v>
      </c>
      <c r="L3934" s="433">
        <v>1.85</v>
      </c>
      <c r="M3934" s="315"/>
      <c r="N3934" s="314"/>
      <c r="O3934" s="313"/>
      <c r="P3934" s="318"/>
      <c r="Q3934" s="315"/>
      <c r="R3934" s="319">
        <f t="shared" si="1032"/>
        <v>17.204999999999917</v>
      </c>
      <c r="S3934" s="421" t="str">
        <f t="shared" si="1033"/>
        <v>m²</v>
      </c>
      <c r="T3934" s="320">
        <v>41</v>
      </c>
      <c r="U3934" s="765"/>
      <c r="V3934" s="291">
        <f t="shared" ca="1" si="1028"/>
        <v>518.75</v>
      </c>
      <c r="W3934" s="256">
        <f t="shared" ca="1" si="1029"/>
        <v>2</v>
      </c>
      <c r="X3934" s="256">
        <f t="shared" ca="1" si="1030"/>
        <v>1</v>
      </c>
      <c r="Y3934" s="336"/>
      <c r="Z3934" s="336"/>
    </row>
    <row r="3935" spans="1:29" s="337" customFormat="1" ht="15.75" x14ac:dyDescent="0.2">
      <c r="A3935" s="288"/>
      <c r="B3935" s="512"/>
      <c r="C3935" s="312" t="s">
        <v>1301</v>
      </c>
      <c r="D3935" s="417">
        <v>70</v>
      </c>
      <c r="E3935" s="314" t="s">
        <v>518</v>
      </c>
      <c r="F3935" s="418">
        <v>6.1</v>
      </c>
      <c r="G3935" s="417">
        <v>67</v>
      </c>
      <c r="H3935" s="314" t="s">
        <v>518</v>
      </c>
      <c r="I3935" s="418">
        <v>10.8</v>
      </c>
      <c r="J3935" s="317"/>
      <c r="K3935" s="421">
        <f t="shared" si="1031"/>
        <v>55.299999999999955</v>
      </c>
      <c r="L3935" s="433">
        <v>3.1</v>
      </c>
      <c r="M3935" s="315"/>
      <c r="N3935" s="314"/>
      <c r="O3935" s="313"/>
      <c r="P3935" s="318"/>
      <c r="Q3935" s="315"/>
      <c r="R3935" s="319">
        <f t="shared" si="1032"/>
        <v>171.42999999999986</v>
      </c>
      <c r="S3935" s="421" t="str">
        <f t="shared" si="1033"/>
        <v>m²</v>
      </c>
      <c r="T3935" s="320">
        <v>41</v>
      </c>
      <c r="U3935" s="765"/>
      <c r="V3935" s="291">
        <f t="shared" ca="1" si="1028"/>
        <v>518.75</v>
      </c>
      <c r="W3935" s="256">
        <f t="shared" ca="1" si="1029"/>
        <v>2</v>
      </c>
      <c r="X3935" s="256">
        <f t="shared" ca="1" si="1030"/>
        <v>1</v>
      </c>
      <c r="Y3935" s="336"/>
      <c r="Z3935" s="336"/>
    </row>
    <row r="3936" spans="1:29" s="337" customFormat="1" ht="15.75" x14ac:dyDescent="0.2">
      <c r="A3936" s="288"/>
      <c r="B3936" s="512"/>
      <c r="C3936" s="312" t="s">
        <v>1301</v>
      </c>
      <c r="D3936" s="417">
        <v>70</v>
      </c>
      <c r="E3936" s="314" t="s">
        <v>518</v>
      </c>
      <c r="F3936" s="418">
        <v>18.5</v>
      </c>
      <c r="G3936" s="417">
        <v>70</v>
      </c>
      <c r="H3936" s="314" t="s">
        <v>518</v>
      </c>
      <c r="I3936" s="418">
        <v>6.1</v>
      </c>
      <c r="J3936" s="317"/>
      <c r="K3936" s="421">
        <f t="shared" si="1031"/>
        <v>12.400000000000091</v>
      </c>
      <c r="L3936" s="433">
        <v>1.8</v>
      </c>
      <c r="M3936" s="315"/>
      <c r="N3936" s="314"/>
      <c r="O3936" s="313"/>
      <c r="P3936" s="318"/>
      <c r="Q3936" s="315"/>
      <c r="R3936" s="319">
        <f t="shared" si="1032"/>
        <v>22.320000000000164</v>
      </c>
      <c r="S3936" s="421" t="str">
        <f t="shared" si="1033"/>
        <v>m²</v>
      </c>
      <c r="T3936" s="320">
        <v>41</v>
      </c>
      <c r="U3936" s="765"/>
      <c r="V3936" s="291">
        <f t="shared" ca="1" si="1028"/>
        <v>518.75</v>
      </c>
      <c r="W3936" s="256">
        <f t="shared" ca="1" si="1029"/>
        <v>2</v>
      </c>
      <c r="X3936" s="256">
        <f t="shared" ca="1" si="1030"/>
        <v>1</v>
      </c>
      <c r="Y3936" s="336"/>
      <c r="Z3936" s="336"/>
    </row>
    <row r="3937" spans="1:29" s="337" customFormat="1" ht="15.75" x14ac:dyDescent="0.2">
      <c r="A3937" s="288"/>
      <c r="B3937" s="512"/>
      <c r="C3937" s="312" t="s">
        <v>1302</v>
      </c>
      <c r="D3937" s="417">
        <v>52</v>
      </c>
      <c r="E3937" s="314" t="s">
        <v>518</v>
      </c>
      <c r="F3937" s="418">
        <v>0</v>
      </c>
      <c r="G3937" s="496">
        <v>58</v>
      </c>
      <c r="H3937" s="497" t="s">
        <v>518</v>
      </c>
      <c r="I3937" s="498">
        <v>12.6</v>
      </c>
      <c r="J3937" s="317"/>
      <c r="K3937" s="421">
        <f t="shared" si="1031"/>
        <v>132.59999999999991</v>
      </c>
      <c r="L3937" s="433">
        <v>3.1</v>
      </c>
      <c r="M3937" s="315">
        <v>2</v>
      </c>
      <c r="N3937" s="314"/>
      <c r="O3937" s="313"/>
      <c r="P3937" s="318"/>
      <c r="Q3937" s="315"/>
      <c r="R3937" s="319">
        <f>(K3937*L3937)/M3937</f>
        <v>205.52999999999986</v>
      </c>
      <c r="S3937" s="421" t="str">
        <f t="shared" si="1033"/>
        <v>m²</v>
      </c>
      <c r="T3937" s="320">
        <v>41</v>
      </c>
      <c r="U3937" s="765"/>
      <c r="V3937" s="291">
        <f t="shared" ca="1" si="1028"/>
        <v>518.75</v>
      </c>
      <c r="W3937" s="256">
        <f t="shared" ca="1" si="1029"/>
        <v>2</v>
      </c>
      <c r="X3937" s="256">
        <f t="shared" ca="1" si="1030"/>
        <v>1</v>
      </c>
      <c r="Y3937" s="336"/>
      <c r="Z3937" s="336"/>
    </row>
    <row r="3938" spans="1:29" s="337" customFormat="1" ht="15.75" x14ac:dyDescent="0.2">
      <c r="A3938" s="288"/>
      <c r="B3938" s="512"/>
      <c r="C3938" s="312" t="s">
        <v>1302</v>
      </c>
      <c r="D3938" s="417">
        <v>79</v>
      </c>
      <c r="E3938" s="314" t="s">
        <v>518</v>
      </c>
      <c r="F3938" s="418">
        <v>16</v>
      </c>
      <c r="G3938" s="496">
        <v>78</v>
      </c>
      <c r="H3938" s="497" t="s">
        <v>518</v>
      </c>
      <c r="I3938" s="498">
        <v>13</v>
      </c>
      <c r="J3938" s="317"/>
      <c r="K3938" s="421">
        <f t="shared" si="1031"/>
        <v>23</v>
      </c>
      <c r="L3938" s="433">
        <v>0.7</v>
      </c>
      <c r="M3938" s="315">
        <v>1</v>
      </c>
      <c r="N3938" s="314"/>
      <c r="O3938" s="313"/>
      <c r="P3938" s="318"/>
      <c r="Q3938" s="315"/>
      <c r="R3938" s="319">
        <f>SUM(((L3938+M3938)*K3938)/2)</f>
        <v>19.55</v>
      </c>
      <c r="S3938" s="421" t="str">
        <f t="shared" si="1033"/>
        <v>m²</v>
      </c>
      <c r="T3938" s="320">
        <v>41</v>
      </c>
      <c r="U3938" s="765"/>
      <c r="V3938" s="291">
        <f t="shared" ca="1" si="1028"/>
        <v>518.75</v>
      </c>
      <c r="W3938" s="256">
        <f t="shared" ca="1" si="1029"/>
        <v>2</v>
      </c>
      <c r="X3938" s="256">
        <f t="shared" ca="1" si="1030"/>
        <v>1</v>
      </c>
      <c r="Y3938" s="336"/>
      <c r="Z3938" s="336"/>
    </row>
    <row r="3939" spans="1:29" s="337" customFormat="1" ht="15.75" x14ac:dyDescent="0.2">
      <c r="A3939" s="288"/>
      <c r="B3939" s="512"/>
      <c r="C3939" s="426"/>
      <c r="D3939" s="1165"/>
      <c r="E3939" s="972"/>
      <c r="F3939" s="1002"/>
      <c r="G3939" s="1134"/>
      <c r="H3939" s="1166"/>
      <c r="I3939" s="1077"/>
      <c r="J3939" s="1206"/>
      <c r="K3939" s="1148"/>
      <c r="L3939" s="430"/>
      <c r="M3939" s="513"/>
      <c r="N3939" s="520"/>
      <c r="O3939" s="519"/>
      <c r="P3939" s="428"/>
      <c r="Q3939" s="513"/>
      <c r="R3939" s="524"/>
      <c r="S3939" s="1147"/>
      <c r="T3939" s="1202"/>
      <c r="U3939" s="765"/>
      <c r="V3939" s="291">
        <f t="shared" ca="1" si="1028"/>
        <v>518.75</v>
      </c>
      <c r="W3939" s="256">
        <f t="shared" ca="1" si="1029"/>
        <v>0</v>
      </c>
      <c r="X3939" s="256">
        <f t="shared" ca="1" si="1030"/>
        <v>1</v>
      </c>
      <c r="Y3939" s="336"/>
      <c r="Z3939" s="336"/>
    </row>
    <row r="3940" spans="1:29" s="337" customFormat="1" ht="15.75" x14ac:dyDescent="0.2">
      <c r="A3940" s="288"/>
      <c r="B3940" s="512"/>
      <c r="C3940" s="312" t="s">
        <v>1396</v>
      </c>
      <c r="D3940" s="1165"/>
      <c r="E3940" s="972"/>
      <c r="F3940" s="1002"/>
      <c r="G3940" s="1134"/>
      <c r="H3940" s="1166"/>
      <c r="I3940" s="1077"/>
      <c r="J3940" s="1206"/>
      <c r="K3940" s="1148">
        <v>125</v>
      </c>
      <c r="L3940" s="430">
        <v>5.3</v>
      </c>
      <c r="M3940" s="513">
        <v>3</v>
      </c>
      <c r="N3940" s="520">
        <f>(L3940+M3940)/2</f>
        <v>4.1500000000000004</v>
      </c>
      <c r="O3940" s="519">
        <f>N3940*K3940</f>
        <v>518.75</v>
      </c>
      <c r="P3940" s="428"/>
      <c r="Q3940" s="513"/>
      <c r="R3940" s="524">
        <f>O3940</f>
        <v>518.75</v>
      </c>
      <c r="S3940" s="421" t="str">
        <f t="shared" si="1033"/>
        <v>m²</v>
      </c>
      <c r="T3940" s="1202">
        <v>44</v>
      </c>
      <c r="U3940" s="765"/>
      <c r="V3940" s="291">
        <f t="shared" ca="1" si="1028"/>
        <v>518.75</v>
      </c>
      <c r="W3940" s="256">
        <f t="shared" ca="1" si="1029"/>
        <v>2</v>
      </c>
      <c r="X3940" s="256">
        <f t="shared" ca="1" si="1030"/>
        <v>1</v>
      </c>
      <c r="Y3940" s="336"/>
      <c r="Z3940" s="336"/>
    </row>
    <row r="3941" spans="1:29" s="337" customFormat="1" ht="15.75" x14ac:dyDescent="0.2">
      <c r="A3941" s="288"/>
      <c r="B3941" s="512"/>
      <c r="C3941" s="426"/>
      <c r="D3941" s="1165"/>
      <c r="E3941" s="972"/>
      <c r="F3941" s="1002"/>
      <c r="G3941" s="1134"/>
      <c r="H3941" s="1166"/>
      <c r="I3941" s="1077"/>
      <c r="J3941" s="1206"/>
      <c r="K3941" s="1148"/>
      <c r="L3941" s="430"/>
      <c r="M3941" s="513"/>
      <c r="N3941" s="520"/>
      <c r="O3941" s="519"/>
      <c r="P3941" s="428"/>
      <c r="Q3941" s="513"/>
      <c r="R3941" s="524"/>
      <c r="S3941" s="1147"/>
      <c r="T3941" s="1202"/>
      <c r="U3941" s="765"/>
      <c r="V3941" s="291">
        <f t="shared" ca="1" si="1028"/>
        <v>518.75</v>
      </c>
      <c r="W3941" s="256">
        <f t="shared" ca="1" si="1029"/>
        <v>0</v>
      </c>
      <c r="X3941" s="256">
        <f t="shared" ca="1" si="1030"/>
        <v>1</v>
      </c>
      <c r="Y3941" s="336"/>
      <c r="Z3941" s="336"/>
    </row>
    <row r="3942" spans="1:29" s="337" customFormat="1" ht="15.75" x14ac:dyDescent="0.2">
      <c r="A3942" s="288"/>
      <c r="B3942" s="512"/>
      <c r="C3942" s="426"/>
      <c r="D3942" s="1165"/>
      <c r="E3942" s="972"/>
      <c r="F3942" s="1002"/>
      <c r="G3942" s="1134"/>
      <c r="H3942" s="1166"/>
      <c r="I3942" s="1077"/>
      <c r="J3942" s="774"/>
      <c r="K3942" s="1148"/>
      <c r="L3942" s="1110"/>
      <c r="M3942" s="513"/>
      <c r="N3942" s="520"/>
      <c r="O3942" s="519"/>
      <c r="P3942" s="428"/>
      <c r="Q3942" s="513"/>
      <c r="R3942" s="524"/>
      <c r="S3942" s="774"/>
      <c r="T3942" s="792"/>
      <c r="U3942" s="765"/>
      <c r="V3942" s="291">
        <f t="shared" ca="1" si="1028"/>
        <v>518.75</v>
      </c>
      <c r="W3942" s="256">
        <f t="shared" ca="1" si="1029"/>
        <v>0</v>
      </c>
      <c r="X3942" s="256">
        <f t="shared" ca="1" si="1030"/>
        <v>1</v>
      </c>
      <c r="Y3942" s="336"/>
      <c r="Z3942" s="336"/>
    </row>
    <row r="3943" spans="1:29" s="111" customFormat="1" ht="15" x14ac:dyDescent="0.2">
      <c r="A3943" s="288"/>
      <c r="B3943" s="338"/>
      <c r="C3943" s="339"/>
      <c r="D3943" s="340"/>
      <c r="E3943" s="341"/>
      <c r="F3943" s="342"/>
      <c r="G3943" s="340"/>
      <c r="H3943" s="341"/>
      <c r="I3943" s="342"/>
      <c r="J3943" s="343"/>
      <c r="K3943" s="344"/>
      <c r="L3943" s="345"/>
      <c r="M3943" s="346"/>
      <c r="N3943" s="347"/>
      <c r="O3943" s="348"/>
      <c r="P3943" s="345"/>
      <c r="Q3943" s="349"/>
      <c r="R3943" s="350"/>
      <c r="S3943" s="351"/>
      <c r="T3943" s="352"/>
      <c r="U3943" s="353"/>
      <c r="V3943" s="291">
        <f t="shared" ca="1" si="1028"/>
        <v>518.75</v>
      </c>
      <c r="W3943" s="256">
        <f t="shared" ca="1" si="1029"/>
        <v>0</v>
      </c>
      <c r="X3943" s="256">
        <f t="shared" ca="1" si="1030"/>
        <v>1</v>
      </c>
      <c r="Y3943" s="250"/>
      <c r="Z3943" s="250"/>
    </row>
    <row r="3944" spans="1:29" s="111" customFormat="1" ht="15.75" x14ac:dyDescent="0.2">
      <c r="A3944" s="288"/>
      <c r="B3944" s="354"/>
      <c r="C3944" s="355"/>
      <c r="D3944" s="1354" t="s">
        <v>492</v>
      </c>
      <c r="E3944" s="1355"/>
      <c r="F3944" s="1355"/>
      <c r="G3944" s="1355"/>
      <c r="H3944" s="1355"/>
      <c r="I3944" s="1356"/>
      <c r="J3944" s="1357">
        <f>VLOOKUP(A3946,'11 - FINANCEIRO'!_xlnm.Print_Area,6,FALSE)</f>
        <v>15988.41</v>
      </c>
      <c r="K3944" s="1358"/>
      <c r="L3944" s="356" t="str">
        <f>VLOOKUP(A3946,'11 - FINANCEIRO'!_xlnm.Print_Area,4,FALSE)</f>
        <v>m²</v>
      </c>
      <c r="M3944" s="1359" t="s">
        <v>493</v>
      </c>
      <c r="N3944" s="1360"/>
      <c r="O3944" s="1360"/>
      <c r="P3944" s="1360"/>
      <c r="Q3944" s="1361"/>
      <c r="R3944" s="357">
        <f>TRUNC(SUM(R3928:R3943),3)</f>
        <v>2890.5360000000001</v>
      </c>
      <c r="S3944" s="358" t="str">
        <f>L3944</f>
        <v>m²</v>
      </c>
      <c r="T3944" s="1384"/>
      <c r="U3944" s="1385"/>
      <c r="V3944" s="291">
        <f t="shared" ca="1" si="1028"/>
        <v>518.75</v>
      </c>
      <c r="W3944" s="256">
        <f t="shared" ca="1" si="1029"/>
        <v>2</v>
      </c>
      <c r="X3944" s="256">
        <f t="shared" ca="1" si="1030"/>
        <v>1</v>
      </c>
      <c r="Y3944" s="250"/>
      <c r="Z3944" s="250"/>
    </row>
    <row r="3945" spans="1:29" s="293" customFormat="1" ht="15.75" x14ac:dyDescent="0.2">
      <c r="A3945" s="288" t="s">
        <v>265</v>
      </c>
      <c r="B3945" s="354"/>
      <c r="C3945" s="361"/>
      <c r="D3945" s="1362" t="s">
        <v>494</v>
      </c>
      <c r="E3945" s="1363"/>
      <c r="F3945" s="1363"/>
      <c r="G3945" s="1363"/>
      <c r="H3945" s="1363"/>
      <c r="I3945" s="1364"/>
      <c r="J3945" s="1365">
        <f>R3944/J3944</f>
        <v>0.18078945936462726</v>
      </c>
      <c r="K3945" s="1366"/>
      <c r="L3945" s="1369"/>
      <c r="M3945" s="1371" t="s">
        <v>495</v>
      </c>
      <c r="N3945" s="1372"/>
      <c r="O3945" s="1372"/>
      <c r="P3945" s="1372"/>
      <c r="Q3945" s="1373"/>
      <c r="R3945" s="362">
        <f>VLOOKUP(A3946,'11 - FINANCEIRO'!_xlnm.Print_Area,8,FALSE)</f>
        <v>2371.7860000000001</v>
      </c>
      <c r="S3945" s="363" t="str">
        <f>L3944</f>
        <v>m²</v>
      </c>
      <c r="T3945" s="1386"/>
      <c r="U3945" s="1387"/>
      <c r="V3945" s="291">
        <f t="shared" ca="1" si="1028"/>
        <v>518.75</v>
      </c>
      <c r="W3945" s="256">
        <f t="shared" ca="1" si="1029"/>
        <v>2</v>
      </c>
      <c r="X3945" s="256">
        <f t="shared" ca="1" si="1030"/>
        <v>1</v>
      </c>
      <c r="Y3945" s="256"/>
      <c r="Z3945" s="256"/>
      <c r="AA3945" s="292"/>
      <c r="AB3945" s="292"/>
      <c r="AC3945" s="292"/>
    </row>
    <row r="3946" spans="1:29" s="293" customFormat="1" ht="15.75" x14ac:dyDescent="0.2">
      <c r="A3946" s="288" t="s">
        <v>266</v>
      </c>
      <c r="B3946" s="364"/>
      <c r="C3946" s="365"/>
      <c r="D3946" s="1354"/>
      <c r="E3946" s="1355"/>
      <c r="F3946" s="1355"/>
      <c r="G3946" s="1355"/>
      <c r="H3946" s="1355"/>
      <c r="I3946" s="1356"/>
      <c r="J3946" s="1367"/>
      <c r="K3946" s="1368"/>
      <c r="L3946" s="1370"/>
      <c r="M3946" s="1371" t="s">
        <v>496</v>
      </c>
      <c r="N3946" s="1372"/>
      <c r="O3946" s="1372"/>
      <c r="P3946" s="1372"/>
      <c r="Q3946" s="1373"/>
      <c r="R3946" s="362">
        <f>R3944-R3945</f>
        <v>518.75</v>
      </c>
      <c r="S3946" s="363" t="str">
        <f>L3944</f>
        <v>m²</v>
      </c>
      <c r="T3946" s="1388"/>
      <c r="U3946" s="1389"/>
      <c r="V3946" s="291">
        <f t="shared" ca="1" si="1028"/>
        <v>518.75</v>
      </c>
      <c r="W3946" s="256">
        <f t="shared" ca="1" si="1029"/>
        <v>2</v>
      </c>
      <c r="X3946" s="256">
        <f t="shared" ca="1" si="1030"/>
        <v>1</v>
      </c>
      <c r="Y3946" s="256"/>
      <c r="Z3946" s="256"/>
      <c r="AA3946" s="292"/>
      <c r="AB3946" s="292"/>
      <c r="AC3946" s="292"/>
    </row>
    <row r="3947" spans="1:29" s="111" customFormat="1" ht="15.75" x14ac:dyDescent="0.2">
      <c r="A3947" s="288"/>
      <c r="B3947" s="368"/>
      <c r="C3947" s="365"/>
      <c r="D3947" s="369"/>
      <c r="E3947" s="370"/>
      <c r="F3947" s="369"/>
      <c r="G3947" s="369"/>
      <c r="H3947" s="369"/>
      <c r="I3947" s="369"/>
      <c r="J3947" s="371"/>
      <c r="K3947" s="372"/>
      <c r="L3947" s="373"/>
      <c r="M3947" s="374"/>
      <c r="N3947" s="374"/>
      <c r="O3947" s="374"/>
      <c r="P3947" s="374"/>
      <c r="Q3947" s="374"/>
      <c r="R3947" s="375"/>
      <c r="S3947" s="376"/>
      <c r="T3947" s="377"/>
      <c r="U3947" s="378"/>
      <c r="V3947" s="379">
        <f ca="1">SUM(V3926:V3946)</f>
        <v>10893.75</v>
      </c>
      <c r="W3947" s="256">
        <f t="shared" ca="1" si="1023"/>
        <v>1</v>
      </c>
      <c r="X3947" s="256">
        <f t="shared" ca="1" si="1026"/>
        <v>0</v>
      </c>
      <c r="Y3947" s="250"/>
      <c r="Z3947" s="250"/>
    </row>
    <row r="3948" spans="1:29" s="293" customFormat="1" ht="15.75" hidden="1" customHeight="1" x14ac:dyDescent="0.25">
      <c r="A3948" s="288"/>
      <c r="B3948" s="1374" t="str">
        <f>VLOOKUP(A3956,'11 - FINANCEIRO'!_xlnm.Print_Area,1,FALSE)</f>
        <v>5.3.2</v>
      </c>
      <c r="C3948" s="1376" t="str">
        <f>VLOOKUP(A3956,'11 - FINANCEIRO'!_xlnm.Print_Area,3,FALSE)</f>
        <v>Plantio De Árvore Ornamental Com Altura De Muda Maior Que 2,00 M E Menor Ou Igual A 4,00 M. Af_05/2018</v>
      </c>
      <c r="D3948" s="1378" t="s">
        <v>477</v>
      </c>
      <c r="E3948" s="1379"/>
      <c r="F3948" s="1379"/>
      <c r="G3948" s="1379"/>
      <c r="H3948" s="1379"/>
      <c r="I3948" s="1380"/>
      <c r="J3948" s="1338" t="s">
        <v>478</v>
      </c>
      <c r="K3948" s="1338" t="s">
        <v>479</v>
      </c>
      <c r="L3948" s="1338" t="s">
        <v>480</v>
      </c>
      <c r="M3948" s="1338" t="s">
        <v>481</v>
      </c>
      <c r="N3948" s="1338" t="s">
        <v>482</v>
      </c>
      <c r="O3948" s="1338" t="s">
        <v>483</v>
      </c>
      <c r="P3948" s="290" t="s">
        <v>484</v>
      </c>
      <c r="Q3948" s="1338" t="s">
        <v>485</v>
      </c>
      <c r="R3948" s="1336" t="s">
        <v>296</v>
      </c>
      <c r="S3948" s="1338" t="s">
        <v>486</v>
      </c>
      <c r="T3948" s="1338" t="s">
        <v>487</v>
      </c>
      <c r="U3948" s="1340" t="s">
        <v>488</v>
      </c>
      <c r="V3948" s="291">
        <f t="shared" ref="V3948:V3956" ca="1" si="1034">IF(OFFSET(V3948,1,1)=1,OFFSET(V3948,0,-4),OFFSET(V3948,1,0))</f>
        <v>0</v>
      </c>
      <c r="W3948" s="256">
        <f t="shared" ca="1" si="1023"/>
        <v>2</v>
      </c>
      <c r="X3948" s="256">
        <f t="shared" ca="1" si="1026"/>
        <v>1</v>
      </c>
      <c r="Y3948" s="256"/>
      <c r="Z3948" s="256"/>
      <c r="AA3948" s="292"/>
      <c r="AB3948" s="292"/>
      <c r="AC3948" s="292"/>
    </row>
    <row r="3949" spans="1:29" s="337" customFormat="1" ht="15.75" hidden="1" x14ac:dyDescent="0.2">
      <c r="A3949" s="288"/>
      <c r="B3949" s="1375"/>
      <c r="C3949" s="1377" t="e">
        <f>VLOOKUP(LEFT(#REF!,5),'11 - FINANCEIRO'!_xlnm.Print_Area,2,FALSE)</f>
        <v>#REF!</v>
      </c>
      <c r="D3949" s="1342" t="s">
        <v>489</v>
      </c>
      <c r="E3949" s="1343"/>
      <c r="F3949" s="1344"/>
      <c r="G3949" s="1345" t="s">
        <v>490</v>
      </c>
      <c r="H3949" s="1346"/>
      <c r="I3949" s="1347"/>
      <c r="J3949" s="1339"/>
      <c r="K3949" s="1339"/>
      <c r="L3949" s="1339"/>
      <c r="M3949" s="1339"/>
      <c r="N3949" s="1339"/>
      <c r="O3949" s="1339"/>
      <c r="P3949" s="295" t="s">
        <v>491</v>
      </c>
      <c r="Q3949" s="1339"/>
      <c r="R3949" s="1337"/>
      <c r="S3949" s="1339"/>
      <c r="T3949" s="1339"/>
      <c r="U3949" s="1341"/>
      <c r="V3949" s="291">
        <f t="shared" ca="1" si="1034"/>
        <v>0</v>
      </c>
      <c r="W3949" s="256">
        <f t="shared" ca="1" si="1023"/>
        <v>2</v>
      </c>
      <c r="X3949" s="256">
        <f t="shared" ca="1" si="1026"/>
        <v>1</v>
      </c>
      <c r="Y3949" s="336"/>
      <c r="Z3949" s="336"/>
    </row>
    <row r="3950" spans="1:29" s="337" customFormat="1" ht="30" hidden="1" x14ac:dyDescent="0.2">
      <c r="A3950" s="288"/>
      <c r="B3950" s="296"/>
      <c r="C3950" s="297" t="s">
        <v>628</v>
      </c>
      <c r="D3950" s="298">
        <v>5</v>
      </c>
      <c r="E3950" s="299" t="s">
        <v>518</v>
      </c>
      <c r="F3950" s="300">
        <v>5</v>
      </c>
      <c r="G3950" s="301">
        <v>34</v>
      </c>
      <c r="H3950" s="302" t="s">
        <v>518</v>
      </c>
      <c r="I3950" s="303">
        <v>0</v>
      </c>
      <c r="J3950" s="304"/>
      <c r="K3950" s="304">
        <f>ABS((G3950*20+I3950)-(D3950*20+F3950))</f>
        <v>575</v>
      </c>
      <c r="L3950" s="304"/>
      <c r="M3950" s="304"/>
      <c r="N3950" s="304"/>
      <c r="O3950" s="304"/>
      <c r="P3950" s="306"/>
      <c r="Q3950" s="304"/>
      <c r="R3950" s="307">
        <v>180</v>
      </c>
      <c r="S3950" s="304" t="s">
        <v>317</v>
      </c>
      <c r="T3950" s="309">
        <v>15</v>
      </c>
      <c r="U3950" s="310"/>
      <c r="V3950" s="291">
        <f t="shared" ca="1" si="1034"/>
        <v>0</v>
      </c>
      <c r="W3950" s="256">
        <f t="shared" ca="1" si="1023"/>
        <v>2</v>
      </c>
      <c r="X3950" s="256">
        <f t="shared" ca="1" si="1026"/>
        <v>1</v>
      </c>
      <c r="Y3950" s="336"/>
      <c r="Z3950" s="336"/>
    </row>
    <row r="3951" spans="1:29" s="111" customFormat="1" ht="15.75" hidden="1" x14ac:dyDescent="0.2">
      <c r="A3951" s="288"/>
      <c r="B3951" s="311"/>
      <c r="C3951" s="312" t="s">
        <v>667</v>
      </c>
      <c r="D3951" s="313"/>
      <c r="E3951" s="314"/>
      <c r="F3951" s="315"/>
      <c r="G3951" s="380"/>
      <c r="H3951" s="316"/>
      <c r="I3951" s="381"/>
      <c r="J3951" s="317"/>
      <c r="K3951" s="313"/>
      <c r="L3951" s="317"/>
      <c r="M3951" s="315"/>
      <c r="N3951" s="314"/>
      <c r="O3951" s="313"/>
      <c r="P3951" s="318"/>
      <c r="Q3951" s="315"/>
      <c r="R3951" s="319">
        <v>20</v>
      </c>
      <c r="S3951" s="317"/>
      <c r="T3951" s="320">
        <v>26</v>
      </c>
      <c r="U3951" s="321"/>
      <c r="V3951" s="291">
        <f t="shared" ca="1" si="1034"/>
        <v>0</v>
      </c>
      <c r="W3951" s="256">
        <f t="shared" ca="1" si="1023"/>
        <v>2</v>
      </c>
      <c r="X3951" s="256">
        <f t="shared" ca="1" si="1026"/>
        <v>1</v>
      </c>
      <c r="Y3951" s="250"/>
      <c r="Z3951" s="250"/>
    </row>
    <row r="3952" spans="1:29" s="111" customFormat="1" ht="15" hidden="1" x14ac:dyDescent="0.2">
      <c r="A3952" s="288"/>
      <c r="B3952" s="322"/>
      <c r="C3952" s="382"/>
      <c r="D3952" s="324"/>
      <c r="E3952" s="325"/>
      <c r="F3952" s="326"/>
      <c r="G3952" s="324"/>
      <c r="H3952" s="325"/>
      <c r="I3952" s="326"/>
      <c r="J3952" s="317"/>
      <c r="K3952" s="328"/>
      <c r="L3952" s="328"/>
      <c r="M3952" s="328"/>
      <c r="N3952" s="328"/>
      <c r="O3952" s="334"/>
      <c r="P3952" s="328"/>
      <c r="Q3952" s="334"/>
      <c r="R3952" s="333"/>
      <c r="S3952" s="331"/>
      <c r="T3952" s="320"/>
      <c r="U3952" s="335"/>
      <c r="V3952" s="291">
        <f t="shared" ca="1" si="1034"/>
        <v>0</v>
      </c>
      <c r="W3952" s="256">
        <f t="shared" ca="1" si="1023"/>
        <v>0</v>
      </c>
      <c r="X3952" s="256">
        <f t="shared" ca="1" si="1026"/>
        <v>1</v>
      </c>
      <c r="Y3952" s="250"/>
      <c r="Z3952" s="250"/>
    </row>
    <row r="3953" spans="1:29" s="111" customFormat="1" ht="15" hidden="1" x14ac:dyDescent="0.2">
      <c r="A3953" s="288"/>
      <c r="B3953" s="338"/>
      <c r="C3953" s="339"/>
      <c r="D3953" s="340"/>
      <c r="E3953" s="341"/>
      <c r="F3953" s="342"/>
      <c r="G3953" s="340"/>
      <c r="H3953" s="341"/>
      <c r="I3953" s="342"/>
      <c r="J3953" s="343"/>
      <c r="K3953" s="344"/>
      <c r="L3953" s="345"/>
      <c r="M3953" s="346"/>
      <c r="N3953" s="347"/>
      <c r="O3953" s="348"/>
      <c r="P3953" s="345"/>
      <c r="Q3953" s="349"/>
      <c r="R3953" s="350"/>
      <c r="S3953" s="351"/>
      <c r="T3953" s="352"/>
      <c r="U3953" s="353"/>
      <c r="V3953" s="291">
        <f t="shared" ca="1" si="1034"/>
        <v>0</v>
      </c>
      <c r="W3953" s="256">
        <f t="shared" ca="1" si="1023"/>
        <v>0</v>
      </c>
      <c r="X3953" s="256">
        <f t="shared" ca="1" si="1026"/>
        <v>1</v>
      </c>
      <c r="Y3953" s="250"/>
      <c r="Z3953" s="250"/>
    </row>
    <row r="3954" spans="1:29" s="111" customFormat="1" ht="15.75" hidden="1" customHeight="1" x14ac:dyDescent="0.2">
      <c r="A3954" s="288"/>
      <c r="B3954" s="354"/>
      <c r="C3954" s="355"/>
      <c r="D3954" s="1354" t="s">
        <v>492</v>
      </c>
      <c r="E3954" s="1355"/>
      <c r="F3954" s="1355"/>
      <c r="G3954" s="1355"/>
      <c r="H3954" s="1355"/>
      <c r="I3954" s="1356"/>
      <c r="J3954" s="1357">
        <f>VLOOKUP(A3956,'11 - FINANCEIRO'!_xlnm.Print_Area,6,FALSE)</f>
        <v>470</v>
      </c>
      <c r="K3954" s="1358"/>
      <c r="L3954" s="356" t="str">
        <f>VLOOKUP(A3956,'11 - FINANCEIRO'!_xlnm.Print_Area,4,FALSE)</f>
        <v>un</v>
      </c>
      <c r="M3954" s="1359" t="s">
        <v>493</v>
      </c>
      <c r="N3954" s="1360"/>
      <c r="O3954" s="1360"/>
      <c r="P3954" s="1360"/>
      <c r="Q3954" s="1361"/>
      <c r="R3954" s="357">
        <f>TRUNC(SUM(R3950:R3953),3)</f>
        <v>200</v>
      </c>
      <c r="S3954" s="358" t="str">
        <f>L3954</f>
        <v>un</v>
      </c>
      <c r="T3954" s="359"/>
      <c r="U3954" s="360"/>
      <c r="V3954" s="291">
        <f t="shared" ca="1" si="1034"/>
        <v>0</v>
      </c>
      <c r="W3954" s="256">
        <f t="shared" ca="1" si="1023"/>
        <v>2</v>
      </c>
      <c r="X3954" s="256">
        <f ca="1">IF(COUNTA(OFFSET(A3953,1,0))-COUNTA(A3953)=-1,0,1)</f>
        <v>1</v>
      </c>
      <c r="Y3954" s="250"/>
      <c r="Z3954" s="250"/>
    </row>
    <row r="3955" spans="1:29" s="614" customFormat="1" ht="15.75" hidden="1" customHeight="1" x14ac:dyDescent="0.2">
      <c r="A3955" s="276"/>
      <c r="B3955" s="354"/>
      <c r="C3955" s="361"/>
      <c r="D3955" s="1362" t="s">
        <v>494</v>
      </c>
      <c r="E3955" s="1363"/>
      <c r="F3955" s="1363"/>
      <c r="G3955" s="1363"/>
      <c r="H3955" s="1363"/>
      <c r="I3955" s="1364"/>
      <c r="J3955" s="1365">
        <f>R3954/J3954</f>
        <v>0.42553191489361702</v>
      </c>
      <c r="K3955" s="1366"/>
      <c r="L3955" s="1369"/>
      <c r="M3955" s="1371" t="s">
        <v>495</v>
      </c>
      <c r="N3955" s="1372"/>
      <c r="O3955" s="1372"/>
      <c r="P3955" s="1372"/>
      <c r="Q3955" s="1373"/>
      <c r="R3955" s="362">
        <f>VLOOKUP(A3956,'11 - FINANCEIRO'!_xlnm.Print_Area,8,FALSE)</f>
        <v>200</v>
      </c>
      <c r="S3955" s="363" t="str">
        <f>L3954</f>
        <v>un</v>
      </c>
      <c r="T3955" s="359"/>
      <c r="U3955" s="360"/>
      <c r="V3955" s="291">
        <f t="shared" ca="1" si="1034"/>
        <v>0</v>
      </c>
      <c r="W3955" s="256">
        <f t="shared" ca="1" si="1023"/>
        <v>2</v>
      </c>
      <c r="X3955" s="256">
        <f t="shared" ca="1" si="1026"/>
        <v>1</v>
      </c>
    </row>
    <row r="3956" spans="1:29" s="614" customFormat="1" ht="15.75" hidden="1" customHeight="1" x14ac:dyDescent="0.2">
      <c r="A3956" s="288" t="s">
        <v>267</v>
      </c>
      <c r="B3956" s="364"/>
      <c r="C3956" s="365"/>
      <c r="D3956" s="1354"/>
      <c r="E3956" s="1355"/>
      <c r="F3956" s="1355"/>
      <c r="G3956" s="1355"/>
      <c r="H3956" s="1355"/>
      <c r="I3956" s="1356"/>
      <c r="J3956" s="1367"/>
      <c r="K3956" s="1368"/>
      <c r="L3956" s="1370"/>
      <c r="M3956" s="1371" t="s">
        <v>496</v>
      </c>
      <c r="N3956" s="1372"/>
      <c r="O3956" s="1372"/>
      <c r="P3956" s="1372"/>
      <c r="Q3956" s="1373"/>
      <c r="R3956" s="362">
        <f>R3954-R3955</f>
        <v>0</v>
      </c>
      <c r="S3956" s="363" t="str">
        <f>L3954</f>
        <v>un</v>
      </c>
      <c r="T3956" s="366"/>
      <c r="U3956" s="367"/>
      <c r="V3956" s="291">
        <f t="shared" ca="1" si="1034"/>
        <v>0</v>
      </c>
      <c r="W3956" s="256">
        <f t="shared" ca="1" si="1023"/>
        <v>2</v>
      </c>
      <c r="X3956" s="256">
        <f t="shared" ca="1" si="1026"/>
        <v>1</v>
      </c>
    </row>
    <row r="3957" spans="1:29" s="614" customFormat="1" ht="15.75" hidden="1" x14ac:dyDescent="0.2">
      <c r="A3957" s="276"/>
      <c r="B3957" s="615"/>
      <c r="C3957" s="355"/>
      <c r="D3957" s="616"/>
      <c r="E3957" s="617"/>
      <c r="F3957" s="616"/>
      <c r="G3957" s="616"/>
      <c r="H3957" s="616"/>
      <c r="I3957" s="616"/>
      <c r="J3957" s="618"/>
      <c r="K3957" s="619"/>
      <c r="L3957" s="620"/>
      <c r="M3957" s="621"/>
      <c r="N3957" s="621"/>
      <c r="O3957" s="621"/>
      <c r="P3957" s="621"/>
      <c r="Q3957" s="621"/>
      <c r="R3957" s="622"/>
      <c r="S3957" s="623"/>
      <c r="T3957" s="3"/>
      <c r="U3957" s="624"/>
      <c r="V3957" s="625">
        <f ca="1">SUM(V3948:V3956)</f>
        <v>0</v>
      </c>
      <c r="W3957" s="256">
        <f t="shared" ca="1" si="1023"/>
        <v>1</v>
      </c>
      <c r="X3957" s="256">
        <f t="shared" ca="1" si="1026"/>
        <v>0</v>
      </c>
    </row>
    <row r="3958" spans="1:29" s="293" customFormat="1" ht="15.75" x14ac:dyDescent="0.2">
      <c r="A3958" s="288"/>
      <c r="B3958" s="385" t="str">
        <f>LEFT(A3998,9)</f>
        <v>6.0</v>
      </c>
      <c r="C3958" s="386" t="str">
        <f>VLOOKUP(LEFT(A3998,9),'11 - FINANCEIRO'!_xlnm.Print_Area,2,FALSE)</f>
        <v>Serviços Novos</v>
      </c>
      <c r="D3958" s="386"/>
      <c r="E3958" s="387"/>
      <c r="F3958" s="386"/>
      <c r="G3958" s="1395"/>
      <c r="H3958" s="1395"/>
      <c r="I3958" s="1395"/>
      <c r="J3958" s="1395"/>
      <c r="K3958" s="1395"/>
      <c r="L3958" s="1395"/>
      <c r="M3958" s="389"/>
      <c r="N3958" s="390"/>
      <c r="O3958" s="389"/>
      <c r="P3958" s="389"/>
      <c r="Q3958" s="389"/>
      <c r="R3958" s="390"/>
      <c r="S3958" s="389"/>
      <c r="T3958" s="389"/>
      <c r="U3958" s="601"/>
      <c r="V3958" s="549">
        <f ca="1">SUM(V3959:V5036)</f>
        <v>85323240.235999823</v>
      </c>
      <c r="W3958" s="256">
        <f t="shared" ca="1" si="1023"/>
        <v>1</v>
      </c>
      <c r="X3958" s="256">
        <f t="shared" ca="1" si="1026"/>
        <v>1</v>
      </c>
      <c r="Y3958" s="256"/>
      <c r="Z3958" s="256"/>
      <c r="AA3958" s="292"/>
      <c r="AB3958" s="292"/>
      <c r="AC3958" s="292"/>
    </row>
    <row r="3959" spans="1:29" s="293" customFormat="1" ht="15.6" customHeight="1" x14ac:dyDescent="0.2">
      <c r="A3959" s="288"/>
      <c r="B3959" s="385" t="str">
        <f>LEFT(A3999,9)</f>
        <v>6.1</v>
      </c>
      <c r="C3959" s="386" t="str">
        <f>VLOOKUP(LEFT(A3999,9),'11 - FINANCEIRO'!_xlnm.Print_Area,2,FALSE)</f>
        <v>GALERIA GUARANHUS 1 E 2</v>
      </c>
      <c r="D3959" s="386"/>
      <c r="E3959" s="387"/>
      <c r="F3959" s="386"/>
      <c r="G3959" s="388"/>
      <c r="H3959" s="391"/>
      <c r="I3959" s="391"/>
      <c r="J3959" s="610"/>
      <c r="K3959" s="610"/>
      <c r="L3959" s="610"/>
      <c r="M3959" s="611"/>
      <c r="N3959" s="612"/>
      <c r="O3959" s="611"/>
      <c r="P3959" s="611"/>
      <c r="Q3959" s="611"/>
      <c r="R3959" s="612"/>
      <c r="S3959" s="611"/>
      <c r="T3959" s="611"/>
      <c r="U3959" s="613"/>
      <c r="V3959" s="549">
        <f ca="1">SUM(V3960:V4901)</f>
        <v>4776558.5699999854</v>
      </c>
      <c r="W3959" s="256">
        <f t="shared" ca="1" si="1023"/>
        <v>1</v>
      </c>
      <c r="X3959" s="256">
        <f t="shared" ca="1" si="1026"/>
        <v>1</v>
      </c>
      <c r="Y3959" s="256"/>
      <c r="Z3959" s="256"/>
      <c r="AA3959" s="292"/>
      <c r="AB3959" s="292"/>
      <c r="AC3959" s="292"/>
    </row>
    <row r="3960" spans="1:29" s="293" customFormat="1" ht="15.75" customHeight="1" x14ac:dyDescent="0.25">
      <c r="A3960" s="288"/>
      <c r="B3960" s="1374" t="str">
        <f>VLOOKUP(A4000,'11 - FINANCEIRO'!_xlnm.Print_Area,1,FALSE)</f>
        <v>6.1.1</v>
      </c>
      <c r="C3960" s="1376" t="str">
        <f>VLOOKUP(A4000,'11 - FINANCEIRO'!_xlnm.Print_Area,3,FALSE)</f>
        <v>Grupo gerador de 21 a 80 KVA</v>
      </c>
      <c r="D3960" s="1378" t="s">
        <v>477</v>
      </c>
      <c r="E3960" s="1379"/>
      <c r="F3960" s="1379"/>
      <c r="G3960" s="1379"/>
      <c r="H3960" s="1379"/>
      <c r="I3960" s="1380"/>
      <c r="J3960" s="1338" t="s">
        <v>501</v>
      </c>
      <c r="K3960" s="1338" t="s">
        <v>479</v>
      </c>
      <c r="L3960" s="1338" t="s">
        <v>480</v>
      </c>
      <c r="M3960" s="1338" t="s">
        <v>481</v>
      </c>
      <c r="N3960" s="1338" t="s">
        <v>482</v>
      </c>
      <c r="O3960" s="1338" t="s">
        <v>483</v>
      </c>
      <c r="P3960" s="290" t="s">
        <v>484</v>
      </c>
      <c r="Q3960" s="1338" t="s">
        <v>485</v>
      </c>
      <c r="R3960" s="1336" t="s">
        <v>296</v>
      </c>
      <c r="S3960" s="1338" t="s">
        <v>486</v>
      </c>
      <c r="T3960" s="1338" t="s">
        <v>487</v>
      </c>
      <c r="U3960" s="1340" t="s">
        <v>488</v>
      </c>
      <c r="V3960" s="291">
        <f ca="1">IF(OFFSET(V3960,1,1)=1,OFFSET(V3960,0,-4),OFFSET(V3960,1,0))</f>
        <v>2</v>
      </c>
      <c r="W3960" s="256">
        <f t="shared" ca="1" si="1023"/>
        <v>2</v>
      </c>
      <c r="X3960" s="256">
        <f t="shared" ca="1" si="1026"/>
        <v>1</v>
      </c>
      <c r="Y3960" s="256"/>
      <c r="Z3960" s="256"/>
      <c r="AA3960" s="292"/>
      <c r="AB3960" s="292"/>
      <c r="AC3960" s="292"/>
    </row>
    <row r="3961" spans="1:29" s="337" customFormat="1" ht="15.75" x14ac:dyDescent="0.2">
      <c r="A3961" s="288"/>
      <c r="B3961" s="1375"/>
      <c r="C3961" s="1377" t="e">
        <f>VLOOKUP(LEFT(#REF!,5),'11 - FINANCEIRO'!_xlnm.Print_Area,2,FALSE)</f>
        <v>#REF!</v>
      </c>
      <c r="D3961" s="1342" t="s">
        <v>489</v>
      </c>
      <c r="E3961" s="1343"/>
      <c r="F3961" s="1344"/>
      <c r="G3961" s="1345" t="s">
        <v>490</v>
      </c>
      <c r="H3961" s="1346"/>
      <c r="I3961" s="1347"/>
      <c r="J3961" s="1339"/>
      <c r="K3961" s="1339"/>
      <c r="L3961" s="1339"/>
      <c r="M3961" s="1339"/>
      <c r="N3961" s="1339"/>
      <c r="O3961" s="1339"/>
      <c r="P3961" s="295" t="s">
        <v>491</v>
      </c>
      <c r="Q3961" s="1339"/>
      <c r="R3961" s="1337"/>
      <c r="S3961" s="1339"/>
      <c r="T3961" s="1339"/>
      <c r="U3961" s="1341"/>
      <c r="V3961" s="291">
        <f ca="1">IF(OFFSET(V3961,1,1)=1,OFFSET(V3961,0,-4),OFFSET(V3961,1,0))</f>
        <v>2</v>
      </c>
      <c r="W3961" s="256">
        <f t="shared" ca="1" si="1023"/>
        <v>2</v>
      </c>
      <c r="X3961" s="256">
        <f t="shared" ca="1" si="1026"/>
        <v>1</v>
      </c>
      <c r="Y3961" s="336"/>
      <c r="Z3961" s="336"/>
    </row>
    <row r="3962" spans="1:29" s="337" customFormat="1" ht="15.75" customHeight="1" x14ac:dyDescent="0.2">
      <c r="A3962" s="288"/>
      <c r="B3962" s="296"/>
      <c r="C3962" s="397" t="s">
        <v>745</v>
      </c>
      <c r="D3962" s="1333">
        <v>44805</v>
      </c>
      <c r="E3962" s="1334"/>
      <c r="F3962" s="1335"/>
      <c r="G3962" s="1333">
        <v>44836</v>
      </c>
      <c r="H3962" s="1334"/>
      <c r="I3962" s="1335"/>
      <c r="J3962" s="317">
        <f t="shared" ref="J3962:J3969" si="1035">G3962-D3962+1</f>
        <v>32</v>
      </c>
      <c r="K3962" s="416"/>
      <c r="L3962" s="304"/>
      <c r="M3962" s="304"/>
      <c r="N3962" s="304"/>
      <c r="O3962" s="304"/>
      <c r="P3962" s="306"/>
      <c r="Q3962" s="304"/>
      <c r="R3962" s="307">
        <v>1</v>
      </c>
      <c r="S3962" s="308" t="str">
        <f>S3998</f>
        <v>MÊS</v>
      </c>
      <c r="T3962" s="309">
        <v>19</v>
      </c>
      <c r="U3962" s="534"/>
      <c r="V3962" s="291">
        <f ca="1">IF(OFFSET(V3962,1,1)=1,OFFSET(V3962,0,-4),OFFSET(V3962,1,0))</f>
        <v>2</v>
      </c>
      <c r="W3962" s="256">
        <f t="shared" ca="1" si="1023"/>
        <v>2</v>
      </c>
      <c r="X3962" s="256">
        <f t="shared" ca="1" si="1026"/>
        <v>1</v>
      </c>
      <c r="Y3962" s="336"/>
      <c r="Z3962" s="336"/>
    </row>
    <row r="3963" spans="1:29" s="337" customFormat="1" ht="15.75" customHeight="1" x14ac:dyDescent="0.2">
      <c r="A3963" s="288"/>
      <c r="B3963" s="512"/>
      <c r="C3963" s="397" t="s">
        <v>746</v>
      </c>
      <c r="D3963" s="1333">
        <v>44837</v>
      </c>
      <c r="E3963" s="1334"/>
      <c r="F3963" s="1335"/>
      <c r="G3963" s="1333">
        <v>44865</v>
      </c>
      <c r="H3963" s="1334"/>
      <c r="I3963" s="1335"/>
      <c r="J3963" s="317">
        <f t="shared" si="1035"/>
        <v>29</v>
      </c>
      <c r="K3963" s="430"/>
      <c r="L3963" s="427"/>
      <c r="M3963" s="427"/>
      <c r="N3963" s="427"/>
      <c r="O3963" s="427"/>
      <c r="P3963" s="428"/>
      <c r="Q3963" s="427"/>
      <c r="R3963" s="524">
        <v>1</v>
      </c>
      <c r="S3963" s="763" t="str">
        <f>S3999</f>
        <v>MÊS</v>
      </c>
      <c r="T3963" s="514">
        <v>19</v>
      </c>
      <c r="U3963" s="764"/>
      <c r="V3963" s="291">
        <f t="shared" ref="V3963:V3998" ca="1" si="1036">IF(OFFSET(V3963,1,1)=1,OFFSET(V3963,0,-4),OFFSET(V3963,1,0))</f>
        <v>2</v>
      </c>
      <c r="W3963" s="256">
        <f t="shared" ref="W3963:W3982" ca="1" si="1037">IF(LEFT(_xlfn.FORMULATEXT(V3963),3)="=SO",1,IF(COUNTA(A3963:U3963)=0,0,2))</f>
        <v>2</v>
      </c>
      <c r="X3963" s="256">
        <f t="shared" ref="X3963:X3982" ca="1" si="1038">IF(COUNTA(OFFSET(A3962,1,0))-COUNTA(A3962)=-1,0,1)</f>
        <v>1</v>
      </c>
      <c r="Y3963" s="336"/>
      <c r="Z3963" s="336"/>
    </row>
    <row r="3964" spans="1:29" s="337" customFormat="1" ht="15.75" customHeight="1" x14ac:dyDescent="0.2">
      <c r="A3964" s="288"/>
      <c r="B3964" s="512"/>
      <c r="C3964" s="397" t="s">
        <v>747</v>
      </c>
      <c r="D3964" s="1333">
        <v>44866</v>
      </c>
      <c r="E3964" s="1334"/>
      <c r="F3964" s="1335"/>
      <c r="G3964" s="1333">
        <v>44890</v>
      </c>
      <c r="H3964" s="1334"/>
      <c r="I3964" s="1335"/>
      <c r="J3964" s="317">
        <f t="shared" si="1035"/>
        <v>25</v>
      </c>
      <c r="K3964" s="430"/>
      <c r="L3964" s="427"/>
      <c r="M3964" s="427"/>
      <c r="N3964" s="427"/>
      <c r="O3964" s="427"/>
      <c r="P3964" s="428"/>
      <c r="Q3964" s="427"/>
      <c r="R3964" s="524">
        <v>1</v>
      </c>
      <c r="S3964" s="763" t="str">
        <f>S4000</f>
        <v>MÊS</v>
      </c>
      <c r="T3964" s="514">
        <v>19</v>
      </c>
      <c r="U3964" s="764"/>
      <c r="V3964" s="291">
        <f t="shared" ca="1" si="1036"/>
        <v>2</v>
      </c>
      <c r="W3964" s="256">
        <f t="shared" ca="1" si="1037"/>
        <v>2</v>
      </c>
      <c r="X3964" s="256">
        <f t="shared" ca="1" si="1038"/>
        <v>1</v>
      </c>
      <c r="Y3964" s="336"/>
      <c r="Z3964" s="336"/>
    </row>
    <row r="3965" spans="1:29" s="111" customFormat="1" ht="15.75" x14ac:dyDescent="0.2">
      <c r="A3965" s="288"/>
      <c r="B3965" s="311"/>
      <c r="C3965" s="397" t="s">
        <v>744</v>
      </c>
      <c r="D3965" s="1333">
        <f>G3964+1</f>
        <v>44891</v>
      </c>
      <c r="E3965" s="1334"/>
      <c r="F3965" s="1335"/>
      <c r="G3965" s="1333">
        <v>44926</v>
      </c>
      <c r="H3965" s="1334"/>
      <c r="I3965" s="1335"/>
      <c r="J3965" s="317">
        <f t="shared" si="1035"/>
        <v>36</v>
      </c>
      <c r="K3965" s="433"/>
      <c r="L3965" s="328"/>
      <c r="M3965" s="328"/>
      <c r="N3965" s="328"/>
      <c r="O3965" s="334"/>
      <c r="P3965" s="328"/>
      <c r="Q3965" s="334"/>
      <c r="R3965" s="333">
        <v>1</v>
      </c>
      <c r="S3965" s="331" t="s">
        <v>699</v>
      </c>
      <c r="T3965" s="320">
        <v>19</v>
      </c>
      <c r="U3965" s="321"/>
      <c r="V3965" s="291">
        <f t="shared" ca="1" si="1036"/>
        <v>2</v>
      </c>
      <c r="W3965" s="256">
        <f t="shared" ca="1" si="1037"/>
        <v>2</v>
      </c>
      <c r="X3965" s="256">
        <f t="shared" ca="1" si="1038"/>
        <v>1</v>
      </c>
      <c r="Y3965" s="250"/>
      <c r="Z3965" s="250"/>
    </row>
    <row r="3966" spans="1:29" s="111" customFormat="1" ht="15.75" x14ac:dyDescent="0.2">
      <c r="A3966" s="288"/>
      <c r="B3966" s="311"/>
      <c r="C3966" s="397" t="s">
        <v>747</v>
      </c>
      <c r="D3966" s="1333">
        <v>45231</v>
      </c>
      <c r="E3966" s="1334"/>
      <c r="F3966" s="1335"/>
      <c r="G3966" s="1333">
        <v>45260</v>
      </c>
      <c r="H3966" s="1334"/>
      <c r="I3966" s="1335"/>
      <c r="J3966" s="317">
        <f t="shared" si="1035"/>
        <v>30</v>
      </c>
      <c r="K3966" s="433"/>
      <c r="L3966" s="328"/>
      <c r="M3966" s="328"/>
      <c r="N3966" s="328"/>
      <c r="O3966" s="334"/>
      <c r="P3966" s="328"/>
      <c r="Q3966" s="334"/>
      <c r="R3966" s="333">
        <v>1</v>
      </c>
      <c r="S3966" s="331" t="s">
        <v>699</v>
      </c>
      <c r="T3966" s="320">
        <v>19</v>
      </c>
      <c r="U3966" s="321"/>
      <c r="V3966" s="291">
        <f t="shared" ca="1" si="1036"/>
        <v>2</v>
      </c>
      <c r="W3966" s="256">
        <f t="shared" ca="1" si="1037"/>
        <v>2</v>
      </c>
      <c r="X3966" s="256">
        <f t="shared" ca="1" si="1038"/>
        <v>1</v>
      </c>
      <c r="Y3966" s="250"/>
      <c r="Z3966" s="250"/>
    </row>
    <row r="3967" spans="1:29" s="111" customFormat="1" ht="15.75" x14ac:dyDescent="0.2">
      <c r="A3967" s="288"/>
      <c r="B3967" s="311"/>
      <c r="C3967" s="397" t="s">
        <v>744</v>
      </c>
      <c r="D3967" s="1333">
        <v>45261</v>
      </c>
      <c r="E3967" s="1334"/>
      <c r="F3967" s="1335"/>
      <c r="G3967" s="1333">
        <v>45291</v>
      </c>
      <c r="H3967" s="1334"/>
      <c r="I3967" s="1335"/>
      <c r="J3967" s="317">
        <f t="shared" si="1035"/>
        <v>31</v>
      </c>
      <c r="K3967" s="433"/>
      <c r="L3967" s="328"/>
      <c r="M3967" s="328"/>
      <c r="N3967" s="328"/>
      <c r="O3967" s="334"/>
      <c r="P3967" s="328"/>
      <c r="Q3967" s="334"/>
      <c r="R3967" s="333">
        <v>1</v>
      </c>
      <c r="S3967" s="331" t="s">
        <v>699</v>
      </c>
      <c r="T3967" s="320">
        <v>19</v>
      </c>
      <c r="U3967" s="321"/>
      <c r="V3967" s="291">
        <f t="shared" ca="1" si="1036"/>
        <v>2</v>
      </c>
      <c r="W3967" s="256">
        <f t="shared" ca="1" si="1037"/>
        <v>2</v>
      </c>
      <c r="X3967" s="256">
        <f t="shared" ca="1" si="1038"/>
        <v>1</v>
      </c>
      <c r="Y3967" s="250"/>
      <c r="Z3967" s="250"/>
    </row>
    <row r="3968" spans="1:29" s="111" customFormat="1" ht="15.75" x14ac:dyDescent="0.2">
      <c r="A3968" s="288"/>
      <c r="B3968" s="311"/>
      <c r="C3968" s="397" t="s">
        <v>748</v>
      </c>
      <c r="D3968" s="1333">
        <v>45292</v>
      </c>
      <c r="E3968" s="1334"/>
      <c r="F3968" s="1335"/>
      <c r="G3968" s="1333">
        <v>45322</v>
      </c>
      <c r="H3968" s="1334"/>
      <c r="I3968" s="1335"/>
      <c r="J3968" s="317">
        <f t="shared" si="1035"/>
        <v>31</v>
      </c>
      <c r="K3968" s="433"/>
      <c r="L3968" s="328"/>
      <c r="M3968" s="328"/>
      <c r="N3968" s="328"/>
      <c r="O3968" s="334"/>
      <c r="P3968" s="328"/>
      <c r="Q3968" s="334"/>
      <c r="R3968" s="333">
        <v>1</v>
      </c>
      <c r="S3968" s="331" t="s">
        <v>699</v>
      </c>
      <c r="T3968" s="320">
        <v>19</v>
      </c>
      <c r="U3968" s="321"/>
      <c r="V3968" s="291">
        <f t="shared" ca="1" si="1036"/>
        <v>2</v>
      </c>
      <c r="W3968" s="256">
        <f t="shared" ca="1" si="1037"/>
        <v>2</v>
      </c>
      <c r="X3968" s="256">
        <f t="shared" ca="1" si="1038"/>
        <v>1</v>
      </c>
      <c r="Y3968" s="250"/>
      <c r="Z3968" s="250"/>
    </row>
    <row r="3969" spans="1:26" s="111" customFormat="1" ht="15.75" x14ac:dyDescent="0.2">
      <c r="A3969" s="288"/>
      <c r="B3969" s="311"/>
      <c r="C3969" s="397" t="s">
        <v>750</v>
      </c>
      <c r="D3969" s="1333">
        <v>45323</v>
      </c>
      <c r="E3969" s="1334"/>
      <c r="F3969" s="1335"/>
      <c r="G3969" s="1333">
        <v>45351</v>
      </c>
      <c r="H3969" s="1334"/>
      <c r="I3969" s="1335"/>
      <c r="J3969" s="317">
        <f t="shared" si="1035"/>
        <v>29</v>
      </c>
      <c r="K3969" s="433"/>
      <c r="L3969" s="328"/>
      <c r="M3969" s="328"/>
      <c r="N3969" s="328"/>
      <c r="O3969" s="334"/>
      <c r="P3969" s="328"/>
      <c r="Q3969" s="334"/>
      <c r="R3969" s="333">
        <v>1</v>
      </c>
      <c r="S3969" s="331" t="s">
        <v>699</v>
      </c>
      <c r="T3969" s="320">
        <v>19</v>
      </c>
      <c r="U3969" s="321"/>
      <c r="V3969" s="291">
        <f t="shared" ca="1" si="1036"/>
        <v>2</v>
      </c>
      <c r="W3969" s="256">
        <f t="shared" ca="1" si="1037"/>
        <v>2</v>
      </c>
      <c r="X3969" s="256">
        <f t="shared" ca="1" si="1038"/>
        <v>1</v>
      </c>
      <c r="Y3969" s="250"/>
      <c r="Z3969" s="250"/>
    </row>
    <row r="3970" spans="1:26" s="111" customFormat="1" ht="15.75" x14ac:dyDescent="0.2">
      <c r="A3970" s="288"/>
      <c r="B3970" s="311"/>
      <c r="C3970" s="397" t="s">
        <v>893</v>
      </c>
      <c r="D3970" s="1333">
        <v>45352</v>
      </c>
      <c r="E3970" s="1334"/>
      <c r="F3970" s="1335"/>
      <c r="G3970" s="1333">
        <v>45382</v>
      </c>
      <c r="H3970" s="1334"/>
      <c r="I3970" s="1335"/>
      <c r="J3970" s="317">
        <f t="shared" ref="J3970:J3976" si="1039">G3970-D3970+1</f>
        <v>31</v>
      </c>
      <c r="K3970" s="433"/>
      <c r="L3970" s="328"/>
      <c r="M3970" s="328"/>
      <c r="N3970" s="328"/>
      <c r="O3970" s="334"/>
      <c r="P3970" s="328"/>
      <c r="Q3970" s="334"/>
      <c r="R3970" s="333">
        <v>1</v>
      </c>
      <c r="S3970" s="331" t="s">
        <v>699</v>
      </c>
      <c r="T3970" s="320">
        <v>20</v>
      </c>
      <c r="U3970" s="321"/>
      <c r="V3970" s="291">
        <f t="shared" ca="1" si="1036"/>
        <v>2</v>
      </c>
      <c r="W3970" s="256">
        <f t="shared" ca="1" si="1037"/>
        <v>2</v>
      </c>
      <c r="X3970" s="256">
        <f t="shared" ca="1" si="1038"/>
        <v>1</v>
      </c>
      <c r="Y3970" s="250"/>
      <c r="Z3970" s="250"/>
    </row>
    <row r="3971" spans="1:26" s="111" customFormat="1" ht="15.75" x14ac:dyDescent="0.2">
      <c r="A3971" s="288"/>
      <c r="B3971" s="311"/>
      <c r="C3971" s="397" t="s">
        <v>928</v>
      </c>
      <c r="D3971" s="1333">
        <v>45383</v>
      </c>
      <c r="E3971" s="1334"/>
      <c r="F3971" s="1335"/>
      <c r="G3971" s="1333">
        <v>45412</v>
      </c>
      <c r="H3971" s="1334"/>
      <c r="I3971" s="1335"/>
      <c r="J3971" s="317">
        <f t="shared" si="1039"/>
        <v>30</v>
      </c>
      <c r="K3971" s="433"/>
      <c r="L3971" s="328"/>
      <c r="M3971" s="328"/>
      <c r="N3971" s="328"/>
      <c r="O3971" s="334"/>
      <c r="P3971" s="328"/>
      <c r="Q3971" s="334"/>
      <c r="R3971" s="333">
        <v>1</v>
      </c>
      <c r="S3971" s="331" t="s">
        <v>699</v>
      </c>
      <c r="T3971" s="320">
        <v>21</v>
      </c>
      <c r="U3971" s="321"/>
      <c r="V3971" s="291">
        <f t="shared" ca="1" si="1036"/>
        <v>2</v>
      </c>
      <c r="W3971" s="256">
        <f t="shared" ca="1" si="1037"/>
        <v>2</v>
      </c>
      <c r="X3971" s="256">
        <f t="shared" ca="1" si="1038"/>
        <v>1</v>
      </c>
      <c r="Y3971" s="250"/>
      <c r="Z3971" s="250"/>
    </row>
    <row r="3972" spans="1:26" s="111" customFormat="1" ht="15.75" x14ac:dyDescent="0.2">
      <c r="A3972" s="288"/>
      <c r="B3972" s="311"/>
      <c r="C3972" s="397" t="s">
        <v>934</v>
      </c>
      <c r="D3972" s="1333">
        <v>45413</v>
      </c>
      <c r="E3972" s="1334"/>
      <c r="F3972" s="1335"/>
      <c r="G3972" s="1333">
        <v>45443</v>
      </c>
      <c r="H3972" s="1334"/>
      <c r="I3972" s="1335"/>
      <c r="J3972" s="317">
        <f t="shared" si="1039"/>
        <v>31</v>
      </c>
      <c r="K3972" s="433"/>
      <c r="L3972" s="328"/>
      <c r="M3972" s="328"/>
      <c r="N3972" s="328"/>
      <c r="O3972" s="334"/>
      <c r="P3972" s="328"/>
      <c r="Q3972" s="334"/>
      <c r="R3972" s="333">
        <v>1</v>
      </c>
      <c r="S3972" s="331" t="s">
        <v>699</v>
      </c>
      <c r="T3972" s="320">
        <v>22</v>
      </c>
      <c r="U3972" s="321"/>
      <c r="V3972" s="291">
        <f t="shared" ca="1" si="1036"/>
        <v>2</v>
      </c>
      <c r="W3972" s="256">
        <f t="shared" ca="1" si="1037"/>
        <v>2</v>
      </c>
      <c r="X3972" s="256">
        <f t="shared" ca="1" si="1038"/>
        <v>1</v>
      </c>
      <c r="Y3972" s="250"/>
      <c r="Z3972" s="250"/>
    </row>
    <row r="3973" spans="1:26" s="111" customFormat="1" ht="15.75" x14ac:dyDescent="0.2">
      <c r="A3973" s="288"/>
      <c r="B3973" s="311"/>
      <c r="C3973" s="397" t="s">
        <v>940</v>
      </c>
      <c r="D3973" s="1333">
        <v>45444</v>
      </c>
      <c r="E3973" s="1334"/>
      <c r="F3973" s="1335"/>
      <c r="G3973" s="1333">
        <v>45473</v>
      </c>
      <c r="H3973" s="1334"/>
      <c r="I3973" s="1335"/>
      <c r="J3973" s="317">
        <f t="shared" si="1039"/>
        <v>30</v>
      </c>
      <c r="K3973" s="433"/>
      <c r="L3973" s="328"/>
      <c r="M3973" s="328"/>
      <c r="N3973" s="328"/>
      <c r="O3973" s="334"/>
      <c r="P3973" s="328"/>
      <c r="Q3973" s="334"/>
      <c r="R3973" s="333">
        <v>1</v>
      </c>
      <c r="S3973" s="331" t="s">
        <v>699</v>
      </c>
      <c r="T3973" s="320">
        <v>23</v>
      </c>
      <c r="U3973" s="321"/>
      <c r="V3973" s="291">
        <f t="shared" ca="1" si="1036"/>
        <v>2</v>
      </c>
      <c r="W3973" s="256">
        <f t="shared" ca="1" si="1037"/>
        <v>2</v>
      </c>
      <c r="X3973" s="256">
        <f t="shared" ca="1" si="1038"/>
        <v>1</v>
      </c>
      <c r="Y3973" s="250"/>
      <c r="Z3973" s="250"/>
    </row>
    <row r="3974" spans="1:26" s="111" customFormat="1" ht="15.75" x14ac:dyDescent="0.2">
      <c r="A3974" s="288"/>
      <c r="B3974" s="311"/>
      <c r="C3974" s="397" t="s">
        <v>945</v>
      </c>
      <c r="D3974" s="1333">
        <v>45474</v>
      </c>
      <c r="E3974" s="1334"/>
      <c r="F3974" s="1335"/>
      <c r="G3974" s="1333">
        <v>45504</v>
      </c>
      <c r="H3974" s="1334"/>
      <c r="I3974" s="1335"/>
      <c r="J3974" s="317">
        <f t="shared" si="1039"/>
        <v>31</v>
      </c>
      <c r="K3974" s="433"/>
      <c r="L3974" s="328"/>
      <c r="M3974" s="328"/>
      <c r="N3974" s="328"/>
      <c r="O3974" s="334"/>
      <c r="P3974" s="328"/>
      <c r="Q3974" s="334"/>
      <c r="R3974" s="333">
        <v>1</v>
      </c>
      <c r="S3974" s="331" t="s">
        <v>699</v>
      </c>
      <c r="T3974" s="320">
        <v>24</v>
      </c>
      <c r="U3974" s="321"/>
      <c r="V3974" s="291">
        <f t="shared" ca="1" si="1036"/>
        <v>2</v>
      </c>
      <c r="W3974" s="256">
        <f t="shared" ca="1" si="1037"/>
        <v>2</v>
      </c>
      <c r="X3974" s="256">
        <f t="shared" ca="1" si="1038"/>
        <v>1</v>
      </c>
      <c r="Y3974" s="250"/>
      <c r="Z3974" s="250"/>
    </row>
    <row r="3975" spans="1:26" s="111" customFormat="1" ht="15.75" x14ac:dyDescent="0.2">
      <c r="A3975" s="288"/>
      <c r="B3975" s="311"/>
      <c r="C3975" s="397" t="s">
        <v>984</v>
      </c>
      <c r="D3975" s="1333">
        <v>45505</v>
      </c>
      <c r="E3975" s="1334"/>
      <c r="F3975" s="1335"/>
      <c r="G3975" s="1333">
        <v>45535</v>
      </c>
      <c r="H3975" s="1334"/>
      <c r="I3975" s="1335"/>
      <c r="J3975" s="317">
        <f t="shared" si="1039"/>
        <v>31</v>
      </c>
      <c r="K3975" s="433"/>
      <c r="L3975" s="328"/>
      <c r="M3975" s="328"/>
      <c r="N3975" s="328"/>
      <c r="O3975" s="334"/>
      <c r="P3975" s="328"/>
      <c r="Q3975" s="334"/>
      <c r="R3975" s="333">
        <v>1</v>
      </c>
      <c r="S3975" s="331" t="s">
        <v>699</v>
      </c>
      <c r="T3975" s="320">
        <v>25</v>
      </c>
      <c r="U3975" s="321"/>
      <c r="V3975" s="291">
        <f t="shared" ca="1" si="1036"/>
        <v>2</v>
      </c>
      <c r="W3975" s="256">
        <f t="shared" ca="1" si="1037"/>
        <v>2</v>
      </c>
      <c r="X3975" s="256">
        <f t="shared" ca="1" si="1038"/>
        <v>1</v>
      </c>
      <c r="Y3975" s="250"/>
      <c r="Z3975" s="250"/>
    </row>
    <row r="3976" spans="1:26" s="337" customFormat="1" ht="15.75" x14ac:dyDescent="0.2">
      <c r="A3976" s="288"/>
      <c r="B3976" s="512"/>
      <c r="C3976" s="397" t="s">
        <v>759</v>
      </c>
      <c r="D3976" s="1333">
        <v>45536</v>
      </c>
      <c r="E3976" s="1334"/>
      <c r="F3976" s="1335"/>
      <c r="G3976" s="1333">
        <v>45565</v>
      </c>
      <c r="H3976" s="1334"/>
      <c r="I3976" s="1335"/>
      <c r="J3976" s="317">
        <f t="shared" si="1039"/>
        <v>30</v>
      </c>
      <c r="K3976" s="519"/>
      <c r="L3976" s="427"/>
      <c r="M3976" s="513"/>
      <c r="N3976" s="520"/>
      <c r="O3976" s="519"/>
      <c r="P3976" s="428"/>
      <c r="Q3976" s="513"/>
      <c r="R3976" s="524">
        <v>1</v>
      </c>
      <c r="S3976" s="427" t="s">
        <v>699</v>
      </c>
      <c r="T3976" s="514">
        <v>26</v>
      </c>
      <c r="U3976" s="765"/>
      <c r="V3976" s="291">
        <f t="shared" ca="1" si="1036"/>
        <v>2</v>
      </c>
      <c r="W3976" s="256">
        <f t="shared" ca="1" si="1037"/>
        <v>2</v>
      </c>
      <c r="X3976" s="256">
        <f t="shared" ca="1" si="1038"/>
        <v>1</v>
      </c>
      <c r="Y3976" s="336"/>
      <c r="Z3976" s="336"/>
    </row>
    <row r="3977" spans="1:26" s="337" customFormat="1" ht="15.75" x14ac:dyDescent="0.2">
      <c r="A3977" s="288"/>
      <c r="B3977" s="512"/>
      <c r="C3977" s="397" t="s">
        <v>761</v>
      </c>
      <c r="D3977" s="1333">
        <v>45597</v>
      </c>
      <c r="E3977" s="1334"/>
      <c r="F3977" s="1335"/>
      <c r="G3977" s="1333">
        <v>45626</v>
      </c>
      <c r="H3977" s="1334"/>
      <c r="I3977" s="1335"/>
      <c r="J3977" s="317">
        <f>G3977-D3977+1</f>
        <v>30</v>
      </c>
      <c r="K3977" s="519"/>
      <c r="L3977" s="427"/>
      <c r="M3977" s="513"/>
      <c r="N3977" s="520"/>
      <c r="O3977" s="519"/>
      <c r="P3977" s="428"/>
      <c r="Q3977" s="513"/>
      <c r="R3977" s="524">
        <v>1</v>
      </c>
      <c r="S3977" s="427" t="s">
        <v>699</v>
      </c>
      <c r="T3977" s="514">
        <v>28</v>
      </c>
      <c r="U3977" s="765"/>
      <c r="V3977" s="291">
        <f t="shared" ca="1" si="1036"/>
        <v>2</v>
      </c>
      <c r="W3977" s="256">
        <f t="shared" ca="1" si="1037"/>
        <v>2</v>
      </c>
      <c r="X3977" s="256">
        <f t="shared" ca="1" si="1038"/>
        <v>1</v>
      </c>
      <c r="Y3977" s="336"/>
      <c r="Z3977" s="336"/>
    </row>
    <row r="3978" spans="1:26" s="337" customFormat="1" ht="15.75" x14ac:dyDescent="0.2">
      <c r="A3978" s="288"/>
      <c r="B3978" s="512"/>
      <c r="C3978" s="397" t="s">
        <v>1040</v>
      </c>
      <c r="D3978" s="1333">
        <v>45627</v>
      </c>
      <c r="E3978" s="1334"/>
      <c r="F3978" s="1335"/>
      <c r="G3978" s="1333">
        <v>45657</v>
      </c>
      <c r="H3978" s="1334"/>
      <c r="I3978" s="1335"/>
      <c r="J3978" s="317">
        <f>G3978-D3978+1</f>
        <v>31</v>
      </c>
      <c r="K3978" s="519"/>
      <c r="L3978" s="427"/>
      <c r="M3978" s="513"/>
      <c r="N3978" s="520"/>
      <c r="O3978" s="519"/>
      <c r="P3978" s="428"/>
      <c r="Q3978" s="513"/>
      <c r="R3978" s="524">
        <v>1</v>
      </c>
      <c r="S3978" s="427" t="s">
        <v>699</v>
      </c>
      <c r="T3978" s="514">
        <v>29</v>
      </c>
      <c r="U3978" s="765"/>
      <c r="V3978" s="291">
        <f t="shared" ca="1" si="1036"/>
        <v>2</v>
      </c>
      <c r="W3978" s="256">
        <f t="shared" ca="1" si="1037"/>
        <v>2</v>
      </c>
      <c r="X3978" s="256">
        <f t="shared" ca="1" si="1038"/>
        <v>1</v>
      </c>
      <c r="Y3978" s="336"/>
      <c r="Z3978" s="336"/>
    </row>
    <row r="3979" spans="1:26" s="337" customFormat="1" ht="15.75" x14ac:dyDescent="0.2">
      <c r="A3979" s="288"/>
      <c r="B3979" s="512"/>
      <c r="C3979" s="397" t="s">
        <v>763</v>
      </c>
      <c r="D3979" s="1333">
        <v>45658</v>
      </c>
      <c r="E3979" s="1334"/>
      <c r="F3979" s="1335"/>
      <c r="G3979" s="1333">
        <v>45688</v>
      </c>
      <c r="H3979" s="1334"/>
      <c r="I3979" s="1335"/>
      <c r="J3979" s="317">
        <f>G3979-D3979+1</f>
        <v>31</v>
      </c>
      <c r="K3979" s="519"/>
      <c r="L3979" s="427"/>
      <c r="M3979" s="513"/>
      <c r="N3979" s="520"/>
      <c r="O3979" s="519"/>
      <c r="P3979" s="428"/>
      <c r="Q3979" s="513"/>
      <c r="R3979" s="524">
        <v>1</v>
      </c>
      <c r="S3979" s="427" t="s">
        <v>699</v>
      </c>
      <c r="T3979" s="514">
        <v>30</v>
      </c>
      <c r="U3979" s="765"/>
      <c r="V3979" s="291">
        <f t="shared" ca="1" si="1036"/>
        <v>2</v>
      </c>
      <c r="W3979" s="256">
        <f t="shared" ca="1" si="1037"/>
        <v>2</v>
      </c>
      <c r="X3979" s="256">
        <f t="shared" ca="1" si="1038"/>
        <v>1</v>
      </c>
      <c r="Y3979" s="336"/>
      <c r="Z3979" s="336"/>
    </row>
    <row r="3980" spans="1:26" s="337" customFormat="1" ht="15.75" x14ac:dyDescent="0.2">
      <c r="A3980" s="288"/>
      <c r="B3980" s="512"/>
      <c r="C3980" s="397" t="s">
        <v>749</v>
      </c>
      <c r="D3980" s="1333">
        <v>45689</v>
      </c>
      <c r="E3980" s="1334"/>
      <c r="F3980" s="1335"/>
      <c r="G3980" s="1333">
        <v>45716</v>
      </c>
      <c r="H3980" s="1334"/>
      <c r="I3980" s="1335"/>
      <c r="J3980" s="317">
        <f>G3980-D3980+1</f>
        <v>28</v>
      </c>
      <c r="K3980" s="519"/>
      <c r="L3980" s="427"/>
      <c r="M3980" s="513"/>
      <c r="N3980" s="520"/>
      <c r="O3980" s="519"/>
      <c r="P3980" s="428"/>
      <c r="Q3980" s="513"/>
      <c r="R3980" s="524">
        <v>1</v>
      </c>
      <c r="S3980" s="427" t="s">
        <v>699</v>
      </c>
      <c r="T3980" s="514">
        <v>31</v>
      </c>
      <c r="U3980" s="765"/>
      <c r="V3980" s="291">
        <f t="shared" ca="1" si="1036"/>
        <v>2</v>
      </c>
      <c r="W3980" s="256">
        <f t="shared" ca="1" si="1037"/>
        <v>2</v>
      </c>
      <c r="X3980" s="256">
        <f t="shared" ca="1" si="1038"/>
        <v>1</v>
      </c>
      <c r="Y3980" s="336"/>
      <c r="Z3980" s="336"/>
    </row>
    <row r="3981" spans="1:26" s="111" customFormat="1" ht="15.75" x14ac:dyDescent="0.2">
      <c r="A3981" s="288"/>
      <c r="B3981" s="311"/>
      <c r="C3981" s="397" t="s">
        <v>893</v>
      </c>
      <c r="D3981" s="1333">
        <v>45717</v>
      </c>
      <c r="E3981" s="1334"/>
      <c r="F3981" s="1335"/>
      <c r="G3981" s="1333">
        <v>45747</v>
      </c>
      <c r="H3981" s="1334"/>
      <c r="I3981" s="1335"/>
      <c r="J3981" s="317">
        <f t="shared" ref="J3981" si="1040">G3981-D3981+1</f>
        <v>31</v>
      </c>
      <c r="K3981" s="433"/>
      <c r="L3981" s="328"/>
      <c r="M3981" s="328"/>
      <c r="N3981" s="328"/>
      <c r="O3981" s="334"/>
      <c r="P3981" s="328"/>
      <c r="Q3981" s="334"/>
      <c r="R3981" s="333">
        <v>1</v>
      </c>
      <c r="S3981" s="331" t="s">
        <v>699</v>
      </c>
      <c r="T3981" s="320">
        <v>32</v>
      </c>
      <c r="U3981" s="321"/>
      <c r="V3981" s="291">
        <f t="shared" ca="1" si="1036"/>
        <v>2</v>
      </c>
      <c r="W3981" s="256">
        <f t="shared" ca="1" si="1037"/>
        <v>2</v>
      </c>
      <c r="X3981" s="256">
        <f t="shared" ca="1" si="1038"/>
        <v>1</v>
      </c>
      <c r="Y3981" s="250"/>
      <c r="Z3981" s="250"/>
    </row>
    <row r="3982" spans="1:26" s="111" customFormat="1" ht="15.75" x14ac:dyDescent="0.2">
      <c r="A3982" s="288"/>
      <c r="B3982" s="311"/>
      <c r="C3982" s="397" t="s">
        <v>928</v>
      </c>
      <c r="D3982" s="1333">
        <v>45748</v>
      </c>
      <c r="E3982" s="1334"/>
      <c r="F3982" s="1335"/>
      <c r="G3982" s="1333">
        <v>45777</v>
      </c>
      <c r="H3982" s="1334"/>
      <c r="I3982" s="1335"/>
      <c r="J3982" s="317">
        <f t="shared" ref="J3982:J3991" si="1041">G3982-D3982+1</f>
        <v>30</v>
      </c>
      <c r="K3982" s="433"/>
      <c r="L3982" s="328"/>
      <c r="M3982" s="328"/>
      <c r="N3982" s="328"/>
      <c r="O3982" s="334"/>
      <c r="P3982" s="328"/>
      <c r="Q3982" s="334"/>
      <c r="R3982" s="333">
        <v>1</v>
      </c>
      <c r="S3982" s="331" t="s">
        <v>699</v>
      </c>
      <c r="T3982" s="320">
        <v>33</v>
      </c>
      <c r="U3982" s="321"/>
      <c r="V3982" s="291">
        <f t="shared" ca="1" si="1036"/>
        <v>2</v>
      </c>
      <c r="W3982" s="256">
        <f t="shared" ca="1" si="1037"/>
        <v>2</v>
      </c>
      <c r="X3982" s="256">
        <f t="shared" ca="1" si="1038"/>
        <v>1</v>
      </c>
      <c r="Y3982" s="250"/>
      <c r="Z3982" s="250"/>
    </row>
    <row r="3983" spans="1:26" s="111" customFormat="1" ht="15.75" x14ac:dyDescent="0.2">
      <c r="A3983" s="288"/>
      <c r="B3983" s="311"/>
      <c r="C3983" s="397" t="s">
        <v>934</v>
      </c>
      <c r="D3983" s="1333">
        <v>45778</v>
      </c>
      <c r="E3983" s="1334"/>
      <c r="F3983" s="1335"/>
      <c r="G3983" s="1333">
        <v>45808</v>
      </c>
      <c r="H3983" s="1334"/>
      <c r="I3983" s="1335"/>
      <c r="J3983" s="317">
        <f t="shared" si="1041"/>
        <v>31</v>
      </c>
      <c r="K3983" s="433"/>
      <c r="L3983" s="328"/>
      <c r="M3983" s="328"/>
      <c r="N3983" s="328"/>
      <c r="O3983" s="334"/>
      <c r="P3983" s="328"/>
      <c r="Q3983" s="334"/>
      <c r="R3983" s="333">
        <v>1</v>
      </c>
      <c r="S3983" s="331" t="s">
        <v>699</v>
      </c>
      <c r="T3983" s="320">
        <v>35</v>
      </c>
      <c r="U3983" s="321"/>
      <c r="V3983" s="291">
        <f t="shared" ca="1" si="1036"/>
        <v>2</v>
      </c>
      <c r="W3983" s="256">
        <f t="shared" ref="W3983:W3986" ca="1" si="1042">IF(LEFT(_xlfn.FORMULATEXT(V3983),3)="=SO",1,IF(COUNTA(A3983:U3983)=0,0,2))</f>
        <v>2</v>
      </c>
      <c r="X3983" s="256">
        <f t="shared" ref="X3983:X3986" ca="1" si="1043">IF(COUNTA(OFFSET(A3982,1,0))-COUNTA(A3982)=-1,0,1)</f>
        <v>1</v>
      </c>
      <c r="Y3983" s="250"/>
      <c r="Z3983" s="250"/>
    </row>
    <row r="3984" spans="1:26" s="111" customFormat="1" ht="15.75" x14ac:dyDescent="0.2">
      <c r="A3984" s="288"/>
      <c r="B3984" s="311"/>
      <c r="C3984" s="397" t="s">
        <v>940</v>
      </c>
      <c r="D3984" s="1333">
        <v>45809</v>
      </c>
      <c r="E3984" s="1334"/>
      <c r="F3984" s="1335"/>
      <c r="G3984" s="1333">
        <v>45838</v>
      </c>
      <c r="H3984" s="1334"/>
      <c r="I3984" s="1335"/>
      <c r="J3984" s="317">
        <f t="shared" si="1041"/>
        <v>30</v>
      </c>
      <c r="K3984" s="433"/>
      <c r="L3984" s="328"/>
      <c r="M3984" s="328"/>
      <c r="N3984" s="328"/>
      <c r="O3984" s="334"/>
      <c r="P3984" s="328"/>
      <c r="Q3984" s="334"/>
      <c r="R3984" s="333">
        <v>1</v>
      </c>
      <c r="S3984" s="331" t="s">
        <v>699</v>
      </c>
      <c r="T3984" s="320">
        <v>35</v>
      </c>
      <c r="U3984" s="321"/>
      <c r="V3984" s="291">
        <f t="shared" ca="1" si="1036"/>
        <v>2</v>
      </c>
      <c r="W3984" s="256">
        <f t="shared" ca="1" si="1042"/>
        <v>2</v>
      </c>
      <c r="X3984" s="256">
        <f t="shared" ca="1" si="1043"/>
        <v>1</v>
      </c>
      <c r="Y3984" s="250"/>
      <c r="Z3984" s="250"/>
    </row>
    <row r="3985" spans="1:29" s="111" customFormat="1" ht="15.75" x14ac:dyDescent="0.2">
      <c r="A3985" s="288"/>
      <c r="B3985" s="311"/>
      <c r="C3985" s="397" t="s">
        <v>945</v>
      </c>
      <c r="D3985" s="1333">
        <v>45839</v>
      </c>
      <c r="E3985" s="1334"/>
      <c r="F3985" s="1335"/>
      <c r="G3985" s="1333">
        <v>45869</v>
      </c>
      <c r="H3985" s="1334"/>
      <c r="I3985" s="1335"/>
      <c r="J3985" s="317">
        <f t="shared" si="1041"/>
        <v>31</v>
      </c>
      <c r="K3985" s="433"/>
      <c r="L3985" s="328"/>
      <c r="M3985" s="328"/>
      <c r="N3985" s="328"/>
      <c r="O3985" s="334"/>
      <c r="P3985" s="328"/>
      <c r="Q3985" s="334"/>
      <c r="R3985" s="333">
        <v>1</v>
      </c>
      <c r="S3985" s="331" t="s">
        <v>699</v>
      </c>
      <c r="T3985" s="320">
        <v>35</v>
      </c>
      <c r="U3985" s="321"/>
      <c r="V3985" s="291">
        <f t="shared" ca="1" si="1036"/>
        <v>2</v>
      </c>
      <c r="W3985" s="256">
        <f t="shared" ca="1" si="1042"/>
        <v>2</v>
      </c>
      <c r="X3985" s="256">
        <f t="shared" ca="1" si="1043"/>
        <v>1</v>
      </c>
      <c r="Y3985" s="250"/>
      <c r="Z3985" s="250"/>
    </row>
    <row r="3986" spans="1:29" s="111" customFormat="1" ht="15.75" x14ac:dyDescent="0.2">
      <c r="A3986" s="288"/>
      <c r="B3986" s="311"/>
      <c r="C3986" s="397" t="s">
        <v>984</v>
      </c>
      <c r="D3986" s="1333">
        <v>45870</v>
      </c>
      <c r="E3986" s="1334"/>
      <c r="F3986" s="1335"/>
      <c r="G3986" s="1333">
        <v>45900</v>
      </c>
      <c r="H3986" s="1334"/>
      <c r="I3986" s="1335"/>
      <c r="J3986" s="317">
        <f t="shared" si="1041"/>
        <v>31</v>
      </c>
      <c r="K3986" s="433"/>
      <c r="L3986" s="328"/>
      <c r="M3986" s="328"/>
      <c r="N3986" s="328"/>
      <c r="O3986" s="334"/>
      <c r="P3986" s="328"/>
      <c r="Q3986" s="334"/>
      <c r="R3986" s="333">
        <v>1</v>
      </c>
      <c r="S3986" s="331" t="s">
        <v>699</v>
      </c>
      <c r="T3986" s="320">
        <v>36</v>
      </c>
      <c r="U3986" s="321"/>
      <c r="V3986" s="291">
        <f t="shared" ca="1" si="1036"/>
        <v>2</v>
      </c>
      <c r="W3986" s="256">
        <f t="shared" ca="1" si="1042"/>
        <v>2</v>
      </c>
      <c r="X3986" s="256">
        <f t="shared" ca="1" si="1043"/>
        <v>1</v>
      </c>
      <c r="Y3986" s="250"/>
      <c r="Z3986" s="250"/>
    </row>
    <row r="3987" spans="1:29" s="111" customFormat="1" ht="15.75" x14ac:dyDescent="0.2">
      <c r="A3987" s="288"/>
      <c r="B3987" s="311"/>
      <c r="C3987" s="397" t="s">
        <v>745</v>
      </c>
      <c r="D3987" s="1333">
        <v>45901</v>
      </c>
      <c r="E3987" s="1334"/>
      <c r="F3987" s="1335"/>
      <c r="G3987" s="1333">
        <v>45930</v>
      </c>
      <c r="H3987" s="1334"/>
      <c r="I3987" s="1335"/>
      <c r="J3987" s="317">
        <f t="shared" si="1041"/>
        <v>30</v>
      </c>
      <c r="K3987" s="433"/>
      <c r="L3987" s="328"/>
      <c r="M3987" s="328"/>
      <c r="N3987" s="328"/>
      <c r="O3987" s="334"/>
      <c r="P3987" s="328"/>
      <c r="Q3987" s="334"/>
      <c r="R3987" s="333">
        <v>2</v>
      </c>
      <c r="S3987" s="331" t="s">
        <v>699</v>
      </c>
      <c r="T3987" s="320">
        <v>37</v>
      </c>
      <c r="U3987" s="321" t="s">
        <v>1212</v>
      </c>
      <c r="V3987" s="291">
        <f t="shared" ca="1" si="1036"/>
        <v>2</v>
      </c>
      <c r="W3987" s="256">
        <f t="shared" ref="W3987:W3990" ca="1" si="1044">IF(LEFT(_xlfn.FORMULATEXT(V3987),3)="=SO",1,IF(COUNTA(A3987:U3987)=0,0,2))</f>
        <v>2</v>
      </c>
      <c r="X3987" s="256">
        <f t="shared" ref="X3987:X3990" ca="1" si="1045">IF(COUNTA(OFFSET(A3986,1,0))-COUNTA(A3986)=-1,0,1)</f>
        <v>1</v>
      </c>
      <c r="Y3987" s="250"/>
      <c r="Z3987" s="250"/>
    </row>
    <row r="3988" spans="1:29" s="111" customFormat="1" ht="15.75" x14ac:dyDescent="0.2">
      <c r="A3988" s="288"/>
      <c r="B3988" s="311"/>
      <c r="C3988" s="397" t="s">
        <v>746</v>
      </c>
      <c r="D3988" s="1333">
        <v>45931</v>
      </c>
      <c r="E3988" s="1334"/>
      <c r="F3988" s="1335"/>
      <c r="G3988" s="1333">
        <v>45961</v>
      </c>
      <c r="H3988" s="1334"/>
      <c r="I3988" s="1335"/>
      <c r="J3988" s="317">
        <f t="shared" si="1041"/>
        <v>31</v>
      </c>
      <c r="K3988" s="433"/>
      <c r="L3988" s="328"/>
      <c r="M3988" s="328"/>
      <c r="N3988" s="328"/>
      <c r="O3988" s="334"/>
      <c r="P3988" s="328"/>
      <c r="Q3988" s="334"/>
      <c r="R3988" s="333">
        <v>2</v>
      </c>
      <c r="S3988" s="331" t="s">
        <v>699</v>
      </c>
      <c r="T3988" s="320">
        <v>38</v>
      </c>
      <c r="U3988" s="321"/>
      <c r="V3988" s="291">
        <f t="shared" ca="1" si="1036"/>
        <v>2</v>
      </c>
      <c r="W3988" s="256">
        <f t="shared" ca="1" si="1044"/>
        <v>2</v>
      </c>
      <c r="X3988" s="256">
        <f t="shared" ca="1" si="1045"/>
        <v>1</v>
      </c>
      <c r="Y3988" s="250"/>
      <c r="Z3988" s="250"/>
    </row>
    <row r="3989" spans="1:29" s="111" customFormat="1" ht="15.75" x14ac:dyDescent="0.2">
      <c r="A3989" s="288"/>
      <c r="B3989" s="311"/>
      <c r="C3989" s="397" t="s">
        <v>761</v>
      </c>
      <c r="D3989" s="1333">
        <v>45962</v>
      </c>
      <c r="E3989" s="1334"/>
      <c r="F3989" s="1335"/>
      <c r="G3989" s="1333">
        <v>45991</v>
      </c>
      <c r="H3989" s="1334"/>
      <c r="I3989" s="1335"/>
      <c r="J3989" s="317">
        <f t="shared" si="1041"/>
        <v>30</v>
      </c>
      <c r="K3989" s="433"/>
      <c r="L3989" s="328"/>
      <c r="M3989" s="328"/>
      <c r="N3989" s="328"/>
      <c r="O3989" s="334"/>
      <c r="P3989" s="328"/>
      <c r="Q3989" s="334"/>
      <c r="R3989" s="333">
        <v>2</v>
      </c>
      <c r="S3989" s="331" t="s">
        <v>699</v>
      </c>
      <c r="T3989" s="320">
        <v>39</v>
      </c>
      <c r="U3989" s="321"/>
      <c r="V3989" s="291">
        <f t="shared" ca="1" si="1036"/>
        <v>2</v>
      </c>
      <c r="W3989" s="256">
        <f t="shared" ca="1" si="1044"/>
        <v>2</v>
      </c>
      <c r="X3989" s="256">
        <f t="shared" ca="1" si="1045"/>
        <v>1</v>
      </c>
      <c r="Y3989" s="250"/>
      <c r="Z3989" s="250"/>
    </row>
    <row r="3990" spans="1:29" s="111" customFormat="1" ht="15.75" x14ac:dyDescent="0.2">
      <c r="A3990" s="288"/>
      <c r="B3990" s="311"/>
      <c r="C3990" s="397" t="s">
        <v>1040</v>
      </c>
      <c r="D3990" s="1333">
        <v>45992</v>
      </c>
      <c r="E3990" s="1334"/>
      <c r="F3990" s="1335"/>
      <c r="G3990" s="1333">
        <v>46022</v>
      </c>
      <c r="H3990" s="1334"/>
      <c r="I3990" s="1335"/>
      <c r="J3990" s="317">
        <f t="shared" si="1041"/>
        <v>31</v>
      </c>
      <c r="K3990" s="433"/>
      <c r="L3990" s="328"/>
      <c r="M3990" s="328"/>
      <c r="N3990" s="328"/>
      <c r="O3990" s="334"/>
      <c r="P3990" s="328"/>
      <c r="Q3990" s="334"/>
      <c r="R3990" s="333">
        <v>2</v>
      </c>
      <c r="S3990" s="331" t="s">
        <v>699</v>
      </c>
      <c r="T3990" s="320">
        <v>40</v>
      </c>
      <c r="U3990" s="321"/>
      <c r="V3990" s="291">
        <f t="shared" ca="1" si="1036"/>
        <v>2</v>
      </c>
      <c r="W3990" s="256">
        <f t="shared" ca="1" si="1044"/>
        <v>2</v>
      </c>
      <c r="X3990" s="256">
        <f t="shared" ca="1" si="1045"/>
        <v>1</v>
      </c>
      <c r="Y3990" s="250"/>
      <c r="Z3990" s="250"/>
    </row>
    <row r="3991" spans="1:29" s="111" customFormat="1" ht="15.75" x14ac:dyDescent="0.2">
      <c r="A3991" s="288"/>
      <c r="B3991" s="311"/>
      <c r="C3991" s="397" t="s">
        <v>763</v>
      </c>
      <c r="D3991" s="1333">
        <v>46023</v>
      </c>
      <c r="E3991" s="1334"/>
      <c r="F3991" s="1335"/>
      <c r="G3991" s="1333">
        <v>46053</v>
      </c>
      <c r="H3991" s="1334"/>
      <c r="I3991" s="1335"/>
      <c r="J3991" s="317">
        <f t="shared" si="1041"/>
        <v>31</v>
      </c>
      <c r="K3991" s="433"/>
      <c r="L3991" s="328"/>
      <c r="M3991" s="328"/>
      <c r="N3991" s="328"/>
      <c r="O3991" s="334"/>
      <c r="P3991" s="328"/>
      <c r="Q3991" s="334"/>
      <c r="R3991" s="333">
        <v>2</v>
      </c>
      <c r="S3991" s="331" t="s">
        <v>699</v>
      </c>
      <c r="T3991" s="320">
        <v>41</v>
      </c>
      <c r="U3991" s="321"/>
      <c r="V3991" s="291">
        <f t="shared" ca="1" si="1036"/>
        <v>2</v>
      </c>
      <c r="W3991" s="256">
        <f t="shared" ref="W3991:W3998" ca="1" si="1046">IF(LEFT(_xlfn.FORMULATEXT(V3991),3)="=SO",1,IF(COUNTA(A3991:U3991)=0,0,2))</f>
        <v>2</v>
      </c>
      <c r="X3991" s="256">
        <f t="shared" ref="X3991:X3998" ca="1" si="1047">IF(COUNTA(OFFSET(A3990,1,0))-COUNTA(A3990)=-1,0,1)</f>
        <v>1</v>
      </c>
      <c r="Y3991" s="250"/>
      <c r="Z3991" s="250"/>
    </row>
    <row r="3992" spans="1:29" s="111" customFormat="1" ht="15.75" x14ac:dyDescent="0.2">
      <c r="A3992" s="288"/>
      <c r="B3992" s="311"/>
      <c r="C3992" s="397" t="s">
        <v>749</v>
      </c>
      <c r="D3992" s="1333">
        <v>46054</v>
      </c>
      <c r="E3992" s="1334"/>
      <c r="F3992" s="1335"/>
      <c r="G3992" s="1333">
        <v>46081</v>
      </c>
      <c r="H3992" s="1334"/>
      <c r="I3992" s="1335"/>
      <c r="J3992" s="317">
        <f>G3992-D3992+1</f>
        <v>28</v>
      </c>
      <c r="K3992" s="519"/>
      <c r="L3992" s="1110"/>
      <c r="M3992" s="513"/>
      <c r="N3992" s="520"/>
      <c r="O3992" s="519"/>
      <c r="P3992" s="428"/>
      <c r="Q3992" s="513"/>
      <c r="R3992" s="524">
        <v>2</v>
      </c>
      <c r="S3992" s="1110" t="s">
        <v>699</v>
      </c>
      <c r="T3992" s="514">
        <v>42</v>
      </c>
      <c r="U3992" s="321"/>
      <c r="V3992" s="291">
        <f t="shared" ca="1" si="1036"/>
        <v>2</v>
      </c>
      <c r="W3992" s="256">
        <f t="shared" ca="1" si="1046"/>
        <v>2</v>
      </c>
      <c r="X3992" s="256">
        <f t="shared" ca="1" si="1047"/>
        <v>1</v>
      </c>
      <c r="Y3992" s="250"/>
      <c r="Z3992" s="250"/>
    </row>
    <row r="3993" spans="1:29" s="111" customFormat="1" ht="15.75" x14ac:dyDescent="0.2">
      <c r="A3993" s="288"/>
      <c r="B3993" s="311"/>
      <c r="C3993" s="397" t="s">
        <v>926</v>
      </c>
      <c r="D3993" s="1333">
        <v>46082</v>
      </c>
      <c r="E3993" s="1334"/>
      <c r="F3993" s="1335"/>
      <c r="G3993" s="1333">
        <v>46112</v>
      </c>
      <c r="H3993" s="1334"/>
      <c r="I3993" s="1335"/>
      <c r="J3993" s="317">
        <f>G3993-D3993+1</f>
        <v>31</v>
      </c>
      <c r="K3993" s="519"/>
      <c r="L3993" s="1110"/>
      <c r="M3993" s="513"/>
      <c r="N3993" s="520"/>
      <c r="O3993" s="519"/>
      <c r="P3993" s="428"/>
      <c r="Q3993" s="513"/>
      <c r="R3993" s="524">
        <v>2</v>
      </c>
      <c r="S3993" s="1110" t="s">
        <v>699</v>
      </c>
      <c r="T3993" s="514">
        <v>43</v>
      </c>
      <c r="U3993" s="321"/>
      <c r="V3993" s="291">
        <f t="shared" ca="1" si="1036"/>
        <v>2</v>
      </c>
      <c r="W3993" s="256">
        <f t="shared" ca="1" si="1046"/>
        <v>2</v>
      </c>
      <c r="X3993" s="256">
        <f t="shared" ca="1" si="1047"/>
        <v>1</v>
      </c>
      <c r="Y3993" s="250"/>
      <c r="Z3993" s="250"/>
    </row>
    <row r="3994" spans="1:29" s="111" customFormat="1" ht="15.75" x14ac:dyDescent="0.2">
      <c r="A3994" s="288"/>
      <c r="B3994" s="311"/>
      <c r="C3994" s="397" t="s">
        <v>929</v>
      </c>
      <c r="D3994" s="1333">
        <v>46113</v>
      </c>
      <c r="E3994" s="1334"/>
      <c r="F3994" s="1335"/>
      <c r="G3994" s="1333">
        <v>46142</v>
      </c>
      <c r="H3994" s="1334"/>
      <c r="I3994" s="1335"/>
      <c r="J3994" s="317">
        <f>G3994-D3994+1</f>
        <v>30</v>
      </c>
      <c r="K3994" s="519"/>
      <c r="L3994" s="1110"/>
      <c r="M3994" s="513"/>
      <c r="N3994" s="520"/>
      <c r="O3994" s="519"/>
      <c r="P3994" s="428"/>
      <c r="Q3994" s="513"/>
      <c r="R3994" s="524">
        <v>2</v>
      </c>
      <c r="S3994" s="1110" t="s">
        <v>699</v>
      </c>
      <c r="T3994" s="514">
        <v>44</v>
      </c>
      <c r="U3994" s="321"/>
      <c r="V3994" s="291">
        <f t="shared" ca="1" si="1036"/>
        <v>2</v>
      </c>
      <c r="W3994" s="256">
        <f t="shared" ca="1" si="1046"/>
        <v>2</v>
      </c>
      <c r="X3994" s="256">
        <f t="shared" ca="1" si="1047"/>
        <v>1</v>
      </c>
      <c r="Y3994" s="250"/>
      <c r="Z3994" s="250"/>
    </row>
    <row r="3995" spans="1:29" s="111" customFormat="1" ht="15.75" x14ac:dyDescent="0.2">
      <c r="A3995" s="288"/>
      <c r="B3995" s="311"/>
      <c r="C3995" s="397"/>
      <c r="D3995" s="1181"/>
      <c r="E3995" s="1182"/>
      <c r="F3995" s="1183"/>
      <c r="G3995" s="1181"/>
      <c r="H3995" s="1182"/>
      <c r="I3995" s="1183"/>
      <c r="J3995" s="317"/>
      <c r="K3995" s="519"/>
      <c r="L3995" s="1110"/>
      <c r="M3995" s="513"/>
      <c r="N3995" s="520"/>
      <c r="O3995" s="519"/>
      <c r="P3995" s="428"/>
      <c r="Q3995" s="513"/>
      <c r="R3995" s="524"/>
      <c r="S3995" s="519"/>
      <c r="T3995" s="514"/>
      <c r="U3995" s="321"/>
      <c r="V3995" s="291">
        <f t="shared" ca="1" si="1036"/>
        <v>2</v>
      </c>
      <c r="W3995" s="256">
        <f t="shared" ca="1" si="1046"/>
        <v>0</v>
      </c>
      <c r="X3995" s="256">
        <f t="shared" ca="1" si="1047"/>
        <v>1</v>
      </c>
      <c r="Y3995" s="250"/>
      <c r="Z3995" s="250"/>
    </row>
    <row r="3996" spans="1:29" s="111" customFormat="1" ht="15" x14ac:dyDescent="0.2">
      <c r="A3996" s="288"/>
      <c r="B3996" s="322"/>
      <c r="C3996" s="382"/>
      <c r="D3996" s="324"/>
      <c r="E3996" s="325"/>
      <c r="F3996" s="326"/>
      <c r="G3996" s="324"/>
      <c r="H3996" s="325"/>
      <c r="I3996" s="326"/>
      <c r="J3996" s="317"/>
      <c r="K3996" s="328"/>
      <c r="L3996" s="328"/>
      <c r="M3996" s="328"/>
      <c r="N3996" s="328"/>
      <c r="O3996" s="334"/>
      <c r="P3996" s="328"/>
      <c r="Q3996" s="334"/>
      <c r="R3996" s="333"/>
      <c r="S3996" s="331"/>
      <c r="T3996" s="320"/>
      <c r="U3996" s="335"/>
      <c r="V3996" s="291">
        <f t="shared" ca="1" si="1036"/>
        <v>2</v>
      </c>
      <c r="W3996" s="256">
        <f t="shared" ca="1" si="1046"/>
        <v>0</v>
      </c>
      <c r="X3996" s="256">
        <f t="shared" ca="1" si="1047"/>
        <v>1</v>
      </c>
      <c r="Y3996" s="250"/>
      <c r="Z3996" s="250"/>
    </row>
    <row r="3997" spans="1:29" s="111" customFormat="1" ht="15" x14ac:dyDescent="0.2">
      <c r="A3997" s="288"/>
      <c r="B3997" s="338"/>
      <c r="C3997" s="339"/>
      <c r="D3997" s="340"/>
      <c r="E3997" s="341"/>
      <c r="F3997" s="342"/>
      <c r="G3997" s="340"/>
      <c r="H3997" s="341"/>
      <c r="I3997" s="342"/>
      <c r="J3997" s="343"/>
      <c r="K3997" s="344"/>
      <c r="L3997" s="345"/>
      <c r="M3997" s="346"/>
      <c r="N3997" s="347"/>
      <c r="O3997" s="348"/>
      <c r="P3997" s="345"/>
      <c r="Q3997" s="349"/>
      <c r="R3997" s="350"/>
      <c r="S3997" s="351"/>
      <c r="T3997" s="352"/>
      <c r="U3997" s="353"/>
      <c r="V3997" s="291">
        <f t="shared" ca="1" si="1036"/>
        <v>2</v>
      </c>
      <c r="W3997" s="256">
        <f t="shared" ca="1" si="1046"/>
        <v>0</v>
      </c>
      <c r="X3997" s="256">
        <f t="shared" ca="1" si="1047"/>
        <v>1</v>
      </c>
      <c r="Y3997" s="250"/>
      <c r="Z3997" s="250"/>
    </row>
    <row r="3998" spans="1:29" s="111" customFormat="1" ht="15.75" customHeight="1" x14ac:dyDescent="0.2">
      <c r="A3998" s="288" t="s">
        <v>695</v>
      </c>
      <c r="B3998" s="354"/>
      <c r="C3998" s="355"/>
      <c r="D3998" s="1354" t="s">
        <v>492</v>
      </c>
      <c r="E3998" s="1355"/>
      <c r="F3998" s="1355"/>
      <c r="G3998" s="1355"/>
      <c r="H3998" s="1355"/>
      <c r="I3998" s="1356"/>
      <c r="J3998" s="1357">
        <f>VLOOKUP(A4000,'11 - FINANCEIRO'!_xlnm.Print_Area,6,FALSE)</f>
        <v>52</v>
      </c>
      <c r="K3998" s="1358"/>
      <c r="L3998" s="356" t="str">
        <f>VLOOKUP(A4000,'11 - FINANCEIRO'!_xlnm.Print_Area,4,FALSE)</f>
        <v>MÊS</v>
      </c>
      <c r="M3998" s="1359" t="s">
        <v>493</v>
      </c>
      <c r="N3998" s="1360"/>
      <c r="O3998" s="1360"/>
      <c r="P3998" s="1360"/>
      <c r="Q3998" s="1361"/>
      <c r="R3998" s="357">
        <f>TRUNC(SUM(R3962:R3997),3)</f>
        <v>41</v>
      </c>
      <c r="S3998" s="358" t="str">
        <f>L3998</f>
        <v>MÊS</v>
      </c>
      <c r="T3998" s="359"/>
      <c r="U3998" s="360"/>
      <c r="V3998" s="291">
        <f t="shared" ca="1" si="1036"/>
        <v>2</v>
      </c>
      <c r="W3998" s="256">
        <f t="shared" ca="1" si="1046"/>
        <v>2</v>
      </c>
      <c r="X3998" s="256">
        <f t="shared" ca="1" si="1047"/>
        <v>1</v>
      </c>
      <c r="Y3998" s="250"/>
      <c r="Z3998" s="250"/>
    </row>
    <row r="3999" spans="1:29" s="293" customFormat="1" ht="15.75" customHeight="1" x14ac:dyDescent="0.2">
      <c r="A3999" s="288" t="s">
        <v>698</v>
      </c>
      <c r="B3999" s="354"/>
      <c r="C3999" s="361"/>
      <c r="D3999" s="1362" t="s">
        <v>494</v>
      </c>
      <c r="E3999" s="1363"/>
      <c r="F3999" s="1363"/>
      <c r="G3999" s="1363"/>
      <c r="H3999" s="1363"/>
      <c r="I3999" s="1364"/>
      <c r="J3999" s="1365">
        <f>IF(R3998&gt;J3998,1,R3998/J3998)</f>
        <v>0.78846153846153844</v>
      </c>
      <c r="K3999" s="1366"/>
      <c r="L3999" s="1369"/>
      <c r="M3999" s="1371" t="s">
        <v>495</v>
      </c>
      <c r="N3999" s="1372"/>
      <c r="O3999" s="1372"/>
      <c r="P3999" s="1372"/>
      <c r="Q3999" s="1373"/>
      <c r="R3999" s="362">
        <f>VLOOKUP(A4000,'11 - FINANCEIRO'!_xlnm.Print_Area,8,FALSE)</f>
        <v>39</v>
      </c>
      <c r="S3999" s="363" t="str">
        <f>L3998</f>
        <v>MÊS</v>
      </c>
      <c r="T3999" s="359"/>
      <c r="U3999" s="942"/>
      <c r="V3999" s="291">
        <f ca="1">IF(OFFSET(V3999,1,1)=1,OFFSET(V3999,0,-4),OFFSET(V3999,1,0))</f>
        <v>2</v>
      </c>
      <c r="W3999" s="256">
        <f t="shared" ref="W3999:W4055" ca="1" si="1048">IF(LEFT(_xlfn.FORMULATEXT(V3999),3)="=SO",1,IF(COUNTA(A3999:U3999)=0,0,2))</f>
        <v>2</v>
      </c>
      <c r="X3999" s="256">
        <f t="shared" ca="1" si="1026"/>
        <v>1</v>
      </c>
      <c r="Y3999" s="256"/>
      <c r="Z3999" s="256"/>
      <c r="AA3999" s="292"/>
      <c r="AB3999" s="292"/>
      <c r="AC3999" s="292"/>
    </row>
    <row r="4000" spans="1:29" s="293" customFormat="1" ht="15.75" customHeight="1" x14ac:dyDescent="0.2">
      <c r="A4000" s="288" t="s">
        <v>721</v>
      </c>
      <c r="B4000" s="364"/>
      <c r="C4000" s="365"/>
      <c r="D4000" s="1354"/>
      <c r="E4000" s="1355"/>
      <c r="F4000" s="1355"/>
      <c r="G4000" s="1355"/>
      <c r="H4000" s="1355"/>
      <c r="I4000" s="1356"/>
      <c r="J4000" s="1367"/>
      <c r="K4000" s="1368"/>
      <c r="L4000" s="1370"/>
      <c r="M4000" s="1371" t="s">
        <v>496</v>
      </c>
      <c r="N4000" s="1372"/>
      <c r="O4000" s="1372"/>
      <c r="P4000" s="1372"/>
      <c r="Q4000" s="1373"/>
      <c r="R4000" s="362">
        <f>R3998-R3999</f>
        <v>2</v>
      </c>
      <c r="S4000" s="363" t="str">
        <f>L3998</f>
        <v>MÊS</v>
      </c>
      <c r="T4000" s="366"/>
      <c r="U4000" s="367"/>
      <c r="V4000" s="291">
        <f ca="1">IF(OFFSET(V4000,1,1)=1,OFFSET(V4000,0,-4),OFFSET(V4000,1,0))</f>
        <v>2</v>
      </c>
      <c r="W4000" s="256">
        <f t="shared" ca="1" si="1048"/>
        <v>2</v>
      </c>
      <c r="X4000" s="256">
        <f t="shared" ca="1" si="1026"/>
        <v>1</v>
      </c>
      <c r="Y4000" s="256"/>
      <c r="Z4000" s="256"/>
      <c r="AA4000" s="292"/>
      <c r="AB4000" s="292"/>
      <c r="AC4000" s="292"/>
    </row>
    <row r="4001" spans="1:29" s="111" customFormat="1" ht="15.75" x14ac:dyDescent="0.2">
      <c r="A4001" s="288"/>
      <c r="B4001" s="368"/>
      <c r="C4001" s="365"/>
      <c r="D4001" s="369"/>
      <c r="E4001" s="370"/>
      <c r="F4001" s="369"/>
      <c r="G4001" s="369"/>
      <c r="H4001" s="369"/>
      <c r="I4001" s="369"/>
      <c r="J4001" s="371"/>
      <c r="K4001" s="372"/>
      <c r="L4001" s="373"/>
      <c r="M4001" s="374"/>
      <c r="N4001" s="374"/>
      <c r="O4001" s="374"/>
      <c r="P4001" s="374"/>
      <c r="Q4001" s="374"/>
      <c r="R4001" s="375"/>
      <c r="S4001" s="376"/>
      <c r="T4001" s="377"/>
      <c r="U4001" s="378"/>
      <c r="V4001" s="379">
        <f ca="1">SUM(V3960:V4000)</f>
        <v>82</v>
      </c>
      <c r="W4001" s="256">
        <f t="shared" ca="1" si="1048"/>
        <v>1</v>
      </c>
      <c r="X4001" s="256">
        <f t="shared" ca="1" si="1026"/>
        <v>0</v>
      </c>
      <c r="Y4001" s="250"/>
      <c r="Z4001" s="250"/>
    </row>
    <row r="4002" spans="1:29" s="293" customFormat="1" ht="15.75" customHeight="1" x14ac:dyDescent="0.25">
      <c r="A4002" s="288"/>
      <c r="B4002" s="1374" t="str">
        <f>VLOOKUP(A4054,'11 - FINANCEIRO'!_xlnm.Print_Area,1,FALSE)</f>
        <v>6.1.2</v>
      </c>
      <c r="C4002" s="1376" t="str">
        <f>VLOOKUP(A4054,'11 - FINANCEIRO'!_xlnm.Print_Area,3,FALSE)</f>
        <v>Alvenaria de blocos de concreto estrut. (19x19x39cm) cheios, c/ resist. mín. compr. 15MPa, assentados c/ arg. cimento e areia no traço 1:4, esp. juntas de 10mm e esp. da parede s/ revest. 19cm</v>
      </c>
      <c r="D4002" s="1378" t="s">
        <v>477</v>
      </c>
      <c r="E4002" s="1379"/>
      <c r="F4002" s="1379"/>
      <c r="G4002" s="1379"/>
      <c r="H4002" s="1379"/>
      <c r="I4002" s="1380"/>
      <c r="J4002" s="1338" t="s">
        <v>478</v>
      </c>
      <c r="K4002" s="1338" t="s">
        <v>479</v>
      </c>
      <c r="L4002" s="1338" t="s">
        <v>480</v>
      </c>
      <c r="M4002" s="1338" t="s">
        <v>481</v>
      </c>
      <c r="N4002" s="1338" t="s">
        <v>482</v>
      </c>
      <c r="O4002" s="1338" t="s">
        <v>483</v>
      </c>
      <c r="P4002" s="290" t="s">
        <v>484</v>
      </c>
      <c r="Q4002" s="1338" t="s">
        <v>485</v>
      </c>
      <c r="R4002" s="1336" t="s">
        <v>296</v>
      </c>
      <c r="S4002" s="1338" t="s">
        <v>486</v>
      </c>
      <c r="T4002" s="1338" t="s">
        <v>487</v>
      </c>
      <c r="U4002" s="1340" t="s">
        <v>488</v>
      </c>
      <c r="V4002" s="291">
        <f ca="1">IF(OFFSET(V4002,1,1)=1,OFFSET(V4002,0,-4),OFFSET(V4002,1,0))</f>
        <v>30.599999999999909</v>
      </c>
      <c r="W4002" s="256">
        <f t="shared" ca="1" si="1048"/>
        <v>2</v>
      </c>
      <c r="X4002" s="256">
        <f t="shared" ca="1" si="1026"/>
        <v>1</v>
      </c>
      <c r="Y4002" s="256"/>
      <c r="Z4002" s="256"/>
      <c r="AA4002" s="292"/>
      <c r="AB4002" s="292"/>
      <c r="AC4002" s="292"/>
    </row>
    <row r="4003" spans="1:29" s="337" customFormat="1" ht="15.75" x14ac:dyDescent="0.2">
      <c r="A4003" s="288"/>
      <c r="B4003" s="1375"/>
      <c r="C4003" s="1377" t="e">
        <f>VLOOKUP(LEFT(#REF!,5),'11 - FINANCEIRO'!_xlnm.Print_Area,2,FALSE)</f>
        <v>#REF!</v>
      </c>
      <c r="D4003" s="1342" t="s">
        <v>489</v>
      </c>
      <c r="E4003" s="1343"/>
      <c r="F4003" s="1344"/>
      <c r="G4003" s="1345" t="s">
        <v>490</v>
      </c>
      <c r="H4003" s="1346"/>
      <c r="I4003" s="1347"/>
      <c r="J4003" s="1339"/>
      <c r="K4003" s="1339"/>
      <c r="L4003" s="1339"/>
      <c r="M4003" s="1339"/>
      <c r="N4003" s="1339"/>
      <c r="O4003" s="1339"/>
      <c r="P4003" s="295" t="s">
        <v>491</v>
      </c>
      <c r="Q4003" s="1339"/>
      <c r="R4003" s="1337"/>
      <c r="S4003" s="1339"/>
      <c r="T4003" s="1339"/>
      <c r="U4003" s="1341"/>
      <c r="V4003" s="291">
        <f ca="1">IF(OFFSET(V4003,1,1)=1,OFFSET(V4003,0,-4),OFFSET(V4003,1,0))</f>
        <v>30.599999999999909</v>
      </c>
      <c r="W4003" s="256">
        <f t="shared" ca="1" si="1048"/>
        <v>2</v>
      </c>
      <c r="X4003" s="256">
        <f t="shared" ca="1" si="1026"/>
        <v>1</v>
      </c>
      <c r="Y4003" s="336"/>
      <c r="Z4003" s="336"/>
    </row>
    <row r="4004" spans="1:29" s="337" customFormat="1" ht="15.75" x14ac:dyDescent="0.2">
      <c r="A4004" s="288"/>
      <c r="B4004" s="296"/>
      <c r="C4004" s="297" t="s">
        <v>751</v>
      </c>
      <c r="D4004" s="417">
        <v>5</v>
      </c>
      <c r="E4004" s="314" t="s">
        <v>518</v>
      </c>
      <c r="F4004" s="418">
        <v>14.9</v>
      </c>
      <c r="G4004" s="419">
        <v>6</v>
      </c>
      <c r="H4004" s="316" t="s">
        <v>518</v>
      </c>
      <c r="I4004" s="420">
        <v>10</v>
      </c>
      <c r="J4004" s="589"/>
      <c r="K4004" s="747">
        <f>ABS((G4004*20+I4004)-(D4004*20+F4004))</f>
        <v>15.099999999999994</v>
      </c>
      <c r="L4004" s="304"/>
      <c r="M4004" s="304"/>
      <c r="N4004" s="304"/>
      <c r="O4004" s="304"/>
      <c r="P4004" s="306"/>
      <c r="Q4004" s="304"/>
      <c r="R4004" s="307">
        <v>14.4</v>
      </c>
      <c r="S4004" s="304"/>
      <c r="T4004" s="309">
        <v>19</v>
      </c>
      <c r="U4004" s="777">
        <v>44896</v>
      </c>
      <c r="V4004" s="291">
        <f ca="1">IF(OFFSET(V4004,1,1)=1,OFFSET(V4004,0,-4),OFFSET(V4004,1,0))</f>
        <v>30.599999999999909</v>
      </c>
      <c r="W4004" s="256">
        <f t="shared" ca="1" si="1048"/>
        <v>2</v>
      </c>
      <c r="X4004" s="256">
        <f t="shared" ca="1" si="1026"/>
        <v>1</v>
      </c>
      <c r="Y4004" s="336"/>
      <c r="Z4004" s="336"/>
    </row>
    <row r="4005" spans="1:29" s="337" customFormat="1" ht="15.75" x14ac:dyDescent="0.2">
      <c r="A4005" s="288"/>
      <c r="B4005" s="512"/>
      <c r="C4005" s="426" t="s">
        <v>752</v>
      </c>
      <c r="D4005" s="417">
        <v>6</v>
      </c>
      <c r="E4005" s="314" t="s">
        <v>518</v>
      </c>
      <c r="F4005" s="418">
        <v>10</v>
      </c>
      <c r="G4005" s="417">
        <v>12</v>
      </c>
      <c r="H4005" s="314" t="s">
        <v>518</v>
      </c>
      <c r="I4005" s="418">
        <v>6.42</v>
      </c>
      <c r="J4005" s="317"/>
      <c r="K4005" s="433">
        <f>ABS((G4005*20+I4005)-(D4005*20+F4005))</f>
        <v>116.41999999999999</v>
      </c>
      <c r="L4005" s="427"/>
      <c r="M4005" s="513"/>
      <c r="N4005" s="520"/>
      <c r="O4005" s="519"/>
      <c r="P4005" s="428"/>
      <c r="Q4005" s="513"/>
      <c r="R4005" s="524">
        <v>28.8</v>
      </c>
      <c r="S4005" s="427"/>
      <c r="T4005" s="514">
        <v>19</v>
      </c>
      <c r="U4005" s="765" t="s">
        <v>852</v>
      </c>
      <c r="V4005" s="291">
        <f t="shared" ref="V4005:V4053" ca="1" si="1049">IF(OFFSET(V4005,1,1)=1,OFFSET(V4005,0,-4),OFFSET(V4005,1,0))</f>
        <v>30.599999999999909</v>
      </c>
      <c r="W4005" s="256">
        <f t="shared" ref="W4005:W4025" ca="1" si="1050">IF(LEFT(_xlfn.FORMULATEXT(V4005),3)="=SO",1,IF(COUNTA(A4005:U4005)=0,0,2))</f>
        <v>2</v>
      </c>
      <c r="X4005" s="256">
        <f t="shared" ref="X4005:X4025" ca="1" si="1051">IF(COUNTA(OFFSET(A4004,1,0))-COUNTA(A4004)=-1,0,1)</f>
        <v>1</v>
      </c>
      <c r="Y4005" s="336"/>
      <c r="Z4005" s="336"/>
    </row>
    <row r="4006" spans="1:29" s="111" customFormat="1" ht="15.75" x14ac:dyDescent="0.2">
      <c r="A4006" s="288"/>
      <c r="B4006" s="311"/>
      <c r="C4006" s="312" t="s">
        <v>753</v>
      </c>
      <c r="D4006" s="417">
        <v>12</v>
      </c>
      <c r="E4006" s="314" t="s">
        <v>518</v>
      </c>
      <c r="F4006" s="418">
        <v>6.42</v>
      </c>
      <c r="G4006" s="417">
        <v>17</v>
      </c>
      <c r="H4006" s="314" t="s">
        <v>518</v>
      </c>
      <c r="I4006" s="418">
        <v>4.42</v>
      </c>
      <c r="J4006" s="317"/>
      <c r="K4006" s="421">
        <f>ABS((G4006*20+I4006)-(D4006*20+F4006))</f>
        <v>98.000000000000028</v>
      </c>
      <c r="L4006" s="317"/>
      <c r="M4006" s="315"/>
      <c r="N4006" s="314"/>
      <c r="O4006" s="313"/>
      <c r="P4006" s="318"/>
      <c r="Q4006" s="315"/>
      <c r="R4006" s="319">
        <v>28.8</v>
      </c>
      <c r="S4006" s="317"/>
      <c r="T4006" s="320">
        <v>19</v>
      </c>
      <c r="U4006" s="778">
        <v>44958</v>
      </c>
      <c r="V4006" s="291">
        <f t="shared" ca="1" si="1049"/>
        <v>30.599999999999909</v>
      </c>
      <c r="W4006" s="256">
        <f t="shared" ca="1" si="1050"/>
        <v>2</v>
      </c>
      <c r="X4006" s="256">
        <f t="shared" ca="1" si="1051"/>
        <v>1</v>
      </c>
      <c r="Y4006" s="250"/>
      <c r="Z4006" s="250"/>
    </row>
    <row r="4007" spans="1:29" s="111" customFormat="1" ht="15.75" x14ac:dyDescent="0.2">
      <c r="A4007" s="288"/>
      <c r="B4007" s="311"/>
      <c r="C4007" s="312" t="s">
        <v>754</v>
      </c>
      <c r="D4007" s="417">
        <v>17</v>
      </c>
      <c r="E4007" s="314" t="s">
        <v>518</v>
      </c>
      <c r="F4007" s="418">
        <v>4.42</v>
      </c>
      <c r="G4007" s="417">
        <v>25</v>
      </c>
      <c r="H4007" s="314" t="s">
        <v>518</v>
      </c>
      <c r="I4007" s="418">
        <v>4.42</v>
      </c>
      <c r="J4007" s="317"/>
      <c r="K4007" s="421">
        <f>ABS((G4007*20+I4007)-(D4007*20+F4007))</f>
        <v>160</v>
      </c>
      <c r="L4007" s="317"/>
      <c r="M4007" s="315"/>
      <c r="N4007" s="314"/>
      <c r="O4007" s="313"/>
      <c r="P4007" s="318"/>
      <c r="Q4007" s="315"/>
      <c r="R4007" s="319">
        <v>43.2</v>
      </c>
      <c r="S4007" s="313"/>
      <c r="T4007" s="320">
        <v>19</v>
      </c>
      <c r="U4007" s="321" t="s">
        <v>853</v>
      </c>
      <c r="V4007" s="291">
        <f t="shared" ca="1" si="1049"/>
        <v>30.599999999999909</v>
      </c>
      <c r="W4007" s="256">
        <f t="shared" ca="1" si="1050"/>
        <v>2</v>
      </c>
      <c r="X4007" s="256">
        <f t="shared" ca="1" si="1051"/>
        <v>1</v>
      </c>
      <c r="Y4007" s="250"/>
      <c r="Z4007" s="250"/>
    </row>
    <row r="4008" spans="1:29" s="111" customFormat="1" ht="15.75" x14ac:dyDescent="0.2">
      <c r="A4008" s="288"/>
      <c r="B4008" s="311"/>
      <c r="C4008" s="312" t="s">
        <v>755</v>
      </c>
      <c r="D4008" s="417">
        <v>25</v>
      </c>
      <c r="E4008" s="314" t="s">
        <v>518</v>
      </c>
      <c r="F4008" s="418">
        <v>4.42</v>
      </c>
      <c r="G4008" s="419">
        <v>31</v>
      </c>
      <c r="H4008" s="316" t="s">
        <v>518</v>
      </c>
      <c r="I4008" s="420">
        <v>10</v>
      </c>
      <c r="J4008" s="317"/>
      <c r="K4008" s="421">
        <f>ABS((G4008*20+I4008)-(D4008*20+F4008))</f>
        <v>125.57999999999998</v>
      </c>
      <c r="L4008" s="317"/>
      <c r="M4008" s="315"/>
      <c r="N4008" s="314"/>
      <c r="O4008" s="313"/>
      <c r="P4008" s="318"/>
      <c r="Q4008" s="315"/>
      <c r="R4008" s="319">
        <v>43.2</v>
      </c>
      <c r="S4008" s="313"/>
      <c r="T4008" s="320">
        <v>19</v>
      </c>
      <c r="U4008" s="321" t="s">
        <v>854</v>
      </c>
      <c r="V4008" s="291">
        <f t="shared" ca="1" si="1049"/>
        <v>30.599999999999909</v>
      </c>
      <c r="W4008" s="256">
        <f t="shared" ca="1" si="1050"/>
        <v>2</v>
      </c>
      <c r="X4008" s="256">
        <f t="shared" ca="1" si="1051"/>
        <v>1</v>
      </c>
      <c r="Y4008" s="250"/>
      <c r="Z4008" s="250"/>
    </row>
    <row r="4009" spans="1:29" s="111" customFormat="1" ht="15.75" x14ac:dyDescent="0.2">
      <c r="A4009" s="288"/>
      <c r="B4009" s="311"/>
      <c r="C4009" s="312" t="s">
        <v>755</v>
      </c>
      <c r="D4009" s="417">
        <v>98</v>
      </c>
      <c r="E4009" s="314" t="s">
        <v>518</v>
      </c>
      <c r="F4009" s="418">
        <v>0</v>
      </c>
      <c r="G4009" s="417">
        <v>98</v>
      </c>
      <c r="H4009" s="314" t="s">
        <v>518</v>
      </c>
      <c r="I4009" s="418">
        <v>0</v>
      </c>
      <c r="J4009" s="317"/>
      <c r="K4009" s="421">
        <v>12</v>
      </c>
      <c r="L4009" s="317"/>
      <c r="M4009" s="418">
        <v>1.7</v>
      </c>
      <c r="N4009" s="314">
        <v>1.2</v>
      </c>
      <c r="O4009" s="313">
        <v>5</v>
      </c>
      <c r="P4009" s="318"/>
      <c r="Q4009" s="315"/>
      <c r="R4009" s="319">
        <f t="shared" ref="R4009:R4014" si="1052">((K4009*M4009)+(O4009*N4009*M4009))</f>
        <v>30.599999999999998</v>
      </c>
      <c r="S4009" s="313"/>
      <c r="T4009" s="320">
        <v>20</v>
      </c>
      <c r="U4009" s="321"/>
      <c r="V4009" s="291">
        <f t="shared" ca="1" si="1049"/>
        <v>30.599999999999909</v>
      </c>
      <c r="W4009" s="256">
        <f t="shared" ca="1" si="1050"/>
        <v>2</v>
      </c>
      <c r="X4009" s="256">
        <f t="shared" ca="1" si="1051"/>
        <v>1</v>
      </c>
      <c r="Y4009" s="250"/>
      <c r="Z4009" s="250"/>
    </row>
    <row r="4010" spans="1:29" s="111" customFormat="1" ht="15.75" x14ac:dyDescent="0.2">
      <c r="A4010" s="288"/>
      <c r="B4010" s="311"/>
      <c r="C4010" s="312" t="s">
        <v>755</v>
      </c>
      <c r="D4010" s="417">
        <v>96</v>
      </c>
      <c r="E4010" s="314" t="s">
        <v>518</v>
      </c>
      <c r="F4010" s="418">
        <v>10</v>
      </c>
      <c r="G4010" s="417">
        <v>96</v>
      </c>
      <c r="H4010" s="314" t="s">
        <v>518</v>
      </c>
      <c r="I4010" s="418">
        <v>10</v>
      </c>
      <c r="J4010" s="317"/>
      <c r="K4010" s="421">
        <v>12</v>
      </c>
      <c r="L4010" s="317"/>
      <c r="M4010" s="418">
        <v>1.7</v>
      </c>
      <c r="N4010" s="314">
        <v>1.2</v>
      </c>
      <c r="O4010" s="313">
        <v>5</v>
      </c>
      <c r="P4010" s="318"/>
      <c r="Q4010" s="315"/>
      <c r="R4010" s="319">
        <f t="shared" si="1052"/>
        <v>30.599999999999998</v>
      </c>
      <c r="S4010" s="313"/>
      <c r="T4010" s="320">
        <v>21</v>
      </c>
      <c r="U4010" s="321"/>
      <c r="V4010" s="291">
        <f t="shared" ca="1" si="1049"/>
        <v>30.599999999999909</v>
      </c>
      <c r="W4010" s="256">
        <f t="shared" ca="1" si="1050"/>
        <v>2</v>
      </c>
      <c r="X4010" s="256">
        <f t="shared" ca="1" si="1051"/>
        <v>1</v>
      </c>
      <c r="Y4010" s="250"/>
      <c r="Z4010" s="250"/>
    </row>
    <row r="4011" spans="1:29" s="111" customFormat="1" ht="15.75" x14ac:dyDescent="0.2">
      <c r="A4011" s="288"/>
      <c r="B4011" s="311"/>
      <c r="C4011" s="312" t="s">
        <v>755</v>
      </c>
      <c r="D4011" s="417">
        <v>94</v>
      </c>
      <c r="E4011" s="314" t="s">
        <v>518</v>
      </c>
      <c r="F4011" s="418">
        <v>0</v>
      </c>
      <c r="G4011" s="417">
        <v>94</v>
      </c>
      <c r="H4011" s="314" t="s">
        <v>518</v>
      </c>
      <c r="I4011" s="418">
        <v>0</v>
      </c>
      <c r="J4011" s="317"/>
      <c r="K4011" s="421">
        <v>12</v>
      </c>
      <c r="L4011" s="317"/>
      <c r="M4011" s="418">
        <v>1.7</v>
      </c>
      <c r="N4011" s="314">
        <v>1.2</v>
      </c>
      <c r="O4011" s="313">
        <v>5</v>
      </c>
      <c r="P4011" s="318"/>
      <c r="Q4011" s="315"/>
      <c r="R4011" s="319">
        <f t="shared" si="1052"/>
        <v>30.599999999999998</v>
      </c>
      <c r="S4011" s="313"/>
      <c r="T4011" s="320">
        <v>22</v>
      </c>
      <c r="U4011" s="321"/>
      <c r="V4011" s="291">
        <f t="shared" ca="1" si="1049"/>
        <v>30.599999999999909</v>
      </c>
      <c r="W4011" s="256">
        <f t="shared" ca="1" si="1050"/>
        <v>2</v>
      </c>
      <c r="X4011" s="256">
        <f t="shared" ca="1" si="1051"/>
        <v>1</v>
      </c>
      <c r="Y4011" s="250"/>
      <c r="Z4011" s="250"/>
    </row>
    <row r="4012" spans="1:29" s="111" customFormat="1" ht="15.75" x14ac:dyDescent="0.2">
      <c r="A4012" s="288"/>
      <c r="B4012" s="311"/>
      <c r="C4012" s="312" t="s">
        <v>755</v>
      </c>
      <c r="D4012" s="417">
        <v>91</v>
      </c>
      <c r="E4012" s="314" t="s">
        <v>518</v>
      </c>
      <c r="F4012" s="418">
        <v>0</v>
      </c>
      <c r="G4012" s="417">
        <v>91</v>
      </c>
      <c r="H4012" s="314" t="s">
        <v>518</v>
      </c>
      <c r="I4012" s="418">
        <v>0</v>
      </c>
      <c r="J4012" s="317"/>
      <c r="K4012" s="421">
        <v>12</v>
      </c>
      <c r="L4012" s="317"/>
      <c r="M4012" s="418">
        <v>1.7</v>
      </c>
      <c r="N4012" s="314">
        <v>1.2</v>
      </c>
      <c r="O4012" s="313">
        <v>5</v>
      </c>
      <c r="P4012" s="318"/>
      <c r="Q4012" s="315"/>
      <c r="R4012" s="319">
        <f t="shared" si="1052"/>
        <v>30.599999999999998</v>
      </c>
      <c r="S4012" s="313"/>
      <c r="T4012" s="320">
        <v>24</v>
      </c>
      <c r="U4012" s="321"/>
      <c r="V4012" s="291">
        <f t="shared" ca="1" si="1049"/>
        <v>30.599999999999909</v>
      </c>
      <c r="W4012" s="256">
        <f t="shared" ca="1" si="1050"/>
        <v>2</v>
      </c>
      <c r="X4012" s="256">
        <f t="shared" ca="1" si="1051"/>
        <v>1</v>
      </c>
      <c r="Y4012" s="250"/>
      <c r="Z4012" s="250"/>
    </row>
    <row r="4013" spans="1:29" s="111" customFormat="1" ht="15.75" x14ac:dyDescent="0.2">
      <c r="A4013" s="288"/>
      <c r="B4013" s="311"/>
      <c r="C4013" s="312" t="s">
        <v>755</v>
      </c>
      <c r="D4013" s="417">
        <v>89</v>
      </c>
      <c r="E4013" s="314" t="s">
        <v>518</v>
      </c>
      <c r="F4013" s="418">
        <v>10</v>
      </c>
      <c r="G4013" s="417">
        <v>89</v>
      </c>
      <c r="H4013" s="314" t="s">
        <v>518</v>
      </c>
      <c r="I4013" s="418">
        <v>10</v>
      </c>
      <c r="J4013" s="317"/>
      <c r="K4013" s="421">
        <v>12</v>
      </c>
      <c r="L4013" s="317"/>
      <c r="M4013" s="418">
        <v>1.7</v>
      </c>
      <c r="N4013" s="314">
        <v>1.2</v>
      </c>
      <c r="O4013" s="313">
        <v>5</v>
      </c>
      <c r="P4013" s="318"/>
      <c r="Q4013" s="315"/>
      <c r="R4013" s="319">
        <f t="shared" si="1052"/>
        <v>30.599999999999998</v>
      </c>
      <c r="S4013" s="313"/>
      <c r="T4013" s="320">
        <v>24</v>
      </c>
      <c r="U4013" s="321"/>
      <c r="V4013" s="291">
        <f t="shared" ca="1" si="1049"/>
        <v>30.599999999999909</v>
      </c>
      <c r="W4013" s="256">
        <f t="shared" ca="1" si="1050"/>
        <v>2</v>
      </c>
      <c r="X4013" s="256">
        <f t="shared" ca="1" si="1051"/>
        <v>1</v>
      </c>
      <c r="Y4013" s="250"/>
      <c r="Z4013" s="250"/>
    </row>
    <row r="4014" spans="1:29" s="111" customFormat="1" ht="15.75" x14ac:dyDescent="0.2">
      <c r="A4014" s="288"/>
      <c r="B4014" s="311"/>
      <c r="C4014" s="312" t="s">
        <v>755</v>
      </c>
      <c r="D4014" s="417">
        <v>86</v>
      </c>
      <c r="E4014" s="314" t="s">
        <v>518</v>
      </c>
      <c r="F4014" s="418">
        <v>10</v>
      </c>
      <c r="G4014" s="417">
        <v>86</v>
      </c>
      <c r="H4014" s="314" t="s">
        <v>518</v>
      </c>
      <c r="I4014" s="418">
        <v>10</v>
      </c>
      <c r="J4014" s="317"/>
      <c r="K4014" s="421">
        <v>12</v>
      </c>
      <c r="L4014" s="317"/>
      <c r="M4014" s="418">
        <v>1.7</v>
      </c>
      <c r="N4014" s="314">
        <v>1.2</v>
      </c>
      <c r="O4014" s="313">
        <v>5</v>
      </c>
      <c r="P4014" s="318"/>
      <c r="Q4014" s="315"/>
      <c r="R4014" s="319">
        <f t="shared" si="1052"/>
        <v>30.599999999999998</v>
      </c>
      <c r="S4014" s="313"/>
      <c r="T4014" s="320">
        <v>25</v>
      </c>
      <c r="U4014" s="321"/>
      <c r="V4014" s="291">
        <f t="shared" ca="1" si="1049"/>
        <v>30.599999999999909</v>
      </c>
      <c r="W4014" s="256">
        <f t="shared" ca="1" si="1050"/>
        <v>2</v>
      </c>
      <c r="X4014" s="256">
        <f t="shared" ca="1" si="1051"/>
        <v>1</v>
      </c>
      <c r="Y4014" s="250"/>
      <c r="Z4014" s="250"/>
    </row>
    <row r="4015" spans="1:29" s="111" customFormat="1" ht="15.75" x14ac:dyDescent="0.2">
      <c r="A4015" s="288"/>
      <c r="B4015" s="311"/>
      <c r="C4015" s="312" t="s">
        <v>755</v>
      </c>
      <c r="D4015" s="417">
        <v>85</v>
      </c>
      <c r="E4015" s="314" t="s">
        <v>518</v>
      </c>
      <c r="F4015" s="418">
        <v>10</v>
      </c>
      <c r="G4015" s="417">
        <v>85</v>
      </c>
      <c r="H4015" s="314" t="s">
        <v>518</v>
      </c>
      <c r="I4015" s="418">
        <v>10</v>
      </c>
      <c r="J4015" s="317"/>
      <c r="K4015" s="421">
        <v>12</v>
      </c>
      <c r="L4015" s="317"/>
      <c r="M4015" s="418">
        <v>1.7</v>
      </c>
      <c r="N4015" s="314">
        <v>1.2</v>
      </c>
      <c r="O4015" s="313">
        <v>5</v>
      </c>
      <c r="P4015" s="318"/>
      <c r="Q4015" s="315"/>
      <c r="R4015" s="319">
        <f t="shared" ref="R4015:R4020" si="1053">((K4015*M4015)+(O4015*N4015*M4015))</f>
        <v>30.599999999999998</v>
      </c>
      <c r="S4015" s="313"/>
      <c r="T4015" s="320">
        <v>26</v>
      </c>
      <c r="U4015" s="321"/>
      <c r="V4015" s="291">
        <f t="shared" ca="1" si="1049"/>
        <v>30.599999999999909</v>
      </c>
      <c r="W4015" s="256">
        <f t="shared" ca="1" si="1050"/>
        <v>2</v>
      </c>
      <c r="X4015" s="256">
        <f t="shared" ca="1" si="1051"/>
        <v>1</v>
      </c>
      <c r="Y4015" s="250"/>
      <c r="Z4015" s="250"/>
    </row>
    <row r="4016" spans="1:29" s="111" customFormat="1" ht="15.75" x14ac:dyDescent="0.2">
      <c r="A4016" s="288"/>
      <c r="B4016" s="311"/>
      <c r="C4016" s="312" t="s">
        <v>755</v>
      </c>
      <c r="D4016" s="417">
        <v>83</v>
      </c>
      <c r="E4016" s="314" t="s">
        <v>518</v>
      </c>
      <c r="F4016" s="418">
        <v>10</v>
      </c>
      <c r="G4016" s="417">
        <v>83</v>
      </c>
      <c r="H4016" s="314" t="s">
        <v>518</v>
      </c>
      <c r="I4016" s="418">
        <v>10</v>
      </c>
      <c r="J4016" s="317"/>
      <c r="K4016" s="421">
        <v>12</v>
      </c>
      <c r="L4016" s="317"/>
      <c r="M4016" s="418">
        <v>1.7</v>
      </c>
      <c r="N4016" s="314">
        <v>1.2</v>
      </c>
      <c r="O4016" s="313">
        <v>5</v>
      </c>
      <c r="P4016" s="318"/>
      <c r="Q4016" s="315"/>
      <c r="R4016" s="319">
        <f t="shared" si="1053"/>
        <v>30.599999999999998</v>
      </c>
      <c r="S4016" s="313"/>
      <c r="T4016" s="320">
        <v>27</v>
      </c>
      <c r="U4016" s="321"/>
      <c r="V4016" s="291">
        <f t="shared" ca="1" si="1049"/>
        <v>30.599999999999909</v>
      </c>
      <c r="W4016" s="256">
        <f t="shared" ca="1" si="1050"/>
        <v>2</v>
      </c>
      <c r="X4016" s="256">
        <f t="shared" ca="1" si="1051"/>
        <v>1</v>
      </c>
      <c r="Y4016" s="250"/>
      <c r="Z4016" s="250"/>
    </row>
    <row r="4017" spans="1:26" s="111" customFormat="1" ht="15.75" x14ac:dyDescent="0.2">
      <c r="A4017" s="288"/>
      <c r="B4017" s="311"/>
      <c r="C4017" s="312" t="s">
        <v>755</v>
      </c>
      <c r="D4017" s="417">
        <v>82</v>
      </c>
      <c r="E4017" s="314" t="s">
        <v>518</v>
      </c>
      <c r="F4017" s="418">
        <v>10</v>
      </c>
      <c r="G4017" s="417">
        <v>82</v>
      </c>
      <c r="H4017" s="314" t="s">
        <v>518</v>
      </c>
      <c r="I4017" s="418">
        <v>10</v>
      </c>
      <c r="J4017" s="317"/>
      <c r="K4017" s="421">
        <v>12</v>
      </c>
      <c r="L4017" s="317"/>
      <c r="M4017" s="418">
        <v>1.7</v>
      </c>
      <c r="N4017" s="314">
        <v>1.2</v>
      </c>
      <c r="O4017" s="313">
        <v>5</v>
      </c>
      <c r="P4017" s="318"/>
      <c r="Q4017" s="315"/>
      <c r="R4017" s="319">
        <f t="shared" si="1053"/>
        <v>30.599999999999998</v>
      </c>
      <c r="S4017" s="313"/>
      <c r="T4017" s="320">
        <v>27</v>
      </c>
      <c r="U4017" s="321"/>
      <c r="V4017" s="291">
        <f t="shared" ca="1" si="1049"/>
        <v>30.599999999999909</v>
      </c>
      <c r="W4017" s="256">
        <f t="shared" ca="1" si="1050"/>
        <v>2</v>
      </c>
      <c r="X4017" s="256">
        <f t="shared" ca="1" si="1051"/>
        <v>1</v>
      </c>
      <c r="Y4017" s="250"/>
      <c r="Z4017" s="250"/>
    </row>
    <row r="4018" spans="1:26" s="111" customFormat="1" ht="15.75" x14ac:dyDescent="0.2">
      <c r="A4018" s="288"/>
      <c r="B4018" s="311"/>
      <c r="C4018" s="312" t="s">
        <v>755</v>
      </c>
      <c r="D4018" s="417">
        <v>80</v>
      </c>
      <c r="E4018" s="314" t="s">
        <v>518</v>
      </c>
      <c r="F4018" s="418">
        <v>12</v>
      </c>
      <c r="G4018" s="417">
        <v>80</v>
      </c>
      <c r="H4018" s="314" t="s">
        <v>518</v>
      </c>
      <c r="I4018" s="418">
        <v>12</v>
      </c>
      <c r="J4018" s="317"/>
      <c r="K4018" s="421">
        <v>12</v>
      </c>
      <c r="L4018" s="317"/>
      <c r="M4018" s="418">
        <v>1.7</v>
      </c>
      <c r="N4018" s="314">
        <v>1.2</v>
      </c>
      <c r="O4018" s="313">
        <v>5</v>
      </c>
      <c r="P4018" s="318"/>
      <c r="Q4018" s="315"/>
      <c r="R4018" s="319">
        <f t="shared" si="1053"/>
        <v>30.599999999999998</v>
      </c>
      <c r="S4018" s="313"/>
      <c r="T4018" s="320">
        <v>28</v>
      </c>
      <c r="U4018" s="321"/>
      <c r="V4018" s="291">
        <f t="shared" ca="1" si="1049"/>
        <v>30.599999999999909</v>
      </c>
      <c r="W4018" s="256">
        <f t="shared" ca="1" si="1050"/>
        <v>2</v>
      </c>
      <c r="X4018" s="256">
        <f t="shared" ca="1" si="1051"/>
        <v>1</v>
      </c>
      <c r="Y4018" s="250"/>
      <c r="Z4018" s="250"/>
    </row>
    <row r="4019" spans="1:26" s="111" customFormat="1" ht="15.75" x14ac:dyDescent="0.2">
      <c r="A4019" s="288"/>
      <c r="B4019" s="311"/>
      <c r="C4019" s="312" t="s">
        <v>755</v>
      </c>
      <c r="D4019" s="417">
        <v>79</v>
      </c>
      <c r="E4019" s="314" t="s">
        <v>518</v>
      </c>
      <c r="F4019" s="418">
        <v>2</v>
      </c>
      <c r="G4019" s="417">
        <v>79</v>
      </c>
      <c r="H4019" s="314" t="s">
        <v>518</v>
      </c>
      <c r="I4019" s="418">
        <v>2</v>
      </c>
      <c r="J4019" s="317"/>
      <c r="K4019" s="421">
        <v>12</v>
      </c>
      <c r="L4019" s="317"/>
      <c r="M4019" s="418">
        <v>1.7</v>
      </c>
      <c r="N4019" s="314">
        <v>1.2</v>
      </c>
      <c r="O4019" s="313">
        <v>5</v>
      </c>
      <c r="P4019" s="318"/>
      <c r="Q4019" s="315"/>
      <c r="R4019" s="319">
        <f t="shared" si="1053"/>
        <v>30.599999999999998</v>
      </c>
      <c r="S4019" s="313"/>
      <c r="T4019" s="320">
        <v>29</v>
      </c>
      <c r="U4019" s="321"/>
      <c r="V4019" s="291">
        <f t="shared" ca="1" si="1049"/>
        <v>30.599999999999909</v>
      </c>
      <c r="W4019" s="256">
        <f t="shared" ca="1" si="1050"/>
        <v>2</v>
      </c>
      <c r="X4019" s="256">
        <f t="shared" ca="1" si="1051"/>
        <v>1</v>
      </c>
      <c r="Y4019" s="250"/>
      <c r="Z4019" s="250"/>
    </row>
    <row r="4020" spans="1:26" s="111" customFormat="1" ht="15.75" x14ac:dyDescent="0.2">
      <c r="A4020" s="288"/>
      <c r="B4020" s="311"/>
      <c r="C4020" s="312" t="s">
        <v>755</v>
      </c>
      <c r="D4020" s="417">
        <v>76</v>
      </c>
      <c r="E4020" s="314" t="s">
        <v>518</v>
      </c>
      <c r="F4020" s="418">
        <v>2</v>
      </c>
      <c r="G4020" s="417">
        <v>76</v>
      </c>
      <c r="H4020" s="314" t="s">
        <v>518</v>
      </c>
      <c r="I4020" s="418">
        <v>2</v>
      </c>
      <c r="J4020" s="317"/>
      <c r="K4020" s="421">
        <v>12</v>
      </c>
      <c r="L4020" s="317"/>
      <c r="M4020" s="418">
        <v>1.7</v>
      </c>
      <c r="N4020" s="314">
        <v>1.2</v>
      </c>
      <c r="O4020" s="313">
        <v>5</v>
      </c>
      <c r="P4020" s="318"/>
      <c r="Q4020" s="315"/>
      <c r="R4020" s="319">
        <f t="shared" si="1053"/>
        <v>30.599999999999998</v>
      </c>
      <c r="S4020" s="313"/>
      <c r="T4020" s="320">
        <v>29</v>
      </c>
      <c r="U4020" s="321"/>
      <c r="V4020" s="291">
        <f t="shared" ca="1" si="1049"/>
        <v>30.599999999999909</v>
      </c>
      <c r="W4020" s="256">
        <f t="shared" ca="1" si="1050"/>
        <v>2</v>
      </c>
      <c r="X4020" s="256">
        <f t="shared" ca="1" si="1051"/>
        <v>1</v>
      </c>
      <c r="Y4020" s="250"/>
      <c r="Z4020" s="250"/>
    </row>
    <row r="4021" spans="1:26" s="111" customFormat="1" ht="15.75" x14ac:dyDescent="0.2">
      <c r="A4021" s="288"/>
      <c r="B4021" s="311"/>
      <c r="C4021" s="312" t="s">
        <v>755</v>
      </c>
      <c r="D4021" s="417">
        <v>74</v>
      </c>
      <c r="E4021" s="314" t="s">
        <v>518</v>
      </c>
      <c r="F4021" s="418">
        <v>7</v>
      </c>
      <c r="G4021" s="417">
        <v>74</v>
      </c>
      <c r="H4021" s="314" t="s">
        <v>518</v>
      </c>
      <c r="I4021" s="418">
        <v>7</v>
      </c>
      <c r="J4021" s="317"/>
      <c r="K4021" s="421">
        <v>12</v>
      </c>
      <c r="L4021" s="317"/>
      <c r="M4021" s="418">
        <v>1.7</v>
      </c>
      <c r="N4021" s="314">
        <v>1.2</v>
      </c>
      <c r="O4021" s="313">
        <v>5</v>
      </c>
      <c r="P4021" s="318"/>
      <c r="Q4021" s="315"/>
      <c r="R4021" s="319">
        <f t="shared" ref="R4021" si="1054">((K4021*M4021)+(O4021*N4021*M4021))</f>
        <v>30.599999999999998</v>
      </c>
      <c r="S4021" s="313"/>
      <c r="T4021" s="320">
        <v>31</v>
      </c>
      <c r="U4021" s="321"/>
      <c r="V4021" s="291">
        <f t="shared" ca="1" si="1049"/>
        <v>30.599999999999909</v>
      </c>
      <c r="W4021" s="256">
        <f t="shared" ca="1" si="1050"/>
        <v>2</v>
      </c>
      <c r="X4021" s="256">
        <f t="shared" ca="1" si="1051"/>
        <v>1</v>
      </c>
      <c r="Y4021" s="250"/>
      <c r="Z4021" s="250"/>
    </row>
    <row r="4022" spans="1:26" s="111" customFormat="1" ht="15.75" x14ac:dyDescent="0.2">
      <c r="A4022" s="288"/>
      <c r="B4022" s="311"/>
      <c r="C4022" s="312" t="s">
        <v>755</v>
      </c>
      <c r="D4022" s="417">
        <v>72</v>
      </c>
      <c r="E4022" s="314" t="s">
        <v>518</v>
      </c>
      <c r="F4022" s="418">
        <v>7</v>
      </c>
      <c r="G4022" s="417">
        <v>74</v>
      </c>
      <c r="H4022" s="314" t="s">
        <v>518</v>
      </c>
      <c r="I4022" s="418">
        <v>7</v>
      </c>
      <c r="J4022" s="317"/>
      <c r="K4022" s="421">
        <v>12</v>
      </c>
      <c r="L4022" s="317"/>
      <c r="M4022" s="418">
        <v>1.7</v>
      </c>
      <c r="N4022" s="314">
        <v>1.2</v>
      </c>
      <c r="O4022" s="313">
        <v>5</v>
      </c>
      <c r="P4022" s="318"/>
      <c r="Q4022" s="315"/>
      <c r="R4022" s="319">
        <f t="shared" ref="R4022" si="1055">((K4022*M4022)+(O4022*N4022*M4022))</f>
        <v>30.599999999999998</v>
      </c>
      <c r="S4022" s="313"/>
      <c r="T4022" s="320">
        <v>31</v>
      </c>
      <c r="U4022" s="321"/>
      <c r="V4022" s="291">
        <f t="shared" ca="1" si="1049"/>
        <v>30.599999999999909</v>
      </c>
      <c r="W4022" s="256">
        <f t="shared" ca="1" si="1050"/>
        <v>2</v>
      </c>
      <c r="X4022" s="256">
        <f t="shared" ca="1" si="1051"/>
        <v>1</v>
      </c>
      <c r="Y4022" s="250"/>
      <c r="Z4022" s="250"/>
    </row>
    <row r="4023" spans="1:26" s="111" customFormat="1" ht="15.75" x14ac:dyDescent="0.2">
      <c r="A4023" s="288"/>
      <c r="B4023" s="562"/>
      <c r="C4023" s="495" t="s">
        <v>1071</v>
      </c>
      <c r="D4023" s="551"/>
      <c r="E4023" s="552"/>
      <c r="F4023" s="553"/>
      <c r="G4023" s="551"/>
      <c r="H4023" s="552"/>
      <c r="I4023" s="553"/>
      <c r="J4023" s="560"/>
      <c r="K4023" s="500"/>
      <c r="L4023" s="560"/>
      <c r="M4023" s="553"/>
      <c r="N4023" s="552"/>
      <c r="O4023" s="738"/>
      <c r="P4023" s="565"/>
      <c r="Q4023" s="752"/>
      <c r="R4023" s="558"/>
      <c r="S4023" s="738"/>
      <c r="T4023" s="506">
        <v>31</v>
      </c>
      <c r="U4023" s="568"/>
      <c r="V4023" s="291">
        <f t="shared" ca="1" si="1049"/>
        <v>30.599999999999909</v>
      </c>
      <c r="W4023" s="256">
        <f t="shared" ca="1" si="1050"/>
        <v>2</v>
      </c>
      <c r="X4023" s="256">
        <f t="shared" ca="1" si="1051"/>
        <v>1</v>
      </c>
      <c r="Y4023" s="250"/>
      <c r="Z4023" s="250"/>
    </row>
    <row r="4024" spans="1:26" s="111" customFormat="1" ht="15.75" x14ac:dyDescent="0.2">
      <c r="A4024" s="288"/>
      <c r="B4024" s="562"/>
      <c r="C4024" s="495" t="s">
        <v>1072</v>
      </c>
      <c r="D4024" s="551"/>
      <c r="E4024" s="552"/>
      <c r="F4024" s="553"/>
      <c r="G4024" s="551"/>
      <c r="H4024" s="552"/>
      <c r="I4024" s="553"/>
      <c r="J4024" s="560"/>
      <c r="K4024" s="500"/>
      <c r="L4024" s="560"/>
      <c r="M4024" s="553"/>
      <c r="N4024" s="552"/>
      <c r="O4024" s="738"/>
      <c r="P4024" s="565"/>
      <c r="Q4024" s="752"/>
      <c r="R4024" s="558"/>
      <c r="S4024" s="738"/>
      <c r="T4024" s="506">
        <v>31</v>
      </c>
      <c r="U4024" s="568"/>
      <c r="V4024" s="291">
        <f t="shared" ca="1" si="1049"/>
        <v>30.599999999999909</v>
      </c>
      <c r="W4024" s="256">
        <f t="shared" ca="1" si="1050"/>
        <v>2</v>
      </c>
      <c r="X4024" s="256">
        <f t="shared" ca="1" si="1051"/>
        <v>1</v>
      </c>
      <c r="Y4024" s="250"/>
      <c r="Z4024" s="250"/>
    </row>
    <row r="4025" spans="1:26" s="111" customFormat="1" ht="15.75" x14ac:dyDescent="0.2">
      <c r="A4025" s="288"/>
      <c r="B4025" s="562"/>
      <c r="C4025" s="495" t="s">
        <v>1073</v>
      </c>
      <c r="D4025" s="551"/>
      <c r="E4025" s="552"/>
      <c r="F4025" s="553"/>
      <c r="G4025" s="551"/>
      <c r="H4025" s="552"/>
      <c r="I4025" s="553"/>
      <c r="J4025" s="560"/>
      <c r="K4025" s="500">
        <v>12.5</v>
      </c>
      <c r="L4025" s="560"/>
      <c r="M4025" s="553">
        <v>1</v>
      </c>
      <c r="N4025" s="552">
        <f>(K4025*M4025)/2</f>
        <v>6.25</v>
      </c>
      <c r="O4025" s="738"/>
      <c r="P4025" s="565"/>
      <c r="Q4025" s="752">
        <v>4</v>
      </c>
      <c r="R4025" s="558">
        <f>N4025*Q4025</f>
        <v>25</v>
      </c>
      <c r="S4025" s="738"/>
      <c r="T4025" s="506">
        <v>31</v>
      </c>
      <c r="U4025" s="568"/>
      <c r="V4025" s="291">
        <f t="shared" ca="1" si="1049"/>
        <v>30.599999999999909</v>
      </c>
      <c r="W4025" s="256">
        <f t="shared" ca="1" si="1050"/>
        <v>2</v>
      </c>
      <c r="X4025" s="256">
        <f t="shared" ca="1" si="1051"/>
        <v>1</v>
      </c>
      <c r="Y4025" s="250"/>
      <c r="Z4025" s="250"/>
    </row>
    <row r="4026" spans="1:26" s="111" customFormat="1" ht="15.75" x14ac:dyDescent="0.2">
      <c r="A4026" s="288"/>
      <c r="B4026" s="562"/>
      <c r="C4026" s="495" t="s">
        <v>1074</v>
      </c>
      <c r="D4026" s="551"/>
      <c r="E4026" s="552"/>
      <c r="F4026" s="553"/>
      <c r="G4026" s="551"/>
      <c r="H4026" s="552"/>
      <c r="I4026" s="553"/>
      <c r="J4026" s="560"/>
      <c r="K4026" s="500">
        <v>1.6</v>
      </c>
      <c r="L4026" s="560"/>
      <c r="M4026" s="553">
        <v>1</v>
      </c>
      <c r="N4026" s="552">
        <f>K4026*M4026</f>
        <v>1.6</v>
      </c>
      <c r="O4026" s="738"/>
      <c r="P4026" s="565"/>
      <c r="Q4026" s="752">
        <v>4</v>
      </c>
      <c r="R4026" s="558">
        <f>N4026*Q4026</f>
        <v>6.4</v>
      </c>
      <c r="S4026" s="738"/>
      <c r="T4026" s="506">
        <v>31</v>
      </c>
      <c r="U4026" s="568"/>
      <c r="V4026" s="291">
        <f t="shared" ca="1" si="1049"/>
        <v>30.599999999999909</v>
      </c>
      <c r="W4026" s="256">
        <f t="shared" ref="W4026:W4035" ca="1" si="1056">IF(LEFT(_xlfn.FORMULATEXT(V4026),3)="=SO",1,IF(COUNTA(A4026:U4026)=0,0,2))</f>
        <v>2</v>
      </c>
      <c r="X4026" s="256">
        <f t="shared" ref="X4026:X4027" ca="1" si="1057">IF(COUNTA(OFFSET(A4020,1,0))-COUNTA(A4020)=-1,0,1)</f>
        <v>1</v>
      </c>
      <c r="Y4026" s="250"/>
      <c r="Z4026" s="250"/>
    </row>
    <row r="4027" spans="1:26" s="111" customFormat="1" ht="15.75" x14ac:dyDescent="0.2">
      <c r="A4027" s="288"/>
      <c r="B4027" s="562"/>
      <c r="C4027" s="495" t="s">
        <v>1075</v>
      </c>
      <c r="D4027" s="551"/>
      <c r="E4027" s="552"/>
      <c r="F4027" s="553"/>
      <c r="G4027" s="551"/>
      <c r="H4027" s="552"/>
      <c r="I4027" s="553"/>
      <c r="J4027" s="560"/>
      <c r="K4027" s="500">
        <v>1.2</v>
      </c>
      <c r="L4027" s="560"/>
      <c r="M4027" s="553">
        <v>0.8</v>
      </c>
      <c r="N4027" s="552">
        <f>K4027*M4027</f>
        <v>0.96</v>
      </c>
      <c r="O4027" s="738"/>
      <c r="P4027" s="565"/>
      <c r="Q4027" s="752">
        <v>12</v>
      </c>
      <c r="R4027" s="558">
        <f>N4027*Q4027</f>
        <v>11.52</v>
      </c>
      <c r="S4027" s="738"/>
      <c r="T4027" s="506">
        <v>31</v>
      </c>
      <c r="U4027" s="568"/>
      <c r="V4027" s="291">
        <f t="shared" ca="1" si="1049"/>
        <v>30.599999999999909</v>
      </c>
      <c r="W4027" s="256">
        <f t="shared" ca="1" si="1056"/>
        <v>2</v>
      </c>
      <c r="X4027" s="256">
        <f t="shared" ca="1" si="1057"/>
        <v>1</v>
      </c>
      <c r="Y4027" s="250"/>
      <c r="Z4027" s="250"/>
    </row>
    <row r="4028" spans="1:26" s="111" customFormat="1" ht="15.75" x14ac:dyDescent="0.2">
      <c r="A4028" s="288"/>
      <c r="B4028" s="562"/>
      <c r="C4028" s="312" t="s">
        <v>755</v>
      </c>
      <c r="D4028" s="417">
        <v>70</v>
      </c>
      <c r="E4028" s="314" t="s">
        <v>518</v>
      </c>
      <c r="F4028" s="418">
        <v>17</v>
      </c>
      <c r="G4028" s="417">
        <v>72</v>
      </c>
      <c r="H4028" s="314" t="s">
        <v>518</v>
      </c>
      <c r="I4028" s="418">
        <v>7</v>
      </c>
      <c r="J4028" s="317"/>
      <c r="K4028" s="421">
        <v>12</v>
      </c>
      <c r="L4028" s="317"/>
      <c r="M4028" s="418">
        <v>1.7</v>
      </c>
      <c r="N4028" s="314">
        <v>1.2</v>
      </c>
      <c r="O4028" s="313">
        <v>5</v>
      </c>
      <c r="P4028" s="318"/>
      <c r="Q4028" s="315"/>
      <c r="R4028" s="319">
        <f t="shared" ref="R4028:R4030" si="1058">((K4028*M4028)+(O4028*N4028*M4028))</f>
        <v>30.599999999999998</v>
      </c>
      <c r="S4028" s="313"/>
      <c r="T4028" s="320">
        <v>38</v>
      </c>
      <c r="U4028" s="568"/>
      <c r="V4028" s="291">
        <f t="shared" ca="1" si="1049"/>
        <v>30.599999999999909</v>
      </c>
      <c r="W4028" s="256">
        <f t="shared" ref="W4028:W4031" ca="1" si="1059">IF(LEFT(_xlfn.FORMULATEXT(V4028),3)="=SO",1,IF(COUNTA(A4028:U4028)=0,0,2))</f>
        <v>2</v>
      </c>
      <c r="X4028" s="256">
        <f t="shared" ref="X4028:X4030" ca="1" si="1060">IF(COUNTA(OFFSET(A4022,1,0))-COUNTA(A4022)=-1,0,1)</f>
        <v>1</v>
      </c>
      <c r="Y4028" s="250"/>
      <c r="Z4028" s="250"/>
    </row>
    <row r="4029" spans="1:26" s="111" customFormat="1" ht="15.75" x14ac:dyDescent="0.2">
      <c r="A4029" s="288"/>
      <c r="B4029" s="562"/>
      <c r="C4029" s="312" t="s">
        <v>755</v>
      </c>
      <c r="D4029" s="417">
        <v>69</v>
      </c>
      <c r="E4029" s="314" t="s">
        <v>518</v>
      </c>
      <c r="F4029" s="418">
        <v>7</v>
      </c>
      <c r="G4029" s="417">
        <v>70</v>
      </c>
      <c r="H4029" s="314" t="s">
        <v>518</v>
      </c>
      <c r="I4029" s="418">
        <v>17</v>
      </c>
      <c r="J4029" s="317"/>
      <c r="K4029" s="421">
        <v>12</v>
      </c>
      <c r="L4029" s="317"/>
      <c r="M4029" s="418">
        <v>1.7</v>
      </c>
      <c r="N4029" s="314">
        <v>1.2</v>
      </c>
      <c r="O4029" s="313">
        <v>5</v>
      </c>
      <c r="P4029" s="318"/>
      <c r="Q4029" s="315"/>
      <c r="R4029" s="319">
        <f t="shared" si="1058"/>
        <v>30.599999999999998</v>
      </c>
      <c r="S4029" s="313"/>
      <c r="T4029" s="320">
        <v>38</v>
      </c>
      <c r="U4029" s="568"/>
      <c r="V4029" s="291">
        <f t="shared" ca="1" si="1049"/>
        <v>30.599999999999909</v>
      </c>
      <c r="W4029" s="256">
        <f t="shared" ca="1" si="1059"/>
        <v>2</v>
      </c>
      <c r="X4029" s="256">
        <f t="shared" ca="1" si="1060"/>
        <v>1</v>
      </c>
      <c r="Y4029" s="250"/>
      <c r="Z4029" s="250"/>
    </row>
    <row r="4030" spans="1:26" s="111" customFormat="1" ht="15.75" x14ac:dyDescent="0.2">
      <c r="A4030" s="288"/>
      <c r="B4030" s="562"/>
      <c r="C4030" s="312" t="s">
        <v>755</v>
      </c>
      <c r="D4030" s="417">
        <v>67</v>
      </c>
      <c r="E4030" s="314" t="s">
        <v>518</v>
      </c>
      <c r="F4030" s="418">
        <v>17</v>
      </c>
      <c r="G4030" s="417">
        <v>69</v>
      </c>
      <c r="H4030" s="314" t="s">
        <v>518</v>
      </c>
      <c r="I4030" s="418">
        <v>7</v>
      </c>
      <c r="J4030" s="317"/>
      <c r="K4030" s="421">
        <v>12</v>
      </c>
      <c r="L4030" s="317"/>
      <c r="M4030" s="418">
        <v>1.7</v>
      </c>
      <c r="N4030" s="314">
        <v>1.2</v>
      </c>
      <c r="O4030" s="313">
        <v>5</v>
      </c>
      <c r="P4030" s="318"/>
      <c r="Q4030" s="315"/>
      <c r="R4030" s="319">
        <f t="shared" si="1058"/>
        <v>30.599999999999998</v>
      </c>
      <c r="S4030" s="313"/>
      <c r="T4030" s="320">
        <v>38</v>
      </c>
      <c r="U4030" s="568"/>
      <c r="V4030" s="291">
        <f t="shared" ca="1" si="1049"/>
        <v>30.599999999999909</v>
      </c>
      <c r="W4030" s="256">
        <f t="shared" ca="1" si="1059"/>
        <v>2</v>
      </c>
      <c r="X4030" s="256">
        <f t="shared" ca="1" si="1060"/>
        <v>1</v>
      </c>
      <c r="Y4030" s="250"/>
      <c r="Z4030" s="250"/>
    </row>
    <row r="4031" spans="1:26" s="293" customFormat="1" ht="15.75" x14ac:dyDescent="0.2">
      <c r="A4031" s="878"/>
      <c r="B4031" s="996"/>
      <c r="C4031" s="312" t="s">
        <v>755</v>
      </c>
      <c r="D4031" s="551">
        <v>66</v>
      </c>
      <c r="E4031" s="314" t="s">
        <v>518</v>
      </c>
      <c r="F4031" s="553">
        <v>7</v>
      </c>
      <c r="G4031" s="417">
        <v>67</v>
      </c>
      <c r="H4031" s="314" t="s">
        <v>518</v>
      </c>
      <c r="I4031" s="418">
        <v>17</v>
      </c>
      <c r="J4031" s="560"/>
      <c r="K4031" s="433">
        <v>12</v>
      </c>
      <c r="L4031" s="560"/>
      <c r="M4031" s="553">
        <v>1.7</v>
      </c>
      <c r="N4031" s="552">
        <v>1.2</v>
      </c>
      <c r="O4031" s="738">
        <v>5</v>
      </c>
      <c r="P4031" s="565"/>
      <c r="Q4031" s="752"/>
      <c r="R4031" s="319">
        <f>((K4031*M4031)+(O4031*N4031*M4031))</f>
        <v>30.599999999999998</v>
      </c>
      <c r="S4031" s="738"/>
      <c r="T4031" s="506">
        <v>35</v>
      </c>
      <c r="U4031" s="997"/>
      <c r="V4031" s="291">
        <f t="shared" ca="1" si="1049"/>
        <v>30.599999999999909</v>
      </c>
      <c r="W4031" s="256">
        <f t="shared" ca="1" si="1059"/>
        <v>2</v>
      </c>
      <c r="X4031" s="256">
        <f ca="1">IF(COUNTA(OFFSET(A4026,1,0))-COUNTA(A4026)=-1,0,1)</f>
        <v>1</v>
      </c>
      <c r="Y4031" s="879"/>
      <c r="Z4031" s="879"/>
    </row>
    <row r="4032" spans="1:26" s="293" customFormat="1" ht="15.75" x14ac:dyDescent="0.2">
      <c r="A4032" s="878"/>
      <c r="B4032" s="996"/>
      <c r="C4032" s="312" t="s">
        <v>755</v>
      </c>
      <c r="D4032" s="551">
        <v>64</v>
      </c>
      <c r="E4032" s="314" t="s">
        <v>518</v>
      </c>
      <c r="F4032" s="553">
        <v>17</v>
      </c>
      <c r="G4032" s="551">
        <v>66</v>
      </c>
      <c r="H4032" s="314" t="s">
        <v>518</v>
      </c>
      <c r="I4032" s="553">
        <v>7</v>
      </c>
      <c r="J4032" s="560"/>
      <c r="K4032" s="433">
        <v>12</v>
      </c>
      <c r="L4032" s="560"/>
      <c r="M4032" s="553">
        <v>1.7</v>
      </c>
      <c r="N4032" s="552">
        <v>1.2</v>
      </c>
      <c r="O4032" s="738">
        <v>5</v>
      </c>
      <c r="P4032" s="565"/>
      <c r="Q4032" s="752"/>
      <c r="R4032" s="319">
        <f>((K4032*M4032)+(O4032*N4032*M4032))</f>
        <v>30.599999999999998</v>
      </c>
      <c r="S4032" s="738"/>
      <c r="T4032" s="506">
        <v>35</v>
      </c>
      <c r="U4032" s="997"/>
      <c r="V4032" s="291">
        <f t="shared" ca="1" si="1049"/>
        <v>30.599999999999909</v>
      </c>
      <c r="W4032" s="256">
        <f t="shared" ca="1" si="1056"/>
        <v>2</v>
      </c>
      <c r="X4032" s="256">
        <f ca="1">IF(COUNTA(OFFSET(A4023,1,0))-COUNTA(A4023)=-1,0,1)</f>
        <v>1</v>
      </c>
      <c r="Y4032" s="879"/>
      <c r="Z4032" s="879"/>
    </row>
    <row r="4033" spans="1:26" s="293" customFormat="1" ht="15.75" x14ac:dyDescent="0.2">
      <c r="A4033" s="878"/>
      <c r="B4033" s="996"/>
      <c r="C4033" s="312" t="s">
        <v>755</v>
      </c>
      <c r="D4033" s="551">
        <v>63</v>
      </c>
      <c r="E4033" s="314" t="s">
        <v>518</v>
      </c>
      <c r="F4033" s="553">
        <v>7</v>
      </c>
      <c r="G4033" s="551">
        <v>64</v>
      </c>
      <c r="H4033" s="314" t="s">
        <v>518</v>
      </c>
      <c r="I4033" s="553">
        <v>17</v>
      </c>
      <c r="J4033" s="560"/>
      <c r="K4033" s="433">
        <v>12</v>
      </c>
      <c r="L4033" s="560"/>
      <c r="M4033" s="553">
        <v>1.7</v>
      </c>
      <c r="N4033" s="552">
        <v>1.2</v>
      </c>
      <c r="O4033" s="738">
        <v>5</v>
      </c>
      <c r="P4033" s="565"/>
      <c r="Q4033" s="752"/>
      <c r="R4033" s="319">
        <f>((K4033*M4033)+(O4033*N4033*M4033))</f>
        <v>30.599999999999998</v>
      </c>
      <c r="S4033" s="738"/>
      <c r="T4033" s="506">
        <v>35</v>
      </c>
      <c r="U4033" s="997"/>
      <c r="V4033" s="291">
        <f t="shared" ca="1" si="1049"/>
        <v>30.599999999999909</v>
      </c>
      <c r="W4033" s="256">
        <f t="shared" ca="1" si="1056"/>
        <v>2</v>
      </c>
      <c r="X4033" s="256">
        <f ca="1">IF(COUNTA(OFFSET(A4024,1,0))-COUNTA(A4024)=-1,0,1)</f>
        <v>1</v>
      </c>
      <c r="Y4033" s="879"/>
      <c r="Z4033" s="879"/>
    </row>
    <row r="4034" spans="1:26" s="293" customFormat="1" ht="15.75" x14ac:dyDescent="0.2">
      <c r="A4034" s="878"/>
      <c r="B4034" s="996"/>
      <c r="C4034" s="312" t="s">
        <v>755</v>
      </c>
      <c r="D4034" s="551">
        <v>61</v>
      </c>
      <c r="E4034" s="314" t="s">
        <v>518</v>
      </c>
      <c r="F4034" s="553">
        <v>17</v>
      </c>
      <c r="G4034" s="551">
        <v>63</v>
      </c>
      <c r="H4034" s="314" t="s">
        <v>518</v>
      </c>
      <c r="I4034" s="553">
        <v>7</v>
      </c>
      <c r="J4034" s="560"/>
      <c r="K4034" s="421">
        <v>12</v>
      </c>
      <c r="L4034" s="560"/>
      <c r="M4034" s="553">
        <v>1.7</v>
      </c>
      <c r="N4034" s="552">
        <v>1.2</v>
      </c>
      <c r="O4034" s="738">
        <v>5</v>
      </c>
      <c r="P4034" s="565"/>
      <c r="Q4034" s="752"/>
      <c r="R4034" s="319">
        <f t="shared" ref="R4034:R4048" si="1061">((K4034*M4034)+(O4034*N4034*M4034))</f>
        <v>30.599999999999998</v>
      </c>
      <c r="S4034" s="738"/>
      <c r="T4034" s="506">
        <v>36</v>
      </c>
      <c r="U4034" s="997"/>
      <c r="V4034" s="291">
        <f t="shared" ca="1" si="1049"/>
        <v>30.599999999999909</v>
      </c>
      <c r="W4034" s="256">
        <f t="shared" ca="1" si="1056"/>
        <v>2</v>
      </c>
      <c r="X4034" s="256">
        <f ca="1">IF(COUNTA(OFFSET(A4025,1,0))-COUNTA(A4025)=-1,0,1)</f>
        <v>1</v>
      </c>
      <c r="Y4034" s="879"/>
      <c r="Z4034" s="879"/>
    </row>
    <row r="4035" spans="1:26" s="293" customFormat="1" ht="15.75" x14ac:dyDescent="0.2">
      <c r="A4035" s="878"/>
      <c r="B4035" s="996"/>
      <c r="C4035" s="312" t="s">
        <v>755</v>
      </c>
      <c r="D4035" s="551">
        <v>60</v>
      </c>
      <c r="E4035" s="314" t="s">
        <v>518</v>
      </c>
      <c r="F4035" s="553">
        <v>7</v>
      </c>
      <c r="G4035" s="551">
        <v>61</v>
      </c>
      <c r="H4035" s="314" t="s">
        <v>518</v>
      </c>
      <c r="I4035" s="553">
        <v>17</v>
      </c>
      <c r="J4035" s="560"/>
      <c r="K4035" s="421">
        <v>12</v>
      </c>
      <c r="L4035" s="560"/>
      <c r="M4035" s="553">
        <v>1.7</v>
      </c>
      <c r="N4035" s="552">
        <v>1.2</v>
      </c>
      <c r="O4035" s="738">
        <v>5</v>
      </c>
      <c r="P4035" s="565"/>
      <c r="Q4035" s="752"/>
      <c r="R4035" s="319">
        <f t="shared" si="1061"/>
        <v>30.599999999999998</v>
      </c>
      <c r="S4035" s="738"/>
      <c r="T4035" s="506">
        <v>36</v>
      </c>
      <c r="U4035" s="997"/>
      <c r="V4035" s="291">
        <f t="shared" ca="1" si="1049"/>
        <v>30.599999999999909</v>
      </c>
      <c r="W4035" s="256">
        <f t="shared" ca="1" si="1056"/>
        <v>2</v>
      </c>
      <c r="X4035" s="256">
        <f ca="1">IF(COUNTA(OFFSET(A4026,1,0))-COUNTA(A4026)=-1,0,1)</f>
        <v>1</v>
      </c>
      <c r="Y4035" s="879"/>
      <c r="Z4035" s="879"/>
    </row>
    <row r="4036" spans="1:26" s="293" customFormat="1" ht="15.75" x14ac:dyDescent="0.2">
      <c r="A4036" s="878"/>
      <c r="B4036" s="996"/>
      <c r="C4036" s="312" t="s">
        <v>755</v>
      </c>
      <c r="D4036" s="551">
        <v>59</v>
      </c>
      <c r="E4036" s="314" t="s">
        <v>518</v>
      </c>
      <c r="F4036" s="553">
        <v>0</v>
      </c>
      <c r="G4036" s="551">
        <v>60</v>
      </c>
      <c r="H4036" s="314" t="s">
        <v>518</v>
      </c>
      <c r="I4036" s="553">
        <v>7</v>
      </c>
      <c r="J4036" s="560"/>
      <c r="K4036" s="421">
        <v>12</v>
      </c>
      <c r="L4036" s="560"/>
      <c r="M4036" s="553">
        <v>1.7</v>
      </c>
      <c r="N4036" s="552">
        <v>1.2</v>
      </c>
      <c r="O4036" s="738">
        <v>5</v>
      </c>
      <c r="P4036" s="565"/>
      <c r="Q4036" s="752"/>
      <c r="R4036" s="319">
        <f t="shared" si="1061"/>
        <v>30.599999999999998</v>
      </c>
      <c r="S4036" s="738"/>
      <c r="T4036" s="506">
        <v>37</v>
      </c>
      <c r="U4036" s="997"/>
      <c r="V4036" s="291">
        <f t="shared" ca="1" si="1049"/>
        <v>30.599999999999909</v>
      </c>
      <c r="W4036" s="256">
        <f t="shared" ref="W4036:W4039" ca="1" si="1062">IF(LEFT(_xlfn.FORMULATEXT(V4036),3)="=SO",1,IF(COUNTA(A4036:U4036)=0,0,2))</f>
        <v>2</v>
      </c>
      <c r="X4036" s="256">
        <f ca="1">IF(COUNTA(OFFSET(A4027,1,0))-COUNTA(A4027)=-1,0,1)</f>
        <v>1</v>
      </c>
      <c r="Y4036" s="879"/>
      <c r="Z4036" s="879"/>
    </row>
    <row r="4037" spans="1:26" s="293" customFormat="1" ht="15.75" x14ac:dyDescent="0.2">
      <c r="A4037" s="878"/>
      <c r="B4037" s="996"/>
      <c r="C4037" s="312" t="s">
        <v>755</v>
      </c>
      <c r="D4037" s="551">
        <v>57</v>
      </c>
      <c r="E4037" s="314" t="s">
        <v>518</v>
      </c>
      <c r="F4037" s="553">
        <v>17</v>
      </c>
      <c r="G4037" s="551">
        <v>59</v>
      </c>
      <c r="H4037" s="314" t="s">
        <v>518</v>
      </c>
      <c r="I4037" s="553">
        <v>0</v>
      </c>
      <c r="J4037" s="560"/>
      <c r="K4037" s="421">
        <v>12</v>
      </c>
      <c r="L4037" s="560"/>
      <c r="M4037" s="553">
        <v>1.7</v>
      </c>
      <c r="N4037" s="552">
        <v>1.2</v>
      </c>
      <c r="O4037" s="738">
        <v>5</v>
      </c>
      <c r="P4037" s="565"/>
      <c r="Q4037" s="752"/>
      <c r="R4037" s="319">
        <f t="shared" si="1061"/>
        <v>30.599999999999998</v>
      </c>
      <c r="S4037" s="738"/>
      <c r="T4037" s="506">
        <v>37</v>
      </c>
      <c r="U4037" s="997"/>
      <c r="V4037" s="291">
        <f t="shared" ca="1" si="1049"/>
        <v>30.599999999999909</v>
      </c>
      <c r="W4037" s="256">
        <f t="shared" ca="1" si="1062"/>
        <v>2</v>
      </c>
      <c r="X4037" s="256">
        <f t="shared" ref="X4037:X4039" ca="1" si="1063">IF(COUNTA(OFFSET(A4031,1,0))-COUNTA(A4031)=-1,0,1)</f>
        <v>1</v>
      </c>
      <c r="Y4037" s="879"/>
      <c r="Z4037" s="879"/>
    </row>
    <row r="4038" spans="1:26" s="293" customFormat="1" ht="15.75" x14ac:dyDescent="0.2">
      <c r="A4038" s="878"/>
      <c r="B4038" s="996"/>
      <c r="C4038" s="312" t="s">
        <v>755</v>
      </c>
      <c r="D4038" s="551">
        <v>56</v>
      </c>
      <c r="E4038" s="314" t="s">
        <v>518</v>
      </c>
      <c r="F4038" s="553">
        <v>17</v>
      </c>
      <c r="G4038" s="551">
        <v>57</v>
      </c>
      <c r="H4038" s="314" t="s">
        <v>518</v>
      </c>
      <c r="I4038" s="553">
        <v>17</v>
      </c>
      <c r="J4038" s="560"/>
      <c r="K4038" s="421">
        <v>12</v>
      </c>
      <c r="L4038" s="560"/>
      <c r="M4038" s="553">
        <v>1.7</v>
      </c>
      <c r="N4038" s="552">
        <v>1.2</v>
      </c>
      <c r="O4038" s="738">
        <v>5</v>
      </c>
      <c r="P4038" s="565"/>
      <c r="Q4038" s="752"/>
      <c r="R4038" s="319">
        <f t="shared" si="1061"/>
        <v>30.599999999999998</v>
      </c>
      <c r="S4038" s="738"/>
      <c r="T4038" s="506">
        <v>38</v>
      </c>
      <c r="U4038" s="997"/>
      <c r="V4038" s="291">
        <f t="shared" ca="1" si="1049"/>
        <v>30.599999999999909</v>
      </c>
      <c r="W4038" s="256">
        <f t="shared" ca="1" si="1062"/>
        <v>2</v>
      </c>
      <c r="X4038" s="256">
        <f t="shared" ca="1" si="1063"/>
        <v>1</v>
      </c>
      <c r="Y4038" s="879"/>
      <c r="Z4038" s="879"/>
    </row>
    <row r="4039" spans="1:26" s="293" customFormat="1" ht="15.75" x14ac:dyDescent="0.2">
      <c r="A4039" s="878"/>
      <c r="B4039" s="996"/>
      <c r="C4039" s="312" t="s">
        <v>755</v>
      </c>
      <c r="D4039" s="551">
        <v>55</v>
      </c>
      <c r="E4039" s="314" t="s">
        <v>518</v>
      </c>
      <c r="F4039" s="553">
        <v>12</v>
      </c>
      <c r="G4039" s="551">
        <v>56</v>
      </c>
      <c r="H4039" s="314" t="s">
        <v>518</v>
      </c>
      <c r="I4039" s="553">
        <v>17</v>
      </c>
      <c r="J4039" s="560"/>
      <c r="K4039" s="421">
        <v>12</v>
      </c>
      <c r="L4039" s="560"/>
      <c r="M4039" s="553">
        <v>1.7</v>
      </c>
      <c r="N4039" s="552">
        <v>1.2</v>
      </c>
      <c r="O4039" s="738">
        <v>5</v>
      </c>
      <c r="P4039" s="565"/>
      <c r="Q4039" s="752"/>
      <c r="R4039" s="319">
        <f t="shared" si="1061"/>
        <v>30.599999999999998</v>
      </c>
      <c r="S4039" s="738"/>
      <c r="T4039" s="506">
        <v>38</v>
      </c>
      <c r="U4039" s="997"/>
      <c r="V4039" s="291">
        <f t="shared" ca="1" si="1049"/>
        <v>30.599999999999909</v>
      </c>
      <c r="W4039" s="256">
        <f t="shared" ca="1" si="1062"/>
        <v>2</v>
      </c>
      <c r="X4039" s="256">
        <f t="shared" ca="1" si="1063"/>
        <v>1</v>
      </c>
      <c r="Y4039" s="879"/>
      <c r="Z4039" s="879"/>
    </row>
    <row r="4040" spans="1:26" s="293" customFormat="1" ht="15.75" x14ac:dyDescent="0.2">
      <c r="A4040" s="878"/>
      <c r="B4040" s="996"/>
      <c r="C4040" s="312" t="s">
        <v>755</v>
      </c>
      <c r="D4040" s="551">
        <v>54</v>
      </c>
      <c r="E4040" s="314" t="s">
        <v>518</v>
      </c>
      <c r="F4040" s="553">
        <v>0</v>
      </c>
      <c r="G4040" s="551">
        <v>55</v>
      </c>
      <c r="H4040" s="314" t="s">
        <v>518</v>
      </c>
      <c r="I4040" s="553">
        <v>12</v>
      </c>
      <c r="J4040" s="1102"/>
      <c r="K4040" s="421">
        <v>12</v>
      </c>
      <c r="L4040" s="1102"/>
      <c r="M4040" s="553">
        <v>1.7</v>
      </c>
      <c r="N4040" s="552">
        <v>1.2</v>
      </c>
      <c r="O4040" s="738">
        <v>5</v>
      </c>
      <c r="P4040" s="565"/>
      <c r="Q4040" s="752"/>
      <c r="R4040" s="319">
        <f t="shared" si="1061"/>
        <v>30.599999999999998</v>
      </c>
      <c r="S4040" s="738"/>
      <c r="T4040" s="506">
        <v>39</v>
      </c>
      <c r="U4040" s="997"/>
      <c r="V4040" s="291">
        <f t="shared" ca="1" si="1049"/>
        <v>30.599999999999909</v>
      </c>
      <c r="W4040" s="256">
        <f t="shared" ref="W4040:W4042" ca="1" si="1064">IF(LEFT(_xlfn.FORMULATEXT(V4040),3)="=SO",1,IF(COUNTA(A4040:U4040)=0,0,2))</f>
        <v>2</v>
      </c>
      <c r="X4040" s="256">
        <f t="shared" ref="X4040:X4042" ca="1" si="1065">IF(COUNTA(OFFSET(A4034,1,0))-COUNTA(A4034)=-1,0,1)</f>
        <v>1</v>
      </c>
      <c r="Y4040" s="879"/>
      <c r="Z4040" s="879"/>
    </row>
    <row r="4041" spans="1:26" s="293" customFormat="1" ht="15.75" x14ac:dyDescent="0.2">
      <c r="A4041" s="878"/>
      <c r="B4041" s="996"/>
      <c r="C4041" s="312" t="s">
        <v>755</v>
      </c>
      <c r="D4041" s="551">
        <v>51</v>
      </c>
      <c r="E4041" s="314" t="s">
        <v>518</v>
      </c>
      <c r="F4041" s="553">
        <v>15</v>
      </c>
      <c r="G4041" s="551">
        <v>54</v>
      </c>
      <c r="H4041" s="314" t="s">
        <v>518</v>
      </c>
      <c r="I4041" s="553">
        <v>0</v>
      </c>
      <c r="J4041" s="1102"/>
      <c r="K4041" s="421">
        <v>12</v>
      </c>
      <c r="L4041" s="1102"/>
      <c r="M4041" s="553">
        <v>1.7</v>
      </c>
      <c r="N4041" s="552">
        <v>1.2</v>
      </c>
      <c r="O4041" s="738">
        <v>5</v>
      </c>
      <c r="P4041" s="565"/>
      <c r="Q4041" s="752"/>
      <c r="R4041" s="319">
        <f t="shared" si="1061"/>
        <v>30.599999999999998</v>
      </c>
      <c r="S4041" s="738"/>
      <c r="T4041" s="506">
        <v>39</v>
      </c>
      <c r="U4041" s="997"/>
      <c r="V4041" s="291">
        <f t="shared" ca="1" si="1049"/>
        <v>30.599999999999909</v>
      </c>
      <c r="W4041" s="256">
        <f t="shared" ca="1" si="1064"/>
        <v>2</v>
      </c>
      <c r="X4041" s="256">
        <f t="shared" ca="1" si="1065"/>
        <v>1</v>
      </c>
      <c r="Y4041" s="879"/>
      <c r="Z4041" s="879"/>
    </row>
    <row r="4042" spans="1:26" s="293" customFormat="1" ht="15.75" x14ac:dyDescent="0.2">
      <c r="A4042" s="878"/>
      <c r="B4042" s="996"/>
      <c r="C4042" s="312" t="s">
        <v>755</v>
      </c>
      <c r="D4042" s="551">
        <v>49</v>
      </c>
      <c r="E4042" s="314" t="s">
        <v>518</v>
      </c>
      <c r="F4042" s="553">
        <v>13</v>
      </c>
      <c r="G4042" s="551">
        <v>51</v>
      </c>
      <c r="H4042" s="314" t="s">
        <v>518</v>
      </c>
      <c r="I4042" s="553">
        <v>15</v>
      </c>
      <c r="J4042" s="1109"/>
      <c r="K4042" s="421">
        <v>12</v>
      </c>
      <c r="L4042" s="1109"/>
      <c r="M4042" s="553">
        <v>1.7</v>
      </c>
      <c r="N4042" s="552">
        <v>1.2</v>
      </c>
      <c r="O4042" s="738">
        <v>5</v>
      </c>
      <c r="P4042" s="565"/>
      <c r="Q4042" s="752"/>
      <c r="R4042" s="319">
        <f t="shared" si="1061"/>
        <v>30.599999999999998</v>
      </c>
      <c r="S4042" s="738"/>
      <c r="T4042" s="506">
        <v>40</v>
      </c>
      <c r="U4042" s="997"/>
      <c r="V4042" s="291">
        <f t="shared" ca="1" si="1049"/>
        <v>30.599999999999909</v>
      </c>
      <c r="W4042" s="256">
        <f t="shared" ca="1" si="1064"/>
        <v>2</v>
      </c>
      <c r="X4042" s="256">
        <f t="shared" ca="1" si="1065"/>
        <v>1</v>
      </c>
      <c r="Y4042" s="879"/>
      <c r="Z4042" s="879"/>
    </row>
    <row r="4043" spans="1:26" s="293" customFormat="1" ht="15.75" x14ac:dyDescent="0.2">
      <c r="A4043" s="878"/>
      <c r="B4043" s="996"/>
      <c r="C4043" s="312" t="s">
        <v>755</v>
      </c>
      <c r="D4043" s="551">
        <v>48</v>
      </c>
      <c r="E4043" s="314" t="s">
        <v>518</v>
      </c>
      <c r="F4043" s="553">
        <v>8</v>
      </c>
      <c r="G4043" s="551">
        <v>49</v>
      </c>
      <c r="H4043" s="314" t="s">
        <v>518</v>
      </c>
      <c r="I4043" s="553">
        <v>13</v>
      </c>
      <c r="J4043" s="1109"/>
      <c r="K4043" s="421">
        <v>12</v>
      </c>
      <c r="L4043" s="1109"/>
      <c r="M4043" s="553">
        <v>1.7</v>
      </c>
      <c r="N4043" s="552">
        <v>1.2</v>
      </c>
      <c r="O4043" s="738">
        <v>5</v>
      </c>
      <c r="P4043" s="565"/>
      <c r="Q4043" s="752"/>
      <c r="R4043" s="319">
        <f t="shared" si="1061"/>
        <v>30.599999999999998</v>
      </c>
      <c r="S4043" s="738"/>
      <c r="T4043" s="506">
        <v>41</v>
      </c>
      <c r="U4043" s="997"/>
      <c r="V4043" s="291">
        <f t="shared" ca="1" si="1049"/>
        <v>30.599999999999909</v>
      </c>
      <c r="W4043" s="256">
        <f t="shared" ref="W4043" ca="1" si="1066">IF(LEFT(_xlfn.FORMULATEXT(V4043),3)="=SO",1,IF(COUNTA(A4043:U4043)=0,0,2))</f>
        <v>2</v>
      </c>
      <c r="X4043" s="256">
        <f t="shared" ref="X4043" ca="1" si="1067">IF(COUNTA(OFFSET(A4037,1,0))-COUNTA(A4037)=-1,0,1)</f>
        <v>1</v>
      </c>
      <c r="Y4043" s="879"/>
      <c r="Z4043" s="879"/>
    </row>
    <row r="4044" spans="1:26" s="293" customFormat="1" ht="15.75" x14ac:dyDescent="0.2">
      <c r="A4044" s="878"/>
      <c r="B4044" s="996"/>
      <c r="C4044" s="312" t="s">
        <v>751</v>
      </c>
      <c r="D4044" s="551">
        <v>3</v>
      </c>
      <c r="E4044" s="314" t="s">
        <v>518</v>
      </c>
      <c r="F4044" s="553">
        <v>0</v>
      </c>
      <c r="G4044" s="551">
        <v>5</v>
      </c>
      <c r="H4044" s="314" t="s">
        <v>518</v>
      </c>
      <c r="I4044" s="553">
        <v>14.9</v>
      </c>
      <c r="J4044" s="1109"/>
      <c r="K4044" s="421">
        <v>6</v>
      </c>
      <c r="L4044" s="1109"/>
      <c r="M4044" s="553">
        <v>1.7</v>
      </c>
      <c r="N4044" s="552">
        <v>1.2</v>
      </c>
      <c r="O4044" s="738">
        <v>5</v>
      </c>
      <c r="P4044" s="565"/>
      <c r="Q4044" s="752"/>
      <c r="R4044" s="319">
        <f t="shared" si="1061"/>
        <v>20.399999999999999</v>
      </c>
      <c r="S4044" s="738"/>
      <c r="T4044" s="506">
        <v>41</v>
      </c>
      <c r="U4044" s="997"/>
      <c r="V4044" s="291">
        <f t="shared" ca="1" si="1049"/>
        <v>30.599999999999909</v>
      </c>
      <c r="W4044" s="256">
        <f t="shared" ref="W4044:W4045" ca="1" si="1068">IF(LEFT(_xlfn.FORMULATEXT(V4044),3)="=SO",1,IF(COUNTA(A4044:U4044)=0,0,2))</f>
        <v>2</v>
      </c>
      <c r="X4044" s="256">
        <f t="shared" ref="X4044:X4045" ca="1" si="1069">IF(COUNTA(OFFSET(A4038,1,0))-COUNTA(A4038)=-1,0,1)</f>
        <v>1</v>
      </c>
      <c r="Y4044" s="879"/>
      <c r="Z4044" s="879"/>
    </row>
    <row r="4045" spans="1:26" s="293" customFormat="1" ht="15.75" x14ac:dyDescent="0.2">
      <c r="A4045" s="878"/>
      <c r="B4045" s="996"/>
      <c r="C4045" s="312" t="s">
        <v>755</v>
      </c>
      <c r="D4045" s="551">
        <v>45</v>
      </c>
      <c r="E4045" s="314" t="s">
        <v>518</v>
      </c>
      <c r="F4045" s="553">
        <v>6</v>
      </c>
      <c r="G4045" s="551">
        <v>48</v>
      </c>
      <c r="H4045" s="314" t="s">
        <v>518</v>
      </c>
      <c r="I4045" s="553">
        <v>8</v>
      </c>
      <c r="J4045" s="1109"/>
      <c r="K4045" s="421">
        <v>12</v>
      </c>
      <c r="L4045" s="1109"/>
      <c r="M4045" s="553">
        <v>1.7</v>
      </c>
      <c r="N4045" s="552">
        <v>1.2</v>
      </c>
      <c r="O4045" s="738">
        <v>5</v>
      </c>
      <c r="P4045" s="565"/>
      <c r="Q4045" s="752"/>
      <c r="R4045" s="319">
        <f t="shared" si="1061"/>
        <v>30.599999999999998</v>
      </c>
      <c r="S4045" s="738"/>
      <c r="T4045" s="506">
        <v>42</v>
      </c>
      <c r="U4045" s="997"/>
      <c r="V4045" s="291">
        <f t="shared" ca="1" si="1049"/>
        <v>30.599999999999909</v>
      </c>
      <c r="W4045" s="256">
        <f t="shared" ca="1" si="1068"/>
        <v>2</v>
      </c>
      <c r="X4045" s="256">
        <f t="shared" ca="1" si="1069"/>
        <v>1</v>
      </c>
      <c r="Y4045" s="879"/>
      <c r="Z4045" s="879"/>
    </row>
    <row r="4046" spans="1:26" s="293" customFormat="1" ht="15.75" x14ac:dyDescent="0.2">
      <c r="A4046" s="878"/>
      <c r="B4046" s="996"/>
      <c r="C4046" s="312" t="s">
        <v>755</v>
      </c>
      <c r="D4046" s="551">
        <v>43</v>
      </c>
      <c r="E4046" s="314" t="s">
        <v>518</v>
      </c>
      <c r="F4046" s="553">
        <v>0</v>
      </c>
      <c r="G4046" s="551">
        <v>45</v>
      </c>
      <c r="H4046" s="314" t="s">
        <v>518</v>
      </c>
      <c r="I4046" s="553">
        <v>6</v>
      </c>
      <c r="J4046" s="1109"/>
      <c r="K4046" s="421">
        <v>12</v>
      </c>
      <c r="L4046" s="1109"/>
      <c r="M4046" s="553">
        <v>1.7</v>
      </c>
      <c r="N4046" s="552">
        <v>1.2</v>
      </c>
      <c r="O4046" s="738">
        <v>5</v>
      </c>
      <c r="P4046" s="565"/>
      <c r="Q4046" s="752"/>
      <c r="R4046" s="319">
        <f t="shared" si="1061"/>
        <v>30.599999999999998</v>
      </c>
      <c r="S4046" s="738"/>
      <c r="T4046" s="506">
        <v>43</v>
      </c>
      <c r="U4046" s="997"/>
      <c r="V4046" s="291">
        <f t="shared" ca="1" si="1049"/>
        <v>30.599999999999909</v>
      </c>
      <c r="W4046" s="256">
        <f t="shared" ref="W4046:W4053" ca="1" si="1070">IF(LEFT(_xlfn.FORMULATEXT(V4046),3)="=SO",1,IF(COUNTA(A4046:U4046)=0,0,2))</f>
        <v>2</v>
      </c>
      <c r="X4046" s="256">
        <f t="shared" ref="X4046:X4053" ca="1" si="1071">IF(COUNTA(OFFSET(A4040,1,0))-COUNTA(A4040)=-1,0,1)</f>
        <v>1</v>
      </c>
      <c r="Y4046" s="879"/>
      <c r="Z4046" s="879"/>
    </row>
    <row r="4047" spans="1:26" s="293" customFormat="1" ht="15.75" x14ac:dyDescent="0.2">
      <c r="A4047" s="878"/>
      <c r="B4047" s="996"/>
      <c r="C4047" s="312" t="s">
        <v>755</v>
      </c>
      <c r="D4047" s="551">
        <v>42</v>
      </c>
      <c r="E4047" s="314" t="s">
        <v>518</v>
      </c>
      <c r="F4047" s="553">
        <v>3</v>
      </c>
      <c r="G4047" s="551">
        <v>43</v>
      </c>
      <c r="H4047" s="314" t="s">
        <v>518</v>
      </c>
      <c r="I4047" s="553">
        <v>0</v>
      </c>
      <c r="J4047" s="1109"/>
      <c r="K4047" s="421">
        <v>12</v>
      </c>
      <c r="L4047" s="1109"/>
      <c r="M4047" s="553">
        <v>1.7</v>
      </c>
      <c r="N4047" s="552">
        <v>1.2</v>
      </c>
      <c r="O4047" s="738">
        <v>5</v>
      </c>
      <c r="P4047" s="565"/>
      <c r="Q4047" s="752"/>
      <c r="R4047" s="319">
        <f t="shared" si="1061"/>
        <v>30.599999999999998</v>
      </c>
      <c r="S4047" s="738"/>
      <c r="T4047" s="506">
        <v>43</v>
      </c>
      <c r="U4047" s="997"/>
      <c r="V4047" s="291">
        <f t="shared" ca="1" si="1049"/>
        <v>30.599999999999909</v>
      </c>
      <c r="W4047" s="256">
        <f t="shared" ca="1" si="1070"/>
        <v>2</v>
      </c>
      <c r="X4047" s="256">
        <f t="shared" ca="1" si="1071"/>
        <v>1</v>
      </c>
      <c r="Y4047" s="879"/>
      <c r="Z4047" s="879"/>
    </row>
    <row r="4048" spans="1:26" s="293" customFormat="1" ht="15.75" x14ac:dyDescent="0.2">
      <c r="A4048" s="878"/>
      <c r="B4048" s="996"/>
      <c r="C4048" s="312" t="s">
        <v>755</v>
      </c>
      <c r="D4048" s="551">
        <v>39</v>
      </c>
      <c r="E4048" s="314" t="s">
        <v>518</v>
      </c>
      <c r="F4048" s="553">
        <v>3</v>
      </c>
      <c r="G4048" s="551">
        <v>42</v>
      </c>
      <c r="H4048" s="314" t="s">
        <v>518</v>
      </c>
      <c r="I4048" s="553">
        <v>3</v>
      </c>
      <c r="J4048" s="1109"/>
      <c r="K4048" s="421">
        <v>12</v>
      </c>
      <c r="L4048" s="1109"/>
      <c r="M4048" s="553">
        <v>1.7</v>
      </c>
      <c r="N4048" s="552">
        <v>1.2</v>
      </c>
      <c r="O4048" s="738">
        <v>5</v>
      </c>
      <c r="P4048" s="565"/>
      <c r="Q4048" s="752"/>
      <c r="R4048" s="319">
        <f t="shared" si="1061"/>
        <v>30.599999999999998</v>
      </c>
      <c r="S4048" s="738"/>
      <c r="T4048" s="506">
        <v>44</v>
      </c>
      <c r="U4048" s="997"/>
      <c r="V4048" s="291">
        <f t="shared" ca="1" si="1049"/>
        <v>30.599999999999909</v>
      </c>
      <c r="W4048" s="256">
        <f t="shared" ca="1" si="1070"/>
        <v>2</v>
      </c>
      <c r="X4048" s="256">
        <f t="shared" ca="1" si="1071"/>
        <v>1</v>
      </c>
      <c r="Y4048" s="879"/>
      <c r="Z4048" s="879"/>
    </row>
    <row r="4049" spans="1:29" s="293" customFormat="1" ht="15.75" x14ac:dyDescent="0.2">
      <c r="A4049" s="878"/>
      <c r="B4049" s="996"/>
      <c r="C4049" s="495"/>
      <c r="D4049" s="551"/>
      <c r="E4049" s="552"/>
      <c r="F4049" s="553"/>
      <c r="G4049" s="551"/>
      <c r="H4049" s="552"/>
      <c r="I4049" s="553"/>
      <c r="J4049" s="1109"/>
      <c r="K4049" s="500"/>
      <c r="L4049" s="1109"/>
      <c r="M4049" s="553"/>
      <c r="N4049" s="552"/>
      <c r="O4049" s="738"/>
      <c r="P4049" s="565"/>
      <c r="Q4049" s="752"/>
      <c r="R4049" s="558"/>
      <c r="S4049" s="738"/>
      <c r="T4049" s="506"/>
      <c r="U4049" s="997"/>
      <c r="V4049" s="291">
        <f t="shared" ca="1" si="1049"/>
        <v>30.599999999999909</v>
      </c>
      <c r="W4049" s="256">
        <f t="shared" ca="1" si="1070"/>
        <v>0</v>
      </c>
      <c r="X4049" s="256">
        <f t="shared" ca="1" si="1071"/>
        <v>1</v>
      </c>
      <c r="Y4049" s="879"/>
      <c r="Z4049" s="879"/>
    </row>
    <row r="4050" spans="1:29" s="293" customFormat="1" ht="15.75" x14ac:dyDescent="0.2">
      <c r="A4050" s="878"/>
      <c r="B4050" s="996"/>
      <c r="C4050" s="495"/>
      <c r="D4050" s="551"/>
      <c r="E4050" s="552"/>
      <c r="F4050" s="553"/>
      <c r="G4050" s="551"/>
      <c r="H4050" s="552"/>
      <c r="I4050" s="553"/>
      <c r="J4050" s="1109"/>
      <c r="K4050" s="500"/>
      <c r="L4050" s="1109"/>
      <c r="M4050" s="553"/>
      <c r="N4050" s="552"/>
      <c r="O4050" s="738"/>
      <c r="P4050" s="565"/>
      <c r="Q4050" s="752"/>
      <c r="R4050" s="558"/>
      <c r="S4050" s="738"/>
      <c r="T4050" s="506"/>
      <c r="U4050" s="997"/>
      <c r="V4050" s="291">
        <f t="shared" ca="1" si="1049"/>
        <v>30.599999999999909</v>
      </c>
      <c r="W4050" s="256">
        <f t="shared" ca="1" si="1070"/>
        <v>0</v>
      </c>
      <c r="X4050" s="256">
        <f t="shared" ca="1" si="1071"/>
        <v>1</v>
      </c>
      <c r="Y4050" s="879"/>
      <c r="Z4050" s="879"/>
    </row>
    <row r="4051" spans="1:29" s="111" customFormat="1" ht="15" x14ac:dyDescent="0.2">
      <c r="A4051" s="288"/>
      <c r="B4051" s="338"/>
      <c r="C4051" s="339"/>
      <c r="D4051" s="340"/>
      <c r="E4051" s="341"/>
      <c r="F4051" s="342"/>
      <c r="G4051" s="340"/>
      <c r="H4051" s="341"/>
      <c r="I4051" s="342"/>
      <c r="J4051" s="343"/>
      <c r="K4051" s="344"/>
      <c r="L4051" s="345"/>
      <c r="M4051" s="346"/>
      <c r="N4051" s="347"/>
      <c r="O4051" s="348"/>
      <c r="P4051" s="345"/>
      <c r="Q4051" s="349"/>
      <c r="R4051" s="350"/>
      <c r="S4051" s="351"/>
      <c r="T4051" s="352"/>
      <c r="U4051" s="353"/>
      <c r="V4051" s="291">
        <f t="shared" ca="1" si="1049"/>
        <v>30.599999999999909</v>
      </c>
      <c r="W4051" s="256">
        <f t="shared" ca="1" si="1070"/>
        <v>0</v>
      </c>
      <c r="X4051" s="256">
        <f t="shared" ca="1" si="1071"/>
        <v>1</v>
      </c>
      <c r="Y4051" s="250"/>
      <c r="Z4051" s="250"/>
    </row>
    <row r="4052" spans="1:29" s="111" customFormat="1" ht="15.75" customHeight="1" x14ac:dyDescent="0.2">
      <c r="A4052" s="288"/>
      <c r="B4052" s="354"/>
      <c r="C4052" s="355"/>
      <c r="D4052" s="1354" t="s">
        <v>492</v>
      </c>
      <c r="E4052" s="1355"/>
      <c r="F4052" s="1355"/>
      <c r="G4052" s="1355"/>
      <c r="H4052" s="1355"/>
      <c r="I4052" s="1356"/>
      <c r="J4052" s="1357">
        <f>VLOOKUP(A4054,'11 - FINANCEIRO'!_xlnm.Print_Area,6,FALSE)</f>
        <v>1311</v>
      </c>
      <c r="K4052" s="1358"/>
      <c r="L4052" s="356" t="str">
        <f>VLOOKUP(A4054,'11 - FINANCEIRO'!_xlnm.Print_Area,4,FALSE)</f>
        <v>m²</v>
      </c>
      <c r="M4052" s="1359" t="s">
        <v>493</v>
      </c>
      <c r="N4052" s="1360"/>
      <c r="O4052" s="1360"/>
      <c r="P4052" s="1360"/>
      <c r="Q4052" s="1361"/>
      <c r="R4052" s="357">
        <f>TRUNC(SUM(R4004:R4051),3)</f>
        <v>1262.1199999999999</v>
      </c>
      <c r="S4052" s="358" t="str">
        <f>L4052</f>
        <v>m²</v>
      </c>
      <c r="T4052" s="359"/>
      <c r="U4052" s="360"/>
      <c r="V4052" s="291">
        <f t="shared" ca="1" si="1049"/>
        <v>30.599999999999909</v>
      </c>
      <c r="W4052" s="256">
        <f t="shared" ca="1" si="1070"/>
        <v>2</v>
      </c>
      <c r="X4052" s="256">
        <f t="shared" ca="1" si="1071"/>
        <v>1</v>
      </c>
      <c r="Y4052" s="250"/>
      <c r="Z4052" s="250"/>
    </row>
    <row r="4053" spans="1:29" s="293" customFormat="1" ht="15.75" customHeight="1" x14ac:dyDescent="0.2">
      <c r="A4053" s="288"/>
      <c r="B4053" s="354"/>
      <c r="C4053" s="361"/>
      <c r="D4053" s="1362" t="s">
        <v>494</v>
      </c>
      <c r="E4053" s="1363"/>
      <c r="F4053" s="1363"/>
      <c r="G4053" s="1363"/>
      <c r="H4053" s="1363"/>
      <c r="I4053" s="1364"/>
      <c r="J4053" s="1365">
        <f>IF(R4052&gt;J4052,1,R4052/J4052)</f>
        <v>0.96271548436308152</v>
      </c>
      <c r="K4053" s="1366"/>
      <c r="L4053" s="1369"/>
      <c r="M4053" s="1371" t="s">
        <v>495</v>
      </c>
      <c r="N4053" s="1372"/>
      <c r="O4053" s="1372"/>
      <c r="P4053" s="1372"/>
      <c r="Q4053" s="1373"/>
      <c r="R4053" s="362">
        <f>VLOOKUP(A4054,'11 - FINANCEIRO'!_xlnm.Print_Area,8,FALSE)</f>
        <v>1231.52</v>
      </c>
      <c r="S4053" s="363" t="str">
        <f>L4052</f>
        <v>m²</v>
      </c>
      <c r="T4053" s="858"/>
      <c r="U4053" s="360"/>
      <c r="V4053" s="291">
        <f t="shared" ca="1" si="1049"/>
        <v>30.599999999999909</v>
      </c>
      <c r="W4053" s="256">
        <f t="shared" ca="1" si="1070"/>
        <v>2</v>
      </c>
      <c r="X4053" s="256">
        <f t="shared" ca="1" si="1071"/>
        <v>1</v>
      </c>
      <c r="Y4053" s="256"/>
      <c r="Z4053" s="256"/>
      <c r="AA4053" s="292"/>
      <c r="AB4053" s="292"/>
      <c r="AC4053" s="292"/>
    </row>
    <row r="4054" spans="1:29" s="293" customFormat="1" ht="15.75" customHeight="1" x14ac:dyDescent="0.2">
      <c r="A4054" s="288" t="s">
        <v>722</v>
      </c>
      <c r="B4054" s="364"/>
      <c r="C4054" s="365"/>
      <c r="D4054" s="1354"/>
      <c r="E4054" s="1355"/>
      <c r="F4054" s="1355"/>
      <c r="G4054" s="1355"/>
      <c r="H4054" s="1355"/>
      <c r="I4054" s="1356"/>
      <c r="J4054" s="1367"/>
      <c r="K4054" s="1368"/>
      <c r="L4054" s="1370"/>
      <c r="M4054" s="1371" t="s">
        <v>496</v>
      </c>
      <c r="N4054" s="1372"/>
      <c r="O4054" s="1372"/>
      <c r="P4054" s="1372"/>
      <c r="Q4054" s="1373"/>
      <c r="R4054" s="362">
        <f>R4052-R4053</f>
        <v>30.599999999999909</v>
      </c>
      <c r="S4054" s="363" t="str">
        <f>L4052</f>
        <v>m²</v>
      </c>
      <c r="T4054" s="366"/>
      <c r="U4054" s="367"/>
      <c r="V4054" s="291">
        <f ca="1">IF(OFFSET(V4054,1,1)=1,OFFSET(V4054,0,-4),OFFSET(V4054,1,0))</f>
        <v>30.599999999999909</v>
      </c>
      <c r="W4054" s="256">
        <f t="shared" ca="1" si="1048"/>
        <v>2</v>
      </c>
      <c r="X4054" s="256">
        <f t="shared" ca="1" si="1026"/>
        <v>1</v>
      </c>
      <c r="Y4054" s="256"/>
      <c r="Z4054" s="256"/>
      <c r="AA4054" s="292"/>
      <c r="AB4054" s="292"/>
      <c r="AC4054" s="292"/>
    </row>
    <row r="4055" spans="1:29" s="111" customFormat="1" ht="15.75" x14ac:dyDescent="0.2">
      <c r="A4055" s="288"/>
      <c r="B4055" s="368"/>
      <c r="C4055" s="365"/>
      <c r="D4055" s="369"/>
      <c r="E4055" s="370"/>
      <c r="F4055" s="369"/>
      <c r="G4055" s="369"/>
      <c r="H4055" s="369"/>
      <c r="I4055" s="369"/>
      <c r="J4055" s="371"/>
      <c r="K4055" s="372"/>
      <c r="L4055" s="373"/>
      <c r="M4055" s="374"/>
      <c r="N4055" s="374"/>
      <c r="O4055" s="374"/>
      <c r="P4055" s="374"/>
      <c r="Q4055" s="374"/>
      <c r="R4055" s="375"/>
      <c r="S4055" s="376"/>
      <c r="T4055" s="377"/>
      <c r="U4055" s="378"/>
      <c r="V4055" s="379">
        <f ca="1">SUM(V4002:V4054)</f>
        <v>1621.7999999999952</v>
      </c>
      <c r="W4055" s="256">
        <f t="shared" ca="1" si="1048"/>
        <v>1</v>
      </c>
      <c r="X4055" s="256">
        <f t="shared" ca="1" si="1026"/>
        <v>0</v>
      </c>
      <c r="Y4055" s="250"/>
      <c r="Z4055" s="250"/>
    </row>
    <row r="4056" spans="1:29" s="293" customFormat="1" ht="15.75" customHeight="1" x14ac:dyDescent="0.25">
      <c r="A4056" s="288"/>
      <c r="B4056" s="1374" t="str">
        <f>VLOOKUP(A4081,'11 - FINANCEIRO'!_xlnm.Print_Area,1,FALSE)</f>
        <v>6.1.3</v>
      </c>
      <c r="C4056" s="1376" t="str">
        <f>VLOOKUP(A4081,'11 - FINANCEIRO'!_xlnm.Print_Area,3,FALSE)</f>
        <v xml:space="preserve">Limpeza de rua com lavagem (Caminhão PIPA) </v>
      </c>
      <c r="D4056" s="1378" t="s">
        <v>477</v>
      </c>
      <c r="E4056" s="1379"/>
      <c r="F4056" s="1379"/>
      <c r="G4056" s="1379"/>
      <c r="H4056" s="1379"/>
      <c r="I4056" s="1380"/>
      <c r="J4056" s="1338" t="s">
        <v>478</v>
      </c>
      <c r="K4056" s="1338" t="s">
        <v>479</v>
      </c>
      <c r="L4056" s="1338" t="s">
        <v>480</v>
      </c>
      <c r="M4056" s="1338" t="s">
        <v>481</v>
      </c>
      <c r="N4056" s="1338" t="s">
        <v>482</v>
      </c>
      <c r="O4056" s="1338" t="s">
        <v>483</v>
      </c>
      <c r="P4056" s="290" t="s">
        <v>484</v>
      </c>
      <c r="Q4056" s="1338" t="s">
        <v>485</v>
      </c>
      <c r="R4056" s="1336" t="s">
        <v>296</v>
      </c>
      <c r="S4056" s="1338" t="s">
        <v>486</v>
      </c>
      <c r="T4056" s="1338" t="s">
        <v>487</v>
      </c>
      <c r="U4056" s="1340" t="s">
        <v>488</v>
      </c>
      <c r="V4056" s="291">
        <f ca="1">IF(OFFSET(V4056,1,1)=1,OFFSET(V4056,0,-4),OFFSET(V4056,1,0))</f>
        <v>44</v>
      </c>
      <c r="W4056" s="256">
        <f ca="1">IF(LEFT(_xlfn.FORMULATEXT(V4056),3)="=SO",1,IF(COUNTA(A4056:U4056)=0,0,2))</f>
        <v>2</v>
      </c>
      <c r="X4056" s="256">
        <f ca="1">IF(COUNTA(OFFSET(A4055,1,0))-COUNTA(A4055)=-1,0,1)</f>
        <v>1</v>
      </c>
      <c r="Y4056" s="256"/>
      <c r="Z4056" s="256"/>
      <c r="AA4056" s="292"/>
      <c r="AB4056" s="292"/>
      <c r="AC4056" s="292"/>
    </row>
    <row r="4057" spans="1:29" s="337" customFormat="1" ht="15.75" x14ac:dyDescent="0.2">
      <c r="A4057" s="288"/>
      <c r="B4057" s="1375"/>
      <c r="C4057" s="1377" t="e">
        <f>VLOOKUP(LEFT(#REF!,5),'11 - FINANCEIRO'!_xlnm.Print_Area,2,FALSE)</f>
        <v>#REF!</v>
      </c>
      <c r="D4057" s="1342" t="s">
        <v>489</v>
      </c>
      <c r="E4057" s="1343"/>
      <c r="F4057" s="1344"/>
      <c r="G4057" s="1345" t="s">
        <v>490</v>
      </c>
      <c r="H4057" s="1346"/>
      <c r="I4057" s="1347"/>
      <c r="J4057" s="1339"/>
      <c r="K4057" s="1339"/>
      <c r="L4057" s="1339"/>
      <c r="M4057" s="1339"/>
      <c r="N4057" s="1339"/>
      <c r="O4057" s="1339"/>
      <c r="P4057" s="295" t="s">
        <v>491</v>
      </c>
      <c r="Q4057" s="1339"/>
      <c r="R4057" s="1337"/>
      <c r="S4057" s="1339"/>
      <c r="T4057" s="1339"/>
      <c r="U4057" s="1341"/>
      <c r="V4057" s="291">
        <f ca="1">IF(OFFSET(V4057,1,1)=1,OFFSET(V4057,0,-4),OFFSET(V4057,1,0))</f>
        <v>44</v>
      </c>
      <c r="W4057" s="256">
        <f ca="1">IF(LEFT(_xlfn.FORMULATEXT(V4057),3)="=SO",1,IF(COUNTA(A4057:U4057)=0,0,2))</f>
        <v>2</v>
      </c>
      <c r="X4057" s="256">
        <f ca="1">IF(COUNTA(OFFSET(A4056,1,0))-COUNTA(A4056)=-1,0,1)</f>
        <v>1</v>
      </c>
      <c r="Y4057" s="336"/>
      <c r="Z4057" s="336"/>
    </row>
    <row r="4058" spans="1:29" s="337" customFormat="1" ht="15.75" x14ac:dyDescent="0.2">
      <c r="A4058" s="288"/>
      <c r="B4058" s="296"/>
      <c r="C4058" s="397" t="s">
        <v>757</v>
      </c>
      <c r="D4058" s="1333">
        <v>45103</v>
      </c>
      <c r="E4058" s="1334"/>
      <c r="F4058" s="1335"/>
      <c r="G4058" s="1333">
        <v>45107</v>
      </c>
      <c r="H4058" s="1334"/>
      <c r="I4058" s="1335"/>
      <c r="J4058" s="317">
        <f t="shared" ref="J4058:J4066" si="1072">G4058-D4058+1</f>
        <v>5</v>
      </c>
      <c r="K4058" s="304"/>
      <c r="L4058" s="304"/>
      <c r="M4058" s="304"/>
      <c r="N4058" s="304"/>
      <c r="O4058" s="304"/>
      <c r="P4058" s="306"/>
      <c r="Q4058" s="304"/>
      <c r="R4058" s="307">
        <v>44</v>
      </c>
      <c r="S4058" s="304"/>
      <c r="T4058" s="309">
        <v>19</v>
      </c>
      <c r="U4058" s="310"/>
      <c r="V4058" s="291">
        <f ca="1">IF(OFFSET(V4058,1,1)=1,OFFSET(V4058,0,-4),OFFSET(V4058,1,0))</f>
        <v>44</v>
      </c>
      <c r="W4058" s="256">
        <f ca="1">IF(LEFT(_xlfn.FORMULATEXT(V4058),3)="=SO",1,IF(COUNTA(A4058:U4058)=0,0,2))</f>
        <v>2</v>
      </c>
      <c r="X4058" s="256">
        <f ca="1">IF(COUNTA(OFFSET(A4057,1,0))-COUNTA(A4057)=-1,0,1)</f>
        <v>1</v>
      </c>
      <c r="Y4058" s="336"/>
      <c r="Z4058" s="336"/>
    </row>
    <row r="4059" spans="1:29" s="337" customFormat="1" ht="15.75" x14ac:dyDescent="0.2">
      <c r="A4059" s="288"/>
      <c r="B4059" s="512"/>
      <c r="C4059" s="397" t="s">
        <v>756</v>
      </c>
      <c r="D4059" s="1333">
        <v>45108</v>
      </c>
      <c r="E4059" s="1334"/>
      <c r="F4059" s="1335"/>
      <c r="G4059" s="1333">
        <v>45138</v>
      </c>
      <c r="H4059" s="1334"/>
      <c r="I4059" s="1335"/>
      <c r="J4059" s="317">
        <f t="shared" si="1072"/>
        <v>31</v>
      </c>
      <c r="K4059" s="519"/>
      <c r="L4059" s="427"/>
      <c r="M4059" s="513"/>
      <c r="N4059" s="520"/>
      <c r="O4059" s="519"/>
      <c r="P4059" s="428"/>
      <c r="Q4059" s="513"/>
      <c r="R4059" s="524">
        <v>185</v>
      </c>
      <c r="S4059" s="427"/>
      <c r="T4059" s="514">
        <v>19</v>
      </c>
      <c r="U4059" s="765"/>
      <c r="V4059" s="291">
        <f t="shared" ref="V4059:V4079" ca="1" si="1073">IF(OFFSET(V4059,1,1)=1,OFFSET(V4059,0,-4),OFFSET(V4059,1,0))</f>
        <v>44</v>
      </c>
      <c r="W4059" s="256">
        <f t="shared" ref="W4059:W4069" ca="1" si="1074">IF(LEFT(_xlfn.FORMULATEXT(V4059),3)="=SO",1,IF(COUNTA(A4059:U4059)=0,0,2))</f>
        <v>2</v>
      </c>
      <c r="X4059" s="256">
        <f t="shared" ref="X4059:X4069" ca="1" si="1075">IF(COUNTA(OFFSET(A4058,1,0))-COUNTA(A4058)=-1,0,1)</f>
        <v>1</v>
      </c>
      <c r="Y4059" s="336"/>
      <c r="Z4059" s="336"/>
    </row>
    <row r="4060" spans="1:29" s="337" customFormat="1" ht="15.75" x14ac:dyDescent="0.2">
      <c r="A4060" s="288"/>
      <c r="B4060" s="512"/>
      <c r="C4060" s="397" t="s">
        <v>758</v>
      </c>
      <c r="D4060" s="1333">
        <v>45139</v>
      </c>
      <c r="E4060" s="1334"/>
      <c r="F4060" s="1335"/>
      <c r="G4060" s="1333">
        <v>45169</v>
      </c>
      <c r="H4060" s="1334"/>
      <c r="I4060" s="1335"/>
      <c r="J4060" s="317">
        <f t="shared" si="1072"/>
        <v>31</v>
      </c>
      <c r="K4060" s="519"/>
      <c r="L4060" s="427"/>
      <c r="M4060" s="513"/>
      <c r="N4060" s="520"/>
      <c r="O4060" s="519"/>
      <c r="P4060" s="428"/>
      <c r="Q4060" s="513"/>
      <c r="R4060" s="524">
        <v>203</v>
      </c>
      <c r="S4060" s="427"/>
      <c r="T4060" s="514">
        <v>19</v>
      </c>
      <c r="U4060" s="765"/>
      <c r="V4060" s="291">
        <f t="shared" ca="1" si="1073"/>
        <v>44</v>
      </c>
      <c r="W4060" s="256">
        <f t="shared" ca="1" si="1074"/>
        <v>2</v>
      </c>
      <c r="X4060" s="256">
        <f t="shared" ca="1" si="1075"/>
        <v>1</v>
      </c>
      <c r="Y4060" s="336"/>
      <c r="Z4060" s="336"/>
    </row>
    <row r="4061" spans="1:29" s="337" customFormat="1" ht="15.75" x14ac:dyDescent="0.2">
      <c r="A4061" s="288"/>
      <c r="B4061" s="512"/>
      <c r="C4061" s="397" t="s">
        <v>759</v>
      </c>
      <c r="D4061" s="1333">
        <v>45170</v>
      </c>
      <c r="E4061" s="1334"/>
      <c r="F4061" s="1335"/>
      <c r="G4061" s="1333">
        <v>45199</v>
      </c>
      <c r="H4061" s="1334"/>
      <c r="I4061" s="1335"/>
      <c r="J4061" s="317">
        <f t="shared" si="1072"/>
        <v>30</v>
      </c>
      <c r="K4061" s="519"/>
      <c r="L4061" s="427"/>
      <c r="M4061" s="513"/>
      <c r="N4061" s="520"/>
      <c r="O4061" s="519"/>
      <c r="P4061" s="428"/>
      <c r="Q4061" s="513"/>
      <c r="R4061" s="524">
        <v>175</v>
      </c>
      <c r="S4061" s="427"/>
      <c r="T4061" s="514">
        <v>19</v>
      </c>
      <c r="U4061" s="765"/>
      <c r="V4061" s="291">
        <f t="shared" ca="1" si="1073"/>
        <v>44</v>
      </c>
      <c r="W4061" s="256">
        <f t="shared" ca="1" si="1074"/>
        <v>2</v>
      </c>
      <c r="X4061" s="256">
        <f t="shared" ca="1" si="1075"/>
        <v>1</v>
      </c>
      <c r="Y4061" s="336"/>
      <c r="Z4061" s="336"/>
    </row>
    <row r="4062" spans="1:29" s="337" customFormat="1" ht="15.75" x14ac:dyDescent="0.2">
      <c r="A4062" s="288"/>
      <c r="B4062" s="512"/>
      <c r="C4062" s="397" t="s">
        <v>760</v>
      </c>
      <c r="D4062" s="1333">
        <v>45200</v>
      </c>
      <c r="E4062" s="1334"/>
      <c r="F4062" s="1335"/>
      <c r="G4062" s="1333">
        <v>45230</v>
      </c>
      <c r="H4062" s="1334"/>
      <c r="I4062" s="1335"/>
      <c r="J4062" s="317">
        <f t="shared" si="1072"/>
        <v>31</v>
      </c>
      <c r="K4062" s="519"/>
      <c r="L4062" s="427"/>
      <c r="M4062" s="513"/>
      <c r="N4062" s="520"/>
      <c r="O4062" s="519"/>
      <c r="P4062" s="428"/>
      <c r="Q4062" s="513"/>
      <c r="R4062" s="524">
        <v>185</v>
      </c>
      <c r="S4062" s="427"/>
      <c r="T4062" s="514">
        <v>19</v>
      </c>
      <c r="U4062" s="765"/>
      <c r="V4062" s="291">
        <f t="shared" ca="1" si="1073"/>
        <v>44</v>
      </c>
      <c r="W4062" s="256">
        <f t="shared" ca="1" si="1074"/>
        <v>2</v>
      </c>
      <c r="X4062" s="256">
        <f t="shared" ca="1" si="1075"/>
        <v>1</v>
      </c>
      <c r="Y4062" s="336"/>
      <c r="Z4062" s="336"/>
    </row>
    <row r="4063" spans="1:29" s="337" customFormat="1" ht="15.75" x14ac:dyDescent="0.2">
      <c r="A4063" s="288"/>
      <c r="B4063" s="512"/>
      <c r="C4063" s="397" t="s">
        <v>761</v>
      </c>
      <c r="D4063" s="1333">
        <v>45231</v>
      </c>
      <c r="E4063" s="1334"/>
      <c r="F4063" s="1335"/>
      <c r="G4063" s="1333">
        <v>45260</v>
      </c>
      <c r="H4063" s="1334"/>
      <c r="I4063" s="1335"/>
      <c r="J4063" s="317">
        <f t="shared" si="1072"/>
        <v>30</v>
      </c>
      <c r="K4063" s="519"/>
      <c r="L4063" s="427"/>
      <c r="M4063" s="513"/>
      <c r="N4063" s="520"/>
      <c r="O4063" s="519"/>
      <c r="P4063" s="428"/>
      <c r="Q4063" s="513"/>
      <c r="R4063" s="524">
        <v>176</v>
      </c>
      <c r="S4063" s="427"/>
      <c r="T4063" s="514">
        <v>19</v>
      </c>
      <c r="U4063" s="765"/>
      <c r="V4063" s="291">
        <f t="shared" ca="1" si="1073"/>
        <v>44</v>
      </c>
      <c r="W4063" s="256">
        <f t="shared" ca="1" si="1074"/>
        <v>2</v>
      </c>
      <c r="X4063" s="256">
        <f t="shared" ca="1" si="1075"/>
        <v>1</v>
      </c>
      <c r="Y4063" s="336"/>
      <c r="Z4063" s="336"/>
    </row>
    <row r="4064" spans="1:29" s="337" customFormat="1" ht="15.75" x14ac:dyDescent="0.2">
      <c r="A4064" s="288"/>
      <c r="B4064" s="512"/>
      <c r="C4064" s="397" t="s">
        <v>762</v>
      </c>
      <c r="D4064" s="1333">
        <v>45261</v>
      </c>
      <c r="E4064" s="1334"/>
      <c r="F4064" s="1335"/>
      <c r="G4064" s="1333">
        <v>45291</v>
      </c>
      <c r="H4064" s="1334"/>
      <c r="I4064" s="1335"/>
      <c r="J4064" s="317">
        <f t="shared" si="1072"/>
        <v>31</v>
      </c>
      <c r="K4064" s="519"/>
      <c r="L4064" s="427"/>
      <c r="M4064" s="513"/>
      <c r="N4064" s="520"/>
      <c r="O4064" s="519"/>
      <c r="P4064" s="428"/>
      <c r="Q4064" s="513"/>
      <c r="R4064" s="524">
        <v>185</v>
      </c>
      <c r="S4064" s="427"/>
      <c r="T4064" s="514">
        <v>19</v>
      </c>
      <c r="U4064" s="765"/>
      <c r="V4064" s="291">
        <f t="shared" ca="1" si="1073"/>
        <v>44</v>
      </c>
      <c r="W4064" s="256">
        <f t="shared" ca="1" si="1074"/>
        <v>2</v>
      </c>
      <c r="X4064" s="256">
        <f t="shared" ca="1" si="1075"/>
        <v>1</v>
      </c>
      <c r="Y4064" s="336"/>
      <c r="Z4064" s="336"/>
    </row>
    <row r="4065" spans="1:29" s="337" customFormat="1" ht="15.75" x14ac:dyDescent="0.2">
      <c r="A4065" s="288"/>
      <c r="B4065" s="512"/>
      <c r="C4065" s="397" t="s">
        <v>763</v>
      </c>
      <c r="D4065" s="1333">
        <v>45292</v>
      </c>
      <c r="E4065" s="1334"/>
      <c r="F4065" s="1335"/>
      <c r="G4065" s="1333">
        <v>45322</v>
      </c>
      <c r="H4065" s="1334"/>
      <c r="I4065" s="1335"/>
      <c r="J4065" s="317">
        <f t="shared" si="1072"/>
        <v>31</v>
      </c>
      <c r="K4065" s="519"/>
      <c r="L4065" s="427"/>
      <c r="M4065" s="513"/>
      <c r="N4065" s="520"/>
      <c r="O4065" s="519"/>
      <c r="P4065" s="428"/>
      <c r="Q4065" s="513"/>
      <c r="R4065" s="524">
        <v>194</v>
      </c>
      <c r="S4065" s="427"/>
      <c r="T4065" s="514">
        <v>19</v>
      </c>
      <c r="U4065" s="765"/>
      <c r="V4065" s="291">
        <f t="shared" ca="1" si="1073"/>
        <v>44</v>
      </c>
      <c r="W4065" s="256">
        <f t="shared" ca="1" si="1074"/>
        <v>2</v>
      </c>
      <c r="X4065" s="256">
        <f t="shared" ca="1" si="1075"/>
        <v>1</v>
      </c>
      <c r="Y4065" s="336"/>
      <c r="Z4065" s="336"/>
    </row>
    <row r="4066" spans="1:29" s="337" customFormat="1" ht="15.75" x14ac:dyDescent="0.2">
      <c r="A4066" s="288"/>
      <c r="B4066" s="512"/>
      <c r="C4066" s="397" t="s">
        <v>749</v>
      </c>
      <c r="D4066" s="1333">
        <v>45323</v>
      </c>
      <c r="E4066" s="1334"/>
      <c r="F4066" s="1335"/>
      <c r="G4066" s="1333">
        <v>45351</v>
      </c>
      <c r="H4066" s="1334"/>
      <c r="I4066" s="1335"/>
      <c r="J4066" s="317">
        <f t="shared" si="1072"/>
        <v>29</v>
      </c>
      <c r="K4066" s="519"/>
      <c r="L4066" s="427"/>
      <c r="M4066" s="513"/>
      <c r="N4066" s="520"/>
      <c r="O4066" s="519"/>
      <c r="P4066" s="428"/>
      <c r="Q4066" s="513"/>
      <c r="R4066" s="524">
        <v>176</v>
      </c>
      <c r="S4066" s="427"/>
      <c r="T4066" s="514">
        <v>19</v>
      </c>
      <c r="U4066" s="765"/>
      <c r="V4066" s="291">
        <f t="shared" ca="1" si="1073"/>
        <v>44</v>
      </c>
      <c r="W4066" s="256">
        <f t="shared" ca="1" si="1074"/>
        <v>2</v>
      </c>
      <c r="X4066" s="256">
        <f t="shared" ca="1" si="1075"/>
        <v>1</v>
      </c>
      <c r="Y4066" s="336"/>
      <c r="Z4066" s="336"/>
    </row>
    <row r="4067" spans="1:29" s="337" customFormat="1" ht="15.75" x14ac:dyDescent="0.2">
      <c r="A4067" s="288"/>
      <c r="B4067" s="512"/>
      <c r="C4067" s="397" t="s">
        <v>926</v>
      </c>
      <c r="D4067" s="1333">
        <v>45352</v>
      </c>
      <c r="E4067" s="1334"/>
      <c r="F4067" s="1335"/>
      <c r="G4067" s="1333">
        <v>45382</v>
      </c>
      <c r="H4067" s="1334"/>
      <c r="I4067" s="1335"/>
      <c r="J4067" s="317">
        <f t="shared" ref="J4067:J4072" si="1076">G4067-D4067+1</f>
        <v>31</v>
      </c>
      <c r="K4067" s="519"/>
      <c r="L4067" s="427"/>
      <c r="M4067" s="513"/>
      <c r="N4067" s="520"/>
      <c r="O4067" s="519"/>
      <c r="P4067" s="428"/>
      <c r="Q4067" s="513"/>
      <c r="R4067" s="524">
        <v>176</v>
      </c>
      <c r="S4067" s="427"/>
      <c r="T4067" s="514">
        <v>20</v>
      </c>
      <c r="U4067" s="765"/>
      <c r="V4067" s="291">
        <f t="shared" ca="1" si="1073"/>
        <v>44</v>
      </c>
      <c r="W4067" s="256">
        <f t="shared" ca="1" si="1074"/>
        <v>2</v>
      </c>
      <c r="X4067" s="256">
        <f t="shared" ca="1" si="1075"/>
        <v>1</v>
      </c>
      <c r="Y4067" s="336"/>
      <c r="Z4067" s="336"/>
    </row>
    <row r="4068" spans="1:29" s="337" customFormat="1" ht="15.75" x14ac:dyDescent="0.2">
      <c r="A4068" s="288"/>
      <c r="B4068" s="512"/>
      <c r="C4068" s="397" t="s">
        <v>929</v>
      </c>
      <c r="D4068" s="1333">
        <v>45383</v>
      </c>
      <c r="E4068" s="1334"/>
      <c r="F4068" s="1335"/>
      <c r="G4068" s="1333">
        <v>45412</v>
      </c>
      <c r="H4068" s="1334"/>
      <c r="I4068" s="1335"/>
      <c r="J4068" s="317">
        <f t="shared" si="1076"/>
        <v>30</v>
      </c>
      <c r="K4068" s="519"/>
      <c r="L4068" s="427"/>
      <c r="M4068" s="513"/>
      <c r="N4068" s="520"/>
      <c r="O4068" s="519"/>
      <c r="P4068" s="428"/>
      <c r="Q4068" s="513"/>
      <c r="R4068" s="524">
        <v>176</v>
      </c>
      <c r="S4068" s="427"/>
      <c r="T4068" s="514">
        <v>21</v>
      </c>
      <c r="U4068" s="765"/>
      <c r="V4068" s="291">
        <f t="shared" ca="1" si="1073"/>
        <v>44</v>
      </c>
      <c r="W4068" s="256">
        <f t="shared" ca="1" si="1074"/>
        <v>2</v>
      </c>
      <c r="X4068" s="256">
        <f t="shared" ca="1" si="1075"/>
        <v>1</v>
      </c>
      <c r="Y4068" s="336"/>
      <c r="Z4068" s="336"/>
    </row>
    <row r="4069" spans="1:29" s="337" customFormat="1" ht="15.75" x14ac:dyDescent="0.2">
      <c r="A4069" s="288"/>
      <c r="B4069" s="512"/>
      <c r="C4069" s="397" t="s">
        <v>935</v>
      </c>
      <c r="D4069" s="1333">
        <v>45413</v>
      </c>
      <c r="E4069" s="1334"/>
      <c r="F4069" s="1335"/>
      <c r="G4069" s="1333">
        <v>45443</v>
      </c>
      <c r="H4069" s="1334"/>
      <c r="I4069" s="1335"/>
      <c r="J4069" s="317">
        <f t="shared" si="1076"/>
        <v>31</v>
      </c>
      <c r="K4069" s="519"/>
      <c r="L4069" s="427"/>
      <c r="M4069" s="513"/>
      <c r="N4069" s="837"/>
      <c r="O4069" s="519"/>
      <c r="P4069" s="428"/>
      <c r="Q4069" s="513"/>
      <c r="R4069" s="524">
        <v>184</v>
      </c>
      <c r="S4069" s="427"/>
      <c r="T4069" s="514">
        <v>22</v>
      </c>
      <c r="U4069" s="765"/>
      <c r="V4069" s="291">
        <f t="shared" ca="1" si="1073"/>
        <v>44</v>
      </c>
      <c r="W4069" s="256">
        <f t="shared" ca="1" si="1074"/>
        <v>2</v>
      </c>
      <c r="X4069" s="256">
        <f t="shared" ca="1" si="1075"/>
        <v>1</v>
      </c>
      <c r="Y4069" s="336"/>
      <c r="Z4069" s="336"/>
    </row>
    <row r="4070" spans="1:29" s="337" customFormat="1" ht="15.75" x14ac:dyDescent="0.2">
      <c r="A4070" s="288"/>
      <c r="B4070" s="512"/>
      <c r="C4070" s="397" t="s">
        <v>757</v>
      </c>
      <c r="D4070" s="1333">
        <v>45444</v>
      </c>
      <c r="E4070" s="1334"/>
      <c r="F4070" s="1335"/>
      <c r="G4070" s="1333">
        <v>45473</v>
      </c>
      <c r="H4070" s="1334"/>
      <c r="I4070" s="1335"/>
      <c r="J4070" s="317">
        <f t="shared" si="1076"/>
        <v>30</v>
      </c>
      <c r="K4070" s="519"/>
      <c r="L4070" s="427"/>
      <c r="M4070" s="513"/>
      <c r="N4070" s="520"/>
      <c r="O4070" s="519"/>
      <c r="P4070" s="428"/>
      <c r="Q4070" s="513"/>
      <c r="R4070" s="524">
        <v>176</v>
      </c>
      <c r="S4070" s="427"/>
      <c r="T4070" s="514">
        <v>23</v>
      </c>
      <c r="U4070" s="765"/>
      <c r="V4070" s="291">
        <f t="shared" ca="1" si="1073"/>
        <v>44</v>
      </c>
      <c r="W4070" s="256">
        <f t="shared" ref="W4070:W4079" ca="1" si="1077">IF(LEFT(_xlfn.FORMULATEXT(V4070),3)="=SO",1,IF(COUNTA(A4070:U4070)=0,0,2))</f>
        <v>2</v>
      </c>
      <c r="X4070" s="256">
        <f t="shared" ref="X4070:X4079" ca="1" si="1078">IF(COUNTA(OFFSET(A4069,1,0))-COUNTA(A4069)=-1,0,1)</f>
        <v>1</v>
      </c>
      <c r="Y4070" s="336"/>
      <c r="Z4070" s="336"/>
    </row>
    <row r="4071" spans="1:29" s="337" customFormat="1" ht="15.75" x14ac:dyDescent="0.2">
      <c r="A4071" s="288"/>
      <c r="B4071" s="512"/>
      <c r="C4071" s="397" t="s">
        <v>756</v>
      </c>
      <c r="D4071" s="1333">
        <v>45474</v>
      </c>
      <c r="E4071" s="1334"/>
      <c r="F4071" s="1335"/>
      <c r="G4071" s="1333">
        <v>45504</v>
      </c>
      <c r="H4071" s="1334"/>
      <c r="I4071" s="1335"/>
      <c r="J4071" s="317">
        <f t="shared" si="1076"/>
        <v>31</v>
      </c>
      <c r="K4071" s="519"/>
      <c r="L4071" s="427"/>
      <c r="M4071" s="513"/>
      <c r="N4071" s="520"/>
      <c r="O4071" s="519"/>
      <c r="P4071" s="428"/>
      <c r="Q4071" s="513"/>
      <c r="R4071" s="524">
        <v>176</v>
      </c>
      <c r="S4071" s="427"/>
      <c r="T4071" s="514">
        <v>24</v>
      </c>
      <c r="U4071" s="765"/>
      <c r="V4071" s="291">
        <f t="shared" ca="1" si="1073"/>
        <v>44</v>
      </c>
      <c r="W4071" s="256">
        <f t="shared" ca="1" si="1077"/>
        <v>2</v>
      </c>
      <c r="X4071" s="256">
        <f t="shared" ca="1" si="1078"/>
        <v>1</v>
      </c>
      <c r="Y4071" s="336"/>
      <c r="Z4071" s="336"/>
    </row>
    <row r="4072" spans="1:29" s="337" customFormat="1" ht="15.75" x14ac:dyDescent="0.2">
      <c r="A4072" s="288"/>
      <c r="B4072" s="512"/>
      <c r="C4072" s="397" t="s">
        <v>758</v>
      </c>
      <c r="D4072" s="1333">
        <v>45505</v>
      </c>
      <c r="E4072" s="1334"/>
      <c r="F4072" s="1335"/>
      <c r="G4072" s="1333">
        <v>45535</v>
      </c>
      <c r="H4072" s="1334"/>
      <c r="I4072" s="1335"/>
      <c r="J4072" s="317">
        <f t="shared" si="1076"/>
        <v>31</v>
      </c>
      <c r="K4072" s="519"/>
      <c r="L4072" s="427"/>
      <c r="M4072" s="513"/>
      <c r="N4072" s="520"/>
      <c r="O4072" s="519"/>
      <c r="P4072" s="428"/>
      <c r="Q4072" s="513"/>
      <c r="R4072" s="524">
        <v>176</v>
      </c>
      <c r="S4072" s="427"/>
      <c r="T4072" s="514">
        <v>25</v>
      </c>
      <c r="U4072" s="765"/>
      <c r="V4072" s="291">
        <f t="shared" ca="1" si="1073"/>
        <v>44</v>
      </c>
      <c r="W4072" s="256">
        <f t="shared" ca="1" si="1077"/>
        <v>2</v>
      </c>
      <c r="X4072" s="256">
        <f t="shared" ca="1" si="1078"/>
        <v>1</v>
      </c>
      <c r="Y4072" s="336"/>
      <c r="Z4072" s="336"/>
    </row>
    <row r="4073" spans="1:29" s="337" customFormat="1" ht="15.75" x14ac:dyDescent="0.2">
      <c r="A4073" s="288"/>
      <c r="B4073" s="512"/>
      <c r="C4073" s="397" t="s">
        <v>759</v>
      </c>
      <c r="D4073" s="1333">
        <v>45536</v>
      </c>
      <c r="E4073" s="1334"/>
      <c r="F4073" s="1335"/>
      <c r="G4073" s="1333">
        <v>45565</v>
      </c>
      <c r="H4073" s="1334"/>
      <c r="I4073" s="1335"/>
      <c r="J4073" s="317">
        <f>G4073-D4073+1</f>
        <v>30</v>
      </c>
      <c r="K4073" s="519"/>
      <c r="L4073" s="427"/>
      <c r="M4073" s="513"/>
      <c r="N4073" s="520"/>
      <c r="O4073" s="519"/>
      <c r="P4073" s="428"/>
      <c r="Q4073" s="513"/>
      <c r="R4073" s="524">
        <v>176</v>
      </c>
      <c r="S4073" s="427"/>
      <c r="T4073" s="514">
        <v>26</v>
      </c>
      <c r="U4073" s="765"/>
      <c r="V4073" s="291">
        <f t="shared" ca="1" si="1073"/>
        <v>44</v>
      </c>
      <c r="W4073" s="256">
        <f t="shared" ca="1" si="1077"/>
        <v>2</v>
      </c>
      <c r="X4073" s="256">
        <f t="shared" ca="1" si="1078"/>
        <v>1</v>
      </c>
      <c r="Y4073" s="336"/>
      <c r="Z4073" s="336"/>
    </row>
    <row r="4074" spans="1:29" s="337" customFormat="1" ht="15.75" x14ac:dyDescent="0.2">
      <c r="A4074" s="288"/>
      <c r="B4074" s="512"/>
      <c r="C4074" s="397" t="s">
        <v>760</v>
      </c>
      <c r="D4074" s="1333">
        <v>45566</v>
      </c>
      <c r="E4074" s="1334"/>
      <c r="F4074" s="1335"/>
      <c r="G4074" s="1333">
        <v>45596</v>
      </c>
      <c r="H4074" s="1334"/>
      <c r="I4074" s="1335"/>
      <c r="J4074" s="317">
        <f>G4074-D4074+1</f>
        <v>31</v>
      </c>
      <c r="K4074" s="519"/>
      <c r="L4074" s="427"/>
      <c r="M4074" s="513"/>
      <c r="N4074" s="520"/>
      <c r="O4074" s="519"/>
      <c r="P4074" s="428"/>
      <c r="Q4074" s="513"/>
      <c r="R4074" s="524">
        <v>176</v>
      </c>
      <c r="S4074" s="427"/>
      <c r="T4074" s="514">
        <v>27</v>
      </c>
      <c r="U4074" s="765"/>
      <c r="V4074" s="291">
        <f t="shared" ca="1" si="1073"/>
        <v>44</v>
      </c>
      <c r="W4074" s="256">
        <f t="shared" ca="1" si="1077"/>
        <v>2</v>
      </c>
      <c r="X4074" s="256">
        <f t="shared" ca="1" si="1078"/>
        <v>1</v>
      </c>
      <c r="Y4074" s="336"/>
      <c r="Z4074" s="336"/>
    </row>
    <row r="4075" spans="1:29" s="337" customFormat="1" ht="15.75" x14ac:dyDescent="0.2">
      <c r="A4075" s="288"/>
      <c r="B4075" s="785"/>
      <c r="C4075" s="755" t="s">
        <v>1328</v>
      </c>
      <c r="D4075" s="1333">
        <v>46079</v>
      </c>
      <c r="E4075" s="1334"/>
      <c r="F4075" s="1335"/>
      <c r="G4075" s="1333">
        <v>46080</v>
      </c>
      <c r="H4075" s="1334"/>
      <c r="I4075" s="1335"/>
      <c r="J4075" s="317">
        <f>G4075-D4075+1</f>
        <v>2</v>
      </c>
      <c r="K4075" s="313"/>
      <c r="L4075" s="317"/>
      <c r="M4075" s="315"/>
      <c r="N4075" s="314"/>
      <c r="O4075" s="313"/>
      <c r="P4075" s="318"/>
      <c r="Q4075" s="315"/>
      <c r="R4075" s="319">
        <v>18</v>
      </c>
      <c r="S4075" s="317" t="s">
        <v>700</v>
      </c>
      <c r="T4075" s="320">
        <v>43</v>
      </c>
      <c r="U4075" s="793"/>
      <c r="V4075" s="291">
        <f t="shared" ca="1" si="1073"/>
        <v>44</v>
      </c>
      <c r="W4075" s="256">
        <f t="shared" ca="1" si="1077"/>
        <v>2</v>
      </c>
      <c r="X4075" s="256">
        <f t="shared" ca="1" si="1078"/>
        <v>1</v>
      </c>
      <c r="Y4075" s="336"/>
      <c r="Z4075" s="336"/>
    </row>
    <row r="4076" spans="1:29" s="337" customFormat="1" ht="15.75" x14ac:dyDescent="0.2">
      <c r="A4076" s="288"/>
      <c r="B4076" s="785"/>
      <c r="C4076" s="755" t="s">
        <v>1329</v>
      </c>
      <c r="D4076" s="1333">
        <v>46114</v>
      </c>
      <c r="E4076" s="1334"/>
      <c r="F4076" s="1335"/>
      <c r="G4076" s="1333">
        <v>46114</v>
      </c>
      <c r="H4076" s="1334"/>
      <c r="I4076" s="1335"/>
      <c r="J4076" s="317">
        <f>G4076-D4076+1</f>
        <v>1</v>
      </c>
      <c r="K4076" s="313"/>
      <c r="L4076" s="317"/>
      <c r="M4076" s="315"/>
      <c r="N4076" s="314"/>
      <c r="O4076" s="313"/>
      <c r="P4076" s="318"/>
      <c r="Q4076" s="315"/>
      <c r="R4076" s="319">
        <v>9</v>
      </c>
      <c r="S4076" s="317" t="s">
        <v>700</v>
      </c>
      <c r="T4076" s="320">
        <v>43</v>
      </c>
      <c r="U4076" s="793"/>
      <c r="V4076" s="291">
        <f t="shared" ca="1" si="1073"/>
        <v>44</v>
      </c>
      <c r="W4076" s="256">
        <f t="shared" ca="1" si="1077"/>
        <v>2</v>
      </c>
      <c r="X4076" s="256">
        <f t="shared" ca="1" si="1078"/>
        <v>1</v>
      </c>
      <c r="Y4076" s="336"/>
      <c r="Z4076" s="336"/>
    </row>
    <row r="4077" spans="1:29" s="337" customFormat="1" ht="15.75" x14ac:dyDescent="0.2">
      <c r="A4077" s="288"/>
      <c r="B4077" s="785"/>
      <c r="C4077" s="397" t="s">
        <v>929</v>
      </c>
      <c r="D4077" s="1333">
        <v>45771</v>
      </c>
      <c r="E4077" s="1334"/>
      <c r="F4077" s="1335"/>
      <c r="G4077" s="1333">
        <v>45777</v>
      </c>
      <c r="H4077" s="1334"/>
      <c r="I4077" s="1335"/>
      <c r="J4077" s="317">
        <v>5</v>
      </c>
      <c r="K4077" s="519"/>
      <c r="L4077" s="1110"/>
      <c r="M4077" s="513"/>
      <c r="N4077" s="520"/>
      <c r="O4077" s="519"/>
      <c r="P4077" s="428"/>
      <c r="Q4077" s="513"/>
      <c r="R4077" s="524">
        <v>44</v>
      </c>
      <c r="S4077" s="1110" t="s">
        <v>700</v>
      </c>
      <c r="T4077" s="514">
        <v>44</v>
      </c>
      <c r="U4077" s="793"/>
      <c r="V4077" s="291">
        <f t="shared" ca="1" si="1073"/>
        <v>44</v>
      </c>
      <c r="W4077" s="256">
        <f t="shared" ca="1" si="1077"/>
        <v>2</v>
      </c>
      <c r="X4077" s="256">
        <f t="shared" ca="1" si="1078"/>
        <v>1</v>
      </c>
      <c r="Y4077" s="336"/>
      <c r="Z4077" s="336"/>
    </row>
    <row r="4078" spans="1:29" s="111" customFormat="1" ht="15" x14ac:dyDescent="0.2">
      <c r="A4078" s="288"/>
      <c r="B4078" s="338"/>
      <c r="C4078" s="339"/>
      <c r="D4078" s="340"/>
      <c r="E4078" s="341"/>
      <c r="F4078" s="342"/>
      <c r="G4078" s="340"/>
      <c r="H4078" s="341"/>
      <c r="I4078" s="342"/>
      <c r="J4078" s="343"/>
      <c r="K4078" s="344"/>
      <c r="L4078" s="345"/>
      <c r="M4078" s="346"/>
      <c r="N4078" s="347"/>
      <c r="O4078" s="348"/>
      <c r="P4078" s="345"/>
      <c r="Q4078" s="349"/>
      <c r="R4078" s="350"/>
      <c r="S4078" s="351"/>
      <c r="T4078" s="352"/>
      <c r="U4078" s="353"/>
      <c r="V4078" s="291">
        <f t="shared" ca="1" si="1073"/>
        <v>44</v>
      </c>
      <c r="W4078" s="256">
        <f t="shared" ca="1" si="1077"/>
        <v>0</v>
      </c>
      <c r="X4078" s="256">
        <f t="shared" ca="1" si="1078"/>
        <v>1</v>
      </c>
      <c r="Y4078" s="250"/>
      <c r="Z4078" s="250"/>
    </row>
    <row r="4079" spans="1:29" s="111" customFormat="1" ht="15.75" customHeight="1" x14ac:dyDescent="0.2">
      <c r="A4079" s="288"/>
      <c r="B4079" s="354"/>
      <c r="C4079" s="355"/>
      <c r="D4079" s="1354" t="s">
        <v>492</v>
      </c>
      <c r="E4079" s="1355"/>
      <c r="F4079" s="1355"/>
      <c r="G4079" s="1355"/>
      <c r="H4079" s="1355"/>
      <c r="I4079" s="1356"/>
      <c r="J4079" s="1357">
        <f>VLOOKUP(A4081,'11 - FINANCEIRO'!_xlnm.Print_Area,6,FALSE)</f>
        <v>5755</v>
      </c>
      <c r="K4079" s="1358"/>
      <c r="L4079" s="356" t="str">
        <f>VLOOKUP(A4081,'11 - FINANCEIRO'!_xlnm.Print_Area,4,FALSE)</f>
        <v>h</v>
      </c>
      <c r="M4079" s="1359" t="s">
        <v>493</v>
      </c>
      <c r="N4079" s="1360"/>
      <c r="O4079" s="1360"/>
      <c r="P4079" s="1360"/>
      <c r="Q4079" s="1361"/>
      <c r="R4079" s="357">
        <f>TRUNC(SUM(R4058:R4078),3)</f>
        <v>3010</v>
      </c>
      <c r="S4079" s="358" t="str">
        <f>L4079</f>
        <v>h</v>
      </c>
      <c r="T4079" s="359"/>
      <c r="U4079" s="360"/>
      <c r="V4079" s="291">
        <f t="shared" ca="1" si="1073"/>
        <v>44</v>
      </c>
      <c r="W4079" s="256">
        <f t="shared" ca="1" si="1077"/>
        <v>2</v>
      </c>
      <c r="X4079" s="256">
        <f t="shared" ca="1" si="1078"/>
        <v>1</v>
      </c>
      <c r="Y4079" s="250"/>
      <c r="Z4079" s="250"/>
    </row>
    <row r="4080" spans="1:29" s="293" customFormat="1" ht="15.75" customHeight="1" x14ac:dyDescent="0.2">
      <c r="A4080" s="288"/>
      <c r="B4080" s="354"/>
      <c r="C4080" s="361"/>
      <c r="D4080" s="1362" t="s">
        <v>494</v>
      </c>
      <c r="E4080" s="1363"/>
      <c r="F4080" s="1363"/>
      <c r="G4080" s="1363"/>
      <c r="H4080" s="1363"/>
      <c r="I4080" s="1364"/>
      <c r="J4080" s="1365">
        <f>R4079/J4079</f>
        <v>0.52302345786272808</v>
      </c>
      <c r="K4080" s="1366"/>
      <c r="L4080" s="1369"/>
      <c r="M4080" s="1371" t="s">
        <v>495</v>
      </c>
      <c r="N4080" s="1372"/>
      <c r="O4080" s="1372"/>
      <c r="P4080" s="1372"/>
      <c r="Q4080" s="1373"/>
      <c r="R4080" s="362">
        <f>VLOOKUP(A4081,'11 - FINANCEIRO'!_xlnm.Print_Area,8,FALSE)</f>
        <v>2966</v>
      </c>
      <c r="S4080" s="363" t="str">
        <f>L4079</f>
        <v>h</v>
      </c>
      <c r="T4080" s="359"/>
      <c r="U4080" s="360"/>
      <c r="V4080" s="291">
        <f ca="1">IF(OFFSET(V4080,1,1)=1,OFFSET(V4080,0,-4),OFFSET(V4080,1,0))</f>
        <v>44</v>
      </c>
      <c r="W4080" s="256">
        <f t="shared" ref="W4080:W4083" ca="1" si="1079">IF(LEFT(_xlfn.FORMULATEXT(V4080),3)="=SO",1,IF(COUNTA(A4080:U4080)=0,0,2))</f>
        <v>2</v>
      </c>
      <c r="X4080" s="256">
        <f t="shared" ref="X4080:X4083" ca="1" si="1080">IF(COUNTA(OFFSET(A4079,1,0))-COUNTA(A4079)=-1,0,1)</f>
        <v>1</v>
      </c>
      <c r="Y4080" s="256"/>
      <c r="Z4080" s="256"/>
      <c r="AA4080" s="292"/>
      <c r="AB4080" s="292"/>
      <c r="AC4080" s="292"/>
    </row>
    <row r="4081" spans="1:29" s="293" customFormat="1" ht="15.75" customHeight="1" x14ac:dyDescent="0.2">
      <c r="A4081" s="288" t="s">
        <v>723</v>
      </c>
      <c r="B4081" s="364"/>
      <c r="C4081" s="365"/>
      <c r="D4081" s="1354"/>
      <c r="E4081" s="1355"/>
      <c r="F4081" s="1355"/>
      <c r="G4081" s="1355"/>
      <c r="H4081" s="1355"/>
      <c r="I4081" s="1356"/>
      <c r="J4081" s="1367"/>
      <c r="K4081" s="1368"/>
      <c r="L4081" s="1370"/>
      <c r="M4081" s="1371" t="s">
        <v>496</v>
      </c>
      <c r="N4081" s="1372"/>
      <c r="O4081" s="1372"/>
      <c r="P4081" s="1372"/>
      <c r="Q4081" s="1373"/>
      <c r="R4081" s="362">
        <f>R4079-R4080</f>
        <v>44</v>
      </c>
      <c r="S4081" s="363" t="str">
        <f>L4079</f>
        <v>h</v>
      </c>
      <c r="T4081" s="366"/>
      <c r="U4081" s="367"/>
      <c r="V4081" s="291">
        <f ca="1">IF(OFFSET(V4081,1,1)=1,OFFSET(V4081,0,-4),OFFSET(V4081,1,0))</f>
        <v>44</v>
      </c>
      <c r="W4081" s="256">
        <f t="shared" ca="1" si="1079"/>
        <v>2</v>
      </c>
      <c r="X4081" s="256">
        <f t="shared" ca="1" si="1080"/>
        <v>1</v>
      </c>
      <c r="Y4081" s="256"/>
      <c r="Z4081" s="256"/>
      <c r="AA4081" s="292"/>
      <c r="AB4081" s="292"/>
      <c r="AC4081" s="292"/>
    </row>
    <row r="4082" spans="1:29" s="111" customFormat="1" ht="15.75" x14ac:dyDescent="0.2">
      <c r="A4082" s="288"/>
      <c r="B4082" s="368"/>
      <c r="C4082" s="365"/>
      <c r="D4082" s="369"/>
      <c r="E4082" s="370"/>
      <c r="F4082" s="369"/>
      <c r="G4082" s="369"/>
      <c r="H4082" s="369"/>
      <c r="I4082" s="369"/>
      <c r="J4082" s="371"/>
      <c r="K4082" s="372"/>
      <c r="L4082" s="373"/>
      <c r="M4082" s="374"/>
      <c r="N4082" s="374"/>
      <c r="O4082" s="374"/>
      <c r="P4082" s="374"/>
      <c r="Q4082" s="374"/>
      <c r="R4082" s="375"/>
      <c r="S4082" s="376"/>
      <c r="T4082" s="377"/>
      <c r="U4082" s="378"/>
      <c r="V4082" s="379">
        <f ca="1">SUM(V4056:V4081)</f>
        <v>1144</v>
      </c>
      <c r="W4082" s="256">
        <f t="shared" ca="1" si="1079"/>
        <v>1</v>
      </c>
      <c r="X4082" s="256">
        <f t="shared" ca="1" si="1080"/>
        <v>0</v>
      </c>
      <c r="Y4082" s="250"/>
      <c r="Z4082" s="250"/>
    </row>
    <row r="4083" spans="1:29" s="293" customFormat="1" ht="15.75" customHeight="1" x14ac:dyDescent="0.25">
      <c r="A4083" s="288"/>
      <c r="B4083" s="1374" t="str">
        <f>VLOOKUP(A4215,'11 - FINANCEIRO'!_xlnm.Print_Area,1,FALSE)</f>
        <v>6.1.4</v>
      </c>
      <c r="C4083" s="1376" t="str">
        <f>VLOOKUP(A4215,'11 - FINANCEIRO'!_xlnm.Print_Area,3,FALSE)</f>
        <v>Carga, manobra e descarga de agregados ou solos em caminhão basculante de 14 m³ - carga com carregadeira de 3,40 m³ e t 1,57 descarga livre</v>
      </c>
      <c r="D4083" s="1378" t="s">
        <v>477</v>
      </c>
      <c r="E4083" s="1379"/>
      <c r="F4083" s="1379"/>
      <c r="G4083" s="1379"/>
      <c r="H4083" s="1379"/>
      <c r="I4083" s="1380"/>
      <c r="J4083" s="1338" t="s">
        <v>601</v>
      </c>
      <c r="K4083" s="1338" t="s">
        <v>1271</v>
      </c>
      <c r="L4083" s="1338" t="s">
        <v>480</v>
      </c>
      <c r="M4083" s="1338" t="s">
        <v>481</v>
      </c>
      <c r="N4083" s="1338" t="s">
        <v>482</v>
      </c>
      <c r="O4083" s="1338" t="s">
        <v>483</v>
      </c>
      <c r="P4083" s="290" t="s">
        <v>484</v>
      </c>
      <c r="Q4083" s="1338" t="s">
        <v>485</v>
      </c>
      <c r="R4083" s="1336" t="s">
        <v>296</v>
      </c>
      <c r="S4083" s="1338" t="s">
        <v>486</v>
      </c>
      <c r="T4083" s="1338" t="s">
        <v>487</v>
      </c>
      <c r="U4083" s="1340" t="s">
        <v>488</v>
      </c>
      <c r="V4083" s="291">
        <f ca="1">IF(OFFSET(V4083,1,1)=1,OFFSET(V4083,0,-4),OFFSET(V4083,1,0))</f>
        <v>11600.333000000013</v>
      </c>
      <c r="W4083" s="256">
        <f t="shared" ca="1" si="1079"/>
        <v>2</v>
      </c>
      <c r="X4083" s="256">
        <f t="shared" ca="1" si="1080"/>
        <v>1</v>
      </c>
      <c r="Y4083" s="256"/>
      <c r="Z4083" s="256"/>
      <c r="AA4083" s="292"/>
      <c r="AB4083" s="292"/>
      <c r="AC4083" s="292"/>
    </row>
    <row r="4084" spans="1:29" s="337" customFormat="1" ht="15.75" x14ac:dyDescent="0.2">
      <c r="A4084" s="288"/>
      <c r="B4084" s="1375"/>
      <c r="C4084" s="1377" t="e">
        <f>VLOOKUP(LEFT(#REF!,5),'11 - FINANCEIRO'!_xlnm.Print_Area,2,FALSE)</f>
        <v>#REF!</v>
      </c>
      <c r="D4084" s="1342" t="s">
        <v>489</v>
      </c>
      <c r="E4084" s="1343"/>
      <c r="F4084" s="1344"/>
      <c r="G4084" s="1345" t="s">
        <v>490</v>
      </c>
      <c r="H4084" s="1346"/>
      <c r="I4084" s="1347"/>
      <c r="J4084" s="1339"/>
      <c r="K4084" s="1339"/>
      <c r="L4084" s="1339"/>
      <c r="M4084" s="1339"/>
      <c r="N4084" s="1339"/>
      <c r="O4084" s="1339"/>
      <c r="P4084" s="295" t="s">
        <v>491</v>
      </c>
      <c r="Q4084" s="1339"/>
      <c r="R4084" s="1337"/>
      <c r="S4084" s="1339"/>
      <c r="T4084" s="1339"/>
      <c r="U4084" s="1341"/>
      <c r="V4084" s="291">
        <f t="shared" ref="V4084:V4147" ca="1" si="1081">IF(OFFSET(V4084,1,1)=1,OFFSET(V4084,0,-4),OFFSET(V4084,1,0))</f>
        <v>11600.333000000013</v>
      </c>
      <c r="W4084" s="256">
        <f t="shared" ref="W4084:W4144" ca="1" si="1082">IF(LEFT(_xlfn.FORMULATEXT(V4084),3)="=SO",1,IF(COUNTA(A4084:U4084)=0,0,2))</f>
        <v>2</v>
      </c>
      <c r="X4084" s="256">
        <f t="shared" ref="X4084:X4144" ca="1" si="1083">IF(COUNTA(OFFSET(A4083,1,0))-COUNTA(A4083)=-1,0,1)</f>
        <v>1</v>
      </c>
      <c r="Y4084" s="336"/>
      <c r="Z4084" s="336"/>
    </row>
    <row r="4085" spans="1:29" s="337" customFormat="1" ht="15.75" customHeight="1" x14ac:dyDescent="0.2">
      <c r="A4085" s="288"/>
      <c r="B4085" s="512"/>
      <c r="C4085" s="782">
        <v>44835</v>
      </c>
      <c r="D4085" s="779"/>
      <c r="E4085" s="780"/>
      <c r="F4085" s="781"/>
      <c r="G4085" s="779"/>
      <c r="H4085" s="780"/>
      <c r="I4085" s="781"/>
      <c r="J4085" s="1113" t="s">
        <v>855</v>
      </c>
      <c r="K4085" s="313">
        <v>266</v>
      </c>
      <c r="L4085" s="427"/>
      <c r="M4085" s="513"/>
      <c r="N4085" s="520"/>
      <c r="O4085" s="519"/>
      <c r="P4085" s="428"/>
      <c r="Q4085" s="313">
        <v>2.024</v>
      </c>
      <c r="R4085" s="524">
        <f>K4085*Q4085</f>
        <v>538.38400000000001</v>
      </c>
      <c r="S4085" s="427"/>
      <c r="T4085" s="514">
        <v>19</v>
      </c>
      <c r="U4085" s="765"/>
      <c r="V4085" s="291">
        <f t="shared" ca="1" si="1081"/>
        <v>11600.333000000013</v>
      </c>
      <c r="W4085" s="256">
        <f t="shared" ca="1" si="1082"/>
        <v>2</v>
      </c>
      <c r="X4085" s="256">
        <f t="shared" ca="1" si="1083"/>
        <v>1</v>
      </c>
      <c r="Y4085" s="336"/>
      <c r="Z4085" s="336"/>
    </row>
    <row r="4086" spans="1:29" s="337" customFormat="1" ht="15.75" customHeight="1" x14ac:dyDescent="0.2">
      <c r="A4086" s="288"/>
      <c r="B4086" s="512"/>
      <c r="C4086" s="782">
        <v>44866</v>
      </c>
      <c r="D4086" s="779"/>
      <c r="E4086" s="780"/>
      <c r="F4086" s="781"/>
      <c r="G4086" s="779"/>
      <c r="H4086" s="780"/>
      <c r="I4086" s="781"/>
      <c r="J4086" s="1113" t="s">
        <v>856</v>
      </c>
      <c r="K4086" s="313">
        <v>445</v>
      </c>
      <c r="L4086" s="427"/>
      <c r="M4086" s="513"/>
      <c r="N4086" s="520"/>
      <c r="O4086" s="519"/>
      <c r="P4086" s="428"/>
      <c r="Q4086" s="313">
        <v>2.024</v>
      </c>
      <c r="R4086" s="524">
        <f t="shared" ref="R4086:R4111" si="1084">K4086*Q4086</f>
        <v>900.68000000000006</v>
      </c>
      <c r="S4086" s="427"/>
      <c r="T4086" s="514">
        <v>19</v>
      </c>
      <c r="U4086" s="765"/>
      <c r="V4086" s="291">
        <f t="shared" ca="1" si="1081"/>
        <v>11600.333000000013</v>
      </c>
      <c r="W4086" s="256">
        <f t="shared" ca="1" si="1082"/>
        <v>2</v>
      </c>
      <c r="X4086" s="256">
        <f t="shared" ca="1" si="1083"/>
        <v>1</v>
      </c>
      <c r="Y4086" s="336"/>
      <c r="Z4086" s="336"/>
    </row>
    <row r="4087" spans="1:29" s="337" customFormat="1" ht="15.75" customHeight="1" x14ac:dyDescent="0.2">
      <c r="A4087" s="288"/>
      <c r="B4087" s="512"/>
      <c r="C4087" s="782">
        <v>44896</v>
      </c>
      <c r="D4087" s="779"/>
      <c r="E4087" s="780"/>
      <c r="F4087" s="781"/>
      <c r="G4087" s="779"/>
      <c r="H4087" s="780"/>
      <c r="I4087" s="781"/>
      <c r="J4087" s="1113" t="s">
        <v>857</v>
      </c>
      <c r="K4087" s="313">
        <v>1486</v>
      </c>
      <c r="L4087" s="427"/>
      <c r="M4087" s="513"/>
      <c r="N4087" s="520"/>
      <c r="O4087" s="519"/>
      <c r="P4087" s="428"/>
      <c r="Q4087" s="313">
        <v>2.024</v>
      </c>
      <c r="R4087" s="524">
        <f t="shared" si="1084"/>
        <v>3007.6640000000002</v>
      </c>
      <c r="S4087" s="427"/>
      <c r="T4087" s="514">
        <v>19</v>
      </c>
      <c r="U4087" s="765"/>
      <c r="V4087" s="291">
        <f t="shared" ca="1" si="1081"/>
        <v>11600.333000000013</v>
      </c>
      <c r="W4087" s="256">
        <f t="shared" ca="1" si="1082"/>
        <v>2</v>
      </c>
      <c r="X4087" s="256">
        <f t="shared" ca="1" si="1083"/>
        <v>1</v>
      </c>
      <c r="Y4087" s="336"/>
      <c r="Z4087" s="336"/>
    </row>
    <row r="4088" spans="1:29" s="337" customFormat="1" ht="15.75" customHeight="1" x14ac:dyDescent="0.2">
      <c r="A4088" s="288"/>
      <c r="B4088" s="512"/>
      <c r="C4088" s="782">
        <v>44927</v>
      </c>
      <c r="D4088" s="779"/>
      <c r="E4088" s="780"/>
      <c r="F4088" s="781"/>
      <c r="G4088" s="779"/>
      <c r="H4088" s="780"/>
      <c r="I4088" s="781"/>
      <c r="J4088" s="1113" t="s">
        <v>858</v>
      </c>
      <c r="K4088" s="313">
        <v>1666</v>
      </c>
      <c r="L4088" s="427"/>
      <c r="M4088" s="513"/>
      <c r="N4088" s="520"/>
      <c r="O4088" s="519"/>
      <c r="P4088" s="428"/>
      <c r="Q4088" s="313">
        <v>2.024</v>
      </c>
      <c r="R4088" s="524">
        <f t="shared" si="1084"/>
        <v>3371.9839999999999</v>
      </c>
      <c r="S4088" s="427"/>
      <c r="T4088" s="514">
        <v>19</v>
      </c>
      <c r="U4088" s="765"/>
      <c r="V4088" s="291">
        <f t="shared" ca="1" si="1081"/>
        <v>11600.333000000013</v>
      </c>
      <c r="W4088" s="256">
        <f t="shared" ca="1" si="1082"/>
        <v>2</v>
      </c>
      <c r="X4088" s="256">
        <f t="shared" ca="1" si="1083"/>
        <v>1</v>
      </c>
      <c r="Y4088" s="336"/>
      <c r="Z4088" s="336"/>
    </row>
    <row r="4089" spans="1:29" s="337" customFormat="1" ht="15.75" customHeight="1" x14ac:dyDescent="0.2">
      <c r="A4089" s="288"/>
      <c r="B4089" s="512"/>
      <c r="C4089" s="782">
        <v>44958</v>
      </c>
      <c r="D4089" s="779"/>
      <c r="E4089" s="780"/>
      <c r="F4089" s="781"/>
      <c r="G4089" s="779"/>
      <c r="H4089" s="780"/>
      <c r="I4089" s="781"/>
      <c r="J4089" s="1113" t="s">
        <v>859</v>
      </c>
      <c r="K4089" s="313">
        <v>84</v>
      </c>
      <c r="L4089" s="427"/>
      <c r="M4089" s="513"/>
      <c r="N4089" s="520"/>
      <c r="O4089" s="519"/>
      <c r="P4089" s="428"/>
      <c r="Q4089" s="313">
        <v>2.024</v>
      </c>
      <c r="R4089" s="524">
        <f t="shared" si="1084"/>
        <v>170.01599999999999</v>
      </c>
      <c r="S4089" s="427"/>
      <c r="T4089" s="514">
        <v>19</v>
      </c>
      <c r="U4089" s="765"/>
      <c r="V4089" s="291">
        <f t="shared" ca="1" si="1081"/>
        <v>11600.333000000013</v>
      </c>
      <c r="W4089" s="256">
        <f t="shared" ca="1" si="1082"/>
        <v>2</v>
      </c>
      <c r="X4089" s="256">
        <f t="shared" ca="1" si="1083"/>
        <v>1</v>
      </c>
      <c r="Y4089" s="336"/>
      <c r="Z4089" s="336"/>
    </row>
    <row r="4090" spans="1:29" s="337" customFormat="1" ht="15.75" customHeight="1" x14ac:dyDescent="0.2">
      <c r="A4090" s="288"/>
      <c r="B4090" s="512"/>
      <c r="C4090" s="782">
        <v>44958</v>
      </c>
      <c r="D4090" s="779"/>
      <c r="E4090" s="780"/>
      <c r="F4090" s="781"/>
      <c r="G4090" s="779"/>
      <c r="H4090" s="780"/>
      <c r="I4090" s="781"/>
      <c r="J4090" s="1113" t="s">
        <v>860</v>
      </c>
      <c r="K4090" s="313">
        <v>434</v>
      </c>
      <c r="L4090" s="427"/>
      <c r="M4090" s="513"/>
      <c r="N4090" s="520"/>
      <c r="O4090" s="519"/>
      <c r="P4090" s="428"/>
      <c r="Q4090" s="313">
        <v>2.024</v>
      </c>
      <c r="R4090" s="524">
        <f t="shared" si="1084"/>
        <v>878.41600000000005</v>
      </c>
      <c r="S4090" s="427"/>
      <c r="T4090" s="514">
        <v>19</v>
      </c>
      <c r="U4090" s="765"/>
      <c r="V4090" s="291">
        <f t="shared" ca="1" si="1081"/>
        <v>11600.333000000013</v>
      </c>
      <c r="W4090" s="256">
        <f t="shared" ca="1" si="1082"/>
        <v>2</v>
      </c>
      <c r="X4090" s="256">
        <f t="shared" ca="1" si="1083"/>
        <v>1</v>
      </c>
      <c r="Y4090" s="336"/>
      <c r="Z4090" s="336"/>
    </row>
    <row r="4091" spans="1:29" s="337" customFormat="1" ht="15.75" customHeight="1" x14ac:dyDescent="0.2">
      <c r="A4091" s="288"/>
      <c r="B4091" s="512"/>
      <c r="C4091" s="782">
        <v>44986</v>
      </c>
      <c r="D4091" s="779"/>
      <c r="E4091" s="780"/>
      <c r="F4091" s="781"/>
      <c r="G4091" s="779"/>
      <c r="H4091" s="780"/>
      <c r="I4091" s="781"/>
      <c r="J4091" s="1113" t="s">
        <v>861</v>
      </c>
      <c r="K4091" s="313">
        <v>2548</v>
      </c>
      <c r="L4091" s="427"/>
      <c r="M4091" s="513"/>
      <c r="N4091" s="520"/>
      <c r="O4091" s="519"/>
      <c r="P4091" s="428"/>
      <c r="Q4091" s="313">
        <v>2.024</v>
      </c>
      <c r="R4091" s="524">
        <f t="shared" si="1084"/>
        <v>5157.152</v>
      </c>
      <c r="S4091" s="427"/>
      <c r="T4091" s="514">
        <v>19</v>
      </c>
      <c r="U4091" s="765"/>
      <c r="V4091" s="291">
        <f t="shared" ca="1" si="1081"/>
        <v>11600.333000000013</v>
      </c>
      <c r="W4091" s="256">
        <f t="shared" ca="1" si="1082"/>
        <v>2</v>
      </c>
      <c r="X4091" s="256">
        <f t="shared" ca="1" si="1083"/>
        <v>1</v>
      </c>
      <c r="Y4091" s="336"/>
      <c r="Z4091" s="336"/>
    </row>
    <row r="4092" spans="1:29" s="337" customFormat="1" ht="15.75" customHeight="1" x14ac:dyDescent="0.2">
      <c r="A4092" s="288"/>
      <c r="B4092" s="512"/>
      <c r="C4092" s="782">
        <v>45017</v>
      </c>
      <c r="D4092" s="779"/>
      <c r="E4092" s="780"/>
      <c r="F4092" s="781"/>
      <c r="G4092" s="779"/>
      <c r="H4092" s="780"/>
      <c r="I4092" s="781"/>
      <c r="J4092" s="1113" t="s">
        <v>862</v>
      </c>
      <c r="K4092" s="313">
        <v>630</v>
      </c>
      <c r="L4092" s="427"/>
      <c r="M4092" s="513"/>
      <c r="N4092" s="520"/>
      <c r="O4092" s="519"/>
      <c r="P4092" s="428"/>
      <c r="Q4092" s="313">
        <v>2.024</v>
      </c>
      <c r="R4092" s="524">
        <f t="shared" si="1084"/>
        <v>1275.1200000000001</v>
      </c>
      <c r="S4092" s="427"/>
      <c r="T4092" s="514">
        <v>19</v>
      </c>
      <c r="U4092" s="765"/>
      <c r="V4092" s="291">
        <f t="shared" ca="1" si="1081"/>
        <v>11600.333000000013</v>
      </c>
      <c r="W4092" s="256">
        <f t="shared" ca="1" si="1082"/>
        <v>2</v>
      </c>
      <c r="X4092" s="256">
        <f t="shared" ca="1" si="1083"/>
        <v>1</v>
      </c>
      <c r="Y4092" s="336"/>
      <c r="Z4092" s="336"/>
    </row>
    <row r="4093" spans="1:29" s="337" customFormat="1" ht="15.75" x14ac:dyDescent="0.2">
      <c r="A4093" s="288"/>
      <c r="B4093" s="512"/>
      <c r="C4093" s="782">
        <v>45047</v>
      </c>
      <c r="D4093" s="779"/>
      <c r="E4093" s="780"/>
      <c r="F4093" s="781"/>
      <c r="G4093" s="779"/>
      <c r="H4093" s="780"/>
      <c r="I4093" s="781"/>
      <c r="J4093" s="1113" t="s">
        <v>863</v>
      </c>
      <c r="K4093" s="313">
        <v>28</v>
      </c>
      <c r="L4093" s="427"/>
      <c r="M4093" s="513"/>
      <c r="N4093" s="520"/>
      <c r="O4093" s="519"/>
      <c r="P4093" s="428"/>
      <c r="Q4093" s="313">
        <v>2.024</v>
      </c>
      <c r="R4093" s="524">
        <f t="shared" si="1084"/>
        <v>56.671999999999997</v>
      </c>
      <c r="S4093" s="427"/>
      <c r="T4093" s="514">
        <v>19</v>
      </c>
      <c r="U4093" s="765"/>
      <c r="V4093" s="291">
        <f t="shared" ca="1" si="1081"/>
        <v>11600.333000000013</v>
      </c>
      <c r="W4093" s="256">
        <f t="shared" ca="1" si="1082"/>
        <v>2</v>
      </c>
      <c r="X4093" s="256">
        <f t="shared" ca="1" si="1083"/>
        <v>1</v>
      </c>
      <c r="Y4093" s="336"/>
      <c r="Z4093" s="336"/>
    </row>
    <row r="4094" spans="1:29" s="337" customFormat="1" ht="15.75" x14ac:dyDescent="0.2">
      <c r="A4094" s="288"/>
      <c r="B4094" s="512"/>
      <c r="C4094" s="782">
        <v>45047</v>
      </c>
      <c r="D4094" s="779"/>
      <c r="E4094" s="780"/>
      <c r="F4094" s="781"/>
      <c r="G4094" s="779"/>
      <c r="H4094" s="780"/>
      <c r="I4094" s="781"/>
      <c r="J4094" s="1113" t="s">
        <v>864</v>
      </c>
      <c r="K4094" s="313">
        <v>1106</v>
      </c>
      <c r="L4094" s="427"/>
      <c r="M4094" s="513"/>
      <c r="N4094" s="520"/>
      <c r="O4094" s="519"/>
      <c r="P4094" s="428"/>
      <c r="Q4094" s="313">
        <v>2.024</v>
      </c>
      <c r="R4094" s="524">
        <f t="shared" si="1084"/>
        <v>2238.5439999999999</v>
      </c>
      <c r="S4094" s="427"/>
      <c r="T4094" s="514">
        <v>19</v>
      </c>
      <c r="U4094" s="765"/>
      <c r="V4094" s="291">
        <f t="shared" ca="1" si="1081"/>
        <v>11600.333000000013</v>
      </c>
      <c r="W4094" s="256">
        <f t="shared" ca="1" si="1082"/>
        <v>2</v>
      </c>
      <c r="X4094" s="256">
        <f t="shared" ca="1" si="1083"/>
        <v>1</v>
      </c>
      <c r="Y4094" s="336"/>
      <c r="Z4094" s="336"/>
    </row>
    <row r="4095" spans="1:29" s="337" customFormat="1" ht="15.75" x14ac:dyDescent="0.2">
      <c r="A4095" s="288"/>
      <c r="B4095" s="512"/>
      <c r="C4095" s="782">
        <v>45078</v>
      </c>
      <c r="D4095" s="779"/>
      <c r="E4095" s="780"/>
      <c r="F4095" s="781"/>
      <c r="G4095" s="779"/>
      <c r="H4095" s="780"/>
      <c r="I4095" s="781"/>
      <c r="J4095" s="1113" t="s">
        <v>865</v>
      </c>
      <c r="K4095" s="313">
        <v>28</v>
      </c>
      <c r="L4095" s="427"/>
      <c r="M4095" s="513"/>
      <c r="N4095" s="520"/>
      <c r="O4095" s="519"/>
      <c r="P4095" s="428"/>
      <c r="Q4095" s="313">
        <v>2.024</v>
      </c>
      <c r="R4095" s="524">
        <f t="shared" si="1084"/>
        <v>56.671999999999997</v>
      </c>
      <c r="S4095" s="427"/>
      <c r="T4095" s="514">
        <v>19</v>
      </c>
      <c r="U4095" s="765"/>
      <c r="V4095" s="291">
        <f t="shared" ca="1" si="1081"/>
        <v>11600.333000000013</v>
      </c>
      <c r="W4095" s="256">
        <f t="shared" ca="1" si="1082"/>
        <v>2</v>
      </c>
      <c r="X4095" s="256">
        <f t="shared" ca="1" si="1083"/>
        <v>1</v>
      </c>
      <c r="Y4095" s="336"/>
      <c r="Z4095" s="336"/>
    </row>
    <row r="4096" spans="1:29" s="337" customFormat="1" ht="15.75" x14ac:dyDescent="0.2">
      <c r="A4096" s="288"/>
      <c r="B4096" s="512"/>
      <c r="C4096" s="782">
        <v>45078</v>
      </c>
      <c r="D4096" s="779"/>
      <c r="E4096" s="780"/>
      <c r="F4096" s="781"/>
      <c r="G4096" s="779"/>
      <c r="H4096" s="780"/>
      <c r="I4096" s="781"/>
      <c r="J4096" s="1113" t="s">
        <v>866</v>
      </c>
      <c r="K4096" s="313">
        <v>1596</v>
      </c>
      <c r="L4096" s="427"/>
      <c r="M4096" s="513"/>
      <c r="N4096" s="520"/>
      <c r="O4096" s="519"/>
      <c r="P4096" s="428"/>
      <c r="Q4096" s="313">
        <v>2.024</v>
      </c>
      <c r="R4096" s="524">
        <f t="shared" si="1084"/>
        <v>3230.3040000000001</v>
      </c>
      <c r="S4096" s="427"/>
      <c r="T4096" s="514">
        <v>19</v>
      </c>
      <c r="U4096" s="765"/>
      <c r="V4096" s="291">
        <f t="shared" ca="1" si="1081"/>
        <v>11600.333000000013</v>
      </c>
      <c r="W4096" s="256">
        <f t="shared" ca="1" si="1082"/>
        <v>2</v>
      </c>
      <c r="X4096" s="256">
        <f t="shared" ca="1" si="1083"/>
        <v>1</v>
      </c>
      <c r="Y4096" s="336"/>
      <c r="Z4096" s="336"/>
    </row>
    <row r="4097" spans="1:26" s="337" customFormat="1" ht="15.75" x14ac:dyDescent="0.2">
      <c r="A4097" s="288"/>
      <c r="B4097" s="512"/>
      <c r="C4097" s="782">
        <v>45108</v>
      </c>
      <c r="D4097" s="779"/>
      <c r="E4097" s="780"/>
      <c r="F4097" s="781"/>
      <c r="G4097" s="779"/>
      <c r="H4097" s="780"/>
      <c r="I4097" s="781"/>
      <c r="J4097" s="1113" t="s">
        <v>867</v>
      </c>
      <c r="K4097" s="313">
        <v>1260</v>
      </c>
      <c r="L4097" s="427"/>
      <c r="M4097" s="513"/>
      <c r="N4097" s="520"/>
      <c r="O4097" s="519"/>
      <c r="P4097" s="428"/>
      <c r="Q4097" s="313">
        <v>2.024</v>
      </c>
      <c r="R4097" s="524">
        <f t="shared" si="1084"/>
        <v>2550.2400000000002</v>
      </c>
      <c r="S4097" s="427"/>
      <c r="T4097" s="514">
        <v>19</v>
      </c>
      <c r="U4097" s="765"/>
      <c r="V4097" s="291">
        <f t="shared" ca="1" si="1081"/>
        <v>11600.333000000013</v>
      </c>
      <c r="W4097" s="256">
        <f t="shared" ca="1" si="1082"/>
        <v>2</v>
      </c>
      <c r="X4097" s="256">
        <f t="shared" ca="1" si="1083"/>
        <v>1</v>
      </c>
      <c r="Y4097" s="336"/>
      <c r="Z4097" s="336"/>
    </row>
    <row r="4098" spans="1:26" s="337" customFormat="1" ht="15.75" x14ac:dyDescent="0.2">
      <c r="A4098" s="288"/>
      <c r="B4098" s="512"/>
      <c r="C4098" s="782">
        <v>45108</v>
      </c>
      <c r="D4098" s="779"/>
      <c r="E4098" s="780"/>
      <c r="F4098" s="781"/>
      <c r="G4098" s="779"/>
      <c r="H4098" s="780"/>
      <c r="I4098" s="781"/>
      <c r="J4098" s="1113" t="s">
        <v>868</v>
      </c>
      <c r="K4098" s="313">
        <v>266</v>
      </c>
      <c r="L4098" s="427"/>
      <c r="M4098" s="513"/>
      <c r="N4098" s="520"/>
      <c r="O4098" s="519"/>
      <c r="P4098" s="428"/>
      <c r="Q4098" s="313">
        <v>2.024</v>
      </c>
      <c r="R4098" s="524">
        <f t="shared" si="1084"/>
        <v>538.38400000000001</v>
      </c>
      <c r="S4098" s="427"/>
      <c r="T4098" s="514">
        <v>19</v>
      </c>
      <c r="U4098" s="765"/>
      <c r="V4098" s="291">
        <f t="shared" ca="1" si="1081"/>
        <v>11600.333000000013</v>
      </c>
      <c r="W4098" s="256">
        <f t="shared" ca="1" si="1082"/>
        <v>2</v>
      </c>
      <c r="X4098" s="256">
        <f t="shared" ca="1" si="1083"/>
        <v>1</v>
      </c>
      <c r="Y4098" s="336"/>
      <c r="Z4098" s="336"/>
    </row>
    <row r="4099" spans="1:26" s="337" customFormat="1" ht="15.75" x14ac:dyDescent="0.2">
      <c r="A4099" s="288"/>
      <c r="B4099" s="512"/>
      <c r="C4099" s="782">
        <v>45108</v>
      </c>
      <c r="D4099" s="779"/>
      <c r="E4099" s="780"/>
      <c r="F4099" s="781"/>
      <c r="G4099" s="779"/>
      <c r="H4099" s="780"/>
      <c r="I4099" s="781"/>
      <c r="J4099" s="1113" t="s">
        <v>869</v>
      </c>
      <c r="K4099" s="313">
        <v>2758</v>
      </c>
      <c r="L4099" s="427"/>
      <c r="M4099" s="513"/>
      <c r="N4099" s="520"/>
      <c r="O4099" s="519"/>
      <c r="P4099" s="428"/>
      <c r="Q4099" s="313">
        <v>2.024</v>
      </c>
      <c r="R4099" s="524">
        <f t="shared" si="1084"/>
        <v>5582.192</v>
      </c>
      <c r="S4099" s="427"/>
      <c r="T4099" s="514">
        <v>19</v>
      </c>
      <c r="U4099" s="765"/>
      <c r="V4099" s="291">
        <f t="shared" ca="1" si="1081"/>
        <v>11600.333000000013</v>
      </c>
      <c r="W4099" s="256">
        <f t="shared" ca="1" si="1082"/>
        <v>2</v>
      </c>
      <c r="X4099" s="256">
        <f t="shared" ca="1" si="1083"/>
        <v>1</v>
      </c>
      <c r="Y4099" s="336"/>
      <c r="Z4099" s="336"/>
    </row>
    <row r="4100" spans="1:26" s="337" customFormat="1" ht="15.75" x14ac:dyDescent="0.2">
      <c r="A4100" s="288"/>
      <c r="B4100" s="512"/>
      <c r="C4100" s="782">
        <v>45108</v>
      </c>
      <c r="D4100" s="779"/>
      <c r="E4100" s="780"/>
      <c r="F4100" s="781"/>
      <c r="G4100" s="779"/>
      <c r="H4100" s="780"/>
      <c r="I4100" s="781"/>
      <c r="J4100" s="1113" t="s">
        <v>870</v>
      </c>
      <c r="K4100" s="313">
        <v>2688</v>
      </c>
      <c r="L4100" s="427"/>
      <c r="M4100" s="513"/>
      <c r="N4100" s="520"/>
      <c r="O4100" s="519"/>
      <c r="P4100" s="428"/>
      <c r="Q4100" s="313">
        <v>2.024</v>
      </c>
      <c r="R4100" s="524">
        <f t="shared" si="1084"/>
        <v>5440.5119999999997</v>
      </c>
      <c r="S4100" s="427"/>
      <c r="T4100" s="514">
        <v>19</v>
      </c>
      <c r="U4100" s="765"/>
      <c r="V4100" s="291">
        <f t="shared" ca="1" si="1081"/>
        <v>11600.333000000013</v>
      </c>
      <c r="W4100" s="256">
        <f t="shared" ca="1" si="1082"/>
        <v>2</v>
      </c>
      <c r="X4100" s="256">
        <f t="shared" ca="1" si="1083"/>
        <v>1</v>
      </c>
      <c r="Y4100" s="336"/>
      <c r="Z4100" s="336"/>
    </row>
    <row r="4101" spans="1:26" s="337" customFormat="1" ht="15.75" x14ac:dyDescent="0.2">
      <c r="A4101" s="288"/>
      <c r="B4101" s="512"/>
      <c r="C4101" s="782">
        <v>45108</v>
      </c>
      <c r="D4101" s="779"/>
      <c r="E4101" s="780"/>
      <c r="F4101" s="781"/>
      <c r="G4101" s="779"/>
      <c r="H4101" s="780"/>
      <c r="I4101" s="781"/>
      <c r="J4101" s="1113" t="s">
        <v>871</v>
      </c>
      <c r="K4101" s="313">
        <v>70</v>
      </c>
      <c r="L4101" s="427"/>
      <c r="M4101" s="513"/>
      <c r="N4101" s="520"/>
      <c r="O4101" s="519"/>
      <c r="P4101" s="428"/>
      <c r="Q4101" s="313">
        <v>2.024</v>
      </c>
      <c r="R4101" s="524">
        <f t="shared" si="1084"/>
        <v>141.68</v>
      </c>
      <c r="S4101" s="427"/>
      <c r="T4101" s="514">
        <v>19</v>
      </c>
      <c r="U4101" s="765"/>
      <c r="V4101" s="291">
        <f t="shared" ca="1" si="1081"/>
        <v>11600.333000000013</v>
      </c>
      <c r="W4101" s="256">
        <f t="shared" ca="1" si="1082"/>
        <v>2</v>
      </c>
      <c r="X4101" s="256">
        <f t="shared" ca="1" si="1083"/>
        <v>1</v>
      </c>
      <c r="Y4101" s="336"/>
      <c r="Z4101" s="336"/>
    </row>
    <row r="4102" spans="1:26" s="337" customFormat="1" ht="15.75" x14ac:dyDescent="0.2">
      <c r="A4102" s="288"/>
      <c r="B4102" s="512"/>
      <c r="C4102" s="782">
        <v>45108</v>
      </c>
      <c r="D4102" s="779"/>
      <c r="E4102" s="780"/>
      <c r="F4102" s="781"/>
      <c r="G4102" s="779"/>
      <c r="H4102" s="780"/>
      <c r="I4102" s="781"/>
      <c r="J4102" s="1113" t="s">
        <v>872</v>
      </c>
      <c r="K4102" s="313">
        <v>28</v>
      </c>
      <c r="L4102" s="427"/>
      <c r="M4102" s="513"/>
      <c r="N4102" s="520"/>
      <c r="O4102" s="519"/>
      <c r="P4102" s="428"/>
      <c r="Q4102" s="313">
        <v>2.024</v>
      </c>
      <c r="R4102" s="524">
        <f t="shared" si="1084"/>
        <v>56.671999999999997</v>
      </c>
      <c r="S4102" s="427"/>
      <c r="T4102" s="514">
        <v>19</v>
      </c>
      <c r="U4102" s="765"/>
      <c r="V4102" s="291">
        <f t="shared" ca="1" si="1081"/>
        <v>11600.333000000013</v>
      </c>
      <c r="W4102" s="256">
        <f t="shared" ca="1" si="1082"/>
        <v>2</v>
      </c>
      <c r="X4102" s="256">
        <f t="shared" ca="1" si="1083"/>
        <v>1</v>
      </c>
      <c r="Y4102" s="336"/>
      <c r="Z4102" s="336"/>
    </row>
    <row r="4103" spans="1:26" s="337" customFormat="1" ht="15.75" x14ac:dyDescent="0.2">
      <c r="A4103" s="288"/>
      <c r="B4103" s="512"/>
      <c r="C4103" s="782">
        <v>45108</v>
      </c>
      <c r="D4103" s="779"/>
      <c r="E4103" s="780"/>
      <c r="F4103" s="781"/>
      <c r="G4103" s="779"/>
      <c r="H4103" s="780"/>
      <c r="I4103" s="781"/>
      <c r="J4103" s="1113" t="s">
        <v>873</v>
      </c>
      <c r="K4103" s="313">
        <v>28</v>
      </c>
      <c r="L4103" s="427"/>
      <c r="M4103" s="513"/>
      <c r="N4103" s="520"/>
      <c r="O4103" s="519"/>
      <c r="P4103" s="428"/>
      <c r="Q4103" s="313">
        <v>2.024</v>
      </c>
      <c r="R4103" s="524">
        <f t="shared" si="1084"/>
        <v>56.671999999999997</v>
      </c>
      <c r="S4103" s="427"/>
      <c r="T4103" s="514">
        <v>19</v>
      </c>
      <c r="U4103" s="765"/>
      <c r="V4103" s="291">
        <f t="shared" ca="1" si="1081"/>
        <v>11600.333000000013</v>
      </c>
      <c r="W4103" s="256">
        <f t="shared" ca="1" si="1082"/>
        <v>2</v>
      </c>
      <c r="X4103" s="256">
        <f t="shared" ca="1" si="1083"/>
        <v>1</v>
      </c>
      <c r="Y4103" s="336"/>
      <c r="Z4103" s="336"/>
    </row>
    <row r="4104" spans="1:26" s="337" customFormat="1" ht="15.75" x14ac:dyDescent="0.2">
      <c r="A4104" s="288"/>
      <c r="B4104" s="512"/>
      <c r="C4104" s="782">
        <v>45139</v>
      </c>
      <c r="D4104" s="779"/>
      <c r="E4104" s="780"/>
      <c r="F4104" s="781"/>
      <c r="G4104" s="779"/>
      <c r="H4104" s="780"/>
      <c r="I4104" s="781"/>
      <c r="J4104" s="1112" t="s">
        <v>874</v>
      </c>
      <c r="K4104" s="519">
        <v>651.45000000000005</v>
      </c>
      <c r="L4104" s="427"/>
      <c r="M4104" s="513"/>
      <c r="N4104" s="520"/>
      <c r="O4104" s="519"/>
      <c r="P4104" s="428"/>
      <c r="Q4104" s="313">
        <v>1</v>
      </c>
      <c r="R4104" s="524">
        <f t="shared" si="1084"/>
        <v>651.45000000000005</v>
      </c>
      <c r="S4104" s="427"/>
      <c r="T4104" s="514">
        <v>19</v>
      </c>
      <c r="U4104" s="765"/>
      <c r="V4104" s="291">
        <f t="shared" ca="1" si="1081"/>
        <v>11600.333000000013</v>
      </c>
      <c r="W4104" s="256">
        <f t="shared" ca="1" si="1082"/>
        <v>2</v>
      </c>
      <c r="X4104" s="256">
        <f t="shared" ca="1" si="1083"/>
        <v>1</v>
      </c>
      <c r="Y4104" s="336"/>
      <c r="Z4104" s="336"/>
    </row>
    <row r="4105" spans="1:26" s="337" customFormat="1" ht="15.75" x14ac:dyDescent="0.2">
      <c r="A4105" s="288"/>
      <c r="B4105" s="512"/>
      <c r="C4105" s="782">
        <v>45170</v>
      </c>
      <c r="D4105" s="779"/>
      <c r="E4105" s="780"/>
      <c r="F4105" s="781"/>
      <c r="G4105" s="779"/>
      <c r="H4105" s="780"/>
      <c r="I4105" s="781"/>
      <c r="J4105" s="1113" t="s">
        <v>875</v>
      </c>
      <c r="K4105" s="519">
        <v>244.06</v>
      </c>
      <c r="L4105" s="427"/>
      <c r="M4105" s="513"/>
      <c r="N4105" s="520"/>
      <c r="O4105" s="519"/>
      <c r="P4105" s="428"/>
      <c r="Q4105" s="313">
        <v>1</v>
      </c>
      <c r="R4105" s="524">
        <f t="shared" si="1084"/>
        <v>244.06</v>
      </c>
      <c r="S4105" s="427"/>
      <c r="T4105" s="514">
        <v>19</v>
      </c>
      <c r="U4105" s="765"/>
      <c r="V4105" s="291">
        <f t="shared" ca="1" si="1081"/>
        <v>11600.333000000013</v>
      </c>
      <c r="W4105" s="256">
        <f t="shared" ca="1" si="1082"/>
        <v>2</v>
      </c>
      <c r="X4105" s="256">
        <f t="shared" ca="1" si="1083"/>
        <v>1</v>
      </c>
      <c r="Y4105" s="336"/>
      <c r="Z4105" s="336"/>
    </row>
    <row r="4106" spans="1:26" s="337" customFormat="1" ht="15.75" x14ac:dyDescent="0.2">
      <c r="A4106" s="288"/>
      <c r="B4106" s="512"/>
      <c r="C4106" s="782">
        <v>45200</v>
      </c>
      <c r="D4106" s="779"/>
      <c r="E4106" s="780"/>
      <c r="F4106" s="781"/>
      <c r="G4106" s="779"/>
      <c r="H4106" s="780"/>
      <c r="I4106" s="781"/>
      <c r="J4106" s="1113" t="s">
        <v>876</v>
      </c>
      <c r="K4106" s="519">
        <v>931.9</v>
      </c>
      <c r="L4106" s="427"/>
      <c r="M4106" s="513"/>
      <c r="N4106" s="520"/>
      <c r="O4106" s="519"/>
      <c r="P4106" s="428"/>
      <c r="Q4106" s="313">
        <v>1</v>
      </c>
      <c r="R4106" s="524">
        <f t="shared" si="1084"/>
        <v>931.9</v>
      </c>
      <c r="S4106" s="427"/>
      <c r="T4106" s="514">
        <v>19</v>
      </c>
      <c r="U4106" s="765"/>
      <c r="V4106" s="291">
        <f t="shared" ca="1" si="1081"/>
        <v>11600.333000000013</v>
      </c>
      <c r="W4106" s="256">
        <f t="shared" ca="1" si="1082"/>
        <v>2</v>
      </c>
      <c r="X4106" s="256">
        <f t="shared" ca="1" si="1083"/>
        <v>1</v>
      </c>
      <c r="Y4106" s="336"/>
      <c r="Z4106" s="336"/>
    </row>
    <row r="4107" spans="1:26" s="337" customFormat="1" ht="15.75" x14ac:dyDescent="0.2">
      <c r="A4107" s="288"/>
      <c r="B4107" s="512"/>
      <c r="C4107" s="782">
        <v>45200</v>
      </c>
      <c r="D4107" s="779"/>
      <c r="E4107" s="780"/>
      <c r="F4107" s="781"/>
      <c r="G4107" s="779"/>
      <c r="H4107" s="780"/>
      <c r="I4107" s="781"/>
      <c r="J4107" s="1113" t="s">
        <v>877</v>
      </c>
      <c r="K4107" s="519">
        <v>88.36</v>
      </c>
      <c r="L4107" s="427"/>
      <c r="M4107" s="513"/>
      <c r="N4107" s="520"/>
      <c r="O4107" s="519"/>
      <c r="P4107" s="428"/>
      <c r="Q4107" s="313">
        <v>1</v>
      </c>
      <c r="R4107" s="524">
        <f t="shared" si="1084"/>
        <v>88.36</v>
      </c>
      <c r="S4107" s="427"/>
      <c r="T4107" s="514">
        <v>19</v>
      </c>
      <c r="U4107" s="765"/>
      <c r="V4107" s="291">
        <f t="shared" ca="1" si="1081"/>
        <v>11600.333000000013</v>
      </c>
      <c r="W4107" s="256">
        <f t="shared" ca="1" si="1082"/>
        <v>2</v>
      </c>
      <c r="X4107" s="256">
        <f t="shared" ca="1" si="1083"/>
        <v>1</v>
      </c>
      <c r="Y4107" s="336"/>
      <c r="Z4107" s="336"/>
    </row>
    <row r="4108" spans="1:26" s="337" customFormat="1" ht="15.75" x14ac:dyDescent="0.2">
      <c r="A4108" s="288"/>
      <c r="B4108" s="512"/>
      <c r="C4108" s="782">
        <v>45231</v>
      </c>
      <c r="D4108" s="779"/>
      <c r="E4108" s="780"/>
      <c r="F4108" s="781"/>
      <c r="G4108" s="779"/>
      <c r="H4108" s="780"/>
      <c r="I4108" s="781"/>
      <c r="J4108" s="1113" t="s">
        <v>879</v>
      </c>
      <c r="K4108" s="784">
        <v>1233.18</v>
      </c>
      <c r="L4108" s="427"/>
      <c r="M4108" s="513"/>
      <c r="N4108" s="520"/>
      <c r="O4108" s="519"/>
      <c r="P4108" s="428"/>
      <c r="Q4108" s="313">
        <v>1</v>
      </c>
      <c r="R4108" s="524">
        <f t="shared" si="1084"/>
        <v>1233.18</v>
      </c>
      <c r="S4108" s="427"/>
      <c r="T4108" s="514">
        <v>19</v>
      </c>
      <c r="U4108" s="765"/>
      <c r="V4108" s="291">
        <f t="shared" ca="1" si="1081"/>
        <v>11600.333000000013</v>
      </c>
      <c r="W4108" s="256">
        <f t="shared" ca="1" si="1082"/>
        <v>2</v>
      </c>
      <c r="X4108" s="256">
        <f t="shared" ca="1" si="1083"/>
        <v>1</v>
      </c>
      <c r="Y4108" s="336"/>
      <c r="Z4108" s="336"/>
    </row>
    <row r="4109" spans="1:26" s="337" customFormat="1" ht="15.75" x14ac:dyDescent="0.2">
      <c r="A4109" s="288"/>
      <c r="B4109" s="512"/>
      <c r="C4109" s="782">
        <v>45292</v>
      </c>
      <c r="D4109" s="779"/>
      <c r="E4109" s="780"/>
      <c r="F4109" s="781"/>
      <c r="G4109" s="779"/>
      <c r="H4109" s="780"/>
      <c r="I4109" s="781"/>
      <c r="J4109" s="1113" t="s">
        <v>878</v>
      </c>
      <c r="K4109" s="784">
        <v>3213</v>
      </c>
      <c r="L4109" s="427"/>
      <c r="M4109" s="513"/>
      <c r="N4109" s="520"/>
      <c r="O4109" s="519"/>
      <c r="P4109" s="428"/>
      <c r="Q4109" s="313">
        <v>1</v>
      </c>
      <c r="R4109" s="524">
        <f t="shared" si="1084"/>
        <v>3213</v>
      </c>
      <c r="S4109" s="427"/>
      <c r="T4109" s="514">
        <v>19</v>
      </c>
      <c r="U4109" s="765"/>
      <c r="V4109" s="291">
        <f t="shared" ca="1" si="1081"/>
        <v>11600.333000000013</v>
      </c>
      <c r="W4109" s="256">
        <f t="shared" ca="1" si="1082"/>
        <v>2</v>
      </c>
      <c r="X4109" s="256">
        <f t="shared" ca="1" si="1083"/>
        <v>1</v>
      </c>
      <c r="Y4109" s="336"/>
      <c r="Z4109" s="336"/>
    </row>
    <row r="4110" spans="1:26" s="337" customFormat="1" ht="15.75" x14ac:dyDescent="0.2">
      <c r="A4110" s="288"/>
      <c r="B4110" s="512"/>
      <c r="C4110" s="782">
        <v>45323</v>
      </c>
      <c r="D4110" s="779"/>
      <c r="E4110" s="780"/>
      <c r="F4110" s="781"/>
      <c r="G4110" s="779"/>
      <c r="H4110" s="780"/>
      <c r="I4110" s="781"/>
      <c r="J4110" s="1113" t="s">
        <v>880</v>
      </c>
      <c r="K4110" s="1017">
        <v>76.63</v>
      </c>
      <c r="L4110" s="427"/>
      <c r="M4110" s="513"/>
      <c r="N4110" s="520"/>
      <c r="O4110" s="519"/>
      <c r="P4110" s="428"/>
      <c r="Q4110" s="313">
        <v>1</v>
      </c>
      <c r="R4110" s="524">
        <f t="shared" si="1084"/>
        <v>76.63</v>
      </c>
      <c r="S4110" s="427"/>
      <c r="T4110" s="514">
        <v>19</v>
      </c>
      <c r="U4110" s="765"/>
      <c r="V4110" s="291">
        <f t="shared" ca="1" si="1081"/>
        <v>11600.333000000013</v>
      </c>
      <c r="W4110" s="256">
        <f t="shared" ca="1" si="1082"/>
        <v>2</v>
      </c>
      <c r="X4110" s="256">
        <f t="shared" ca="1" si="1083"/>
        <v>1</v>
      </c>
      <c r="Y4110" s="336"/>
      <c r="Z4110" s="336"/>
    </row>
    <row r="4111" spans="1:26" s="337" customFormat="1" ht="15.75" x14ac:dyDescent="0.2">
      <c r="A4111" s="288"/>
      <c r="B4111" s="512"/>
      <c r="C4111" s="782">
        <v>45323</v>
      </c>
      <c r="D4111" s="779"/>
      <c r="E4111" s="780"/>
      <c r="F4111" s="781"/>
      <c r="G4111" s="779"/>
      <c r="H4111" s="780"/>
      <c r="I4111" s="781"/>
      <c r="J4111" s="1113" t="s">
        <v>881</v>
      </c>
      <c r="K4111" s="519">
        <v>105.36</v>
      </c>
      <c r="L4111" s="427"/>
      <c r="M4111" s="513"/>
      <c r="N4111" s="520"/>
      <c r="O4111" s="519"/>
      <c r="P4111" s="428"/>
      <c r="Q4111" s="313">
        <v>1</v>
      </c>
      <c r="R4111" s="524">
        <f t="shared" si="1084"/>
        <v>105.36</v>
      </c>
      <c r="S4111" s="427"/>
      <c r="T4111" s="514">
        <v>19</v>
      </c>
      <c r="U4111" s="765"/>
      <c r="V4111" s="291">
        <f t="shared" ca="1" si="1081"/>
        <v>11600.333000000013</v>
      </c>
      <c r="W4111" s="256">
        <f t="shared" ca="1" si="1082"/>
        <v>2</v>
      </c>
      <c r="X4111" s="256">
        <f t="shared" ca="1" si="1083"/>
        <v>1</v>
      </c>
      <c r="Y4111" s="336"/>
      <c r="Z4111" s="336"/>
    </row>
    <row r="4112" spans="1:26" s="337" customFormat="1" ht="15.75" x14ac:dyDescent="0.2">
      <c r="A4112" s="288"/>
      <c r="B4112" s="512"/>
      <c r="C4112" s="782">
        <v>45352</v>
      </c>
      <c r="D4112" s="779"/>
      <c r="E4112" s="780"/>
      <c r="F4112" s="781"/>
      <c r="G4112" s="779"/>
      <c r="H4112" s="780"/>
      <c r="I4112" s="781"/>
      <c r="J4112" s="1113" t="s">
        <v>982</v>
      </c>
      <c r="K4112" s="839">
        <v>1492.64</v>
      </c>
      <c r="L4112" s="427"/>
      <c r="M4112" s="513"/>
      <c r="N4112" s="520"/>
      <c r="O4112" s="519"/>
      <c r="P4112" s="428"/>
      <c r="Q4112" s="313">
        <v>1</v>
      </c>
      <c r="R4112" s="524">
        <f t="shared" ref="R4112:R4117" si="1085">K4112*Q4112</f>
        <v>1492.64</v>
      </c>
      <c r="S4112" s="427"/>
      <c r="T4112" s="514">
        <v>20</v>
      </c>
      <c r="U4112" s="765"/>
      <c r="V4112" s="291">
        <f t="shared" ca="1" si="1081"/>
        <v>11600.333000000013</v>
      </c>
      <c r="W4112" s="256">
        <f t="shared" ca="1" si="1082"/>
        <v>2</v>
      </c>
      <c r="X4112" s="256">
        <f t="shared" ca="1" si="1083"/>
        <v>1</v>
      </c>
      <c r="Y4112" s="336"/>
      <c r="Z4112" s="336"/>
    </row>
    <row r="4113" spans="1:26" s="337" customFormat="1" ht="15.75" x14ac:dyDescent="0.2">
      <c r="A4113" s="288"/>
      <c r="B4113" s="512"/>
      <c r="C4113" s="782">
        <v>45352</v>
      </c>
      <c r="D4113" s="779"/>
      <c r="E4113" s="780"/>
      <c r="F4113" s="781"/>
      <c r="G4113" s="779"/>
      <c r="H4113" s="780"/>
      <c r="I4113" s="781"/>
      <c r="J4113" s="1113" t="s">
        <v>983</v>
      </c>
      <c r="K4113" s="313">
        <v>35.51</v>
      </c>
      <c r="L4113" s="427"/>
      <c r="M4113" s="513"/>
      <c r="N4113" s="520"/>
      <c r="O4113" s="519"/>
      <c r="P4113" s="428"/>
      <c r="Q4113" s="313">
        <v>1</v>
      </c>
      <c r="R4113" s="524">
        <f>K4113*Q4113</f>
        <v>35.51</v>
      </c>
      <c r="S4113" s="427"/>
      <c r="T4113" s="514">
        <v>20</v>
      </c>
      <c r="U4113" s="765"/>
      <c r="V4113" s="291">
        <f t="shared" ca="1" si="1081"/>
        <v>11600.333000000013</v>
      </c>
      <c r="W4113" s="256">
        <f t="shared" ca="1" si="1082"/>
        <v>2</v>
      </c>
      <c r="X4113" s="256">
        <f t="shared" ca="1" si="1083"/>
        <v>1</v>
      </c>
      <c r="Y4113" s="336"/>
      <c r="Z4113" s="336"/>
    </row>
    <row r="4114" spans="1:26" s="337" customFormat="1" ht="15.75" x14ac:dyDescent="0.2">
      <c r="A4114" s="288"/>
      <c r="B4114" s="512"/>
      <c r="C4114" s="782">
        <v>45383</v>
      </c>
      <c r="D4114" s="779"/>
      <c r="E4114" s="780"/>
      <c r="F4114" s="781"/>
      <c r="G4114" s="779"/>
      <c r="H4114" s="780"/>
      <c r="I4114" s="781"/>
      <c r="J4114" s="1113" t="s">
        <v>981</v>
      </c>
      <c r="K4114" s="313">
        <v>1428.43</v>
      </c>
      <c r="L4114" s="840"/>
      <c r="M4114" s="513"/>
      <c r="N4114" s="520"/>
      <c r="O4114" s="519"/>
      <c r="P4114" s="428"/>
      <c r="Q4114" s="313">
        <v>1</v>
      </c>
      <c r="R4114" s="524">
        <f t="shared" si="1085"/>
        <v>1428.43</v>
      </c>
      <c r="S4114" s="427"/>
      <c r="T4114" s="514">
        <v>21</v>
      </c>
      <c r="U4114" s="765"/>
      <c r="V4114" s="291">
        <f t="shared" ca="1" si="1081"/>
        <v>11600.333000000013</v>
      </c>
      <c r="W4114" s="256">
        <f t="shared" ca="1" si="1082"/>
        <v>2</v>
      </c>
      <c r="X4114" s="256">
        <f t="shared" ca="1" si="1083"/>
        <v>1</v>
      </c>
      <c r="Y4114" s="336"/>
      <c r="Z4114" s="336"/>
    </row>
    <row r="4115" spans="1:26" s="337" customFormat="1" ht="15.75" x14ac:dyDescent="0.2">
      <c r="A4115" s="288"/>
      <c r="B4115" s="512"/>
      <c r="C4115" s="782">
        <v>45413</v>
      </c>
      <c r="D4115" s="779"/>
      <c r="E4115" s="780"/>
      <c r="F4115" s="781"/>
      <c r="G4115" s="779"/>
      <c r="H4115" s="780"/>
      <c r="I4115" s="781"/>
      <c r="J4115" s="1113" t="s">
        <v>979</v>
      </c>
      <c r="K4115" s="839">
        <v>1653.47</v>
      </c>
      <c r="L4115" s="427"/>
      <c r="M4115" s="513"/>
      <c r="N4115" s="520"/>
      <c r="O4115" s="519"/>
      <c r="P4115" s="428"/>
      <c r="Q4115" s="313">
        <v>1</v>
      </c>
      <c r="R4115" s="524">
        <f t="shared" si="1085"/>
        <v>1653.47</v>
      </c>
      <c r="S4115" s="427"/>
      <c r="T4115" s="514">
        <v>22</v>
      </c>
      <c r="U4115" s="765"/>
      <c r="V4115" s="291">
        <f t="shared" ca="1" si="1081"/>
        <v>11600.333000000013</v>
      </c>
      <c r="W4115" s="256">
        <f t="shared" ca="1" si="1082"/>
        <v>2</v>
      </c>
      <c r="X4115" s="256">
        <f t="shared" ca="1" si="1083"/>
        <v>1</v>
      </c>
      <c r="Y4115" s="336"/>
      <c r="Z4115" s="336"/>
    </row>
    <row r="4116" spans="1:26" s="337" customFormat="1" ht="15.75" x14ac:dyDescent="0.2">
      <c r="A4116" s="288"/>
      <c r="B4116" s="512"/>
      <c r="C4116" s="782">
        <v>45413</v>
      </c>
      <c r="D4116" s="779"/>
      <c r="E4116" s="780"/>
      <c r="F4116" s="781"/>
      <c r="G4116" s="779"/>
      <c r="H4116" s="780"/>
      <c r="I4116" s="781"/>
      <c r="J4116" s="1113" t="s">
        <v>980</v>
      </c>
      <c r="K4116" s="313">
        <v>17.53</v>
      </c>
      <c r="L4116" s="427"/>
      <c r="M4116" s="513"/>
      <c r="N4116" s="520"/>
      <c r="O4116" s="519"/>
      <c r="P4116" s="428"/>
      <c r="Q4116" s="313">
        <v>1</v>
      </c>
      <c r="R4116" s="524">
        <f>K4116*Q4116</f>
        <v>17.53</v>
      </c>
      <c r="S4116" s="427"/>
      <c r="T4116" s="514">
        <v>22</v>
      </c>
      <c r="U4116" s="765"/>
      <c r="V4116" s="291">
        <f t="shared" ca="1" si="1081"/>
        <v>11600.333000000013</v>
      </c>
      <c r="W4116" s="256">
        <f t="shared" ca="1" si="1082"/>
        <v>2</v>
      </c>
      <c r="X4116" s="256">
        <f t="shared" ca="1" si="1083"/>
        <v>1</v>
      </c>
      <c r="Y4116" s="336"/>
      <c r="Z4116" s="336"/>
    </row>
    <row r="4117" spans="1:26" s="337" customFormat="1" ht="15.75" x14ac:dyDescent="0.2">
      <c r="A4117" s="288"/>
      <c r="B4117" s="512"/>
      <c r="C4117" s="782">
        <v>45444</v>
      </c>
      <c r="D4117" s="779"/>
      <c r="E4117" s="780"/>
      <c r="F4117" s="781"/>
      <c r="G4117" s="779"/>
      <c r="H4117" s="780"/>
      <c r="I4117" s="781"/>
      <c r="J4117" s="1113" t="s">
        <v>978</v>
      </c>
      <c r="K4117" s="313">
        <v>1789.08</v>
      </c>
      <c r="L4117" s="427"/>
      <c r="M4117" s="513"/>
      <c r="N4117" s="520"/>
      <c r="O4117" s="519"/>
      <c r="P4117" s="428"/>
      <c r="Q4117" s="313">
        <v>1</v>
      </c>
      <c r="R4117" s="524">
        <f t="shared" si="1085"/>
        <v>1789.08</v>
      </c>
      <c r="S4117" s="427"/>
      <c r="T4117" s="514">
        <v>22</v>
      </c>
      <c r="U4117" s="765"/>
      <c r="V4117" s="291">
        <f t="shared" ca="1" si="1081"/>
        <v>11600.333000000013</v>
      </c>
      <c r="W4117" s="256">
        <f t="shared" ca="1" si="1082"/>
        <v>2</v>
      </c>
      <c r="X4117" s="256">
        <f t="shared" ca="1" si="1083"/>
        <v>1</v>
      </c>
      <c r="Y4117" s="336"/>
      <c r="Z4117" s="336"/>
    </row>
    <row r="4118" spans="1:26" s="337" customFormat="1" ht="15.75" x14ac:dyDescent="0.2">
      <c r="A4118" s="288"/>
      <c r="B4118" s="512"/>
      <c r="C4118" s="782">
        <v>45474</v>
      </c>
      <c r="D4118" s="779"/>
      <c r="E4118" s="780"/>
      <c r="F4118" s="781"/>
      <c r="G4118" s="779"/>
      <c r="H4118" s="780"/>
      <c r="I4118" s="781"/>
      <c r="J4118" s="1113" t="s">
        <v>977</v>
      </c>
      <c r="K4118" s="313">
        <v>1869.93</v>
      </c>
      <c r="L4118" s="427"/>
      <c r="M4118" s="513"/>
      <c r="N4118" s="520"/>
      <c r="O4118" s="519"/>
      <c r="P4118" s="428"/>
      <c r="Q4118" s="313">
        <v>1</v>
      </c>
      <c r="R4118" s="524">
        <f>K4118*Q4118</f>
        <v>1869.93</v>
      </c>
      <c r="S4118" s="427"/>
      <c r="T4118" s="514">
        <v>24</v>
      </c>
      <c r="U4118" s="765"/>
      <c r="V4118" s="291">
        <f t="shared" ca="1" si="1081"/>
        <v>11600.333000000013</v>
      </c>
      <c r="W4118" s="256">
        <f t="shared" ca="1" si="1082"/>
        <v>2</v>
      </c>
      <c r="X4118" s="256">
        <f t="shared" ca="1" si="1083"/>
        <v>1</v>
      </c>
      <c r="Y4118" s="336"/>
      <c r="Z4118" s="336"/>
    </row>
    <row r="4119" spans="1:26" s="337" customFormat="1" ht="15.75" x14ac:dyDescent="0.2">
      <c r="A4119" s="288"/>
      <c r="B4119" s="512"/>
      <c r="C4119" s="782">
        <v>45505</v>
      </c>
      <c r="D4119" s="779"/>
      <c r="E4119" s="780"/>
      <c r="F4119" s="781"/>
      <c r="G4119" s="779"/>
      <c r="H4119" s="780"/>
      <c r="I4119" s="781"/>
      <c r="J4119" s="1113" t="s">
        <v>999</v>
      </c>
      <c r="K4119" s="519">
        <v>1090.17</v>
      </c>
      <c r="L4119" s="427"/>
      <c r="M4119" s="513"/>
      <c r="N4119" s="520"/>
      <c r="O4119" s="519"/>
      <c r="P4119" s="428"/>
      <c r="Q4119" s="313">
        <v>1</v>
      </c>
      <c r="R4119" s="524">
        <f>K4119*Q4119</f>
        <v>1090.17</v>
      </c>
      <c r="S4119" s="427"/>
      <c r="T4119" s="514">
        <v>25</v>
      </c>
      <c r="U4119" s="765"/>
      <c r="V4119" s="291">
        <f t="shared" ca="1" si="1081"/>
        <v>11600.333000000013</v>
      </c>
      <c r="W4119" s="256">
        <f t="shared" ca="1" si="1082"/>
        <v>2</v>
      </c>
      <c r="X4119" s="256">
        <f t="shared" ca="1" si="1083"/>
        <v>1</v>
      </c>
      <c r="Y4119" s="336"/>
      <c r="Z4119" s="336"/>
    </row>
    <row r="4120" spans="1:26" s="337" customFormat="1" ht="15.75" x14ac:dyDescent="0.2">
      <c r="A4120" s="288"/>
      <c r="B4120" s="512"/>
      <c r="C4120" s="782">
        <v>45536</v>
      </c>
      <c r="D4120" s="779"/>
      <c r="E4120" s="780"/>
      <c r="F4120" s="781"/>
      <c r="G4120" s="779"/>
      <c r="H4120" s="780"/>
      <c r="I4120" s="781"/>
      <c r="J4120" s="1113" t="s">
        <v>1009</v>
      </c>
      <c r="K4120" s="519">
        <v>2091.35</v>
      </c>
      <c r="L4120" s="427"/>
      <c r="M4120" s="513"/>
      <c r="N4120" s="520"/>
      <c r="O4120" s="519"/>
      <c r="P4120" s="428"/>
      <c r="Q4120" s="313">
        <v>1</v>
      </c>
      <c r="R4120" s="524">
        <f>K4120*Q4120</f>
        <v>2091.35</v>
      </c>
      <c r="S4120" s="427"/>
      <c r="T4120" s="514">
        <v>26</v>
      </c>
      <c r="U4120" s="765"/>
      <c r="V4120" s="291">
        <f t="shared" ca="1" si="1081"/>
        <v>11600.333000000013</v>
      </c>
      <c r="W4120" s="256">
        <f t="shared" ca="1" si="1082"/>
        <v>2</v>
      </c>
      <c r="X4120" s="256">
        <f t="shared" ca="1" si="1083"/>
        <v>1</v>
      </c>
      <c r="Y4120" s="336"/>
      <c r="Z4120" s="336"/>
    </row>
    <row r="4121" spans="1:26" s="337" customFormat="1" ht="15.75" x14ac:dyDescent="0.2">
      <c r="A4121" s="288"/>
      <c r="B4121" s="512"/>
      <c r="C4121" s="782">
        <v>45566</v>
      </c>
      <c r="D4121" s="779"/>
      <c r="E4121" s="780"/>
      <c r="F4121" s="781"/>
      <c r="G4121" s="779"/>
      <c r="H4121" s="780"/>
      <c r="I4121" s="781"/>
      <c r="J4121" s="1113" t="s">
        <v>1026</v>
      </c>
      <c r="K4121" s="519">
        <v>1503.95</v>
      </c>
      <c r="L4121" s="427"/>
      <c r="M4121" s="513"/>
      <c r="N4121" s="520"/>
      <c r="O4121" s="519"/>
      <c r="P4121" s="428"/>
      <c r="Q4121" s="313">
        <v>1</v>
      </c>
      <c r="R4121" s="524">
        <f>K4121*Q4121</f>
        <v>1503.95</v>
      </c>
      <c r="S4121" s="427"/>
      <c r="T4121" s="514">
        <v>27</v>
      </c>
      <c r="U4121" s="765"/>
      <c r="V4121" s="291">
        <f t="shared" ca="1" si="1081"/>
        <v>11600.333000000013</v>
      </c>
      <c r="W4121" s="256">
        <f t="shared" ca="1" si="1082"/>
        <v>2</v>
      </c>
      <c r="X4121" s="256">
        <f t="shared" ca="1" si="1083"/>
        <v>1</v>
      </c>
      <c r="Y4121" s="336"/>
      <c r="Z4121" s="336"/>
    </row>
    <row r="4122" spans="1:26" s="337" customFormat="1" ht="15.75" x14ac:dyDescent="0.2">
      <c r="A4122" s="288"/>
      <c r="B4122" s="512"/>
      <c r="C4122" s="782">
        <v>45658</v>
      </c>
      <c r="D4122" s="324"/>
      <c r="E4122" s="325"/>
      <c r="F4122" s="326"/>
      <c r="G4122" s="324"/>
      <c r="H4122" s="325"/>
      <c r="I4122" s="326"/>
      <c r="J4122" s="1112" t="s">
        <v>1081</v>
      </c>
      <c r="K4122" s="519">
        <v>325.85000000000002</v>
      </c>
      <c r="L4122" s="427"/>
      <c r="M4122" s="513"/>
      <c r="N4122" s="520"/>
      <c r="O4122" s="519"/>
      <c r="P4122" s="428"/>
      <c r="Q4122" s="313">
        <v>1</v>
      </c>
      <c r="R4122" s="524">
        <f t="shared" ref="R4122:R4124" si="1086">K4122*Q4122</f>
        <v>325.85000000000002</v>
      </c>
      <c r="S4122" s="427"/>
      <c r="T4122" s="514">
        <v>30</v>
      </c>
      <c r="U4122" s="765"/>
      <c r="V4122" s="291">
        <f t="shared" ca="1" si="1081"/>
        <v>11600.333000000013</v>
      </c>
      <c r="W4122" s="256">
        <f t="shared" ca="1" si="1082"/>
        <v>2</v>
      </c>
      <c r="X4122" s="256">
        <f t="shared" ca="1" si="1083"/>
        <v>1</v>
      </c>
      <c r="Y4122" s="336"/>
      <c r="Z4122" s="336"/>
    </row>
    <row r="4123" spans="1:26" s="337" customFormat="1" ht="15.75" x14ac:dyDescent="0.2">
      <c r="A4123" s="288"/>
      <c r="B4123" s="512"/>
      <c r="C4123" s="782">
        <v>45689</v>
      </c>
      <c r="D4123" s="324"/>
      <c r="E4123" s="325"/>
      <c r="F4123" s="326"/>
      <c r="G4123" s="324"/>
      <c r="H4123" s="325"/>
      <c r="I4123" s="326"/>
      <c r="J4123" s="1112" t="s">
        <v>1082</v>
      </c>
      <c r="K4123" s="429">
        <v>664.3</v>
      </c>
      <c r="L4123" s="427"/>
      <c r="M4123" s="513"/>
      <c r="N4123" s="520"/>
      <c r="O4123" s="519"/>
      <c r="P4123" s="428"/>
      <c r="Q4123" s="313">
        <v>1</v>
      </c>
      <c r="R4123" s="524">
        <f t="shared" si="1086"/>
        <v>664.3</v>
      </c>
      <c r="S4123" s="427"/>
      <c r="T4123" s="514">
        <v>31</v>
      </c>
      <c r="U4123" s="765"/>
      <c r="V4123" s="291">
        <f t="shared" ca="1" si="1081"/>
        <v>11600.333000000013</v>
      </c>
      <c r="W4123" s="256">
        <f t="shared" ca="1" si="1082"/>
        <v>2</v>
      </c>
      <c r="X4123" s="256">
        <f t="shared" ca="1" si="1083"/>
        <v>1</v>
      </c>
      <c r="Y4123" s="336"/>
      <c r="Z4123" s="336"/>
    </row>
    <row r="4124" spans="1:26" s="337" customFormat="1" ht="15.75" x14ac:dyDescent="0.2">
      <c r="A4124" s="288"/>
      <c r="B4124" s="512"/>
      <c r="C4124" s="782">
        <v>45717</v>
      </c>
      <c r="D4124" s="324"/>
      <c r="E4124" s="325"/>
      <c r="F4124" s="326"/>
      <c r="G4124" s="324"/>
      <c r="H4124" s="325"/>
      <c r="I4124" s="326"/>
      <c r="J4124" s="1112" t="s">
        <v>1086</v>
      </c>
      <c r="K4124" s="429">
        <v>2372.39</v>
      </c>
      <c r="L4124" s="427"/>
      <c r="M4124" s="513"/>
      <c r="N4124" s="520"/>
      <c r="O4124" s="519"/>
      <c r="P4124" s="428"/>
      <c r="Q4124" s="313">
        <v>1</v>
      </c>
      <c r="R4124" s="524">
        <f t="shared" si="1086"/>
        <v>2372.39</v>
      </c>
      <c r="S4124" s="427"/>
      <c r="T4124" s="514">
        <v>32</v>
      </c>
      <c r="U4124" s="765"/>
      <c r="V4124" s="291">
        <f t="shared" ca="1" si="1081"/>
        <v>11600.333000000013</v>
      </c>
      <c r="W4124" s="256">
        <f t="shared" ca="1" si="1082"/>
        <v>2</v>
      </c>
      <c r="X4124" s="256">
        <f t="shared" ca="1" si="1083"/>
        <v>1</v>
      </c>
      <c r="Y4124" s="336"/>
      <c r="Z4124" s="336"/>
    </row>
    <row r="4125" spans="1:26" s="337" customFormat="1" ht="15.75" x14ac:dyDescent="0.2">
      <c r="A4125" s="288"/>
      <c r="B4125" s="512"/>
      <c r="C4125" s="782">
        <v>45748</v>
      </c>
      <c r="D4125" s="779"/>
      <c r="E4125" s="780"/>
      <c r="F4125" s="781"/>
      <c r="G4125" s="779"/>
      <c r="H4125" s="780"/>
      <c r="I4125" s="781"/>
      <c r="J4125" s="1113" t="s">
        <v>1130</v>
      </c>
      <c r="K4125" s="763">
        <v>408.93</v>
      </c>
      <c r="L4125" s="427"/>
      <c r="M4125" s="513"/>
      <c r="N4125" s="520"/>
      <c r="O4125" s="519"/>
      <c r="P4125" s="428"/>
      <c r="Q4125" s="313">
        <v>1</v>
      </c>
      <c r="R4125" s="524">
        <v>408.93</v>
      </c>
      <c r="S4125" s="427"/>
      <c r="T4125" s="514">
        <v>33</v>
      </c>
      <c r="U4125" s="765"/>
      <c r="V4125" s="291">
        <f t="shared" ca="1" si="1081"/>
        <v>11600.333000000013</v>
      </c>
      <c r="W4125" s="256">
        <f t="shared" ca="1" si="1082"/>
        <v>2</v>
      </c>
      <c r="X4125" s="256">
        <f t="shared" ca="1" si="1083"/>
        <v>1</v>
      </c>
      <c r="Y4125" s="336"/>
      <c r="Z4125" s="336"/>
    </row>
    <row r="4126" spans="1:26" s="337" customFormat="1" ht="15.75" x14ac:dyDescent="0.2">
      <c r="A4126" s="288"/>
      <c r="B4126" s="311"/>
      <c r="C4126" s="782">
        <v>45778</v>
      </c>
      <c r="D4126" s="914"/>
      <c r="E4126" s="915"/>
      <c r="F4126" s="916"/>
      <c r="G4126" s="914"/>
      <c r="H4126" s="915"/>
      <c r="I4126" s="916"/>
      <c r="J4126" s="1114" t="s">
        <v>1179</v>
      </c>
      <c r="K4126" s="853">
        <v>462.71</v>
      </c>
      <c r="L4126" s="317"/>
      <c r="M4126" s="315"/>
      <c r="N4126" s="314"/>
      <c r="O4126" s="313"/>
      <c r="P4126" s="318"/>
      <c r="Q4126" s="421">
        <v>1</v>
      </c>
      <c r="R4126" s="319">
        <v>462.71</v>
      </c>
      <c r="S4126" s="317"/>
      <c r="T4126" s="320">
        <v>33</v>
      </c>
      <c r="U4126" s="321"/>
      <c r="V4126" s="291">
        <f t="shared" ca="1" si="1081"/>
        <v>11600.333000000013</v>
      </c>
      <c r="W4126" s="256">
        <f t="shared" ca="1" si="1082"/>
        <v>2</v>
      </c>
      <c r="X4126" s="256">
        <f t="shared" ca="1" si="1083"/>
        <v>1</v>
      </c>
      <c r="Y4126" s="336"/>
      <c r="Z4126" s="336"/>
    </row>
    <row r="4127" spans="1:26" s="337" customFormat="1" ht="15.75" x14ac:dyDescent="0.2">
      <c r="A4127" s="288"/>
      <c r="B4127" s="311"/>
      <c r="C4127" s="883">
        <v>45809</v>
      </c>
      <c r="D4127" s="977"/>
      <c r="E4127" s="978"/>
      <c r="F4127" s="979"/>
      <c r="G4127" s="977"/>
      <c r="H4127" s="978"/>
      <c r="I4127" s="979"/>
      <c r="J4127" s="1115" t="s">
        <v>1180</v>
      </c>
      <c r="K4127" s="973">
        <v>1276.67</v>
      </c>
      <c r="L4127" s="888"/>
      <c r="M4127" s="889"/>
      <c r="N4127" s="890"/>
      <c r="O4127" s="891"/>
      <c r="P4127" s="892"/>
      <c r="Q4127" s="873">
        <v>1</v>
      </c>
      <c r="R4127" s="893">
        <f>K4127*Q4127</f>
        <v>1276.67</v>
      </c>
      <c r="S4127" s="888"/>
      <c r="T4127" s="894">
        <v>34</v>
      </c>
      <c r="U4127" s="321"/>
      <c r="V4127" s="291">
        <f t="shared" ca="1" si="1081"/>
        <v>11600.333000000013</v>
      </c>
      <c r="W4127" s="256">
        <f t="shared" ca="1" si="1082"/>
        <v>2</v>
      </c>
      <c r="X4127" s="256">
        <f t="shared" ca="1" si="1083"/>
        <v>1</v>
      </c>
      <c r="Y4127" s="336"/>
      <c r="Z4127" s="336"/>
    </row>
    <row r="4128" spans="1:26" s="337" customFormat="1" ht="15.75" x14ac:dyDescent="0.2">
      <c r="A4128" s="288"/>
      <c r="B4128" s="311"/>
      <c r="C4128" s="883">
        <v>45839</v>
      </c>
      <c r="D4128" s="977"/>
      <c r="E4128" s="978"/>
      <c r="F4128" s="979"/>
      <c r="G4128" s="977"/>
      <c r="H4128" s="978"/>
      <c r="I4128" s="979"/>
      <c r="J4128" s="1115" t="s">
        <v>1190</v>
      </c>
      <c r="K4128" s="784">
        <v>1005.97</v>
      </c>
      <c r="L4128" s="888"/>
      <c r="M4128" s="889"/>
      <c r="N4128" s="890"/>
      <c r="O4128" s="891"/>
      <c r="P4128" s="892"/>
      <c r="Q4128" s="873">
        <v>1</v>
      </c>
      <c r="R4128" s="893">
        <f>K4128*Q4128</f>
        <v>1005.97</v>
      </c>
      <c r="S4128" s="888"/>
      <c r="T4128" s="894">
        <v>35</v>
      </c>
      <c r="U4128" s="321"/>
      <c r="V4128" s="291">
        <f t="shared" ca="1" si="1081"/>
        <v>11600.333000000013</v>
      </c>
      <c r="W4128" s="256">
        <f t="shared" ca="1" si="1082"/>
        <v>2</v>
      </c>
      <c r="X4128" s="256">
        <f t="shared" ca="1" si="1083"/>
        <v>1</v>
      </c>
      <c r="Y4128" s="336"/>
      <c r="Z4128" s="336"/>
    </row>
    <row r="4129" spans="1:26" s="337" customFormat="1" ht="15.75" x14ac:dyDescent="0.2">
      <c r="A4129" s="288"/>
      <c r="B4129" s="311"/>
      <c r="C4129" s="883">
        <v>45870</v>
      </c>
      <c r="D4129" s="977"/>
      <c r="E4129" s="978"/>
      <c r="F4129" s="979"/>
      <c r="G4129" s="977"/>
      <c r="H4129" s="978"/>
      <c r="I4129" s="979"/>
      <c r="J4129" s="1115" t="s">
        <v>1272</v>
      </c>
      <c r="K4129" s="784">
        <v>3498.48</v>
      </c>
      <c r="L4129" s="888"/>
      <c r="M4129" s="889"/>
      <c r="N4129" s="890"/>
      <c r="O4129" s="891"/>
      <c r="P4129" s="892"/>
      <c r="Q4129" s="873">
        <v>1</v>
      </c>
      <c r="R4129" s="893">
        <f>K4129*Q4129</f>
        <v>3498.48</v>
      </c>
      <c r="S4129" s="888"/>
      <c r="T4129" s="894">
        <v>36</v>
      </c>
      <c r="U4129" s="321"/>
      <c r="V4129" s="291">
        <f t="shared" ca="1" si="1081"/>
        <v>11600.333000000013</v>
      </c>
      <c r="W4129" s="256">
        <f t="shared" ca="1" si="1082"/>
        <v>2</v>
      </c>
      <c r="X4129" s="256">
        <f t="shared" ca="1" si="1083"/>
        <v>1</v>
      </c>
      <c r="Y4129" s="336"/>
      <c r="Z4129" s="336"/>
    </row>
    <row r="4130" spans="1:26" s="337" customFormat="1" ht="15.75" x14ac:dyDescent="0.2">
      <c r="A4130" s="288"/>
      <c r="B4130" s="311"/>
      <c r="C4130" s="1040">
        <v>45901</v>
      </c>
      <c r="D4130" s="551"/>
      <c r="E4130" s="552"/>
      <c r="F4130" s="553"/>
      <c r="G4130" s="551"/>
      <c r="H4130" s="552"/>
      <c r="I4130" s="553"/>
      <c r="J4130" s="1116" t="s">
        <v>1194</v>
      </c>
      <c r="K4130" s="560">
        <v>474.53</v>
      </c>
      <c r="L4130" s="501"/>
      <c r="M4130" s="760"/>
      <c r="N4130" s="761"/>
      <c r="O4130" s="505"/>
      <c r="P4130" s="501"/>
      <c r="Q4130" s="873">
        <v>1</v>
      </c>
      <c r="R4130" s="504">
        <f t="shared" ref="R4130:R4131" si="1087">K4130</f>
        <v>474.53</v>
      </c>
      <c r="S4130" s="505"/>
      <c r="T4130" s="506">
        <v>37</v>
      </c>
      <c r="U4130" s="321"/>
      <c r="V4130" s="291">
        <f t="shared" ca="1" si="1081"/>
        <v>11600.333000000013</v>
      </c>
      <c r="W4130" s="256">
        <f t="shared" ca="1" si="1082"/>
        <v>2</v>
      </c>
      <c r="X4130" s="256">
        <f t="shared" ca="1" si="1083"/>
        <v>1</v>
      </c>
      <c r="Y4130" s="336"/>
      <c r="Z4130" s="336"/>
    </row>
    <row r="4131" spans="1:26" s="337" customFormat="1" ht="15.75" x14ac:dyDescent="0.2">
      <c r="A4131" s="288"/>
      <c r="B4131" s="311"/>
      <c r="C4131" s="1040">
        <v>45902</v>
      </c>
      <c r="D4131" s="551"/>
      <c r="E4131" s="552"/>
      <c r="F4131" s="553"/>
      <c r="G4131" s="551"/>
      <c r="H4131" s="552"/>
      <c r="I4131" s="553"/>
      <c r="J4131" s="1116" t="s">
        <v>1195</v>
      </c>
      <c r="K4131" s="500">
        <v>4066.32</v>
      </c>
      <c r="L4131" s="501"/>
      <c r="M4131" s="760"/>
      <c r="N4131" s="761"/>
      <c r="O4131" s="505"/>
      <c r="P4131" s="501"/>
      <c r="Q4131" s="873">
        <v>1</v>
      </c>
      <c r="R4131" s="504">
        <f t="shared" si="1087"/>
        <v>4066.32</v>
      </c>
      <c r="S4131" s="505"/>
      <c r="T4131" s="506">
        <v>37</v>
      </c>
      <c r="U4131" s="321"/>
      <c r="V4131" s="291">
        <f t="shared" ca="1" si="1081"/>
        <v>11600.333000000013</v>
      </c>
      <c r="W4131" s="256">
        <f t="shared" ca="1" si="1082"/>
        <v>2</v>
      </c>
      <c r="X4131" s="256">
        <f t="shared" ca="1" si="1083"/>
        <v>1</v>
      </c>
      <c r="Y4131" s="336"/>
      <c r="Z4131" s="336"/>
    </row>
    <row r="4132" spans="1:26" s="337" customFormat="1" ht="15.75" x14ac:dyDescent="0.2">
      <c r="A4132" s="288"/>
      <c r="B4132" s="311"/>
      <c r="C4132" s="1040">
        <v>45931</v>
      </c>
      <c r="D4132" s="551"/>
      <c r="E4132" s="552"/>
      <c r="F4132" s="553"/>
      <c r="G4132" s="551"/>
      <c r="H4132" s="552"/>
      <c r="I4132" s="553"/>
      <c r="J4132" s="1116" t="s">
        <v>1241</v>
      </c>
      <c r="K4132" s="500">
        <v>1325.02</v>
      </c>
      <c r="L4132" s="501"/>
      <c r="M4132" s="760"/>
      <c r="N4132" s="761"/>
      <c r="O4132" s="505"/>
      <c r="P4132" s="501"/>
      <c r="Q4132" s="873">
        <v>1</v>
      </c>
      <c r="R4132" s="504">
        <f t="shared" ref="R4132:R4147" si="1088">K4132</f>
        <v>1325.02</v>
      </c>
      <c r="S4132" s="505"/>
      <c r="T4132" s="506">
        <v>38</v>
      </c>
      <c r="U4132" s="321"/>
      <c r="V4132" s="291">
        <f t="shared" ca="1" si="1081"/>
        <v>11600.333000000013</v>
      </c>
      <c r="W4132" s="256">
        <f t="shared" ca="1" si="1082"/>
        <v>2</v>
      </c>
      <c r="X4132" s="256">
        <f t="shared" ca="1" si="1083"/>
        <v>1</v>
      </c>
      <c r="Y4132" s="336"/>
      <c r="Z4132" s="336"/>
    </row>
    <row r="4133" spans="1:26" s="337" customFormat="1" ht="15.75" x14ac:dyDescent="0.2">
      <c r="A4133" s="288"/>
      <c r="B4133" s="311"/>
      <c r="C4133" s="782">
        <v>45931</v>
      </c>
      <c r="D4133" s="417"/>
      <c r="E4133" s="314"/>
      <c r="F4133" s="418"/>
      <c r="G4133" s="417"/>
      <c r="H4133" s="314"/>
      <c r="I4133" s="418"/>
      <c r="J4133" s="1112" t="s">
        <v>1242</v>
      </c>
      <c r="K4133" s="421">
        <v>3510.13</v>
      </c>
      <c r="L4133" s="328"/>
      <c r="M4133" s="329"/>
      <c r="N4133" s="330"/>
      <c r="O4133" s="331"/>
      <c r="P4133" s="328"/>
      <c r="Q4133" s="873">
        <v>1</v>
      </c>
      <c r="R4133" s="333">
        <f t="shared" si="1088"/>
        <v>3510.13</v>
      </c>
      <c r="S4133" s="331"/>
      <c r="T4133" s="320">
        <v>38</v>
      </c>
      <c r="U4133" s="321" t="s">
        <v>1273</v>
      </c>
      <c r="V4133" s="291">
        <f t="shared" ca="1" si="1081"/>
        <v>11600.333000000013</v>
      </c>
      <c r="W4133" s="256">
        <f t="shared" ca="1" si="1082"/>
        <v>2</v>
      </c>
      <c r="X4133" s="256">
        <f t="shared" ca="1" si="1083"/>
        <v>1</v>
      </c>
      <c r="Y4133" s="336"/>
      <c r="Z4133" s="336"/>
    </row>
    <row r="4134" spans="1:26" s="337" customFormat="1" ht="15.75" x14ac:dyDescent="0.2">
      <c r="A4134" s="288"/>
      <c r="B4134" s="311"/>
      <c r="C4134" s="883">
        <v>45962</v>
      </c>
      <c r="D4134" s="977"/>
      <c r="E4134" s="978"/>
      <c r="F4134" s="979"/>
      <c r="G4134" s="977"/>
      <c r="H4134" s="978"/>
      <c r="I4134" s="979"/>
      <c r="J4134" s="1115" t="s">
        <v>1243</v>
      </c>
      <c r="K4134" s="784">
        <v>19.86</v>
      </c>
      <c r="L4134" s="888"/>
      <c r="M4134" s="889"/>
      <c r="N4134" s="890"/>
      <c r="O4134" s="891"/>
      <c r="P4134" s="892"/>
      <c r="Q4134" s="869">
        <v>1</v>
      </c>
      <c r="R4134" s="893">
        <f t="shared" si="1088"/>
        <v>19.86</v>
      </c>
      <c r="S4134" s="888"/>
      <c r="T4134" s="894">
        <v>39</v>
      </c>
      <c r="U4134" s="321"/>
      <c r="V4134" s="291">
        <f t="shared" ca="1" si="1081"/>
        <v>11600.333000000013</v>
      </c>
      <c r="W4134" s="256">
        <f t="shared" ca="1" si="1082"/>
        <v>2</v>
      </c>
      <c r="X4134" s="256">
        <f t="shared" ca="1" si="1083"/>
        <v>1</v>
      </c>
      <c r="Y4134" s="336"/>
      <c r="Z4134" s="336"/>
    </row>
    <row r="4135" spans="1:26" s="337" customFormat="1" ht="15.75" x14ac:dyDescent="0.2">
      <c r="A4135" s="288"/>
      <c r="B4135" s="311"/>
      <c r="C4135" s="883">
        <v>45962</v>
      </c>
      <c r="D4135" s="977"/>
      <c r="E4135" s="978"/>
      <c r="F4135" s="979"/>
      <c r="G4135" s="977"/>
      <c r="H4135" s="978"/>
      <c r="I4135" s="979"/>
      <c r="J4135" s="1115" t="s">
        <v>1244</v>
      </c>
      <c r="K4135" s="784">
        <v>754</v>
      </c>
      <c r="L4135" s="888"/>
      <c r="M4135" s="889"/>
      <c r="N4135" s="890"/>
      <c r="O4135" s="891"/>
      <c r="P4135" s="892"/>
      <c r="Q4135" s="869">
        <v>1</v>
      </c>
      <c r="R4135" s="893">
        <f t="shared" si="1088"/>
        <v>754</v>
      </c>
      <c r="S4135" s="888"/>
      <c r="T4135" s="894">
        <v>41</v>
      </c>
      <c r="U4135" s="321"/>
      <c r="V4135" s="291">
        <f t="shared" ca="1" si="1081"/>
        <v>11600.333000000013</v>
      </c>
      <c r="W4135" s="256">
        <f t="shared" ca="1" si="1082"/>
        <v>2</v>
      </c>
      <c r="X4135" s="256">
        <f t="shared" ca="1" si="1083"/>
        <v>1</v>
      </c>
      <c r="Y4135" s="336"/>
      <c r="Z4135" s="336"/>
    </row>
    <row r="4136" spans="1:26" s="337" customFormat="1" ht="15.75" x14ac:dyDescent="0.2">
      <c r="A4136" s="288"/>
      <c r="B4136" s="311"/>
      <c r="C4136" s="883">
        <v>45962</v>
      </c>
      <c r="D4136" s="977"/>
      <c r="E4136" s="978"/>
      <c r="F4136" s="979"/>
      <c r="G4136" s="977"/>
      <c r="H4136" s="978"/>
      <c r="I4136" s="979"/>
      <c r="J4136" s="1115" t="s">
        <v>1245</v>
      </c>
      <c r="K4136" s="784">
        <v>324.18</v>
      </c>
      <c r="L4136" s="888"/>
      <c r="M4136" s="889"/>
      <c r="N4136" s="890"/>
      <c r="O4136" s="891"/>
      <c r="P4136" s="892"/>
      <c r="Q4136" s="869">
        <v>1</v>
      </c>
      <c r="R4136" s="893">
        <f t="shared" si="1088"/>
        <v>324.18</v>
      </c>
      <c r="S4136" s="888"/>
      <c r="T4136" s="894">
        <v>41</v>
      </c>
      <c r="U4136" s="321"/>
      <c r="V4136" s="291">
        <f t="shared" ca="1" si="1081"/>
        <v>11600.333000000013</v>
      </c>
      <c r="W4136" s="256">
        <f t="shared" ca="1" si="1082"/>
        <v>2</v>
      </c>
      <c r="X4136" s="256">
        <f t="shared" ca="1" si="1083"/>
        <v>1</v>
      </c>
      <c r="Y4136" s="336"/>
      <c r="Z4136" s="336"/>
    </row>
    <row r="4137" spans="1:26" s="337" customFormat="1" ht="15.75" x14ac:dyDescent="0.2">
      <c r="A4137" s="288"/>
      <c r="B4137" s="311"/>
      <c r="C4137" s="883">
        <v>45962</v>
      </c>
      <c r="D4137" s="977"/>
      <c r="E4137" s="978"/>
      <c r="F4137" s="979"/>
      <c r="G4137" s="977"/>
      <c r="H4137" s="978"/>
      <c r="I4137" s="979"/>
      <c r="J4137" s="1115" t="s">
        <v>1246</v>
      </c>
      <c r="K4137" s="784">
        <v>14.69</v>
      </c>
      <c r="L4137" s="888"/>
      <c r="M4137" s="889"/>
      <c r="N4137" s="890"/>
      <c r="O4137" s="891"/>
      <c r="P4137" s="892"/>
      <c r="Q4137" s="869">
        <v>1</v>
      </c>
      <c r="R4137" s="893">
        <f t="shared" si="1088"/>
        <v>14.69</v>
      </c>
      <c r="S4137" s="888"/>
      <c r="T4137" s="894">
        <v>39</v>
      </c>
      <c r="U4137" s="321"/>
      <c r="V4137" s="291">
        <f t="shared" ca="1" si="1081"/>
        <v>11600.333000000013</v>
      </c>
      <c r="W4137" s="256">
        <f t="shared" ca="1" si="1082"/>
        <v>2</v>
      </c>
      <c r="X4137" s="256">
        <f t="shared" ca="1" si="1083"/>
        <v>1</v>
      </c>
      <c r="Y4137" s="336"/>
      <c r="Z4137" s="336"/>
    </row>
    <row r="4138" spans="1:26" s="337" customFormat="1" ht="15.75" x14ac:dyDescent="0.2">
      <c r="A4138" s="288"/>
      <c r="B4138" s="311"/>
      <c r="C4138" s="883">
        <v>45962</v>
      </c>
      <c r="D4138" s="977"/>
      <c r="E4138" s="978"/>
      <c r="F4138" s="979"/>
      <c r="G4138" s="977"/>
      <c r="H4138" s="978"/>
      <c r="I4138" s="979"/>
      <c r="J4138" s="1115" t="s">
        <v>1247</v>
      </c>
      <c r="K4138" s="784">
        <v>1658.51</v>
      </c>
      <c r="L4138" s="888"/>
      <c r="M4138" s="889"/>
      <c r="N4138" s="890"/>
      <c r="O4138" s="891"/>
      <c r="P4138" s="892"/>
      <c r="Q4138" s="869">
        <v>1</v>
      </c>
      <c r="R4138" s="893">
        <f t="shared" si="1088"/>
        <v>1658.51</v>
      </c>
      <c r="S4138" s="888"/>
      <c r="T4138" s="894">
        <v>39</v>
      </c>
      <c r="U4138" s="321"/>
      <c r="V4138" s="291">
        <f t="shared" ca="1" si="1081"/>
        <v>11600.333000000013</v>
      </c>
      <c r="W4138" s="256">
        <f t="shared" ca="1" si="1082"/>
        <v>2</v>
      </c>
      <c r="X4138" s="256">
        <f t="shared" ca="1" si="1083"/>
        <v>1</v>
      </c>
      <c r="Y4138" s="336"/>
      <c r="Z4138" s="336"/>
    </row>
    <row r="4139" spans="1:26" s="337" customFormat="1" ht="15.75" x14ac:dyDescent="0.2">
      <c r="A4139" s="288"/>
      <c r="B4139" s="311"/>
      <c r="C4139" s="883">
        <v>45992</v>
      </c>
      <c r="D4139" s="977"/>
      <c r="E4139" s="978"/>
      <c r="F4139" s="979"/>
      <c r="G4139" s="977"/>
      <c r="H4139" s="978"/>
      <c r="I4139" s="979"/>
      <c r="J4139" s="1115" t="s">
        <v>1281</v>
      </c>
      <c r="K4139" s="784">
        <v>4365.0200000000004</v>
      </c>
      <c r="L4139" s="888"/>
      <c r="M4139" s="889"/>
      <c r="N4139" s="890"/>
      <c r="O4139" s="891"/>
      <c r="P4139" s="892"/>
      <c r="Q4139" s="869">
        <v>1</v>
      </c>
      <c r="R4139" s="893">
        <f t="shared" si="1088"/>
        <v>4365.0200000000004</v>
      </c>
      <c r="S4139" s="888"/>
      <c r="T4139" s="894">
        <v>40</v>
      </c>
      <c r="U4139" s="321"/>
      <c r="V4139" s="291">
        <f t="shared" ca="1" si="1081"/>
        <v>11600.333000000013</v>
      </c>
      <c r="W4139" s="256">
        <f t="shared" ca="1" si="1082"/>
        <v>2</v>
      </c>
      <c r="X4139" s="256">
        <f t="shared" ca="1" si="1083"/>
        <v>1</v>
      </c>
      <c r="Y4139" s="336"/>
      <c r="Z4139" s="336"/>
    </row>
    <row r="4140" spans="1:26" s="337" customFormat="1" ht="15.75" x14ac:dyDescent="0.2">
      <c r="A4140" s="288"/>
      <c r="B4140" s="311"/>
      <c r="C4140" s="883">
        <v>45992</v>
      </c>
      <c r="D4140" s="977"/>
      <c r="E4140" s="978"/>
      <c r="F4140" s="979"/>
      <c r="G4140" s="977"/>
      <c r="H4140" s="978"/>
      <c r="I4140" s="979"/>
      <c r="J4140" s="1115" t="s">
        <v>1282</v>
      </c>
      <c r="K4140" s="784">
        <v>1085.26</v>
      </c>
      <c r="L4140" s="888"/>
      <c r="M4140" s="889"/>
      <c r="N4140" s="890"/>
      <c r="O4140" s="891"/>
      <c r="P4140" s="892"/>
      <c r="Q4140" s="869">
        <v>1</v>
      </c>
      <c r="R4140" s="893">
        <f t="shared" si="1088"/>
        <v>1085.26</v>
      </c>
      <c r="S4140" s="888"/>
      <c r="T4140" s="894">
        <v>41</v>
      </c>
      <c r="U4140" s="321"/>
      <c r="V4140" s="291">
        <f t="shared" ca="1" si="1081"/>
        <v>11600.333000000013</v>
      </c>
      <c r="W4140" s="256">
        <f t="shared" ca="1" si="1082"/>
        <v>2</v>
      </c>
      <c r="X4140" s="256">
        <f t="shared" ca="1" si="1083"/>
        <v>1</v>
      </c>
      <c r="Y4140" s="336"/>
      <c r="Z4140" s="336"/>
    </row>
    <row r="4141" spans="1:26" s="337" customFormat="1" ht="15.75" x14ac:dyDescent="0.2">
      <c r="A4141" s="288"/>
      <c r="B4141" s="311"/>
      <c r="C4141" s="883">
        <v>45992</v>
      </c>
      <c r="D4141" s="977"/>
      <c r="E4141" s="978"/>
      <c r="F4141" s="979"/>
      <c r="G4141" s="977"/>
      <c r="H4141" s="978"/>
      <c r="I4141" s="979"/>
      <c r="J4141" s="1115" t="s">
        <v>1283</v>
      </c>
      <c r="K4141" s="784">
        <v>51.41</v>
      </c>
      <c r="L4141" s="888"/>
      <c r="M4141" s="889"/>
      <c r="N4141" s="890"/>
      <c r="O4141" s="891"/>
      <c r="P4141" s="892"/>
      <c r="Q4141" s="869">
        <v>1</v>
      </c>
      <c r="R4141" s="893">
        <f t="shared" si="1088"/>
        <v>51.41</v>
      </c>
      <c r="S4141" s="888"/>
      <c r="T4141" s="894">
        <v>40</v>
      </c>
      <c r="U4141" s="321"/>
      <c r="V4141" s="291">
        <f t="shared" ca="1" si="1081"/>
        <v>11600.333000000013</v>
      </c>
      <c r="W4141" s="256">
        <f t="shared" ca="1" si="1082"/>
        <v>2</v>
      </c>
      <c r="X4141" s="256">
        <f t="shared" ca="1" si="1083"/>
        <v>1</v>
      </c>
      <c r="Y4141" s="336"/>
      <c r="Z4141" s="336"/>
    </row>
    <row r="4142" spans="1:26" s="337" customFormat="1" ht="15.75" x14ac:dyDescent="0.2">
      <c r="A4142" s="288"/>
      <c r="B4142" s="311"/>
      <c r="C4142" s="883">
        <v>46023</v>
      </c>
      <c r="D4142" s="977"/>
      <c r="E4142" s="978"/>
      <c r="F4142" s="979"/>
      <c r="G4142" s="977"/>
      <c r="H4142" s="978"/>
      <c r="I4142" s="979"/>
      <c r="J4142" s="1115" t="s">
        <v>1307</v>
      </c>
      <c r="K4142" s="784">
        <v>459.86</v>
      </c>
      <c r="L4142" s="888"/>
      <c r="M4142" s="889"/>
      <c r="N4142" s="890"/>
      <c r="O4142" s="891"/>
      <c r="P4142" s="892"/>
      <c r="Q4142" s="869">
        <v>1</v>
      </c>
      <c r="R4142" s="893">
        <f t="shared" si="1088"/>
        <v>459.86</v>
      </c>
      <c r="S4142" s="888"/>
      <c r="T4142" s="894">
        <v>41</v>
      </c>
      <c r="U4142" s="321"/>
      <c r="V4142" s="291">
        <f t="shared" ca="1" si="1081"/>
        <v>11600.333000000013</v>
      </c>
      <c r="W4142" s="256">
        <f t="shared" ca="1" si="1082"/>
        <v>2</v>
      </c>
      <c r="X4142" s="256">
        <f t="shared" ca="1" si="1083"/>
        <v>1</v>
      </c>
      <c r="Y4142" s="336"/>
      <c r="Z4142" s="336"/>
    </row>
    <row r="4143" spans="1:26" s="337" customFormat="1" ht="15.75" x14ac:dyDescent="0.2">
      <c r="A4143" s="288"/>
      <c r="B4143" s="311"/>
      <c r="C4143" s="883">
        <v>46023</v>
      </c>
      <c r="D4143" s="977"/>
      <c r="E4143" s="978"/>
      <c r="F4143" s="979"/>
      <c r="G4143" s="977"/>
      <c r="H4143" s="978"/>
      <c r="I4143" s="979"/>
      <c r="J4143" s="1115" t="s">
        <v>1308</v>
      </c>
      <c r="K4143" s="784">
        <v>254.2</v>
      </c>
      <c r="L4143" s="888"/>
      <c r="M4143" s="889"/>
      <c r="N4143" s="890"/>
      <c r="O4143" s="891"/>
      <c r="P4143" s="892"/>
      <c r="Q4143" s="869">
        <v>1</v>
      </c>
      <c r="R4143" s="893">
        <f t="shared" si="1088"/>
        <v>254.2</v>
      </c>
      <c r="S4143" s="888"/>
      <c r="T4143" s="894">
        <v>41</v>
      </c>
      <c r="U4143" s="321"/>
      <c r="V4143" s="291">
        <f t="shared" ca="1" si="1081"/>
        <v>11600.333000000013</v>
      </c>
      <c r="W4143" s="256">
        <f t="shared" ca="1" si="1082"/>
        <v>2</v>
      </c>
      <c r="X4143" s="256">
        <f t="shared" ca="1" si="1083"/>
        <v>1</v>
      </c>
      <c r="Y4143" s="336"/>
      <c r="Z4143" s="336"/>
    </row>
    <row r="4144" spans="1:26" s="337" customFormat="1" ht="15.75" x14ac:dyDescent="0.2">
      <c r="A4144" s="288"/>
      <c r="B4144" s="311"/>
      <c r="C4144" s="883">
        <v>46023</v>
      </c>
      <c r="D4144" s="977"/>
      <c r="E4144" s="978"/>
      <c r="F4144" s="979"/>
      <c r="G4144" s="977"/>
      <c r="H4144" s="978"/>
      <c r="I4144" s="979"/>
      <c r="J4144" s="1115" t="s">
        <v>1309</v>
      </c>
      <c r="K4144" s="784">
        <v>3243.04</v>
      </c>
      <c r="L4144" s="888"/>
      <c r="M4144" s="889"/>
      <c r="N4144" s="890"/>
      <c r="O4144" s="891"/>
      <c r="P4144" s="892"/>
      <c r="Q4144" s="869">
        <v>1</v>
      </c>
      <c r="R4144" s="893">
        <f t="shared" si="1088"/>
        <v>3243.04</v>
      </c>
      <c r="S4144" s="888"/>
      <c r="T4144" s="894">
        <v>41</v>
      </c>
      <c r="U4144" s="321"/>
      <c r="V4144" s="291">
        <f t="shared" ca="1" si="1081"/>
        <v>11600.333000000013</v>
      </c>
      <c r="W4144" s="256">
        <f t="shared" ca="1" si="1082"/>
        <v>2</v>
      </c>
      <c r="X4144" s="256">
        <f t="shared" ca="1" si="1083"/>
        <v>1</v>
      </c>
      <c r="Y4144" s="336"/>
      <c r="Z4144" s="336"/>
    </row>
    <row r="4145" spans="1:26" s="337" customFormat="1" ht="15.75" x14ac:dyDescent="0.2">
      <c r="A4145" s="288"/>
      <c r="B4145" s="311"/>
      <c r="C4145" s="1040">
        <v>46054</v>
      </c>
      <c r="D4145" s="551"/>
      <c r="E4145" s="552"/>
      <c r="F4145" s="553"/>
      <c r="G4145" s="551"/>
      <c r="H4145" s="552"/>
      <c r="I4145" s="553"/>
      <c r="J4145" s="1115" t="s">
        <v>1313</v>
      </c>
      <c r="K4145" s="500">
        <v>65.099999999999994</v>
      </c>
      <c r="L4145" s="501"/>
      <c r="M4145" s="760"/>
      <c r="N4145" s="761"/>
      <c r="O4145" s="505"/>
      <c r="P4145" s="501"/>
      <c r="Q4145" s="1055">
        <v>1</v>
      </c>
      <c r="R4145" s="1111">
        <f t="shared" si="1088"/>
        <v>65.099999999999994</v>
      </c>
      <c r="S4145" s="505"/>
      <c r="T4145" s="506">
        <v>42</v>
      </c>
      <c r="U4145" s="321"/>
      <c r="V4145" s="291">
        <f t="shared" ca="1" si="1081"/>
        <v>11600.333000000013</v>
      </c>
      <c r="W4145" s="256">
        <f t="shared" ref="W4145:W4158" ca="1" si="1089">IF(LEFT(_xlfn.FORMULATEXT(V4145),3)="=SO",1,IF(COUNTA(A4145:U4145)=0,0,2))</f>
        <v>2</v>
      </c>
      <c r="X4145" s="256">
        <f t="shared" ref="X4145:X4158" ca="1" si="1090">IF(COUNTA(OFFSET(A4144,1,0))-COUNTA(A4144)=-1,0,1)</f>
        <v>1</v>
      </c>
      <c r="Y4145" s="336"/>
      <c r="Z4145" s="336"/>
    </row>
    <row r="4146" spans="1:26" s="337" customFormat="1" ht="15.75" x14ac:dyDescent="0.2">
      <c r="A4146" s="288"/>
      <c r="B4146" s="311"/>
      <c r="C4146" s="1040">
        <v>46054</v>
      </c>
      <c r="D4146" s="551"/>
      <c r="E4146" s="552"/>
      <c r="F4146" s="553"/>
      <c r="G4146" s="551"/>
      <c r="H4146" s="552"/>
      <c r="I4146" s="553"/>
      <c r="J4146" s="1115" t="s">
        <v>1314</v>
      </c>
      <c r="K4146" s="500">
        <f>13.67+15.19+1210.62</f>
        <v>1239.4799999999998</v>
      </c>
      <c r="L4146" s="501"/>
      <c r="M4146" s="760"/>
      <c r="N4146" s="761"/>
      <c r="O4146" s="505"/>
      <c r="P4146" s="501"/>
      <c r="Q4146" s="1055">
        <v>1</v>
      </c>
      <c r="R4146" s="1111">
        <f t="shared" si="1088"/>
        <v>1239.4799999999998</v>
      </c>
      <c r="S4146" s="505"/>
      <c r="T4146" s="506">
        <v>42</v>
      </c>
      <c r="U4146" s="321"/>
      <c r="V4146" s="291">
        <f t="shared" ca="1" si="1081"/>
        <v>11600.333000000013</v>
      </c>
      <c r="W4146" s="256">
        <f t="shared" ca="1" si="1089"/>
        <v>2</v>
      </c>
      <c r="X4146" s="256">
        <f t="shared" ca="1" si="1090"/>
        <v>1</v>
      </c>
      <c r="Y4146" s="336"/>
      <c r="Z4146" s="336"/>
    </row>
    <row r="4147" spans="1:26" s="337" customFormat="1" ht="15.75" x14ac:dyDescent="0.2">
      <c r="A4147" s="288"/>
      <c r="B4147" s="311"/>
      <c r="C4147" s="1040">
        <v>46054</v>
      </c>
      <c r="D4147" s="551"/>
      <c r="E4147" s="552"/>
      <c r="F4147" s="553"/>
      <c r="G4147" s="551"/>
      <c r="H4147" s="552"/>
      <c r="I4147" s="553"/>
      <c r="J4147" s="1115" t="s">
        <v>1315</v>
      </c>
      <c r="K4147" s="500">
        <f>72.66+3710.53</f>
        <v>3783.19</v>
      </c>
      <c r="L4147" s="501"/>
      <c r="M4147" s="760"/>
      <c r="N4147" s="761"/>
      <c r="O4147" s="505"/>
      <c r="P4147" s="501"/>
      <c r="Q4147" s="1055">
        <v>1</v>
      </c>
      <c r="R4147" s="1111">
        <f t="shared" si="1088"/>
        <v>3783.19</v>
      </c>
      <c r="S4147" s="505"/>
      <c r="T4147" s="506">
        <v>42</v>
      </c>
      <c r="U4147" s="321"/>
      <c r="V4147" s="291">
        <f t="shared" ca="1" si="1081"/>
        <v>11600.333000000013</v>
      </c>
      <c r="W4147" s="256">
        <f t="shared" ca="1" si="1089"/>
        <v>2</v>
      </c>
      <c r="X4147" s="256">
        <f t="shared" ca="1" si="1090"/>
        <v>1</v>
      </c>
      <c r="Y4147" s="336"/>
      <c r="Z4147" s="336"/>
    </row>
    <row r="4148" spans="1:26" s="337" customFormat="1" ht="15.75" x14ac:dyDescent="0.2">
      <c r="A4148" s="288"/>
      <c r="B4148" s="311"/>
      <c r="C4148" s="1040">
        <v>46082</v>
      </c>
      <c r="D4148" s="551"/>
      <c r="E4148" s="552"/>
      <c r="F4148" s="553"/>
      <c r="G4148" s="551"/>
      <c r="H4148" s="552"/>
      <c r="I4148" s="553"/>
      <c r="J4148" s="1115" t="s">
        <v>1375</v>
      </c>
      <c r="K4148" s="500">
        <v>3621.37</v>
      </c>
      <c r="L4148" s="501"/>
      <c r="M4148" s="760"/>
      <c r="N4148" s="761"/>
      <c r="O4148" s="505"/>
      <c r="P4148" s="501"/>
      <c r="Q4148" s="739"/>
      <c r="R4148" s="1111">
        <v>3621.37</v>
      </c>
      <c r="S4148" s="554" t="str">
        <f t="shared" ref="S4148:S4150" si="1091">$L$1683</f>
        <v>t</v>
      </c>
      <c r="T4148" s="506">
        <v>44</v>
      </c>
      <c r="U4148" s="321"/>
      <c r="V4148" s="291">
        <f t="shared" ref="V4148:V4158" ca="1" si="1092">IF(OFFSET(V4148,1,1)=1,OFFSET(V4148,0,-4),OFFSET(V4148,1,0))</f>
        <v>11600.333000000013</v>
      </c>
      <c r="W4148" s="256">
        <f t="shared" ca="1" si="1089"/>
        <v>2</v>
      </c>
      <c r="X4148" s="256">
        <f ca="1">IF(COUNTA(OFFSET(#REF!,1,0))-COUNTA(#REF!)=-1,0,1)</f>
        <v>1</v>
      </c>
      <c r="Y4148" s="336"/>
      <c r="Z4148" s="336"/>
    </row>
    <row r="4149" spans="1:26" s="337" customFormat="1" ht="15.75" x14ac:dyDescent="0.2">
      <c r="A4149" s="288"/>
      <c r="B4149" s="311"/>
      <c r="C4149" s="1040">
        <v>46113</v>
      </c>
      <c r="D4149" s="551"/>
      <c r="E4149" s="552"/>
      <c r="F4149" s="553"/>
      <c r="G4149" s="551"/>
      <c r="H4149" s="552"/>
      <c r="I4149" s="553"/>
      <c r="J4149" s="1115" t="s">
        <v>1376</v>
      </c>
      <c r="K4149" s="500">
        <v>1488.65</v>
      </c>
      <c r="L4149" s="501"/>
      <c r="M4149" s="760"/>
      <c r="N4149" s="761"/>
      <c r="O4149" s="505"/>
      <c r="P4149" s="501"/>
      <c r="Q4149" s="739"/>
      <c r="R4149" s="1111">
        <v>1488.65</v>
      </c>
      <c r="S4149" s="554" t="str">
        <f t="shared" si="1091"/>
        <v>t</v>
      </c>
      <c r="T4149" s="506">
        <v>44</v>
      </c>
      <c r="U4149" s="321"/>
      <c r="V4149" s="291">
        <f t="shared" ca="1" si="1092"/>
        <v>11600.333000000013</v>
      </c>
      <c r="W4149" s="256">
        <f t="shared" ca="1" si="1089"/>
        <v>2</v>
      </c>
      <c r="X4149" s="256">
        <f t="shared" ca="1" si="1090"/>
        <v>1</v>
      </c>
      <c r="Y4149" s="336"/>
      <c r="Z4149" s="336"/>
    </row>
    <row r="4150" spans="1:26" s="337" customFormat="1" ht="15.75" x14ac:dyDescent="0.2">
      <c r="A4150" s="288"/>
      <c r="B4150" s="311"/>
      <c r="C4150" s="1040">
        <v>46114</v>
      </c>
      <c r="D4150" s="551"/>
      <c r="E4150" s="552"/>
      <c r="F4150" s="553"/>
      <c r="G4150" s="551"/>
      <c r="H4150" s="552"/>
      <c r="I4150" s="553"/>
      <c r="J4150" s="1115" t="s">
        <v>1377</v>
      </c>
      <c r="K4150" s="500">
        <v>368.48</v>
      </c>
      <c r="L4150" s="501"/>
      <c r="M4150" s="760"/>
      <c r="N4150" s="761"/>
      <c r="O4150" s="505"/>
      <c r="P4150" s="501"/>
      <c r="Q4150" s="739"/>
      <c r="R4150" s="1111">
        <v>368.48</v>
      </c>
      <c r="S4150" s="554" t="str">
        <f t="shared" si="1091"/>
        <v>t</v>
      </c>
      <c r="T4150" s="506">
        <v>44</v>
      </c>
      <c r="U4150" s="321"/>
      <c r="V4150" s="291">
        <f t="shared" ca="1" si="1092"/>
        <v>11600.333000000013</v>
      </c>
      <c r="W4150" s="256">
        <f t="shared" ca="1" si="1089"/>
        <v>2</v>
      </c>
      <c r="X4150" s="256">
        <f t="shared" ca="1" si="1090"/>
        <v>1</v>
      </c>
      <c r="Y4150" s="336"/>
      <c r="Z4150" s="336"/>
    </row>
    <row r="4151" spans="1:26" s="337" customFormat="1" ht="15.75" x14ac:dyDescent="0.2">
      <c r="A4151" s="288"/>
      <c r="B4151" s="311"/>
      <c r="C4151" s="1040"/>
      <c r="D4151" s="551"/>
      <c r="E4151" s="552"/>
      <c r="F4151" s="553"/>
      <c r="G4151" s="551"/>
      <c r="H4151" s="552"/>
      <c r="I4151" s="553"/>
      <c r="J4151" s="1115"/>
      <c r="K4151" s="500"/>
      <c r="L4151" s="501"/>
      <c r="M4151" s="760"/>
      <c r="N4151" s="761"/>
      <c r="O4151" s="505"/>
      <c r="P4151" s="501"/>
      <c r="Q4151" s="1055"/>
      <c r="R4151" s="1111"/>
      <c r="S4151" s="505"/>
      <c r="T4151" s="506"/>
      <c r="U4151" s="321"/>
      <c r="V4151" s="291">
        <f t="shared" ca="1" si="1092"/>
        <v>11600.333000000013</v>
      </c>
      <c r="W4151" s="256">
        <f t="shared" ca="1" si="1089"/>
        <v>0</v>
      </c>
      <c r="X4151" s="256">
        <f t="shared" ca="1" si="1090"/>
        <v>1</v>
      </c>
      <c r="Y4151" s="336"/>
      <c r="Z4151" s="336"/>
    </row>
    <row r="4152" spans="1:26" s="337" customFormat="1" ht="15.75" x14ac:dyDescent="0.2">
      <c r="A4152" s="288"/>
      <c r="B4152" s="311"/>
      <c r="C4152" s="1040"/>
      <c r="D4152" s="551"/>
      <c r="E4152" s="552"/>
      <c r="F4152" s="553"/>
      <c r="G4152" s="551"/>
      <c r="H4152" s="552"/>
      <c r="I4152" s="553"/>
      <c r="J4152" s="1115"/>
      <c r="K4152" s="500"/>
      <c r="L4152" s="501"/>
      <c r="M4152" s="760"/>
      <c r="N4152" s="761"/>
      <c r="O4152" s="505"/>
      <c r="P4152" s="501"/>
      <c r="Q4152" s="1055"/>
      <c r="R4152" s="1111"/>
      <c r="S4152" s="505"/>
      <c r="T4152" s="506"/>
      <c r="U4152" s="321"/>
      <c r="V4152" s="291">
        <f t="shared" ca="1" si="1092"/>
        <v>11600.333000000013</v>
      </c>
      <c r="W4152" s="256">
        <f t="shared" ca="1" si="1089"/>
        <v>0</v>
      </c>
      <c r="X4152" s="256">
        <f ca="1">IF(COUNTA(OFFSET(#REF!,1,0))-COUNTA(#REF!)=-1,0,1)</f>
        <v>1</v>
      </c>
      <c r="Y4152" s="336"/>
      <c r="Z4152" s="336"/>
    </row>
    <row r="4153" spans="1:26" s="337" customFormat="1" ht="15.75" x14ac:dyDescent="0.2">
      <c r="A4153" s="288"/>
      <c r="B4153" s="311"/>
      <c r="C4153" s="1040"/>
      <c r="D4153" s="551"/>
      <c r="E4153" s="552"/>
      <c r="F4153" s="553"/>
      <c r="G4153" s="551"/>
      <c r="H4153" s="552"/>
      <c r="I4153" s="553"/>
      <c r="J4153" s="1115"/>
      <c r="K4153" s="500"/>
      <c r="L4153" s="501"/>
      <c r="M4153" s="760"/>
      <c r="N4153" s="761"/>
      <c r="O4153" s="505"/>
      <c r="P4153" s="501"/>
      <c r="Q4153" s="1055"/>
      <c r="R4153" s="1111"/>
      <c r="S4153" s="505"/>
      <c r="T4153" s="506"/>
      <c r="U4153" s="321"/>
      <c r="V4153" s="291">
        <f t="shared" ca="1" si="1092"/>
        <v>11600.333000000013</v>
      </c>
      <c r="W4153" s="256">
        <f t="shared" ca="1" si="1089"/>
        <v>0</v>
      </c>
      <c r="X4153" s="256">
        <f t="shared" ca="1" si="1090"/>
        <v>1</v>
      </c>
      <c r="Y4153" s="336"/>
      <c r="Z4153" s="336"/>
    </row>
    <row r="4154" spans="1:26" s="337" customFormat="1" ht="15.75" x14ac:dyDescent="0.2">
      <c r="A4154" s="288"/>
      <c r="B4154" s="311"/>
      <c r="C4154" s="1047" t="s">
        <v>1182</v>
      </c>
      <c r="D4154" s="551"/>
      <c r="E4154" s="552"/>
      <c r="F4154" s="553"/>
      <c r="G4154" s="551"/>
      <c r="H4154" s="552"/>
      <c r="I4154" s="553"/>
      <c r="J4154" s="1115"/>
      <c r="K4154" s="500"/>
      <c r="L4154" s="501"/>
      <c r="M4154" s="760"/>
      <c r="N4154" s="761"/>
      <c r="O4154" s="505"/>
      <c r="P4154" s="501"/>
      <c r="Q4154" s="1055"/>
      <c r="R4154" s="1111"/>
      <c r="S4154" s="505"/>
      <c r="T4154" s="506"/>
      <c r="U4154" s="321"/>
      <c r="V4154" s="291">
        <f t="shared" ca="1" si="1092"/>
        <v>11600.333000000013</v>
      </c>
      <c r="W4154" s="256">
        <f t="shared" ca="1" si="1089"/>
        <v>2</v>
      </c>
      <c r="X4154" s="256">
        <f t="shared" ca="1" si="1090"/>
        <v>1</v>
      </c>
      <c r="Y4154" s="336"/>
      <c r="Z4154" s="336"/>
    </row>
    <row r="4155" spans="1:26" s="337" customFormat="1" ht="15.75" x14ac:dyDescent="0.2">
      <c r="A4155" s="288"/>
      <c r="B4155" s="311"/>
      <c r="C4155" s="782" t="s">
        <v>920</v>
      </c>
      <c r="D4155" s="914"/>
      <c r="E4155" s="915"/>
      <c r="F4155" s="916"/>
      <c r="G4155" s="914"/>
      <c r="H4155" s="915"/>
      <c r="I4155" s="916"/>
      <c r="J4155" s="783"/>
      <c r="K4155" s="853">
        <v>5025.6959999999999</v>
      </c>
      <c r="L4155" s="317"/>
      <c r="M4155" s="315"/>
      <c r="N4155" s="314"/>
      <c r="O4155" s="313"/>
      <c r="P4155" s="318"/>
      <c r="Q4155" s="832">
        <v>1.55</v>
      </c>
      <c r="R4155" s="319">
        <v>7789.8288000000002</v>
      </c>
      <c r="S4155" s="317"/>
      <c r="T4155" s="320">
        <v>34</v>
      </c>
      <c r="U4155" s="321"/>
      <c r="V4155" s="291">
        <f t="shared" ca="1" si="1092"/>
        <v>11600.333000000013</v>
      </c>
      <c r="W4155" s="256">
        <f t="shared" ca="1" si="1089"/>
        <v>2</v>
      </c>
      <c r="X4155" s="256">
        <f t="shared" ca="1" si="1090"/>
        <v>1</v>
      </c>
      <c r="Y4155" s="336"/>
      <c r="Z4155" s="336"/>
    </row>
    <row r="4156" spans="1:26" s="337" customFormat="1" ht="15.75" x14ac:dyDescent="0.2">
      <c r="A4156" s="288"/>
      <c r="B4156" s="311"/>
      <c r="C4156" s="782" t="s">
        <v>921</v>
      </c>
      <c r="D4156" s="914"/>
      <c r="E4156" s="915"/>
      <c r="F4156" s="916"/>
      <c r="G4156" s="914"/>
      <c r="H4156" s="915"/>
      <c r="I4156" s="916"/>
      <c r="J4156" s="783"/>
      <c r="K4156" s="853">
        <v>7412.2250000000004</v>
      </c>
      <c r="L4156" s="317"/>
      <c r="M4156" s="315"/>
      <c r="N4156" s="314"/>
      <c r="O4156" s="313"/>
      <c r="P4156" s="318"/>
      <c r="Q4156" s="832">
        <v>1.6</v>
      </c>
      <c r="R4156" s="319">
        <v>11859.560000000001</v>
      </c>
      <c r="S4156" s="317"/>
      <c r="T4156" s="320">
        <v>29</v>
      </c>
      <c r="U4156" s="321"/>
      <c r="V4156" s="291">
        <f t="shared" ca="1" si="1092"/>
        <v>11600.333000000013</v>
      </c>
      <c r="W4156" s="256">
        <f t="shared" ca="1" si="1089"/>
        <v>2</v>
      </c>
      <c r="X4156" s="256">
        <f t="shared" ca="1" si="1090"/>
        <v>1</v>
      </c>
      <c r="Y4156" s="336"/>
      <c r="Z4156" s="336"/>
    </row>
    <row r="4157" spans="1:26" s="337" customFormat="1" ht="15.75" x14ac:dyDescent="0.2">
      <c r="A4157" s="288"/>
      <c r="B4157" s="311"/>
      <c r="C4157" s="782" t="s">
        <v>975</v>
      </c>
      <c r="D4157" s="914"/>
      <c r="E4157" s="915"/>
      <c r="F4157" s="916"/>
      <c r="G4157" s="914"/>
      <c r="H4157" s="915"/>
      <c r="I4157" s="916"/>
      <c r="J4157" s="783"/>
      <c r="K4157" s="853">
        <v>14832.699999999999</v>
      </c>
      <c r="L4157" s="317"/>
      <c r="M4157" s="315"/>
      <c r="N4157" s="314"/>
      <c r="O4157" s="313"/>
      <c r="P4157" s="318"/>
      <c r="Q4157" s="854">
        <v>1.7</v>
      </c>
      <c r="R4157" s="319">
        <v>25215.589999999997</v>
      </c>
      <c r="S4157" s="317"/>
      <c r="T4157" s="320">
        <v>34</v>
      </c>
      <c r="U4157" s="321"/>
      <c r="V4157" s="291">
        <f t="shared" ca="1" si="1092"/>
        <v>11600.333000000013</v>
      </c>
      <c r="W4157" s="256">
        <f t="shared" ca="1" si="1089"/>
        <v>2</v>
      </c>
      <c r="X4157" s="256">
        <f t="shared" ca="1" si="1090"/>
        <v>1</v>
      </c>
      <c r="Y4157" s="336"/>
      <c r="Z4157" s="336"/>
    </row>
    <row r="4158" spans="1:26" s="337" customFormat="1" ht="15.75" x14ac:dyDescent="0.2">
      <c r="A4158" s="866"/>
      <c r="B4158" s="882"/>
      <c r="C4158" s="883" t="s">
        <v>976</v>
      </c>
      <c r="D4158" s="884"/>
      <c r="E4158" s="885"/>
      <c r="F4158" s="886"/>
      <c r="G4158" s="884"/>
      <c r="H4158" s="885"/>
      <c r="I4158" s="886"/>
      <c r="J4158" s="870"/>
      <c r="K4158" s="887">
        <v>5949.3360000000002</v>
      </c>
      <c r="L4158" s="888"/>
      <c r="M4158" s="889"/>
      <c r="N4158" s="890"/>
      <c r="O4158" s="891"/>
      <c r="P4158" s="892"/>
      <c r="Q4158" s="873">
        <v>1.55</v>
      </c>
      <c r="R4158" s="893">
        <v>9221.470800000001</v>
      </c>
      <c r="S4158" s="888"/>
      <c r="T4158" s="894">
        <v>34</v>
      </c>
      <c r="U4158" s="895"/>
      <c r="V4158" s="291">
        <f t="shared" ca="1" si="1092"/>
        <v>11600.333000000013</v>
      </c>
      <c r="W4158" s="256">
        <f t="shared" ca="1" si="1089"/>
        <v>2</v>
      </c>
      <c r="X4158" s="256">
        <f t="shared" ca="1" si="1090"/>
        <v>1</v>
      </c>
      <c r="Y4158" s="336"/>
      <c r="Z4158" s="336"/>
    </row>
    <row r="4159" spans="1:26" s="337" customFormat="1" ht="15.75" x14ac:dyDescent="0.2">
      <c r="A4159" s="866"/>
      <c r="B4159" s="512"/>
      <c r="C4159" s="782" t="s">
        <v>1041</v>
      </c>
      <c r="D4159" s="779"/>
      <c r="E4159" s="780"/>
      <c r="F4159" s="781"/>
      <c r="G4159" s="779"/>
      <c r="H4159" s="780"/>
      <c r="I4159" s="781"/>
      <c r="J4159" s="783"/>
      <c r="K4159" s="763">
        <v>4516.732</v>
      </c>
      <c r="L4159" s="427"/>
      <c r="M4159" s="513"/>
      <c r="N4159" s="520"/>
      <c r="O4159" s="519"/>
      <c r="P4159" s="428"/>
      <c r="Q4159" s="313">
        <v>1.8859999999999999</v>
      </c>
      <c r="R4159" s="524">
        <v>8518.556552</v>
      </c>
      <c r="S4159" s="427"/>
      <c r="T4159" s="514">
        <v>33</v>
      </c>
      <c r="U4159" s="765"/>
      <c r="V4159" s="291">
        <f t="shared" ref="V4159:V4215" ca="1" si="1093">IF(OFFSET(V4159,1,1)=1,OFFSET(V4159,0,-4),OFFSET(V4159,1,0))</f>
        <v>11600.333000000013</v>
      </c>
      <c r="W4159" s="256">
        <f t="shared" ref="W4159:W4195" ca="1" si="1094">IF(LEFT(_xlfn.FORMULATEXT(V4159),3)="=SO",1,IF(COUNTA(A4159:U4159)=0,0,2))</f>
        <v>2</v>
      </c>
      <c r="X4159" s="256">
        <f t="shared" ref="X4159:X4195" ca="1" si="1095">IF(COUNTA(OFFSET(A4158,1,0))-COUNTA(A4158)=-1,0,1)</f>
        <v>1</v>
      </c>
      <c r="Y4159" s="336"/>
      <c r="Z4159" s="336"/>
    </row>
    <row r="4160" spans="1:26" s="337" customFormat="1" ht="15.75" x14ac:dyDescent="0.2">
      <c r="A4160" s="866"/>
      <c r="B4160" s="512"/>
      <c r="C4160" s="782"/>
      <c r="D4160" s="779"/>
      <c r="E4160" s="780"/>
      <c r="F4160" s="781"/>
      <c r="G4160" s="779"/>
      <c r="H4160" s="780"/>
      <c r="I4160" s="781"/>
      <c r="J4160" s="783"/>
      <c r="K4160" s="763"/>
      <c r="L4160" s="427"/>
      <c r="M4160" s="513"/>
      <c r="N4160" s="520"/>
      <c r="O4160" s="519"/>
      <c r="P4160" s="428"/>
      <c r="Q4160" s="313"/>
      <c r="R4160" s="524"/>
      <c r="S4160" s="427"/>
      <c r="T4160" s="514"/>
      <c r="U4160" s="765"/>
      <c r="V4160" s="291">
        <f t="shared" ca="1" si="1093"/>
        <v>11600.333000000013</v>
      </c>
      <c r="W4160" s="256">
        <f t="shared" ca="1" si="1094"/>
        <v>0</v>
      </c>
      <c r="X4160" s="256">
        <f t="shared" ca="1" si="1095"/>
        <v>1</v>
      </c>
      <c r="Y4160" s="336"/>
      <c r="Z4160" s="336"/>
    </row>
    <row r="4161" spans="1:26" s="337" customFormat="1" ht="15.75" x14ac:dyDescent="0.2">
      <c r="A4161" s="866"/>
      <c r="B4161" s="512"/>
      <c r="C4161" s="1047" t="s">
        <v>1183</v>
      </c>
      <c r="D4161" s="756"/>
      <c r="E4161" s="757"/>
      <c r="F4161" s="758"/>
      <c r="G4161" s="756"/>
      <c r="H4161" s="757"/>
      <c r="I4161" s="758"/>
      <c r="J4161" s="1048"/>
      <c r="K4161" s="1049"/>
      <c r="L4161" s="560"/>
      <c r="M4161" s="752"/>
      <c r="N4161" s="552"/>
      <c r="O4161" s="738"/>
      <c r="P4161" s="565"/>
      <c r="Q4161" s="1050"/>
      <c r="R4161" s="558"/>
      <c r="S4161" s="560"/>
      <c r="T4161" s="506">
        <v>35</v>
      </c>
      <c r="U4161" s="765"/>
      <c r="V4161" s="291">
        <f t="shared" ca="1" si="1093"/>
        <v>11600.333000000013</v>
      </c>
      <c r="W4161" s="256">
        <f t="shared" ca="1" si="1094"/>
        <v>2</v>
      </c>
      <c r="X4161" s="256">
        <f t="shared" ca="1" si="1095"/>
        <v>1</v>
      </c>
      <c r="Y4161" s="336"/>
      <c r="Z4161" s="336"/>
    </row>
    <row r="4162" spans="1:26" s="337" customFormat="1" ht="15.75" x14ac:dyDescent="0.2">
      <c r="A4162" s="866"/>
      <c r="B4162" s="512"/>
      <c r="C4162" s="782" t="s">
        <v>920</v>
      </c>
      <c r="D4162" s="756"/>
      <c r="E4162" s="757"/>
      <c r="F4162" s="758"/>
      <c r="G4162" s="756"/>
      <c r="H4162" s="757"/>
      <c r="I4162" s="758"/>
      <c r="J4162" s="783"/>
      <c r="K4162" s="1051">
        <v>223.2</v>
      </c>
      <c r="L4162" s="317"/>
      <c r="M4162" s="315"/>
      <c r="N4162" s="314"/>
      <c r="O4162" s="313"/>
      <c r="P4162" s="318"/>
      <c r="Q4162" s="313">
        <v>1.55</v>
      </c>
      <c r="R4162" s="875">
        <f t="shared" ref="R4162:R4165" si="1096">K4162*Q4162</f>
        <v>345.96</v>
      </c>
      <c r="S4162" s="560"/>
      <c r="T4162" s="506">
        <v>35</v>
      </c>
      <c r="U4162" s="765"/>
      <c r="V4162" s="291">
        <f t="shared" ca="1" si="1093"/>
        <v>11600.333000000013</v>
      </c>
      <c r="W4162" s="256">
        <f t="shared" ca="1" si="1094"/>
        <v>2</v>
      </c>
      <c r="X4162" s="256">
        <f t="shared" ca="1" si="1095"/>
        <v>1</v>
      </c>
      <c r="Y4162" s="336"/>
      <c r="Z4162" s="336"/>
    </row>
    <row r="4163" spans="1:26" s="337" customFormat="1" ht="15.75" x14ac:dyDescent="0.2">
      <c r="A4163" s="866"/>
      <c r="B4163" s="512"/>
      <c r="C4163" s="782" t="s">
        <v>921</v>
      </c>
      <c r="D4163" s="756"/>
      <c r="E4163" s="757"/>
      <c r="F4163" s="758"/>
      <c r="G4163" s="756"/>
      <c r="H4163" s="757"/>
      <c r="I4163" s="758"/>
      <c r="J4163" s="783"/>
      <c r="K4163" s="1004">
        <v>4022.8</v>
      </c>
      <c r="L4163" s="317"/>
      <c r="M4163" s="315"/>
      <c r="N4163" s="314"/>
      <c r="O4163" s="313"/>
      <c r="P4163" s="318"/>
      <c r="Q4163" s="421">
        <v>1.6</v>
      </c>
      <c r="R4163" s="319">
        <f t="shared" si="1096"/>
        <v>6436.4800000000005</v>
      </c>
      <c r="S4163" s="560"/>
      <c r="T4163" s="506">
        <v>35</v>
      </c>
      <c r="U4163" s="765"/>
      <c r="V4163" s="291">
        <f t="shared" ca="1" si="1093"/>
        <v>11600.333000000013</v>
      </c>
      <c r="W4163" s="256">
        <f t="shared" ca="1" si="1094"/>
        <v>2</v>
      </c>
      <c r="X4163" s="256">
        <f t="shared" ca="1" si="1095"/>
        <v>1</v>
      </c>
      <c r="Y4163" s="336"/>
      <c r="Z4163" s="336"/>
    </row>
    <row r="4164" spans="1:26" s="337" customFormat="1" ht="15.75" x14ac:dyDescent="0.2">
      <c r="A4164" s="866"/>
      <c r="B4164" s="512"/>
      <c r="C4164" s="782" t="s">
        <v>975</v>
      </c>
      <c r="D4164" s="756"/>
      <c r="E4164" s="757"/>
      <c r="F4164" s="758"/>
      <c r="G4164" s="756"/>
      <c r="H4164" s="757"/>
      <c r="I4164" s="758"/>
      <c r="J4164" s="783"/>
      <c r="K4164" s="1004">
        <f>2615.565*1.15</f>
        <v>3007.89975</v>
      </c>
      <c r="L4164" s="317"/>
      <c r="M4164" s="315"/>
      <c r="N4164" s="314"/>
      <c r="O4164" s="313"/>
      <c r="P4164" s="318"/>
      <c r="Q4164" s="832">
        <v>1.7</v>
      </c>
      <c r="R4164" s="893">
        <f t="shared" si="1096"/>
        <v>5113.4295750000001</v>
      </c>
      <c r="S4164" s="560"/>
      <c r="T4164" s="506">
        <v>35</v>
      </c>
      <c r="U4164" s="765"/>
      <c r="V4164" s="291">
        <f t="shared" ca="1" si="1093"/>
        <v>11600.333000000013</v>
      </c>
      <c r="W4164" s="256">
        <f t="shared" ca="1" si="1094"/>
        <v>2</v>
      </c>
      <c r="X4164" s="256">
        <f t="shared" ca="1" si="1095"/>
        <v>1</v>
      </c>
      <c r="Y4164" s="336"/>
      <c r="Z4164" s="336"/>
    </row>
    <row r="4165" spans="1:26" s="337" customFormat="1" ht="15.75" x14ac:dyDescent="0.2">
      <c r="A4165" s="866"/>
      <c r="B4165" s="512"/>
      <c r="C4165" s="782" t="s">
        <v>976</v>
      </c>
      <c r="D4165" s="756"/>
      <c r="E4165" s="757"/>
      <c r="F4165" s="758"/>
      <c r="G4165" s="756"/>
      <c r="H4165" s="757"/>
      <c r="I4165" s="758"/>
      <c r="J4165" s="783"/>
      <c r="K4165" s="1004">
        <v>3433.8359999999998</v>
      </c>
      <c r="L4165" s="317"/>
      <c r="M4165" s="315"/>
      <c r="N4165" s="314"/>
      <c r="O4165" s="313"/>
      <c r="P4165" s="318"/>
      <c r="Q4165" s="832">
        <v>1.55</v>
      </c>
      <c r="R4165" s="893">
        <f t="shared" si="1096"/>
        <v>5322.4457999999995</v>
      </c>
      <c r="S4165" s="560"/>
      <c r="T4165" s="506">
        <v>35</v>
      </c>
      <c r="U4165" s="765"/>
      <c r="V4165" s="291">
        <f t="shared" ca="1" si="1093"/>
        <v>11600.333000000013</v>
      </c>
      <c r="W4165" s="256">
        <f t="shared" ca="1" si="1094"/>
        <v>2</v>
      </c>
      <c r="X4165" s="256">
        <f t="shared" ca="1" si="1095"/>
        <v>1</v>
      </c>
      <c r="Y4165" s="336"/>
      <c r="Z4165" s="336"/>
    </row>
    <row r="4166" spans="1:26" s="337" customFormat="1" ht="15.75" x14ac:dyDescent="0.2">
      <c r="A4166" s="866"/>
      <c r="B4166" s="512"/>
      <c r="C4166" s="782"/>
      <c r="D4166" s="779"/>
      <c r="E4166" s="780"/>
      <c r="F4166" s="781"/>
      <c r="G4166" s="779"/>
      <c r="H4166" s="780"/>
      <c r="I4166" s="781"/>
      <c r="J4166" s="783"/>
      <c r="K4166" s="881"/>
      <c r="L4166" s="427"/>
      <c r="M4166" s="513"/>
      <c r="N4166" s="520"/>
      <c r="O4166" s="519"/>
      <c r="P4166" s="428"/>
      <c r="Q4166" s="313"/>
      <c r="R4166" s="880"/>
      <c r="S4166" s="427"/>
      <c r="T4166" s="514"/>
      <c r="U4166" s="765"/>
      <c r="V4166" s="291">
        <f t="shared" ca="1" si="1093"/>
        <v>11600.333000000013</v>
      </c>
      <c r="W4166" s="256">
        <f t="shared" ca="1" si="1094"/>
        <v>0</v>
      </c>
      <c r="X4166" s="256">
        <f t="shared" ca="1" si="1095"/>
        <v>1</v>
      </c>
      <c r="Y4166" s="336"/>
      <c r="Z4166" s="336"/>
    </row>
    <row r="4167" spans="1:26" s="337" customFormat="1" ht="15.75" x14ac:dyDescent="0.2">
      <c r="A4167" s="866"/>
      <c r="B4167" s="512"/>
      <c r="C4167" s="1047" t="s">
        <v>1187</v>
      </c>
      <c r="D4167" s="756"/>
      <c r="E4167" s="757"/>
      <c r="F4167" s="758"/>
      <c r="G4167" s="756"/>
      <c r="H4167" s="757"/>
      <c r="I4167" s="758"/>
      <c r="J4167" s="1048"/>
      <c r="K4167" s="1049"/>
      <c r="L4167" s="560"/>
      <c r="M4167" s="752"/>
      <c r="N4167" s="552"/>
      <c r="O4167" s="738"/>
      <c r="P4167" s="565"/>
      <c r="Q4167" s="1050"/>
      <c r="R4167" s="558"/>
      <c r="S4167" s="560"/>
      <c r="T4167" s="506">
        <v>36</v>
      </c>
      <c r="U4167" s="765"/>
      <c r="V4167" s="291">
        <f t="shared" ca="1" si="1093"/>
        <v>11600.333000000013</v>
      </c>
      <c r="W4167" s="256">
        <f t="shared" ca="1" si="1094"/>
        <v>2</v>
      </c>
      <c r="X4167" s="256">
        <f t="shared" ca="1" si="1095"/>
        <v>1</v>
      </c>
      <c r="Y4167" s="336"/>
      <c r="Z4167" s="336"/>
    </row>
    <row r="4168" spans="1:26" s="337" customFormat="1" ht="15.75" x14ac:dyDescent="0.2">
      <c r="A4168" s="866"/>
      <c r="B4168" s="512"/>
      <c r="C4168" s="782" t="s">
        <v>920</v>
      </c>
      <c r="D4168" s="756"/>
      <c r="E4168" s="757"/>
      <c r="F4168" s="758"/>
      <c r="G4168" s="756"/>
      <c r="H4168" s="757"/>
      <c r="I4168" s="758"/>
      <c r="J4168" s="783"/>
      <c r="K4168" s="1051">
        <v>167.4</v>
      </c>
      <c r="L4168" s="317"/>
      <c r="M4168" s="315"/>
      <c r="N4168" s="314"/>
      <c r="O4168" s="313"/>
      <c r="P4168" s="318"/>
      <c r="Q4168" s="313">
        <v>1.55</v>
      </c>
      <c r="R4168" s="875">
        <f t="shared" ref="R4168:R4170" si="1097">K4168*Q4168</f>
        <v>259.47000000000003</v>
      </c>
      <c r="S4168" s="560"/>
      <c r="T4168" s="506">
        <v>36</v>
      </c>
      <c r="U4168" s="765"/>
      <c r="V4168" s="291">
        <f t="shared" ca="1" si="1093"/>
        <v>11600.333000000013</v>
      </c>
      <c r="W4168" s="256">
        <f t="shared" ca="1" si="1094"/>
        <v>2</v>
      </c>
      <c r="X4168" s="256">
        <f t="shared" ca="1" si="1095"/>
        <v>1</v>
      </c>
      <c r="Y4168" s="336"/>
      <c r="Z4168" s="336"/>
    </row>
    <row r="4169" spans="1:26" s="337" customFormat="1" ht="15.75" x14ac:dyDescent="0.2">
      <c r="A4169" s="866"/>
      <c r="B4169" s="512"/>
      <c r="C4169" s="782" t="s">
        <v>975</v>
      </c>
      <c r="D4169" s="756"/>
      <c r="E4169" s="757"/>
      <c r="F4169" s="758"/>
      <c r="G4169" s="756"/>
      <c r="H4169" s="757"/>
      <c r="I4169" s="758"/>
      <c r="J4169" s="783"/>
      <c r="K4169" s="1004">
        <v>578.78300000000002</v>
      </c>
      <c r="L4169" s="317"/>
      <c r="M4169" s="315"/>
      <c r="N4169" s="314"/>
      <c r="O4169" s="313"/>
      <c r="P4169" s="318"/>
      <c r="Q4169" s="832">
        <v>1.7</v>
      </c>
      <c r="R4169" s="893">
        <f t="shared" si="1097"/>
        <v>983.93110000000001</v>
      </c>
      <c r="S4169" s="560"/>
      <c r="T4169" s="506">
        <v>36</v>
      </c>
      <c r="U4169" s="765"/>
      <c r="V4169" s="291">
        <f t="shared" ca="1" si="1093"/>
        <v>11600.333000000013</v>
      </c>
      <c r="W4169" s="256">
        <f t="shared" ca="1" si="1094"/>
        <v>2</v>
      </c>
      <c r="X4169" s="256">
        <f t="shared" ca="1" si="1095"/>
        <v>1</v>
      </c>
      <c r="Y4169" s="336"/>
      <c r="Z4169" s="336"/>
    </row>
    <row r="4170" spans="1:26" s="337" customFormat="1" ht="15.75" x14ac:dyDescent="0.2">
      <c r="A4170" s="866"/>
      <c r="B4170" s="512"/>
      <c r="C4170" s="782" t="s">
        <v>976</v>
      </c>
      <c r="D4170" s="756"/>
      <c r="E4170" s="757"/>
      <c r="F4170" s="758"/>
      <c r="G4170" s="756"/>
      <c r="H4170" s="757"/>
      <c r="I4170" s="758"/>
      <c r="J4170" s="783"/>
      <c r="K4170" s="1004">
        <v>758.66399999999999</v>
      </c>
      <c r="L4170" s="317"/>
      <c r="M4170" s="315"/>
      <c r="N4170" s="314"/>
      <c r="O4170" s="313"/>
      <c r="P4170" s="318"/>
      <c r="Q4170" s="832">
        <v>1.55</v>
      </c>
      <c r="R4170" s="893">
        <f t="shared" si="1097"/>
        <v>1175.9292</v>
      </c>
      <c r="S4170" s="560"/>
      <c r="T4170" s="506">
        <v>36</v>
      </c>
      <c r="U4170" s="765"/>
      <c r="V4170" s="291">
        <f t="shared" ca="1" si="1093"/>
        <v>11600.333000000013</v>
      </c>
      <c r="W4170" s="256">
        <f t="shared" ca="1" si="1094"/>
        <v>2</v>
      </c>
      <c r="X4170" s="256">
        <f t="shared" ca="1" si="1095"/>
        <v>1</v>
      </c>
      <c r="Y4170" s="336"/>
      <c r="Z4170" s="336"/>
    </row>
    <row r="4171" spans="1:26" s="337" customFormat="1" ht="15.75" x14ac:dyDescent="0.2">
      <c r="A4171" s="866"/>
      <c r="B4171" s="512"/>
      <c r="C4171" s="782"/>
      <c r="D4171" s="1064"/>
      <c r="E4171" s="1065"/>
      <c r="F4171" s="1066"/>
      <c r="G4171" s="1064"/>
      <c r="H4171" s="1065"/>
      <c r="I4171" s="1066"/>
      <c r="J4171" s="783"/>
      <c r="K4171" s="1004"/>
      <c r="L4171" s="427"/>
      <c r="M4171" s="513"/>
      <c r="N4171" s="520"/>
      <c r="O4171" s="519"/>
      <c r="P4171" s="428"/>
      <c r="Q4171" s="832"/>
      <c r="R4171" s="893"/>
      <c r="S4171" s="774"/>
      <c r="T4171" s="792"/>
      <c r="U4171" s="765"/>
      <c r="V4171" s="291">
        <f t="shared" ca="1" si="1093"/>
        <v>11600.333000000013</v>
      </c>
      <c r="W4171" s="256">
        <f t="shared" ca="1" si="1094"/>
        <v>0</v>
      </c>
      <c r="X4171" s="256">
        <f t="shared" ca="1" si="1095"/>
        <v>1</v>
      </c>
      <c r="Y4171" s="336"/>
      <c r="Z4171" s="336"/>
    </row>
    <row r="4172" spans="1:26" s="337" customFormat="1" ht="15.75" x14ac:dyDescent="0.2">
      <c r="A4172" s="866"/>
      <c r="B4172" s="512"/>
      <c r="C4172" s="1047" t="s">
        <v>1213</v>
      </c>
      <c r="D4172" s="756"/>
      <c r="E4172" s="757"/>
      <c r="F4172" s="758"/>
      <c r="G4172" s="756"/>
      <c r="H4172" s="757"/>
      <c r="I4172" s="758"/>
      <c r="J4172" s="1048"/>
      <c r="K4172" s="1049"/>
      <c r="L4172" s="560"/>
      <c r="M4172" s="752"/>
      <c r="N4172" s="552"/>
      <c r="O4172" s="738"/>
      <c r="P4172" s="565"/>
      <c r="Q4172" s="1050"/>
      <c r="R4172" s="558"/>
      <c r="S4172" s="560"/>
      <c r="T4172" s="506">
        <v>37</v>
      </c>
      <c r="U4172" s="765"/>
      <c r="V4172" s="291">
        <f t="shared" ca="1" si="1093"/>
        <v>11600.333000000013</v>
      </c>
      <c r="W4172" s="256">
        <f t="shared" ca="1" si="1094"/>
        <v>2</v>
      </c>
      <c r="X4172" s="256">
        <f t="shared" ca="1" si="1095"/>
        <v>1</v>
      </c>
      <c r="Y4172" s="336"/>
      <c r="Z4172" s="336"/>
    </row>
    <row r="4173" spans="1:26" s="337" customFormat="1" ht="15.75" x14ac:dyDescent="0.2">
      <c r="A4173" s="866"/>
      <c r="B4173" s="512"/>
      <c r="C4173" s="782" t="s">
        <v>920</v>
      </c>
      <c r="D4173" s="756"/>
      <c r="E4173" s="757"/>
      <c r="F4173" s="758"/>
      <c r="G4173" s="756"/>
      <c r="H4173" s="757"/>
      <c r="I4173" s="758"/>
      <c r="J4173" s="783"/>
      <c r="K4173" s="1051">
        <v>163.80000000000001</v>
      </c>
      <c r="L4173" s="317"/>
      <c r="M4173" s="315"/>
      <c r="N4173" s="314"/>
      <c r="O4173" s="313"/>
      <c r="P4173" s="318"/>
      <c r="Q4173" s="313">
        <v>1.55</v>
      </c>
      <c r="R4173" s="875">
        <f t="shared" ref="R4173:R4175" si="1098">K4173*Q4173</f>
        <v>253.89000000000001</v>
      </c>
      <c r="S4173" s="560"/>
      <c r="T4173" s="506">
        <v>37</v>
      </c>
      <c r="U4173" s="765"/>
      <c r="V4173" s="291">
        <f t="shared" ca="1" si="1093"/>
        <v>11600.333000000013</v>
      </c>
      <c r="W4173" s="256">
        <f t="shared" ca="1" si="1094"/>
        <v>2</v>
      </c>
      <c r="X4173" s="256">
        <f t="shared" ca="1" si="1095"/>
        <v>1</v>
      </c>
      <c r="Y4173" s="336"/>
      <c r="Z4173" s="336"/>
    </row>
    <row r="4174" spans="1:26" s="337" customFormat="1" ht="15.75" x14ac:dyDescent="0.2">
      <c r="A4174" s="866"/>
      <c r="B4174" s="512"/>
      <c r="C4174" s="782" t="s">
        <v>975</v>
      </c>
      <c r="D4174" s="756"/>
      <c r="E4174" s="757"/>
      <c r="F4174" s="758"/>
      <c r="G4174" s="756"/>
      <c r="H4174" s="757"/>
      <c r="I4174" s="758"/>
      <c r="J4174" s="783"/>
      <c r="K4174" s="1004">
        <v>3070.77</v>
      </c>
      <c r="L4174" s="317"/>
      <c r="M4174" s="315"/>
      <c r="N4174" s="314"/>
      <c r="O4174" s="313"/>
      <c r="P4174" s="318"/>
      <c r="Q4174" s="832">
        <v>1.7</v>
      </c>
      <c r="R4174" s="893">
        <f t="shared" si="1098"/>
        <v>5220.3090000000002</v>
      </c>
      <c r="S4174" s="560"/>
      <c r="T4174" s="506">
        <v>37</v>
      </c>
      <c r="U4174" s="765"/>
      <c r="V4174" s="291">
        <f t="shared" ca="1" si="1093"/>
        <v>11600.333000000013</v>
      </c>
      <c r="W4174" s="256">
        <f t="shared" ca="1" si="1094"/>
        <v>2</v>
      </c>
      <c r="X4174" s="256">
        <f t="shared" ca="1" si="1095"/>
        <v>1</v>
      </c>
      <c r="Y4174" s="336"/>
      <c r="Z4174" s="336"/>
    </row>
    <row r="4175" spans="1:26" s="337" customFormat="1" ht="15.75" x14ac:dyDescent="0.2">
      <c r="A4175" s="866"/>
      <c r="B4175" s="512"/>
      <c r="C4175" s="782" t="s">
        <v>976</v>
      </c>
      <c r="D4175" s="756"/>
      <c r="E4175" s="757"/>
      <c r="F4175" s="758"/>
      <c r="G4175" s="756"/>
      <c r="H4175" s="757"/>
      <c r="I4175" s="758"/>
      <c r="J4175" s="783"/>
      <c r="K4175" s="1004">
        <v>399.1</v>
      </c>
      <c r="L4175" s="317"/>
      <c r="M4175" s="315"/>
      <c r="N4175" s="314"/>
      <c r="O4175" s="313"/>
      <c r="P4175" s="318"/>
      <c r="Q4175" s="832">
        <v>1.55</v>
      </c>
      <c r="R4175" s="893">
        <f t="shared" si="1098"/>
        <v>618.60500000000002</v>
      </c>
      <c r="S4175" s="560"/>
      <c r="T4175" s="506">
        <v>37</v>
      </c>
      <c r="U4175" s="765"/>
      <c r="V4175" s="291">
        <f t="shared" ca="1" si="1093"/>
        <v>11600.333000000013</v>
      </c>
      <c r="W4175" s="256">
        <f t="shared" ca="1" si="1094"/>
        <v>2</v>
      </c>
      <c r="X4175" s="256">
        <f t="shared" ca="1" si="1095"/>
        <v>1</v>
      </c>
      <c r="Y4175" s="336"/>
      <c r="Z4175" s="336"/>
    </row>
    <row r="4176" spans="1:26" s="337" customFormat="1" ht="15.75" x14ac:dyDescent="0.2">
      <c r="A4176" s="866"/>
      <c r="B4176" s="512"/>
      <c r="C4176" s="782"/>
      <c r="D4176" s="1064"/>
      <c r="E4176" s="1065"/>
      <c r="F4176" s="1066"/>
      <c r="G4176" s="1064"/>
      <c r="H4176" s="1065"/>
      <c r="I4176" s="1066"/>
      <c r="J4176" s="783"/>
      <c r="K4176" s="1004"/>
      <c r="L4176" s="427"/>
      <c r="M4176" s="513"/>
      <c r="N4176" s="520"/>
      <c r="O4176" s="519"/>
      <c r="P4176" s="428"/>
      <c r="Q4176" s="832"/>
      <c r="R4176" s="893"/>
      <c r="S4176" s="774"/>
      <c r="T4176" s="792"/>
      <c r="U4176" s="765"/>
      <c r="V4176" s="291">
        <f t="shared" ca="1" si="1093"/>
        <v>11600.333000000013</v>
      </c>
      <c r="W4176" s="256">
        <f t="shared" ca="1" si="1094"/>
        <v>0</v>
      </c>
      <c r="X4176" s="256">
        <f t="shared" ca="1" si="1095"/>
        <v>1</v>
      </c>
      <c r="Y4176" s="336"/>
      <c r="Z4176" s="336"/>
    </row>
    <row r="4177" spans="1:26" s="337" customFormat="1" ht="15.75" x14ac:dyDescent="0.2">
      <c r="A4177" s="866"/>
      <c r="B4177" s="512"/>
      <c r="C4177" s="1047" t="s">
        <v>1229</v>
      </c>
      <c r="D4177" s="756"/>
      <c r="E4177" s="757"/>
      <c r="F4177" s="758"/>
      <c r="G4177" s="756"/>
      <c r="H4177" s="757"/>
      <c r="I4177" s="758"/>
      <c r="J4177" s="1048"/>
      <c r="K4177" s="1049"/>
      <c r="L4177" s="560"/>
      <c r="M4177" s="752"/>
      <c r="N4177" s="552"/>
      <c r="O4177" s="738"/>
      <c r="P4177" s="565"/>
      <c r="Q4177" s="1050"/>
      <c r="R4177" s="558"/>
      <c r="S4177" s="560"/>
      <c r="T4177" s="506">
        <v>38</v>
      </c>
      <c r="U4177" s="765"/>
      <c r="V4177" s="291">
        <f t="shared" ca="1" si="1093"/>
        <v>11600.333000000013</v>
      </c>
      <c r="W4177" s="256">
        <f t="shared" ca="1" si="1094"/>
        <v>2</v>
      </c>
      <c r="X4177" s="256">
        <f t="shared" ca="1" si="1095"/>
        <v>1</v>
      </c>
      <c r="Y4177" s="336"/>
      <c r="Z4177" s="336"/>
    </row>
    <row r="4178" spans="1:26" s="337" customFormat="1" ht="15.75" x14ac:dyDescent="0.2">
      <c r="A4178" s="866"/>
      <c r="B4178" s="512"/>
      <c r="C4178" s="782" t="s">
        <v>920</v>
      </c>
      <c r="D4178" s="756"/>
      <c r="E4178" s="757"/>
      <c r="F4178" s="758"/>
      <c r="G4178" s="756"/>
      <c r="H4178" s="757"/>
      <c r="I4178" s="758"/>
      <c r="J4178" s="783"/>
      <c r="K4178" s="1051">
        <v>239.94</v>
      </c>
      <c r="L4178" s="317"/>
      <c r="M4178" s="315"/>
      <c r="N4178" s="314"/>
      <c r="O4178" s="313"/>
      <c r="P4178" s="318"/>
      <c r="Q4178" s="313">
        <v>1.55</v>
      </c>
      <c r="R4178" s="875">
        <f t="shared" ref="R4178:R4180" si="1099">K4178*Q4178</f>
        <v>371.90699999999998</v>
      </c>
      <c r="S4178" s="560"/>
      <c r="T4178" s="506">
        <v>38</v>
      </c>
      <c r="U4178" s="765"/>
      <c r="V4178" s="291">
        <f t="shared" ca="1" si="1093"/>
        <v>11600.333000000013</v>
      </c>
      <c r="W4178" s="256">
        <f t="shared" ca="1" si="1094"/>
        <v>2</v>
      </c>
      <c r="X4178" s="256">
        <f t="shared" ca="1" si="1095"/>
        <v>1</v>
      </c>
      <c r="Y4178" s="336"/>
      <c r="Z4178" s="336"/>
    </row>
    <row r="4179" spans="1:26" s="337" customFormat="1" ht="15.75" x14ac:dyDescent="0.2">
      <c r="A4179" s="866"/>
      <c r="B4179" s="512"/>
      <c r="C4179" s="782" t="s">
        <v>975</v>
      </c>
      <c r="D4179" s="756"/>
      <c r="E4179" s="757"/>
      <c r="F4179" s="758"/>
      <c r="G4179" s="756"/>
      <c r="H4179" s="757"/>
      <c r="I4179" s="758"/>
      <c r="J4179" s="783"/>
      <c r="K4179" s="1004">
        <v>47.478000000000002</v>
      </c>
      <c r="L4179" s="317"/>
      <c r="M4179" s="315"/>
      <c r="N4179" s="314"/>
      <c r="O4179" s="313"/>
      <c r="P4179" s="318"/>
      <c r="Q4179" s="832">
        <v>1.7</v>
      </c>
      <c r="R4179" s="893">
        <f t="shared" si="1099"/>
        <v>80.712599999999995</v>
      </c>
      <c r="S4179" s="560"/>
      <c r="T4179" s="506">
        <v>38</v>
      </c>
      <c r="U4179" s="765"/>
      <c r="V4179" s="291">
        <f t="shared" ca="1" si="1093"/>
        <v>11600.333000000013</v>
      </c>
      <c r="W4179" s="256">
        <f t="shared" ca="1" si="1094"/>
        <v>2</v>
      </c>
      <c r="X4179" s="256">
        <f t="shared" ca="1" si="1095"/>
        <v>1</v>
      </c>
      <c r="Y4179" s="336"/>
      <c r="Z4179" s="336"/>
    </row>
    <row r="4180" spans="1:26" s="337" customFormat="1" ht="15.75" x14ac:dyDescent="0.2">
      <c r="A4180" s="866"/>
      <c r="B4180" s="512"/>
      <c r="C4180" s="782" t="s">
        <v>976</v>
      </c>
      <c r="D4180" s="756"/>
      <c r="E4180" s="757"/>
      <c r="F4180" s="758"/>
      <c r="G4180" s="756"/>
      <c r="H4180" s="757"/>
      <c r="I4180" s="758"/>
      <c r="J4180" s="783"/>
      <c r="K4180" s="1004">
        <v>358.34699999999998</v>
      </c>
      <c r="L4180" s="317"/>
      <c r="M4180" s="315"/>
      <c r="N4180" s="314"/>
      <c r="O4180" s="313"/>
      <c r="P4180" s="318"/>
      <c r="Q4180" s="832">
        <v>1.55</v>
      </c>
      <c r="R4180" s="893">
        <f t="shared" si="1099"/>
        <v>555.43785000000003</v>
      </c>
      <c r="S4180" s="560"/>
      <c r="T4180" s="506">
        <v>38</v>
      </c>
      <c r="U4180" s="765"/>
      <c r="V4180" s="291">
        <f t="shared" ca="1" si="1093"/>
        <v>11600.333000000013</v>
      </c>
      <c r="W4180" s="256">
        <f t="shared" ca="1" si="1094"/>
        <v>2</v>
      </c>
      <c r="X4180" s="256">
        <f t="shared" ca="1" si="1095"/>
        <v>1</v>
      </c>
      <c r="Y4180" s="336"/>
      <c r="Z4180" s="336"/>
    </row>
    <row r="4181" spans="1:26" s="337" customFormat="1" ht="15.75" x14ac:dyDescent="0.2">
      <c r="A4181" s="866"/>
      <c r="B4181" s="512"/>
      <c r="C4181" s="782"/>
      <c r="D4181" s="1064"/>
      <c r="E4181" s="1065"/>
      <c r="F4181" s="1066"/>
      <c r="G4181" s="1064"/>
      <c r="H4181" s="1065"/>
      <c r="I4181" s="1066"/>
      <c r="J4181" s="783"/>
      <c r="K4181" s="1004"/>
      <c r="L4181" s="427"/>
      <c r="M4181" s="513"/>
      <c r="N4181" s="520"/>
      <c r="O4181" s="519"/>
      <c r="P4181" s="428"/>
      <c r="Q4181" s="832"/>
      <c r="R4181" s="893"/>
      <c r="S4181" s="774"/>
      <c r="T4181" s="792"/>
      <c r="U4181" s="765"/>
      <c r="V4181" s="291">
        <f t="shared" ca="1" si="1093"/>
        <v>11600.333000000013</v>
      </c>
      <c r="W4181" s="256">
        <f t="shared" ca="1" si="1094"/>
        <v>0</v>
      </c>
      <c r="X4181" s="256">
        <f t="shared" ca="1" si="1095"/>
        <v>1</v>
      </c>
      <c r="Y4181" s="336"/>
      <c r="Z4181" s="336"/>
    </row>
    <row r="4182" spans="1:26" s="337" customFormat="1" ht="15.75" x14ac:dyDescent="0.2">
      <c r="A4182" s="866"/>
      <c r="B4182" s="512"/>
      <c r="C4182" s="1047" t="s">
        <v>1274</v>
      </c>
      <c r="D4182" s="756"/>
      <c r="E4182" s="757"/>
      <c r="F4182" s="758"/>
      <c r="G4182" s="756"/>
      <c r="H4182" s="757"/>
      <c r="I4182" s="758"/>
      <c r="J4182" s="1048"/>
      <c r="K4182" s="1049"/>
      <c r="L4182" s="1109"/>
      <c r="M4182" s="752"/>
      <c r="N4182" s="552"/>
      <c r="O4182" s="738"/>
      <c r="P4182" s="565"/>
      <c r="Q4182" s="1050"/>
      <c r="R4182" s="558"/>
      <c r="S4182" s="1109"/>
      <c r="T4182" s="506">
        <v>39</v>
      </c>
      <c r="U4182" s="765"/>
      <c r="V4182" s="291">
        <f t="shared" ca="1" si="1093"/>
        <v>11600.333000000013</v>
      </c>
      <c r="W4182" s="256">
        <f t="shared" ca="1" si="1094"/>
        <v>2</v>
      </c>
      <c r="X4182" s="256">
        <f t="shared" ca="1" si="1095"/>
        <v>1</v>
      </c>
      <c r="Y4182" s="336"/>
      <c r="Z4182" s="336"/>
    </row>
    <row r="4183" spans="1:26" s="337" customFormat="1" ht="15.75" x14ac:dyDescent="0.2">
      <c r="A4183" s="866"/>
      <c r="B4183" s="512"/>
      <c r="C4183" s="782" t="s">
        <v>920</v>
      </c>
      <c r="D4183" s="756"/>
      <c r="E4183" s="757"/>
      <c r="F4183" s="758"/>
      <c r="G4183" s="756"/>
      <c r="H4183" s="757"/>
      <c r="I4183" s="758"/>
      <c r="J4183" s="783"/>
      <c r="K4183" s="1051">
        <v>359.44</v>
      </c>
      <c r="L4183" s="317"/>
      <c r="M4183" s="315"/>
      <c r="N4183" s="314"/>
      <c r="O4183" s="313"/>
      <c r="P4183" s="318"/>
      <c r="Q4183" s="313">
        <v>1.55</v>
      </c>
      <c r="R4183" s="875">
        <f t="shared" ref="R4183:R4185" si="1100">K4183*Q4183</f>
        <v>557.13200000000006</v>
      </c>
      <c r="S4183" s="1109"/>
      <c r="T4183" s="506">
        <v>39</v>
      </c>
      <c r="U4183" s="765"/>
      <c r="V4183" s="291">
        <f t="shared" ca="1" si="1093"/>
        <v>11600.333000000013</v>
      </c>
      <c r="W4183" s="256">
        <f t="shared" ca="1" si="1094"/>
        <v>2</v>
      </c>
      <c r="X4183" s="256">
        <f t="shared" ca="1" si="1095"/>
        <v>1</v>
      </c>
      <c r="Y4183" s="336"/>
      <c r="Z4183" s="336"/>
    </row>
    <row r="4184" spans="1:26" s="337" customFormat="1" ht="15.75" x14ac:dyDescent="0.2">
      <c r="A4184" s="866"/>
      <c r="B4184" s="512"/>
      <c r="C4184" s="782" t="s">
        <v>975</v>
      </c>
      <c r="D4184" s="756"/>
      <c r="E4184" s="757"/>
      <c r="F4184" s="758"/>
      <c r="G4184" s="756"/>
      <c r="H4184" s="757"/>
      <c r="I4184" s="758"/>
      <c r="J4184" s="783"/>
      <c r="K4184" s="1004"/>
      <c r="L4184" s="317"/>
      <c r="M4184" s="315"/>
      <c r="N4184" s="314"/>
      <c r="O4184" s="313"/>
      <c r="P4184" s="318"/>
      <c r="Q4184" s="832">
        <v>1.7</v>
      </c>
      <c r="R4184" s="893">
        <f t="shared" si="1100"/>
        <v>0</v>
      </c>
      <c r="S4184" s="1109"/>
      <c r="T4184" s="506">
        <v>39</v>
      </c>
      <c r="U4184" s="765"/>
      <c r="V4184" s="291">
        <f t="shared" ca="1" si="1093"/>
        <v>11600.333000000013</v>
      </c>
      <c r="W4184" s="256">
        <f t="shared" ca="1" si="1094"/>
        <v>2</v>
      </c>
      <c r="X4184" s="256">
        <f t="shared" ca="1" si="1095"/>
        <v>1</v>
      </c>
      <c r="Y4184" s="336"/>
      <c r="Z4184" s="336"/>
    </row>
    <row r="4185" spans="1:26" s="337" customFormat="1" ht="15.75" x14ac:dyDescent="0.2">
      <c r="A4185" s="866"/>
      <c r="B4185" s="512"/>
      <c r="C4185" s="782" t="s">
        <v>976</v>
      </c>
      <c r="D4185" s="756"/>
      <c r="E4185" s="757"/>
      <c r="F4185" s="758"/>
      <c r="G4185" s="756"/>
      <c r="H4185" s="757"/>
      <c r="I4185" s="758"/>
      <c r="J4185" s="783"/>
      <c r="K4185" s="1004"/>
      <c r="L4185" s="317"/>
      <c r="M4185" s="315"/>
      <c r="N4185" s="314"/>
      <c r="O4185" s="313"/>
      <c r="P4185" s="318"/>
      <c r="Q4185" s="832">
        <v>1.55</v>
      </c>
      <c r="R4185" s="893">
        <f t="shared" si="1100"/>
        <v>0</v>
      </c>
      <c r="S4185" s="1109"/>
      <c r="T4185" s="506">
        <v>39</v>
      </c>
      <c r="U4185" s="765"/>
      <c r="V4185" s="291">
        <f t="shared" ca="1" si="1093"/>
        <v>11600.333000000013</v>
      </c>
      <c r="W4185" s="256">
        <f t="shared" ca="1" si="1094"/>
        <v>2</v>
      </c>
      <c r="X4185" s="256">
        <f t="shared" ca="1" si="1095"/>
        <v>1</v>
      </c>
      <c r="Y4185" s="336"/>
      <c r="Z4185" s="336"/>
    </row>
    <row r="4186" spans="1:26" s="337" customFormat="1" ht="15.75" x14ac:dyDescent="0.2">
      <c r="A4186" s="866"/>
      <c r="B4186" s="512"/>
      <c r="C4186" s="782"/>
      <c r="D4186" s="1064"/>
      <c r="E4186" s="1065"/>
      <c r="F4186" s="1066"/>
      <c r="G4186" s="1064"/>
      <c r="H4186" s="1065"/>
      <c r="I4186" s="1066"/>
      <c r="J4186" s="783"/>
      <c r="K4186" s="1004"/>
      <c r="L4186" s="1110"/>
      <c r="M4186" s="513"/>
      <c r="N4186" s="520"/>
      <c r="O4186" s="519"/>
      <c r="P4186" s="428"/>
      <c r="Q4186" s="832"/>
      <c r="R4186" s="893"/>
      <c r="S4186" s="774"/>
      <c r="T4186" s="792"/>
      <c r="U4186" s="765"/>
      <c r="V4186" s="291">
        <f t="shared" ca="1" si="1093"/>
        <v>11600.333000000013</v>
      </c>
      <c r="W4186" s="256">
        <f t="shared" ca="1" si="1094"/>
        <v>0</v>
      </c>
      <c r="X4186" s="256">
        <f t="shared" ca="1" si="1095"/>
        <v>1</v>
      </c>
      <c r="Y4186" s="336"/>
      <c r="Z4186" s="336"/>
    </row>
    <row r="4187" spans="1:26" s="337" customFormat="1" ht="15.75" x14ac:dyDescent="0.2">
      <c r="A4187" s="866"/>
      <c r="B4187" s="512"/>
      <c r="C4187" s="1047" t="s">
        <v>1293</v>
      </c>
      <c r="D4187" s="756"/>
      <c r="E4187" s="757"/>
      <c r="F4187" s="758"/>
      <c r="G4187" s="756"/>
      <c r="H4187" s="757"/>
      <c r="I4187" s="758"/>
      <c r="J4187" s="1048"/>
      <c r="K4187" s="1155"/>
      <c r="L4187" s="1109"/>
      <c r="M4187" s="738"/>
      <c r="N4187" s="1109"/>
      <c r="O4187" s="738"/>
      <c r="P4187" s="565"/>
      <c r="Q4187" s="1050"/>
      <c r="R4187" s="558"/>
      <c r="S4187" s="1109"/>
      <c r="T4187" s="506">
        <v>40</v>
      </c>
      <c r="U4187" s="765"/>
      <c r="V4187" s="291">
        <f t="shared" ca="1" si="1093"/>
        <v>11600.333000000013</v>
      </c>
      <c r="W4187" s="256">
        <f t="shared" ca="1" si="1094"/>
        <v>2</v>
      </c>
      <c r="X4187" s="256">
        <f t="shared" ca="1" si="1095"/>
        <v>1</v>
      </c>
      <c r="Y4187" s="336"/>
      <c r="Z4187" s="336"/>
    </row>
    <row r="4188" spans="1:26" s="337" customFormat="1" ht="15.75" x14ac:dyDescent="0.2">
      <c r="A4188" s="866"/>
      <c r="B4188" s="512"/>
      <c r="C4188" s="782" t="s">
        <v>920</v>
      </c>
      <c r="D4188" s="756"/>
      <c r="E4188" s="757"/>
      <c r="F4188" s="758"/>
      <c r="G4188" s="756"/>
      <c r="H4188" s="757"/>
      <c r="I4188" s="758"/>
      <c r="J4188" s="783"/>
      <c r="K4188" s="1051">
        <v>160.91999999999999</v>
      </c>
      <c r="L4188" s="317"/>
      <c r="M4188" s="313"/>
      <c r="N4188" s="317"/>
      <c r="O4188" s="313"/>
      <c r="P4188" s="318"/>
      <c r="Q4188" s="313">
        <v>1.55</v>
      </c>
      <c r="R4188" s="875">
        <f t="shared" ref="R4188:R4190" si="1101">K4188*Q4188</f>
        <v>249.42599999999999</v>
      </c>
      <c r="S4188" s="1109"/>
      <c r="T4188" s="506">
        <v>40</v>
      </c>
      <c r="U4188" s="765"/>
      <c r="V4188" s="291">
        <f t="shared" ca="1" si="1093"/>
        <v>11600.333000000013</v>
      </c>
      <c r="W4188" s="256">
        <f t="shared" ca="1" si="1094"/>
        <v>2</v>
      </c>
      <c r="X4188" s="256">
        <f t="shared" ca="1" si="1095"/>
        <v>1</v>
      </c>
      <c r="Y4188" s="336"/>
      <c r="Z4188" s="336"/>
    </row>
    <row r="4189" spans="1:26" s="337" customFormat="1" ht="15.75" x14ac:dyDescent="0.2">
      <c r="A4189" s="866"/>
      <c r="B4189" s="512"/>
      <c r="C4189" s="782" t="s">
        <v>975</v>
      </c>
      <c r="D4189" s="756"/>
      <c r="E4189" s="757"/>
      <c r="F4189" s="758"/>
      <c r="G4189" s="756"/>
      <c r="H4189" s="757"/>
      <c r="I4189" s="758"/>
      <c r="J4189" s="783"/>
      <c r="K4189" s="1004">
        <v>412.36099999999999</v>
      </c>
      <c r="L4189" s="317"/>
      <c r="M4189" s="313"/>
      <c r="N4189" s="317"/>
      <c r="O4189" s="313"/>
      <c r="P4189" s="318"/>
      <c r="Q4189" s="832">
        <v>1.7</v>
      </c>
      <c r="R4189" s="893">
        <f t="shared" si="1101"/>
        <v>701.01369999999997</v>
      </c>
      <c r="S4189" s="1109"/>
      <c r="T4189" s="506">
        <v>40</v>
      </c>
      <c r="U4189" s="765"/>
      <c r="V4189" s="291">
        <f t="shared" ca="1" si="1093"/>
        <v>11600.333000000013</v>
      </c>
      <c r="W4189" s="256">
        <f t="shared" ca="1" si="1094"/>
        <v>2</v>
      </c>
      <c r="X4189" s="256">
        <f t="shared" ca="1" si="1095"/>
        <v>1</v>
      </c>
      <c r="Y4189" s="336"/>
      <c r="Z4189" s="336"/>
    </row>
    <row r="4190" spans="1:26" s="337" customFormat="1" ht="15.75" x14ac:dyDescent="0.2">
      <c r="A4190" s="866"/>
      <c r="B4190" s="512"/>
      <c r="C4190" s="782" t="s">
        <v>976</v>
      </c>
      <c r="D4190" s="756"/>
      <c r="E4190" s="757"/>
      <c r="F4190" s="758"/>
      <c r="G4190" s="756"/>
      <c r="H4190" s="757"/>
      <c r="I4190" s="758"/>
      <c r="J4190" s="783"/>
      <c r="K4190" s="1004"/>
      <c r="L4190" s="317"/>
      <c r="M4190" s="313"/>
      <c r="N4190" s="317"/>
      <c r="O4190" s="313"/>
      <c r="P4190" s="318"/>
      <c r="Q4190" s="832">
        <v>1.55</v>
      </c>
      <c r="R4190" s="893">
        <f t="shared" si="1101"/>
        <v>0</v>
      </c>
      <c r="S4190" s="1109"/>
      <c r="T4190" s="506">
        <v>40</v>
      </c>
      <c r="U4190" s="765"/>
      <c r="V4190" s="291">
        <f t="shared" ca="1" si="1093"/>
        <v>11600.333000000013</v>
      </c>
      <c r="W4190" s="256">
        <f t="shared" ca="1" si="1094"/>
        <v>2</v>
      </c>
      <c r="X4190" s="256">
        <f t="shared" ca="1" si="1095"/>
        <v>1</v>
      </c>
      <c r="Y4190" s="336"/>
      <c r="Z4190" s="336"/>
    </row>
    <row r="4191" spans="1:26" s="337" customFormat="1" ht="15.75" x14ac:dyDescent="0.2">
      <c r="A4191" s="866"/>
      <c r="B4191" s="512"/>
      <c r="C4191" s="782"/>
      <c r="D4191" s="1168"/>
      <c r="E4191" s="1065"/>
      <c r="F4191" s="1066"/>
      <c r="G4191" s="1168"/>
      <c r="H4191" s="1065"/>
      <c r="I4191" s="1066"/>
      <c r="J4191" s="783"/>
      <c r="K4191" s="1004"/>
      <c r="L4191" s="1110"/>
      <c r="M4191" s="520"/>
      <c r="N4191" s="520"/>
      <c r="O4191" s="519"/>
      <c r="P4191" s="428"/>
      <c r="Q4191" s="832"/>
      <c r="R4191" s="893"/>
      <c r="S4191" s="774"/>
      <c r="T4191" s="792"/>
      <c r="U4191" s="765"/>
      <c r="V4191" s="291">
        <f t="shared" ca="1" si="1093"/>
        <v>11600.333000000013</v>
      </c>
      <c r="W4191" s="256">
        <f t="shared" ca="1" si="1094"/>
        <v>0</v>
      </c>
      <c r="X4191" s="256">
        <f t="shared" ca="1" si="1095"/>
        <v>1</v>
      </c>
      <c r="Y4191" s="336"/>
      <c r="Z4191" s="336"/>
    </row>
    <row r="4192" spans="1:26" s="337" customFormat="1" ht="15.75" x14ac:dyDescent="0.2">
      <c r="A4192" s="866"/>
      <c r="B4192" s="512"/>
      <c r="C4192" s="1047" t="s">
        <v>1311</v>
      </c>
      <c r="D4192" s="756"/>
      <c r="E4192" s="757"/>
      <c r="F4192" s="758"/>
      <c r="G4192" s="756"/>
      <c r="H4192" s="757"/>
      <c r="I4192" s="758"/>
      <c r="J4192" s="1048"/>
      <c r="K4192" s="1155"/>
      <c r="L4192" s="1109"/>
      <c r="M4192" s="738"/>
      <c r="N4192" s="1109"/>
      <c r="O4192" s="738"/>
      <c r="P4192" s="565"/>
      <c r="Q4192" s="1050"/>
      <c r="R4192" s="558"/>
      <c r="S4192" s="1109"/>
      <c r="T4192" s="506">
        <v>41</v>
      </c>
      <c r="U4192" s="765"/>
      <c r="V4192" s="291">
        <f t="shared" ca="1" si="1093"/>
        <v>11600.333000000013</v>
      </c>
      <c r="W4192" s="256">
        <f t="shared" ca="1" si="1094"/>
        <v>2</v>
      </c>
      <c r="X4192" s="256">
        <f t="shared" ca="1" si="1095"/>
        <v>1</v>
      </c>
      <c r="Y4192" s="336"/>
      <c r="Z4192" s="336"/>
    </row>
    <row r="4193" spans="1:26" s="337" customFormat="1" ht="15.75" x14ac:dyDescent="0.2">
      <c r="A4193" s="866"/>
      <c r="B4193" s="512"/>
      <c r="C4193" s="782" t="s">
        <v>920</v>
      </c>
      <c r="D4193" s="756"/>
      <c r="E4193" s="757"/>
      <c r="F4193" s="758"/>
      <c r="G4193" s="756"/>
      <c r="H4193" s="757"/>
      <c r="I4193" s="758"/>
      <c r="J4193" s="783"/>
      <c r="K4193" s="1051">
        <v>127.56</v>
      </c>
      <c r="L4193" s="317"/>
      <c r="M4193" s="313"/>
      <c r="N4193" s="317"/>
      <c r="O4193" s="313"/>
      <c r="P4193" s="318"/>
      <c r="Q4193" s="313">
        <v>1.55</v>
      </c>
      <c r="R4193" s="875">
        <f t="shared" ref="R4193:R4195" si="1102">K4193*Q4193</f>
        <v>197.71800000000002</v>
      </c>
      <c r="S4193" s="1109"/>
      <c r="T4193" s="506">
        <v>41</v>
      </c>
      <c r="U4193" s="765"/>
      <c r="V4193" s="291">
        <f t="shared" ca="1" si="1093"/>
        <v>11600.333000000013</v>
      </c>
      <c r="W4193" s="256">
        <f t="shared" ca="1" si="1094"/>
        <v>2</v>
      </c>
      <c r="X4193" s="256">
        <f t="shared" ca="1" si="1095"/>
        <v>1</v>
      </c>
      <c r="Y4193" s="336"/>
      <c r="Z4193" s="336"/>
    </row>
    <row r="4194" spans="1:26" s="337" customFormat="1" ht="15.75" x14ac:dyDescent="0.2">
      <c r="A4194" s="866"/>
      <c r="B4194" s="512"/>
      <c r="C4194" s="782" t="s">
        <v>975</v>
      </c>
      <c r="D4194" s="756"/>
      <c r="E4194" s="757"/>
      <c r="F4194" s="758"/>
      <c r="G4194" s="756"/>
      <c r="H4194" s="757"/>
      <c r="I4194" s="758"/>
      <c r="J4194" s="783"/>
      <c r="K4194" s="1004">
        <v>648.97</v>
      </c>
      <c r="L4194" s="317"/>
      <c r="M4194" s="313"/>
      <c r="N4194" s="317"/>
      <c r="O4194" s="313"/>
      <c r="P4194" s="318"/>
      <c r="Q4194" s="832">
        <v>1.7</v>
      </c>
      <c r="R4194" s="893">
        <f t="shared" si="1102"/>
        <v>1103.249</v>
      </c>
      <c r="S4194" s="1109"/>
      <c r="T4194" s="506">
        <v>41</v>
      </c>
      <c r="U4194" s="765"/>
      <c r="V4194" s="291">
        <f t="shared" ca="1" si="1093"/>
        <v>11600.333000000013</v>
      </c>
      <c r="W4194" s="256">
        <f t="shared" ca="1" si="1094"/>
        <v>2</v>
      </c>
      <c r="X4194" s="256">
        <f t="shared" ca="1" si="1095"/>
        <v>1</v>
      </c>
      <c r="Y4194" s="336"/>
      <c r="Z4194" s="336"/>
    </row>
    <row r="4195" spans="1:26" s="337" customFormat="1" ht="15.75" x14ac:dyDescent="0.2">
      <c r="A4195" s="866"/>
      <c r="B4195" s="512"/>
      <c r="C4195" s="782" t="s">
        <v>976</v>
      </c>
      <c r="D4195" s="756"/>
      <c r="E4195" s="757"/>
      <c r="F4195" s="758"/>
      <c r="G4195" s="756"/>
      <c r="H4195" s="757"/>
      <c r="I4195" s="758"/>
      <c r="J4195" s="783"/>
      <c r="K4195" s="1004">
        <v>0</v>
      </c>
      <c r="L4195" s="317"/>
      <c r="M4195" s="313"/>
      <c r="N4195" s="317"/>
      <c r="O4195" s="313"/>
      <c r="P4195" s="318"/>
      <c r="Q4195" s="832">
        <v>1.55</v>
      </c>
      <c r="R4195" s="893">
        <f t="shared" si="1102"/>
        <v>0</v>
      </c>
      <c r="S4195" s="1109"/>
      <c r="T4195" s="506">
        <v>41</v>
      </c>
      <c r="U4195" s="765"/>
      <c r="V4195" s="291">
        <f t="shared" ca="1" si="1093"/>
        <v>11600.333000000013</v>
      </c>
      <c r="W4195" s="256">
        <f t="shared" ca="1" si="1094"/>
        <v>2</v>
      </c>
      <c r="X4195" s="256">
        <f t="shared" ca="1" si="1095"/>
        <v>1</v>
      </c>
      <c r="Y4195" s="336"/>
      <c r="Z4195" s="336"/>
    </row>
    <row r="4196" spans="1:26" s="337" customFormat="1" ht="15.75" x14ac:dyDescent="0.2">
      <c r="A4196" s="866"/>
      <c r="B4196" s="512"/>
      <c r="C4196" s="782"/>
      <c r="D4196" s="1064"/>
      <c r="E4196" s="1065"/>
      <c r="F4196" s="1066"/>
      <c r="G4196" s="1064"/>
      <c r="H4196" s="1065"/>
      <c r="I4196" s="1066"/>
      <c r="J4196" s="783"/>
      <c r="K4196" s="1004"/>
      <c r="L4196" s="1110"/>
      <c r="M4196" s="513"/>
      <c r="N4196" s="520"/>
      <c r="O4196" s="519"/>
      <c r="P4196" s="428"/>
      <c r="Q4196" s="832"/>
      <c r="R4196" s="893"/>
      <c r="S4196" s="774"/>
      <c r="T4196" s="792"/>
      <c r="U4196" s="765"/>
      <c r="V4196" s="291">
        <f t="shared" ca="1" si="1093"/>
        <v>11600.333000000013</v>
      </c>
      <c r="W4196" s="256">
        <f t="shared" ref="W4196:W4215" ca="1" si="1103">IF(LEFT(_xlfn.FORMULATEXT(V4196),3)="=SO",1,IF(COUNTA(A4196:U4196)=0,0,2))</f>
        <v>0</v>
      </c>
      <c r="X4196" s="256">
        <f t="shared" ref="X4196:X4215" ca="1" si="1104">IF(COUNTA(OFFSET(A4195,1,0))-COUNTA(A4195)=-1,0,1)</f>
        <v>1</v>
      </c>
      <c r="Y4196" s="336"/>
      <c r="Z4196" s="336"/>
    </row>
    <row r="4197" spans="1:26" s="337" customFormat="1" ht="15.75" x14ac:dyDescent="0.2">
      <c r="A4197" s="866"/>
      <c r="B4197" s="512"/>
      <c r="C4197" s="1047" t="s">
        <v>1319</v>
      </c>
      <c r="D4197" s="756"/>
      <c r="E4197" s="757"/>
      <c r="F4197" s="758"/>
      <c r="G4197" s="756"/>
      <c r="H4197" s="757"/>
      <c r="I4197" s="758"/>
      <c r="J4197" s="1048"/>
      <c r="K4197" s="1155"/>
      <c r="L4197" s="1109"/>
      <c r="M4197" s="738"/>
      <c r="N4197" s="1109"/>
      <c r="O4197" s="738"/>
      <c r="P4197" s="565"/>
      <c r="Q4197" s="1050"/>
      <c r="R4197" s="558"/>
      <c r="S4197" s="1109"/>
      <c r="T4197" s="506">
        <v>42</v>
      </c>
      <c r="U4197" s="765"/>
      <c r="V4197" s="291">
        <f t="shared" ca="1" si="1093"/>
        <v>11600.333000000013</v>
      </c>
      <c r="W4197" s="256">
        <f t="shared" ca="1" si="1103"/>
        <v>2</v>
      </c>
      <c r="X4197" s="256">
        <f t="shared" ca="1" si="1104"/>
        <v>1</v>
      </c>
      <c r="Y4197" s="336"/>
      <c r="Z4197" s="336"/>
    </row>
    <row r="4198" spans="1:26" s="337" customFormat="1" ht="15.75" x14ac:dyDescent="0.2">
      <c r="A4198" s="866"/>
      <c r="B4198" s="512"/>
      <c r="C4198" s="782" t="s">
        <v>920</v>
      </c>
      <c r="D4198" s="756"/>
      <c r="E4198" s="757"/>
      <c r="F4198" s="758"/>
      <c r="G4198" s="756"/>
      <c r="H4198" s="757"/>
      <c r="I4198" s="758"/>
      <c r="J4198" s="783"/>
      <c r="K4198" s="1051">
        <v>242.16</v>
      </c>
      <c r="L4198" s="317"/>
      <c r="M4198" s="313"/>
      <c r="N4198" s="317"/>
      <c r="O4198" s="313"/>
      <c r="P4198" s="318"/>
      <c r="Q4198" s="313">
        <v>1.55</v>
      </c>
      <c r="R4198" s="875">
        <f t="shared" ref="R4198:R4199" si="1105">K4198*Q4198</f>
        <v>375.34800000000001</v>
      </c>
      <c r="S4198" s="1109"/>
      <c r="T4198" s="506">
        <v>42</v>
      </c>
      <c r="U4198" s="765"/>
      <c r="V4198" s="291">
        <f t="shared" ca="1" si="1093"/>
        <v>11600.333000000013</v>
      </c>
      <c r="W4198" s="256">
        <f t="shared" ca="1" si="1103"/>
        <v>2</v>
      </c>
      <c r="X4198" s="256">
        <f t="shared" ca="1" si="1104"/>
        <v>1</v>
      </c>
      <c r="Y4198" s="336"/>
      <c r="Z4198" s="336"/>
    </row>
    <row r="4199" spans="1:26" s="337" customFormat="1" ht="15.75" x14ac:dyDescent="0.2">
      <c r="A4199" s="866"/>
      <c r="B4199" s="512"/>
      <c r="C4199" s="782" t="s">
        <v>975</v>
      </c>
      <c r="D4199" s="756"/>
      <c r="E4199" s="757"/>
      <c r="F4199" s="758"/>
      <c r="G4199" s="756"/>
      <c r="H4199" s="757"/>
      <c r="I4199" s="758"/>
      <c r="J4199" s="783"/>
      <c r="K4199" s="1004">
        <v>1032.3610000000001</v>
      </c>
      <c r="L4199" s="317"/>
      <c r="M4199" s="313"/>
      <c r="N4199" s="317"/>
      <c r="O4199" s="313"/>
      <c r="P4199" s="318"/>
      <c r="Q4199" s="832">
        <v>1.7</v>
      </c>
      <c r="R4199" s="893">
        <f t="shared" si="1105"/>
        <v>1755.0137000000002</v>
      </c>
      <c r="S4199" s="1109"/>
      <c r="T4199" s="506">
        <v>42</v>
      </c>
      <c r="U4199" s="765"/>
      <c r="V4199" s="291">
        <f t="shared" ca="1" si="1093"/>
        <v>11600.333000000013</v>
      </c>
      <c r="W4199" s="256">
        <f t="shared" ca="1" si="1103"/>
        <v>2</v>
      </c>
      <c r="X4199" s="256">
        <f t="shared" ca="1" si="1104"/>
        <v>1</v>
      </c>
      <c r="Y4199" s="336"/>
      <c r="Z4199" s="336"/>
    </row>
    <row r="4200" spans="1:26" s="337" customFormat="1" ht="15.75" x14ac:dyDescent="0.2">
      <c r="A4200" s="866"/>
      <c r="B4200" s="512"/>
      <c r="C4200" s="782" t="s">
        <v>976</v>
      </c>
      <c r="D4200" s="756"/>
      <c r="E4200" s="757"/>
      <c r="F4200" s="758"/>
      <c r="G4200" s="756"/>
      <c r="H4200" s="757"/>
      <c r="I4200" s="758"/>
      <c r="J4200" s="783"/>
      <c r="K4200" s="1004">
        <v>1445.961</v>
      </c>
      <c r="L4200" s="317"/>
      <c r="M4200" s="313"/>
      <c r="N4200" s="317"/>
      <c r="O4200" s="313"/>
      <c r="P4200" s="318"/>
      <c r="Q4200" s="832">
        <v>1.55</v>
      </c>
      <c r="R4200" s="893">
        <f>K4200*Q4200-1494.493</f>
        <v>746.7465500000003</v>
      </c>
      <c r="S4200" s="1109"/>
      <c r="T4200" s="506">
        <v>42</v>
      </c>
      <c r="U4200" s="765"/>
      <c r="V4200" s="291">
        <f t="shared" ca="1" si="1093"/>
        <v>11600.333000000013</v>
      </c>
      <c r="W4200" s="256">
        <f t="shared" ca="1" si="1103"/>
        <v>2</v>
      </c>
      <c r="X4200" s="256">
        <f t="shared" ca="1" si="1104"/>
        <v>1</v>
      </c>
      <c r="Y4200" s="336"/>
      <c r="Z4200" s="336"/>
    </row>
    <row r="4201" spans="1:26" s="337" customFormat="1" ht="15.75" x14ac:dyDescent="0.2">
      <c r="A4201" s="866"/>
      <c r="B4201" s="512"/>
      <c r="C4201" s="782"/>
      <c r="D4201" s="1168"/>
      <c r="E4201" s="1065"/>
      <c r="F4201" s="1066"/>
      <c r="G4201" s="1168"/>
      <c r="H4201" s="1065"/>
      <c r="I4201" s="1066"/>
      <c r="J4201" s="783"/>
      <c r="K4201" s="1004"/>
      <c r="L4201" s="1110"/>
      <c r="M4201" s="520"/>
      <c r="N4201" s="520"/>
      <c r="O4201" s="519"/>
      <c r="P4201" s="428"/>
      <c r="Q4201" s="832"/>
      <c r="R4201" s="893"/>
      <c r="S4201" s="1206"/>
      <c r="T4201" s="1202"/>
      <c r="U4201" s="1209"/>
      <c r="V4201" s="291">
        <f t="shared" ca="1" si="1093"/>
        <v>11600.333000000013</v>
      </c>
      <c r="W4201" s="256">
        <f t="shared" ca="1" si="1103"/>
        <v>0</v>
      </c>
      <c r="X4201" s="256">
        <f t="shared" ca="1" si="1104"/>
        <v>1</v>
      </c>
      <c r="Y4201" s="336"/>
      <c r="Z4201" s="336"/>
    </row>
    <row r="4202" spans="1:26" s="337" customFormat="1" ht="15.75" x14ac:dyDescent="0.2">
      <c r="A4202" s="866"/>
      <c r="B4202" s="512"/>
      <c r="C4202" s="1047" t="s">
        <v>1400</v>
      </c>
      <c r="D4202" s="756"/>
      <c r="E4202" s="757"/>
      <c r="F4202" s="758"/>
      <c r="G4202" s="756"/>
      <c r="H4202" s="757"/>
      <c r="I4202" s="758"/>
      <c r="J4202" s="1048"/>
      <c r="K4202" s="1155"/>
      <c r="L4202" s="1109"/>
      <c r="M4202" s="738"/>
      <c r="N4202" s="1109"/>
      <c r="O4202" s="738"/>
      <c r="P4202" s="565"/>
      <c r="Q4202" s="1050"/>
      <c r="R4202" s="558"/>
      <c r="S4202" s="1109"/>
      <c r="T4202" s="506">
        <v>44</v>
      </c>
      <c r="U4202" s="1209"/>
      <c r="V4202" s="291">
        <f t="shared" ca="1" si="1093"/>
        <v>11600.333000000013</v>
      </c>
      <c r="W4202" s="256">
        <f t="shared" ca="1" si="1103"/>
        <v>2</v>
      </c>
      <c r="X4202" s="256">
        <f t="shared" ca="1" si="1104"/>
        <v>1</v>
      </c>
      <c r="Y4202" s="336"/>
      <c r="Z4202" s="336"/>
    </row>
    <row r="4203" spans="1:26" s="337" customFormat="1" ht="15.75" x14ac:dyDescent="0.2">
      <c r="A4203" s="866"/>
      <c r="B4203" s="512"/>
      <c r="C4203" s="782" t="s">
        <v>920</v>
      </c>
      <c r="D4203" s="756"/>
      <c r="E4203" s="757"/>
      <c r="F4203" s="758"/>
      <c r="G4203" s="756"/>
      <c r="H4203" s="757"/>
      <c r="I4203" s="758"/>
      <c r="J4203" s="783"/>
      <c r="K4203" s="1051">
        <v>257.39999999999998</v>
      </c>
      <c r="L4203" s="317"/>
      <c r="M4203" s="313"/>
      <c r="N4203" s="317"/>
      <c r="O4203" s="313"/>
      <c r="P4203" s="318"/>
      <c r="Q4203" s="313">
        <v>1.55</v>
      </c>
      <c r="R4203" s="875">
        <f t="shared" ref="R4203:R4205" si="1106">K4203*Q4203</f>
        <v>398.96999999999997</v>
      </c>
      <c r="S4203" s="1109"/>
      <c r="T4203" s="506">
        <v>44</v>
      </c>
      <c r="U4203" s="1209"/>
      <c r="V4203" s="291">
        <f t="shared" ca="1" si="1093"/>
        <v>11600.333000000013</v>
      </c>
      <c r="W4203" s="256">
        <f t="shared" ca="1" si="1103"/>
        <v>2</v>
      </c>
      <c r="X4203" s="256">
        <f t="shared" ca="1" si="1104"/>
        <v>1</v>
      </c>
      <c r="Y4203" s="336"/>
      <c r="Z4203" s="336"/>
    </row>
    <row r="4204" spans="1:26" s="337" customFormat="1" ht="15.75" x14ac:dyDescent="0.2">
      <c r="A4204" s="866"/>
      <c r="B4204" s="512"/>
      <c r="C4204" s="782" t="s">
        <v>975</v>
      </c>
      <c r="D4204" s="756"/>
      <c r="E4204" s="757"/>
      <c r="F4204" s="758"/>
      <c r="G4204" s="756"/>
      <c r="H4204" s="757"/>
      <c r="I4204" s="758"/>
      <c r="J4204" s="783"/>
      <c r="K4204" s="1004">
        <v>1083.143</v>
      </c>
      <c r="L4204" s="317"/>
      <c r="M4204" s="313"/>
      <c r="N4204" s="317"/>
      <c r="O4204" s="313"/>
      <c r="P4204" s="318"/>
      <c r="Q4204" s="832">
        <v>1.7</v>
      </c>
      <c r="R4204" s="893">
        <f t="shared" si="1106"/>
        <v>1841.3431</v>
      </c>
      <c r="S4204" s="1109"/>
      <c r="T4204" s="506">
        <v>44</v>
      </c>
      <c r="U4204" s="1209"/>
      <c r="V4204" s="291">
        <f t="shared" ca="1" si="1093"/>
        <v>11600.333000000013</v>
      </c>
      <c r="W4204" s="256">
        <f t="shared" ca="1" si="1103"/>
        <v>2</v>
      </c>
      <c r="X4204" s="256">
        <f t="shared" ca="1" si="1104"/>
        <v>1</v>
      </c>
      <c r="Y4204" s="336"/>
      <c r="Z4204" s="336"/>
    </row>
    <row r="4205" spans="1:26" s="337" customFormat="1" ht="15.75" x14ac:dyDescent="0.2">
      <c r="A4205" s="866"/>
      <c r="B4205" s="512"/>
      <c r="C4205" s="782" t="s">
        <v>976</v>
      </c>
      <c r="D4205" s="756"/>
      <c r="E4205" s="757"/>
      <c r="F4205" s="758"/>
      <c r="G4205" s="756"/>
      <c r="H4205" s="757"/>
      <c r="I4205" s="758"/>
      <c r="J4205" s="783"/>
      <c r="K4205" s="1004">
        <v>495.78300000000002</v>
      </c>
      <c r="L4205" s="317"/>
      <c r="M4205" s="313"/>
      <c r="N4205" s="317"/>
      <c r="O4205" s="313"/>
      <c r="P4205" s="318"/>
      <c r="Q4205" s="832">
        <v>1.55</v>
      </c>
      <c r="R4205" s="893">
        <f t="shared" si="1106"/>
        <v>768.46365000000003</v>
      </c>
      <c r="S4205" s="1109"/>
      <c r="T4205" s="506">
        <v>44</v>
      </c>
      <c r="U4205" s="1209"/>
      <c r="V4205" s="291">
        <f t="shared" ca="1" si="1093"/>
        <v>11600.333000000013</v>
      </c>
      <c r="W4205" s="256">
        <f t="shared" ca="1" si="1103"/>
        <v>2</v>
      </c>
      <c r="X4205" s="256">
        <f t="shared" ca="1" si="1104"/>
        <v>1</v>
      </c>
      <c r="Y4205" s="336"/>
      <c r="Z4205" s="336"/>
    </row>
    <row r="4206" spans="1:26" s="337" customFormat="1" ht="15.75" x14ac:dyDescent="0.2">
      <c r="A4206" s="866"/>
      <c r="B4206" s="512"/>
      <c r="C4206" s="782"/>
      <c r="D4206" s="779"/>
      <c r="E4206" s="780"/>
      <c r="F4206" s="781"/>
      <c r="G4206" s="779"/>
      <c r="H4206" s="780"/>
      <c r="I4206" s="781"/>
      <c r="J4206" s="783"/>
      <c r="K4206" s="881"/>
      <c r="L4206" s="1110"/>
      <c r="M4206" s="519"/>
      <c r="N4206" s="1110"/>
      <c r="O4206" s="519"/>
      <c r="P4206" s="428"/>
      <c r="Q4206" s="313"/>
      <c r="R4206" s="880"/>
      <c r="S4206" s="1110"/>
      <c r="T4206" s="514"/>
      <c r="U4206" s="1209"/>
      <c r="V4206" s="291">
        <f t="shared" ca="1" si="1093"/>
        <v>11600.333000000013</v>
      </c>
      <c r="W4206" s="256">
        <f t="shared" ca="1" si="1103"/>
        <v>0</v>
      </c>
      <c r="X4206" s="256">
        <f t="shared" ca="1" si="1104"/>
        <v>1</v>
      </c>
      <c r="Y4206" s="336"/>
      <c r="Z4206" s="336"/>
    </row>
    <row r="4207" spans="1:26" s="337" customFormat="1" ht="15.75" x14ac:dyDescent="0.2">
      <c r="A4207" s="866"/>
      <c r="B4207" s="512"/>
      <c r="C4207" s="1047" t="s">
        <v>1401</v>
      </c>
      <c r="D4207" s="756"/>
      <c r="E4207" s="757"/>
      <c r="F4207" s="758"/>
      <c r="G4207" s="756"/>
      <c r="H4207" s="757"/>
      <c r="I4207" s="758"/>
      <c r="J4207" s="1048"/>
      <c r="K4207" s="1155"/>
      <c r="L4207" s="1109"/>
      <c r="M4207" s="738"/>
      <c r="N4207" s="1109"/>
      <c r="O4207" s="738"/>
      <c r="P4207" s="565"/>
      <c r="Q4207" s="1050"/>
      <c r="R4207" s="558"/>
      <c r="S4207" s="1109"/>
      <c r="T4207" s="506">
        <v>44</v>
      </c>
      <c r="U4207" s="1209"/>
      <c r="V4207" s="291">
        <f t="shared" ca="1" si="1093"/>
        <v>11600.333000000013</v>
      </c>
      <c r="W4207" s="256">
        <f t="shared" ca="1" si="1103"/>
        <v>2</v>
      </c>
      <c r="X4207" s="256">
        <f t="shared" ca="1" si="1104"/>
        <v>1</v>
      </c>
      <c r="Y4207" s="336"/>
      <c r="Z4207" s="336"/>
    </row>
    <row r="4208" spans="1:26" s="337" customFormat="1" ht="15.75" x14ac:dyDescent="0.2">
      <c r="A4208" s="866"/>
      <c r="B4208" s="512"/>
      <c r="C4208" s="782" t="s">
        <v>920</v>
      </c>
      <c r="D4208" s="756"/>
      <c r="E4208" s="757"/>
      <c r="F4208" s="758"/>
      <c r="G4208" s="756"/>
      <c r="H4208" s="757"/>
      <c r="I4208" s="758"/>
      <c r="J4208" s="783"/>
      <c r="K4208" s="1051">
        <v>269.16000000000003</v>
      </c>
      <c r="L4208" s="317"/>
      <c r="M4208" s="313"/>
      <c r="N4208" s="317"/>
      <c r="O4208" s="313"/>
      <c r="P4208" s="318"/>
      <c r="Q4208" s="313">
        <v>1.55</v>
      </c>
      <c r="R4208" s="875">
        <f t="shared" ref="R4208:R4210" si="1107">K4208*Q4208</f>
        <v>417.19800000000004</v>
      </c>
      <c r="S4208" s="1109"/>
      <c r="T4208" s="506">
        <v>44</v>
      </c>
      <c r="U4208" s="1209"/>
      <c r="V4208" s="291">
        <f t="shared" ca="1" si="1093"/>
        <v>11600.333000000013</v>
      </c>
      <c r="W4208" s="256">
        <f t="shared" ca="1" si="1103"/>
        <v>2</v>
      </c>
      <c r="X4208" s="256">
        <f t="shared" ca="1" si="1104"/>
        <v>1</v>
      </c>
      <c r="Y4208" s="336"/>
      <c r="Z4208" s="336"/>
    </row>
    <row r="4209" spans="1:29" s="337" customFormat="1" ht="15.75" x14ac:dyDescent="0.2">
      <c r="A4209" s="866"/>
      <c r="B4209" s="512"/>
      <c r="C4209" s="782" t="s">
        <v>975</v>
      </c>
      <c r="D4209" s="756"/>
      <c r="E4209" s="757"/>
      <c r="F4209" s="758"/>
      <c r="G4209" s="756"/>
      <c r="H4209" s="757"/>
      <c r="I4209" s="758"/>
      <c r="J4209" s="783"/>
      <c r="K4209" s="1004">
        <v>1122.1869999999999</v>
      </c>
      <c r="L4209" s="317"/>
      <c r="M4209" s="313"/>
      <c r="N4209" s="317"/>
      <c r="O4209" s="313"/>
      <c r="P4209" s="318"/>
      <c r="Q4209" s="832">
        <v>1.7</v>
      </c>
      <c r="R4209" s="893">
        <f t="shared" si="1107"/>
        <v>1907.7178999999999</v>
      </c>
      <c r="S4209" s="1109"/>
      <c r="T4209" s="506">
        <v>44</v>
      </c>
      <c r="U4209" s="1209"/>
      <c r="V4209" s="291">
        <f t="shared" ca="1" si="1093"/>
        <v>11600.333000000013</v>
      </c>
      <c r="W4209" s="256">
        <f t="shared" ca="1" si="1103"/>
        <v>2</v>
      </c>
      <c r="X4209" s="256">
        <f t="shared" ca="1" si="1104"/>
        <v>1</v>
      </c>
      <c r="Y4209" s="336"/>
      <c r="Z4209" s="336"/>
    </row>
    <row r="4210" spans="1:29" s="337" customFormat="1" ht="15.75" x14ac:dyDescent="0.2">
      <c r="A4210" s="866"/>
      <c r="B4210" s="512"/>
      <c r="C4210" s="782" t="s">
        <v>976</v>
      </c>
      <c r="D4210" s="756"/>
      <c r="E4210" s="757"/>
      <c r="F4210" s="758"/>
      <c r="G4210" s="756"/>
      <c r="H4210" s="757"/>
      <c r="I4210" s="758"/>
      <c r="J4210" s="783"/>
      <c r="K4210" s="1004">
        <v>508.47800000000001</v>
      </c>
      <c r="L4210" s="398"/>
      <c r="M4210" s="313"/>
      <c r="N4210" s="317"/>
      <c r="O4210" s="313"/>
      <c r="P4210" s="318"/>
      <c r="Q4210" s="832">
        <v>1.55</v>
      </c>
      <c r="R4210" s="893">
        <f t="shared" si="1107"/>
        <v>788.14089999999999</v>
      </c>
      <c r="S4210" s="1109"/>
      <c r="T4210" s="506">
        <v>44</v>
      </c>
      <c r="U4210" s="1209"/>
      <c r="V4210" s="291">
        <f t="shared" ca="1" si="1093"/>
        <v>11600.333000000013</v>
      </c>
      <c r="W4210" s="256">
        <f t="shared" ca="1" si="1103"/>
        <v>2</v>
      </c>
      <c r="X4210" s="256">
        <f t="shared" ca="1" si="1104"/>
        <v>1</v>
      </c>
      <c r="Y4210" s="336"/>
      <c r="Z4210" s="336"/>
    </row>
    <row r="4211" spans="1:29" s="337" customFormat="1" ht="15.75" x14ac:dyDescent="0.2">
      <c r="A4211" s="866"/>
      <c r="B4211" s="512"/>
      <c r="C4211" s="782"/>
      <c r="D4211" s="1168"/>
      <c r="E4211" s="1065"/>
      <c r="F4211" s="1066"/>
      <c r="G4211" s="1168"/>
      <c r="H4211" s="1065"/>
      <c r="I4211" s="1066"/>
      <c r="J4211" s="783"/>
      <c r="K4211" s="1004"/>
      <c r="L4211" s="1110"/>
      <c r="M4211" s="520"/>
      <c r="N4211" s="520"/>
      <c r="O4211" s="519"/>
      <c r="P4211" s="428"/>
      <c r="Q4211" s="832"/>
      <c r="R4211" s="893"/>
      <c r="S4211" s="1206"/>
      <c r="T4211" s="1202"/>
      <c r="U4211" s="1209"/>
      <c r="V4211" s="291">
        <f t="shared" ca="1" si="1093"/>
        <v>11600.333000000013</v>
      </c>
      <c r="W4211" s="256">
        <f t="shared" ca="1" si="1103"/>
        <v>0</v>
      </c>
      <c r="X4211" s="256">
        <f t="shared" ca="1" si="1104"/>
        <v>1</v>
      </c>
      <c r="Y4211" s="336"/>
      <c r="Z4211" s="336"/>
    </row>
    <row r="4212" spans="1:29" s="337" customFormat="1" ht="15.75" x14ac:dyDescent="0.2">
      <c r="A4212" s="866"/>
      <c r="B4212" s="512"/>
      <c r="C4212" s="782"/>
      <c r="D4212" s="1064"/>
      <c r="E4212" s="1065"/>
      <c r="F4212" s="1066"/>
      <c r="G4212" s="1064"/>
      <c r="H4212" s="1065"/>
      <c r="I4212" s="1066"/>
      <c r="J4212" s="783"/>
      <c r="K4212" s="1004"/>
      <c r="L4212" s="427"/>
      <c r="M4212" s="513"/>
      <c r="N4212" s="520"/>
      <c r="O4212" s="519"/>
      <c r="P4212" s="428"/>
      <c r="Q4212" s="832"/>
      <c r="R4212" s="893"/>
      <c r="S4212" s="774"/>
      <c r="T4212" s="1202"/>
      <c r="U4212" s="1209"/>
      <c r="V4212" s="291">
        <f t="shared" ca="1" si="1093"/>
        <v>11600.333000000013</v>
      </c>
      <c r="W4212" s="256">
        <f t="shared" ca="1" si="1103"/>
        <v>0</v>
      </c>
      <c r="X4212" s="256">
        <f ca="1">IF(COUNTA(OFFSET(#REF!,1,0))-COUNTA(#REF!)=-1,0,1)</f>
        <v>1</v>
      </c>
      <c r="Y4212" s="336"/>
      <c r="Z4212" s="336"/>
    </row>
    <row r="4213" spans="1:29" s="111" customFormat="1" ht="15.75" customHeight="1" x14ac:dyDescent="0.2">
      <c r="A4213" s="288"/>
      <c r="B4213" s="354"/>
      <c r="C4213" s="355"/>
      <c r="D4213" s="1354" t="s">
        <v>492</v>
      </c>
      <c r="E4213" s="1355"/>
      <c r="F4213" s="1355"/>
      <c r="G4213" s="1355"/>
      <c r="H4213" s="1355"/>
      <c r="I4213" s="1356"/>
      <c r="J4213" s="1357">
        <f>VLOOKUP(A4215,'11 - FINANCEIRO'!_xlnm.Print_Area,6,FALSE)</f>
        <v>278392.76</v>
      </c>
      <c r="K4213" s="1358"/>
      <c r="L4213" s="356" t="str">
        <f>VLOOKUP(A4215,'11 - FINANCEIRO'!_xlnm.Print_Area,4,FALSE)</f>
        <v>t</v>
      </c>
      <c r="M4213" s="1359" t="s">
        <v>493</v>
      </c>
      <c r="N4213" s="1360"/>
      <c r="O4213" s="1360"/>
      <c r="P4213" s="1360"/>
      <c r="Q4213" s="1361"/>
      <c r="R4213" s="357">
        <f>TRUNC(SUM(R4085:R4212),3)</f>
        <v>198102.55300000001</v>
      </c>
      <c r="S4213" s="358" t="str">
        <f>L4213</f>
        <v>t</v>
      </c>
      <c r="T4213" s="1384"/>
      <c r="U4213" s="1385"/>
      <c r="V4213" s="291">
        <f t="shared" ca="1" si="1093"/>
        <v>11600.333000000013</v>
      </c>
      <c r="W4213" s="256">
        <f t="shared" ca="1" si="1103"/>
        <v>2</v>
      </c>
      <c r="X4213" s="256">
        <f t="shared" ca="1" si="1104"/>
        <v>1</v>
      </c>
      <c r="Y4213" s="250"/>
      <c r="Z4213" s="250"/>
    </row>
    <row r="4214" spans="1:29" s="293" customFormat="1" ht="15.75" customHeight="1" x14ac:dyDescent="0.2">
      <c r="A4214" s="288"/>
      <c r="B4214" s="354"/>
      <c r="C4214" s="361"/>
      <c r="D4214" s="1362" t="s">
        <v>494</v>
      </c>
      <c r="E4214" s="1363"/>
      <c r="F4214" s="1363"/>
      <c r="G4214" s="1363"/>
      <c r="H4214" s="1363"/>
      <c r="I4214" s="1364"/>
      <c r="J4214" s="1365">
        <f>R4213/J4213</f>
        <v>0.71159376774022431</v>
      </c>
      <c r="K4214" s="1366"/>
      <c r="L4214" s="1369"/>
      <c r="M4214" s="1371" t="s">
        <v>495</v>
      </c>
      <c r="N4214" s="1372"/>
      <c r="O4214" s="1372"/>
      <c r="P4214" s="1372"/>
      <c r="Q4214" s="1373"/>
      <c r="R4214" s="362">
        <f>VLOOKUP(A4215,'11 - FINANCEIRO'!_xlnm.Print_Area,8,FALSE)</f>
        <v>186502.22</v>
      </c>
      <c r="S4214" s="363" t="str">
        <f>L4213</f>
        <v>t</v>
      </c>
      <c r="T4214" s="1386"/>
      <c r="U4214" s="1387"/>
      <c r="V4214" s="291">
        <f t="shared" ca="1" si="1093"/>
        <v>11600.333000000013</v>
      </c>
      <c r="W4214" s="256">
        <f t="shared" ca="1" si="1103"/>
        <v>2</v>
      </c>
      <c r="X4214" s="256">
        <f t="shared" ca="1" si="1104"/>
        <v>1</v>
      </c>
      <c r="Y4214" s="256"/>
      <c r="Z4214" s="256"/>
      <c r="AA4214" s="292"/>
      <c r="AB4214" s="292"/>
      <c r="AC4214" s="292"/>
    </row>
    <row r="4215" spans="1:29" s="293" customFormat="1" ht="15.75" customHeight="1" x14ac:dyDescent="0.2">
      <c r="A4215" s="288" t="s">
        <v>725</v>
      </c>
      <c r="B4215" s="364"/>
      <c r="C4215" s="365"/>
      <c r="D4215" s="1354"/>
      <c r="E4215" s="1355"/>
      <c r="F4215" s="1355"/>
      <c r="G4215" s="1355"/>
      <c r="H4215" s="1355"/>
      <c r="I4215" s="1356"/>
      <c r="J4215" s="1367"/>
      <c r="K4215" s="1368"/>
      <c r="L4215" s="1370"/>
      <c r="M4215" s="1371" t="s">
        <v>496</v>
      </c>
      <c r="N4215" s="1372"/>
      <c r="O4215" s="1372"/>
      <c r="P4215" s="1372"/>
      <c r="Q4215" s="1373"/>
      <c r="R4215" s="362">
        <f>R4213-R4214</f>
        <v>11600.333000000013</v>
      </c>
      <c r="S4215" s="363" t="str">
        <f>L4213</f>
        <v>t</v>
      </c>
      <c r="T4215" s="1388"/>
      <c r="U4215" s="1389"/>
      <c r="V4215" s="291">
        <f t="shared" ca="1" si="1093"/>
        <v>11600.333000000013</v>
      </c>
      <c r="W4215" s="256">
        <f t="shared" ca="1" si="1103"/>
        <v>2</v>
      </c>
      <c r="X4215" s="256">
        <f t="shared" ca="1" si="1104"/>
        <v>1</v>
      </c>
      <c r="Y4215" s="256"/>
      <c r="Z4215" s="256"/>
      <c r="AA4215" s="292"/>
      <c r="AB4215" s="292"/>
      <c r="AC4215" s="292"/>
    </row>
    <row r="4216" spans="1:29" s="111" customFormat="1" ht="15.75" x14ac:dyDescent="0.2">
      <c r="A4216" s="288"/>
      <c r="B4216" s="368"/>
      <c r="C4216" s="365"/>
      <c r="D4216" s="369"/>
      <c r="E4216" s="370"/>
      <c r="F4216" s="369"/>
      <c r="G4216" s="369"/>
      <c r="H4216" s="369"/>
      <c r="I4216" s="369"/>
      <c r="J4216" s="371"/>
      <c r="K4216" s="372"/>
      <c r="L4216" s="373"/>
      <c r="M4216" s="374"/>
      <c r="N4216" s="374"/>
      <c r="O4216" s="374"/>
      <c r="P4216" s="374"/>
      <c r="Q4216" s="374"/>
      <c r="R4216" s="375"/>
      <c r="S4216" s="376"/>
      <c r="T4216" s="377"/>
      <c r="U4216" s="378"/>
      <c r="V4216" s="379">
        <f ca="1">SUM(V4083:V4215)</f>
        <v>1542844.2890000036</v>
      </c>
      <c r="W4216" s="256">
        <f t="shared" ref="W4216:W4219" ca="1" si="1108">IF(LEFT(_xlfn.FORMULATEXT(V4216),3)="=SO",1,IF(COUNTA(A4216:U4216)=0,0,2))</f>
        <v>1</v>
      </c>
      <c r="X4216" s="256">
        <f t="shared" ref="X4216:X4219" ca="1" si="1109">IF(COUNTA(OFFSET(A4215,1,0))-COUNTA(A4215)=-1,0,1)</f>
        <v>0</v>
      </c>
      <c r="Y4216" s="250"/>
      <c r="Z4216" s="250"/>
    </row>
    <row r="4217" spans="1:29" s="293" customFormat="1" ht="15.75" customHeight="1" x14ac:dyDescent="0.25">
      <c r="A4217" s="288"/>
      <c r="B4217" s="1374" t="str">
        <f>VLOOKUP(A4248,'11 - FINANCEIRO'!_xlnm.Print_Area,1,FALSE)</f>
        <v>6.1.5</v>
      </c>
      <c r="C4217" s="1376" t="str">
        <f>VLOOKUP(A4248,'11 - FINANCEIRO'!_xlnm.Print_Area,3,FALSE)</f>
        <v xml:space="preserve">Tubo PEAD para drenagem - D = 500 mm - fornecimento e instalação </v>
      </c>
      <c r="D4217" s="1378" t="s">
        <v>477</v>
      </c>
      <c r="E4217" s="1379"/>
      <c r="F4217" s="1379"/>
      <c r="G4217" s="1379"/>
      <c r="H4217" s="1379"/>
      <c r="I4217" s="1380"/>
      <c r="J4217" s="1338" t="s">
        <v>478</v>
      </c>
      <c r="K4217" s="1338" t="s">
        <v>479</v>
      </c>
      <c r="L4217" s="1338" t="s">
        <v>480</v>
      </c>
      <c r="M4217" s="1338" t="s">
        <v>481</v>
      </c>
      <c r="N4217" s="1338" t="s">
        <v>482</v>
      </c>
      <c r="O4217" s="1338" t="s">
        <v>483</v>
      </c>
      <c r="P4217" s="290" t="s">
        <v>484</v>
      </c>
      <c r="Q4217" s="1338" t="s">
        <v>485</v>
      </c>
      <c r="R4217" s="1336" t="s">
        <v>296</v>
      </c>
      <c r="S4217" s="1338" t="s">
        <v>486</v>
      </c>
      <c r="T4217" s="1338" t="s">
        <v>487</v>
      </c>
      <c r="U4217" s="1340" t="s">
        <v>488</v>
      </c>
      <c r="V4217" s="291">
        <f ca="1">IF(OFFSET(V4217,1,1)=1,OFFSET(V4217,0,-4),OFFSET(V4217,1,0))</f>
        <v>40</v>
      </c>
      <c r="W4217" s="256">
        <f t="shared" ca="1" si="1108"/>
        <v>2</v>
      </c>
      <c r="X4217" s="256">
        <f t="shared" ca="1" si="1109"/>
        <v>1</v>
      </c>
      <c r="Y4217" s="256"/>
      <c r="Z4217" s="256"/>
      <c r="AA4217" s="292"/>
      <c r="AB4217" s="292"/>
      <c r="AC4217" s="292"/>
    </row>
    <row r="4218" spans="1:29" s="337" customFormat="1" ht="15.75" x14ac:dyDescent="0.2">
      <c r="A4218" s="288"/>
      <c r="B4218" s="1375"/>
      <c r="C4218" s="1377" t="e">
        <f>VLOOKUP(LEFT(#REF!,5),'11 - FINANCEIRO'!_xlnm.Print_Area,2,FALSE)</f>
        <v>#REF!</v>
      </c>
      <c r="D4218" s="1342" t="s">
        <v>489</v>
      </c>
      <c r="E4218" s="1343"/>
      <c r="F4218" s="1344"/>
      <c r="G4218" s="1345" t="s">
        <v>490</v>
      </c>
      <c r="H4218" s="1346"/>
      <c r="I4218" s="1347"/>
      <c r="J4218" s="1339"/>
      <c r="K4218" s="1339"/>
      <c r="L4218" s="1339"/>
      <c r="M4218" s="1339"/>
      <c r="N4218" s="1339"/>
      <c r="O4218" s="1339"/>
      <c r="P4218" s="295" t="s">
        <v>491</v>
      </c>
      <c r="Q4218" s="1339"/>
      <c r="R4218" s="1337"/>
      <c r="S4218" s="1339"/>
      <c r="T4218" s="1339"/>
      <c r="U4218" s="1341"/>
      <c r="V4218" s="291">
        <f ca="1">IF(OFFSET(V4218,1,1)=1,OFFSET(V4218,0,-4),OFFSET(V4218,1,0))</f>
        <v>40</v>
      </c>
      <c r="W4218" s="256">
        <f t="shared" ca="1" si="1108"/>
        <v>2</v>
      </c>
      <c r="X4218" s="256">
        <f t="shared" ca="1" si="1109"/>
        <v>1</v>
      </c>
      <c r="Y4218" s="336"/>
      <c r="Z4218" s="336"/>
    </row>
    <row r="4219" spans="1:29" s="337" customFormat="1" ht="15.75" x14ac:dyDescent="0.2">
      <c r="A4219" s="288"/>
      <c r="B4219" s="296"/>
      <c r="C4219" s="397" t="s">
        <v>764</v>
      </c>
      <c r="D4219" s="417">
        <v>5</v>
      </c>
      <c r="E4219" s="314" t="s">
        <v>518</v>
      </c>
      <c r="F4219" s="418">
        <v>5</v>
      </c>
      <c r="G4219" s="419">
        <v>12</v>
      </c>
      <c r="H4219" s="316" t="s">
        <v>518</v>
      </c>
      <c r="I4219" s="420">
        <v>9</v>
      </c>
      <c r="J4219" s="589"/>
      <c r="K4219" s="747">
        <f>ABS((G4219*20+I4219)-(D4219*20+F4219))</f>
        <v>144</v>
      </c>
      <c r="L4219" s="304"/>
      <c r="M4219" s="304"/>
      <c r="N4219" s="304"/>
      <c r="O4219" s="304"/>
      <c r="P4219" s="306"/>
      <c r="Q4219" s="304"/>
      <c r="R4219" s="307">
        <f>K4219</f>
        <v>144</v>
      </c>
      <c r="S4219" s="304"/>
      <c r="T4219" s="309">
        <v>19</v>
      </c>
      <c r="U4219" s="310" t="s">
        <v>882</v>
      </c>
      <c r="V4219" s="291">
        <f ca="1">IF(OFFSET(V4219,1,1)=1,OFFSET(V4219,0,-4),OFFSET(V4219,1,0))</f>
        <v>40</v>
      </c>
      <c r="W4219" s="256">
        <f t="shared" ca="1" si="1108"/>
        <v>2</v>
      </c>
      <c r="X4219" s="256">
        <f t="shared" ca="1" si="1109"/>
        <v>1</v>
      </c>
      <c r="Y4219" s="336"/>
      <c r="Z4219" s="336"/>
    </row>
    <row r="4220" spans="1:29" s="337" customFormat="1" ht="15.75" x14ac:dyDescent="0.2">
      <c r="A4220" s="288"/>
      <c r="B4220" s="512"/>
      <c r="C4220" s="397" t="s">
        <v>764</v>
      </c>
      <c r="D4220" s="417">
        <v>27</v>
      </c>
      <c r="E4220" s="314" t="s">
        <v>518</v>
      </c>
      <c r="F4220" s="418">
        <v>0</v>
      </c>
      <c r="G4220" s="419">
        <v>30</v>
      </c>
      <c r="H4220" s="316" t="s">
        <v>518</v>
      </c>
      <c r="I4220" s="420">
        <v>0</v>
      </c>
      <c r="J4220" s="317"/>
      <c r="K4220" s="433">
        <f>ABS((G4220*20+I4220)-(D4220*20+F4220))</f>
        <v>60</v>
      </c>
      <c r="L4220" s="427"/>
      <c r="M4220" s="513"/>
      <c r="N4220" s="520"/>
      <c r="O4220" s="519"/>
      <c r="P4220" s="428"/>
      <c r="Q4220" s="513"/>
      <c r="R4220" s="524">
        <f>K4220</f>
        <v>60</v>
      </c>
      <c r="S4220" s="427"/>
      <c r="T4220" s="514">
        <v>19</v>
      </c>
      <c r="U4220" s="777">
        <v>45261</v>
      </c>
      <c r="V4220" s="291">
        <f t="shared" ref="V4220:V4247" ca="1" si="1110">IF(OFFSET(V4220,1,1)=1,OFFSET(V4220,0,-4),OFFSET(V4220,1,0))</f>
        <v>40</v>
      </c>
      <c r="W4220" s="256">
        <f t="shared" ref="W4220:W4227" ca="1" si="1111">IF(LEFT(_xlfn.FORMULATEXT(V4220),3)="=SO",1,IF(COUNTA(A4220:U4220)=0,0,2))</f>
        <v>2</v>
      </c>
      <c r="X4220" s="256">
        <f t="shared" ref="X4220:X4227" ca="1" si="1112">IF(COUNTA(OFFSET(A4219,1,0))-COUNTA(A4219)=-1,0,1)</f>
        <v>1</v>
      </c>
      <c r="Y4220" s="336"/>
      <c r="Z4220" s="336"/>
    </row>
    <row r="4221" spans="1:29" s="337" customFormat="1" ht="15.75" x14ac:dyDescent="0.2">
      <c r="A4221" s="288"/>
      <c r="B4221" s="512"/>
      <c r="C4221" s="397" t="s">
        <v>807</v>
      </c>
      <c r="D4221" s="417">
        <v>94</v>
      </c>
      <c r="E4221" s="314" t="s">
        <v>518</v>
      </c>
      <c r="F4221" s="418">
        <v>0</v>
      </c>
      <c r="G4221" s="419">
        <v>100</v>
      </c>
      <c r="H4221" s="316" t="s">
        <v>518</v>
      </c>
      <c r="I4221" s="420">
        <v>4</v>
      </c>
      <c r="J4221" s="317"/>
      <c r="K4221" s="433">
        <f>ABS((G4221*20+I4221)-(D4221*20+F4221))</f>
        <v>124</v>
      </c>
      <c r="L4221" s="427"/>
      <c r="M4221" s="513"/>
      <c r="N4221" s="520"/>
      <c r="O4221" s="519"/>
      <c r="P4221" s="428"/>
      <c r="Q4221" s="513"/>
      <c r="R4221" s="524">
        <f>K4221</f>
        <v>124</v>
      </c>
      <c r="S4221" s="427"/>
      <c r="T4221" s="514">
        <v>20</v>
      </c>
      <c r="U4221" s="765" t="s">
        <v>925</v>
      </c>
      <c r="V4221" s="291">
        <f t="shared" ca="1" si="1110"/>
        <v>40</v>
      </c>
      <c r="W4221" s="256">
        <f t="shared" ca="1" si="1111"/>
        <v>2</v>
      </c>
      <c r="X4221" s="256">
        <f t="shared" ca="1" si="1112"/>
        <v>1</v>
      </c>
      <c r="Y4221" s="336"/>
      <c r="Z4221" s="336"/>
    </row>
    <row r="4222" spans="1:29" s="337" customFormat="1" ht="15.75" x14ac:dyDescent="0.2">
      <c r="A4222" s="288"/>
      <c r="B4222" s="512"/>
      <c r="C4222" s="397" t="s">
        <v>807</v>
      </c>
      <c r="D4222" s="417">
        <v>78</v>
      </c>
      <c r="E4222" s="314" t="s">
        <v>518</v>
      </c>
      <c r="F4222" s="418">
        <v>10</v>
      </c>
      <c r="G4222" s="419">
        <v>94</v>
      </c>
      <c r="H4222" s="316" t="s">
        <v>518</v>
      </c>
      <c r="I4222" s="420">
        <v>0</v>
      </c>
      <c r="J4222" s="317"/>
      <c r="K4222" s="433">
        <f>ABS((G4222*20+I4222)-(D4222*20+F4222))</f>
        <v>310</v>
      </c>
      <c r="L4222" s="427"/>
      <c r="M4222" s="513"/>
      <c r="N4222" s="520"/>
      <c r="O4222" s="519"/>
      <c r="P4222" s="428">
        <v>2</v>
      </c>
      <c r="Q4222" s="513">
        <v>2</v>
      </c>
      <c r="R4222" s="524">
        <f>K4222*P4222/Q4222</f>
        <v>310</v>
      </c>
      <c r="S4222" s="427"/>
      <c r="T4222" s="514">
        <v>27</v>
      </c>
      <c r="U4222" s="765"/>
      <c r="V4222" s="291">
        <f t="shared" ca="1" si="1110"/>
        <v>40</v>
      </c>
      <c r="W4222" s="256">
        <f t="shared" ca="1" si="1111"/>
        <v>2</v>
      </c>
      <c r="X4222" s="256">
        <f t="shared" ca="1" si="1112"/>
        <v>1</v>
      </c>
      <c r="Y4222" s="336"/>
      <c r="Z4222" s="336"/>
    </row>
    <row r="4223" spans="1:29" s="337" customFormat="1" ht="15.75" x14ac:dyDescent="0.2">
      <c r="A4223" s="288"/>
      <c r="B4223" s="512"/>
      <c r="C4223" s="397" t="s">
        <v>807</v>
      </c>
      <c r="D4223" s="417">
        <v>69</v>
      </c>
      <c r="E4223" s="314" t="s">
        <v>518</v>
      </c>
      <c r="F4223" s="418">
        <v>0</v>
      </c>
      <c r="G4223" s="419">
        <v>78</v>
      </c>
      <c r="H4223" s="316" t="s">
        <v>518</v>
      </c>
      <c r="I4223" s="420">
        <v>5</v>
      </c>
      <c r="J4223" s="317"/>
      <c r="K4223" s="433">
        <f>ABS((G4223*20+I4223)-(D4223*20+F4223))</f>
        <v>185</v>
      </c>
      <c r="L4223" s="427"/>
      <c r="M4223" s="513"/>
      <c r="N4223" s="520"/>
      <c r="O4223" s="519"/>
      <c r="P4223" s="428">
        <v>1</v>
      </c>
      <c r="Q4223" s="513">
        <v>2</v>
      </c>
      <c r="R4223" s="524">
        <f>K4223*P4223/Q4223</f>
        <v>92.5</v>
      </c>
      <c r="S4223" s="427"/>
      <c r="T4223" s="514">
        <v>32</v>
      </c>
      <c r="U4223" s="765"/>
      <c r="V4223" s="291">
        <f t="shared" ca="1" si="1110"/>
        <v>40</v>
      </c>
      <c r="W4223" s="256">
        <f t="shared" ca="1" si="1111"/>
        <v>2</v>
      </c>
      <c r="X4223" s="256">
        <f t="shared" ca="1" si="1112"/>
        <v>1</v>
      </c>
      <c r="Y4223" s="336"/>
      <c r="Z4223" s="336"/>
    </row>
    <row r="4224" spans="1:29" s="111" customFormat="1" ht="15" x14ac:dyDescent="0.2">
      <c r="A4224" s="288"/>
      <c r="B4224" s="494"/>
      <c r="C4224" s="495" t="s">
        <v>1065</v>
      </c>
      <c r="D4224" s="417"/>
      <c r="E4224" s="314" t="s">
        <v>518</v>
      </c>
      <c r="F4224" s="418"/>
      <c r="G4224" s="419"/>
      <c r="H4224" s="316" t="s">
        <v>518</v>
      </c>
      <c r="I4224" s="420"/>
      <c r="J4224" s="560" t="s">
        <v>620</v>
      </c>
      <c r="K4224" s="508">
        <v>4</v>
      </c>
      <c r="L4224" s="501"/>
      <c r="M4224" s="501"/>
      <c r="N4224" s="501"/>
      <c r="O4224" s="503"/>
      <c r="P4224" s="501"/>
      <c r="Q4224" s="503"/>
      <c r="R4224" s="504">
        <f>K4224</f>
        <v>4</v>
      </c>
      <c r="S4224" s="503"/>
      <c r="T4224" s="506">
        <v>31</v>
      </c>
      <c r="U4224" s="574"/>
      <c r="V4224" s="291">
        <f t="shared" ca="1" si="1110"/>
        <v>40</v>
      </c>
      <c r="W4224" s="256">
        <f t="shared" ca="1" si="1111"/>
        <v>2</v>
      </c>
      <c r="X4224" s="256">
        <f t="shared" ca="1" si="1112"/>
        <v>1</v>
      </c>
      <c r="Y4224" s="250"/>
      <c r="Z4224" s="250"/>
    </row>
    <row r="4225" spans="1:26" s="337" customFormat="1" ht="15.75" x14ac:dyDescent="0.2">
      <c r="A4225" s="288"/>
      <c r="B4225" s="512"/>
      <c r="C4225" s="397" t="s">
        <v>807</v>
      </c>
      <c r="D4225" s="417">
        <v>68</v>
      </c>
      <c r="E4225" s="314" t="s">
        <v>518</v>
      </c>
      <c r="F4225" s="418">
        <v>7</v>
      </c>
      <c r="G4225" s="419">
        <v>69</v>
      </c>
      <c r="H4225" s="316" t="s">
        <v>518</v>
      </c>
      <c r="I4225" s="420">
        <v>0</v>
      </c>
      <c r="J4225" s="317"/>
      <c r="K4225" s="433">
        <f>ABS((G4225*20+I4225)-(D4225*20+F4225))</f>
        <v>13</v>
      </c>
      <c r="L4225" s="427"/>
      <c r="M4225" s="513"/>
      <c r="N4225" s="520"/>
      <c r="O4225" s="519"/>
      <c r="P4225" s="428">
        <v>2</v>
      </c>
      <c r="Q4225" s="513">
        <v>2</v>
      </c>
      <c r="R4225" s="524">
        <f>K4225*P4225/Q4225</f>
        <v>13</v>
      </c>
      <c r="S4225" s="427"/>
      <c r="T4225" s="514">
        <v>33</v>
      </c>
      <c r="U4225" s="765"/>
      <c r="V4225" s="291">
        <f t="shared" ca="1" si="1110"/>
        <v>40</v>
      </c>
      <c r="W4225" s="256">
        <f t="shared" ca="1" si="1111"/>
        <v>2</v>
      </c>
      <c r="X4225" s="256">
        <f t="shared" ca="1" si="1112"/>
        <v>1</v>
      </c>
      <c r="Y4225" s="336"/>
      <c r="Z4225" s="336"/>
    </row>
    <row r="4226" spans="1:26" s="337" customFormat="1" ht="15.75" x14ac:dyDescent="0.2">
      <c r="A4226" s="288"/>
      <c r="B4226" s="785"/>
      <c r="C4226" s="397" t="s">
        <v>807</v>
      </c>
      <c r="D4226" s="417">
        <v>66</v>
      </c>
      <c r="E4226" s="314" t="s">
        <v>518</v>
      </c>
      <c r="F4226" s="418">
        <v>10</v>
      </c>
      <c r="G4226" s="417">
        <v>68</v>
      </c>
      <c r="H4226" s="314" t="s">
        <v>518</v>
      </c>
      <c r="I4226" s="418">
        <v>7</v>
      </c>
      <c r="J4226" s="317"/>
      <c r="K4226" s="433">
        <f>ABS((G4226*20+I4226)-(D4226*20+F4226))</f>
        <v>37</v>
      </c>
      <c r="L4226" s="427"/>
      <c r="M4226" s="513"/>
      <c r="N4226" s="520"/>
      <c r="O4226" s="519"/>
      <c r="P4226" s="428">
        <v>2</v>
      </c>
      <c r="Q4226" s="513">
        <v>2</v>
      </c>
      <c r="R4226" s="524">
        <f>K4226*P4226/Q4226</f>
        <v>37</v>
      </c>
      <c r="S4226" s="427"/>
      <c r="T4226" s="514">
        <v>33</v>
      </c>
      <c r="U4226" s="765"/>
      <c r="V4226" s="291">
        <f t="shared" ca="1" si="1110"/>
        <v>40</v>
      </c>
      <c r="W4226" s="256">
        <f t="shared" ca="1" si="1111"/>
        <v>2</v>
      </c>
      <c r="X4226" s="256">
        <f t="shared" ca="1" si="1112"/>
        <v>1</v>
      </c>
      <c r="Y4226" s="336"/>
      <c r="Z4226" s="336"/>
    </row>
    <row r="4227" spans="1:26" s="337" customFormat="1" ht="15.75" x14ac:dyDescent="0.2">
      <c r="A4227" s="288"/>
      <c r="B4227" s="785"/>
      <c r="C4227" s="397" t="s">
        <v>807</v>
      </c>
      <c r="D4227" s="417">
        <v>64</v>
      </c>
      <c r="E4227" s="314" t="s">
        <v>518</v>
      </c>
      <c r="F4227" s="418">
        <v>10</v>
      </c>
      <c r="G4227" s="417">
        <v>68</v>
      </c>
      <c r="H4227" s="314" t="s">
        <v>518</v>
      </c>
      <c r="I4227" s="418">
        <v>7</v>
      </c>
      <c r="J4227" s="317"/>
      <c r="K4227" s="433">
        <f>ABS((G4227*20+I4227)-(D4227*20+F4227))</f>
        <v>77</v>
      </c>
      <c r="L4227" s="427"/>
      <c r="M4227" s="513"/>
      <c r="N4227" s="520"/>
      <c r="O4227" s="519"/>
      <c r="P4227" s="428">
        <v>2</v>
      </c>
      <c r="Q4227" s="513">
        <v>2</v>
      </c>
      <c r="R4227" s="524">
        <f>K4227*P4227/Q4227</f>
        <v>77</v>
      </c>
      <c r="S4227" s="427"/>
      <c r="T4227" s="514">
        <v>34</v>
      </c>
      <c r="U4227" s="765"/>
      <c r="V4227" s="291">
        <f t="shared" ca="1" si="1110"/>
        <v>40</v>
      </c>
      <c r="W4227" s="256">
        <f t="shared" ca="1" si="1111"/>
        <v>2</v>
      </c>
      <c r="X4227" s="256">
        <f t="shared" ca="1" si="1112"/>
        <v>1</v>
      </c>
      <c r="Y4227" s="336"/>
      <c r="Z4227" s="336"/>
    </row>
    <row r="4228" spans="1:26" s="337" customFormat="1" ht="15.75" x14ac:dyDescent="0.2">
      <c r="A4228" s="288"/>
      <c r="B4228" s="785"/>
      <c r="C4228" s="397" t="s">
        <v>807</v>
      </c>
      <c r="D4228" s="417">
        <v>60</v>
      </c>
      <c r="E4228" s="314" t="s">
        <v>518</v>
      </c>
      <c r="F4228" s="418">
        <v>0</v>
      </c>
      <c r="G4228" s="417">
        <v>64</v>
      </c>
      <c r="H4228" s="314" t="s">
        <v>518</v>
      </c>
      <c r="I4228" s="418">
        <v>10</v>
      </c>
      <c r="J4228" s="317"/>
      <c r="K4228" s="433">
        <f>ABS((G4228*20+I4228)-(D4228*20+F4228))</f>
        <v>90</v>
      </c>
      <c r="L4228" s="427"/>
      <c r="M4228" s="513"/>
      <c r="N4228" s="520"/>
      <c r="O4228" s="519"/>
      <c r="P4228" s="428">
        <v>2</v>
      </c>
      <c r="Q4228" s="513">
        <v>2</v>
      </c>
      <c r="R4228" s="524">
        <f>K4228*P4228/Q4228</f>
        <v>90</v>
      </c>
      <c r="S4228" s="427"/>
      <c r="T4228" s="514">
        <v>35</v>
      </c>
      <c r="U4228" s="793"/>
      <c r="V4228" s="291">
        <f t="shared" ca="1" si="1110"/>
        <v>40</v>
      </c>
      <c r="W4228" s="256">
        <f t="shared" ref="W4228:W4230" ca="1" si="1113">IF(LEFT(_xlfn.FORMULATEXT(V4228),3)="=SO",1,IF(COUNTA(A4228:U4228)=0,0,2))</f>
        <v>2</v>
      </c>
      <c r="X4228" s="256">
        <f t="shared" ref="X4228:X4230" ca="1" si="1114">IF(COUNTA(OFFSET(A4227,1,0))-COUNTA(A4227)=-1,0,1)</f>
        <v>1</v>
      </c>
      <c r="Y4228" s="336"/>
      <c r="Z4228" s="336"/>
    </row>
    <row r="4229" spans="1:26" s="337" customFormat="1" ht="15.75" x14ac:dyDescent="0.2">
      <c r="A4229" s="288"/>
      <c r="B4229" s="785"/>
      <c r="C4229" s="397" t="s">
        <v>1185</v>
      </c>
      <c r="D4229" s="551">
        <v>59</v>
      </c>
      <c r="E4229" s="552" t="s">
        <v>518</v>
      </c>
      <c r="F4229" s="553">
        <v>10</v>
      </c>
      <c r="G4229" s="551">
        <v>62</v>
      </c>
      <c r="H4229" s="552" t="s">
        <v>518</v>
      </c>
      <c r="I4229" s="553">
        <v>5</v>
      </c>
      <c r="J4229" s="560"/>
      <c r="K4229" s="500">
        <f>ABS((G4229*20+I4229)-(D4229*20+F4229))</f>
        <v>55</v>
      </c>
      <c r="L4229" s="774"/>
      <c r="M4229" s="786"/>
      <c r="N4229" s="787"/>
      <c r="O4229" s="788"/>
      <c r="P4229" s="428">
        <v>2</v>
      </c>
      <c r="Q4229" s="513">
        <v>2</v>
      </c>
      <c r="R4229" s="524">
        <f>K4229*P4229/Q4229</f>
        <v>55</v>
      </c>
      <c r="S4229" s="427"/>
      <c r="T4229" s="514">
        <v>36</v>
      </c>
      <c r="U4229" s="793"/>
      <c r="V4229" s="291">
        <f t="shared" ca="1" si="1110"/>
        <v>40</v>
      </c>
      <c r="W4229" s="256">
        <f t="shared" ca="1" si="1113"/>
        <v>2</v>
      </c>
      <c r="X4229" s="256">
        <f t="shared" ca="1" si="1114"/>
        <v>1</v>
      </c>
      <c r="Y4229" s="336"/>
      <c r="Z4229" s="336"/>
    </row>
    <row r="4230" spans="1:26" s="337" customFormat="1" ht="15.75" x14ac:dyDescent="0.2">
      <c r="A4230" s="288"/>
      <c r="B4230" s="785"/>
      <c r="C4230" s="397" t="s">
        <v>807</v>
      </c>
      <c r="D4230" s="551">
        <v>56</v>
      </c>
      <c r="E4230" s="552" t="s">
        <v>518</v>
      </c>
      <c r="F4230" s="553">
        <v>0</v>
      </c>
      <c r="G4230" s="551">
        <v>60</v>
      </c>
      <c r="H4230" s="552" t="s">
        <v>518</v>
      </c>
      <c r="I4230" s="553">
        <v>5</v>
      </c>
      <c r="J4230" s="560"/>
      <c r="K4230" s="500">
        <f t="shared" ref="K4230:K4242" si="1115">ABS((G4230*20+I4230)-(D4230*20+F4230))</f>
        <v>85</v>
      </c>
      <c r="L4230" s="774"/>
      <c r="M4230" s="786"/>
      <c r="N4230" s="787"/>
      <c r="O4230" s="788"/>
      <c r="P4230" s="428">
        <v>2</v>
      </c>
      <c r="Q4230" s="513">
        <v>2</v>
      </c>
      <c r="R4230" s="524">
        <f t="shared" ref="R4230:R4242" si="1116">K4230*P4230/Q4230</f>
        <v>85</v>
      </c>
      <c r="S4230" s="427"/>
      <c r="T4230" s="514">
        <v>37</v>
      </c>
      <c r="U4230" s="793"/>
      <c r="V4230" s="291">
        <f t="shared" ca="1" si="1110"/>
        <v>40</v>
      </c>
      <c r="W4230" s="256">
        <f t="shared" ca="1" si="1113"/>
        <v>2</v>
      </c>
      <c r="X4230" s="256">
        <f t="shared" ca="1" si="1114"/>
        <v>1</v>
      </c>
      <c r="Y4230" s="336"/>
      <c r="Z4230" s="336"/>
    </row>
    <row r="4231" spans="1:26" s="337" customFormat="1" ht="15.75" x14ac:dyDescent="0.2">
      <c r="A4231" s="288"/>
      <c r="B4231" s="785"/>
      <c r="C4231" s="397" t="s">
        <v>807</v>
      </c>
      <c r="D4231" s="551">
        <v>54</v>
      </c>
      <c r="E4231" s="552" t="s">
        <v>518</v>
      </c>
      <c r="F4231" s="553">
        <v>0</v>
      </c>
      <c r="G4231" s="551">
        <v>56</v>
      </c>
      <c r="H4231" s="552" t="s">
        <v>518</v>
      </c>
      <c r="I4231" s="553">
        <v>0</v>
      </c>
      <c r="J4231" s="560"/>
      <c r="K4231" s="500">
        <f t="shared" si="1115"/>
        <v>40</v>
      </c>
      <c r="L4231" s="774"/>
      <c r="M4231" s="786"/>
      <c r="N4231" s="787"/>
      <c r="O4231" s="788"/>
      <c r="P4231" s="428">
        <v>2</v>
      </c>
      <c r="Q4231" s="513">
        <v>2</v>
      </c>
      <c r="R4231" s="524">
        <f t="shared" si="1116"/>
        <v>40</v>
      </c>
      <c r="S4231" s="427"/>
      <c r="T4231" s="514">
        <v>38</v>
      </c>
      <c r="U4231" s="793"/>
      <c r="V4231" s="291">
        <f t="shared" ca="1" si="1110"/>
        <v>40</v>
      </c>
      <c r="W4231" s="256">
        <f t="shared" ref="W4231" ca="1" si="1117">IF(LEFT(_xlfn.FORMULATEXT(V4231),3)="=SO",1,IF(COUNTA(A4231:U4231)=0,0,2))</f>
        <v>2</v>
      </c>
      <c r="X4231" s="256">
        <f t="shared" ref="X4231" ca="1" si="1118">IF(COUNTA(OFFSET(A4230,1,0))-COUNTA(A4230)=-1,0,1)</f>
        <v>1</v>
      </c>
      <c r="Y4231" s="336"/>
      <c r="Z4231" s="336"/>
    </row>
    <row r="4232" spans="1:26" s="337" customFormat="1" ht="15.75" x14ac:dyDescent="0.2">
      <c r="A4232" s="288"/>
      <c r="B4232" s="785"/>
      <c r="C4232" s="397" t="s">
        <v>807</v>
      </c>
      <c r="D4232" s="551">
        <v>51</v>
      </c>
      <c r="E4232" s="552" t="s">
        <v>518</v>
      </c>
      <c r="F4232" s="553">
        <v>15</v>
      </c>
      <c r="G4232" s="551">
        <v>54</v>
      </c>
      <c r="H4232" s="552" t="s">
        <v>518</v>
      </c>
      <c r="I4232" s="553">
        <v>0</v>
      </c>
      <c r="J4232" s="1102"/>
      <c r="K4232" s="500">
        <f t="shared" si="1115"/>
        <v>45</v>
      </c>
      <c r="L4232" s="774"/>
      <c r="M4232" s="786"/>
      <c r="N4232" s="787"/>
      <c r="O4232" s="788"/>
      <c r="P4232" s="428">
        <v>2</v>
      </c>
      <c r="Q4232" s="513">
        <v>2</v>
      </c>
      <c r="R4232" s="524">
        <f t="shared" si="1116"/>
        <v>45</v>
      </c>
      <c r="S4232" s="1103"/>
      <c r="T4232" s="514">
        <v>39</v>
      </c>
      <c r="U4232" s="793"/>
      <c r="V4232" s="291">
        <f t="shared" ca="1" si="1110"/>
        <v>40</v>
      </c>
      <c r="W4232" s="256">
        <f t="shared" ref="W4232:W4233" ca="1" si="1119">IF(LEFT(_xlfn.FORMULATEXT(V4232),3)="=SO",1,IF(COUNTA(A4232:U4232)=0,0,2))</f>
        <v>2</v>
      </c>
      <c r="X4232" s="256">
        <f t="shared" ref="X4232:X4233" ca="1" si="1120">IF(COUNTA(OFFSET(A4231,1,0))-COUNTA(A4231)=-1,0,1)</f>
        <v>1</v>
      </c>
      <c r="Y4232" s="336"/>
      <c r="Z4232" s="336"/>
    </row>
    <row r="4233" spans="1:26" s="337" customFormat="1" ht="15.75" x14ac:dyDescent="0.2">
      <c r="A4233" s="288"/>
      <c r="B4233" s="785"/>
      <c r="C4233" s="397" t="s">
        <v>1214</v>
      </c>
      <c r="D4233" s="551">
        <v>3</v>
      </c>
      <c r="E4233" s="552" t="s">
        <v>518</v>
      </c>
      <c r="F4233" s="553">
        <v>12</v>
      </c>
      <c r="G4233" s="551">
        <v>6</v>
      </c>
      <c r="H4233" s="552" t="s">
        <v>518</v>
      </c>
      <c r="I4233" s="553">
        <v>12</v>
      </c>
      <c r="J4233" s="560"/>
      <c r="K4233" s="500">
        <f t="shared" si="1115"/>
        <v>60</v>
      </c>
      <c r="L4233" s="774"/>
      <c r="M4233" s="786"/>
      <c r="N4233" s="787"/>
      <c r="O4233" s="788"/>
      <c r="P4233" s="428">
        <v>2</v>
      </c>
      <c r="Q4233" s="513">
        <v>2</v>
      </c>
      <c r="R4233" s="524">
        <f t="shared" si="1116"/>
        <v>60</v>
      </c>
      <c r="S4233" s="427"/>
      <c r="T4233" s="514">
        <v>37</v>
      </c>
      <c r="U4233" s="793" t="s">
        <v>1215</v>
      </c>
      <c r="V4233" s="291">
        <f t="shared" ca="1" si="1110"/>
        <v>40</v>
      </c>
      <c r="W4233" s="256">
        <f t="shared" ca="1" si="1119"/>
        <v>2</v>
      </c>
      <c r="X4233" s="256">
        <f t="shared" ca="1" si="1120"/>
        <v>1</v>
      </c>
      <c r="Y4233" s="336"/>
      <c r="Z4233" s="336"/>
    </row>
    <row r="4234" spans="1:26" s="337" customFormat="1" ht="15.75" x14ac:dyDescent="0.2">
      <c r="A4234" s="288"/>
      <c r="B4234" s="785"/>
      <c r="C4234" s="397" t="s">
        <v>807</v>
      </c>
      <c r="D4234" s="551">
        <v>49</v>
      </c>
      <c r="E4234" s="552" t="s">
        <v>518</v>
      </c>
      <c r="F4234" s="553">
        <v>13</v>
      </c>
      <c r="G4234" s="551">
        <v>51</v>
      </c>
      <c r="H4234" s="552" t="s">
        <v>518</v>
      </c>
      <c r="I4234" s="553">
        <v>15</v>
      </c>
      <c r="J4234" s="1109"/>
      <c r="K4234" s="500">
        <f t="shared" si="1115"/>
        <v>42</v>
      </c>
      <c r="L4234" s="774"/>
      <c r="M4234" s="786"/>
      <c r="N4234" s="787"/>
      <c r="O4234" s="1147"/>
      <c r="P4234" s="428">
        <v>2</v>
      </c>
      <c r="Q4234" s="513">
        <v>2</v>
      </c>
      <c r="R4234" s="524">
        <f t="shared" si="1116"/>
        <v>42</v>
      </c>
      <c r="S4234" s="1110"/>
      <c r="T4234" s="514">
        <v>40</v>
      </c>
      <c r="U4234" s="793"/>
      <c r="V4234" s="291">
        <f t="shared" ca="1" si="1110"/>
        <v>40</v>
      </c>
      <c r="W4234" s="256">
        <f t="shared" ref="W4234:W4235" ca="1" si="1121">IF(LEFT(_xlfn.FORMULATEXT(V4234),3)="=SO",1,IF(COUNTA(A4234:U4234)=0,0,2))</f>
        <v>2</v>
      </c>
      <c r="X4234" s="256">
        <f t="shared" ref="X4234:X4235" ca="1" si="1122">IF(COUNTA(OFFSET(A4233,1,0))-COUNTA(A4233)=-1,0,1)</f>
        <v>1</v>
      </c>
      <c r="Y4234" s="336"/>
      <c r="Z4234" s="336"/>
    </row>
    <row r="4235" spans="1:26" s="337" customFormat="1" ht="15.75" x14ac:dyDescent="0.2">
      <c r="A4235" s="288"/>
      <c r="B4235" s="785"/>
      <c r="C4235" s="397" t="s">
        <v>1214</v>
      </c>
      <c r="D4235" s="551">
        <v>3</v>
      </c>
      <c r="E4235" s="552" t="s">
        <v>518</v>
      </c>
      <c r="F4235" s="553">
        <v>0</v>
      </c>
      <c r="G4235" s="551">
        <v>3</v>
      </c>
      <c r="H4235" s="552" t="s">
        <v>518</v>
      </c>
      <c r="I4235" s="553">
        <v>12</v>
      </c>
      <c r="J4235" s="1109"/>
      <c r="K4235" s="500">
        <f t="shared" si="1115"/>
        <v>12</v>
      </c>
      <c r="L4235" s="774"/>
      <c r="M4235" s="786"/>
      <c r="N4235" s="787"/>
      <c r="O4235" s="1147"/>
      <c r="P4235" s="428">
        <v>2</v>
      </c>
      <c r="Q4235" s="513">
        <v>2</v>
      </c>
      <c r="R4235" s="524">
        <f t="shared" si="1116"/>
        <v>12</v>
      </c>
      <c r="S4235" s="1110"/>
      <c r="T4235" s="514">
        <v>40</v>
      </c>
      <c r="U4235" s="793"/>
      <c r="V4235" s="291">
        <f t="shared" ca="1" si="1110"/>
        <v>40</v>
      </c>
      <c r="W4235" s="256">
        <f t="shared" ca="1" si="1121"/>
        <v>2</v>
      </c>
      <c r="X4235" s="256">
        <f t="shared" ca="1" si="1122"/>
        <v>1</v>
      </c>
      <c r="Y4235" s="336"/>
      <c r="Z4235" s="336"/>
    </row>
    <row r="4236" spans="1:26" s="337" customFormat="1" ht="15.75" x14ac:dyDescent="0.2">
      <c r="A4236" s="288"/>
      <c r="B4236" s="785"/>
      <c r="C4236" s="397" t="s">
        <v>807</v>
      </c>
      <c r="D4236" s="551">
        <v>46</v>
      </c>
      <c r="E4236" s="552" t="s">
        <v>518</v>
      </c>
      <c r="F4236" s="553">
        <v>0</v>
      </c>
      <c r="G4236" s="551">
        <v>49</v>
      </c>
      <c r="H4236" s="552" t="s">
        <v>518</v>
      </c>
      <c r="I4236" s="553">
        <v>13</v>
      </c>
      <c r="J4236" s="1109"/>
      <c r="K4236" s="500">
        <f t="shared" si="1115"/>
        <v>73</v>
      </c>
      <c r="L4236" s="774"/>
      <c r="M4236" s="786"/>
      <c r="N4236" s="787"/>
      <c r="O4236" s="1147"/>
      <c r="P4236" s="428">
        <v>2</v>
      </c>
      <c r="Q4236" s="513">
        <v>2</v>
      </c>
      <c r="R4236" s="524">
        <f t="shared" si="1116"/>
        <v>73</v>
      </c>
      <c r="S4236" s="1110"/>
      <c r="T4236" s="514">
        <v>41</v>
      </c>
      <c r="U4236" s="793"/>
      <c r="V4236" s="291">
        <f t="shared" ca="1" si="1110"/>
        <v>40</v>
      </c>
      <c r="W4236" s="256">
        <f t="shared" ref="W4236:W4238" ca="1" si="1123">IF(LEFT(_xlfn.FORMULATEXT(V4236),3)="=SO",1,IF(COUNTA(A4236:U4236)=0,0,2))</f>
        <v>2</v>
      </c>
      <c r="X4236" s="256">
        <f t="shared" ref="X4236:X4238" ca="1" si="1124">IF(COUNTA(OFFSET(A4235,1,0))-COUNTA(A4235)=-1,0,1)</f>
        <v>1</v>
      </c>
      <c r="Y4236" s="336"/>
      <c r="Z4236" s="336"/>
    </row>
    <row r="4237" spans="1:26" s="337" customFormat="1" ht="15.75" x14ac:dyDescent="0.2">
      <c r="A4237" s="288"/>
      <c r="B4237" s="785"/>
      <c r="C4237" s="397" t="s">
        <v>1214</v>
      </c>
      <c r="D4237" s="551">
        <v>2</v>
      </c>
      <c r="E4237" s="552" t="s">
        <v>518</v>
      </c>
      <c r="F4237" s="553">
        <v>0</v>
      </c>
      <c r="G4237" s="551">
        <v>3</v>
      </c>
      <c r="H4237" s="552" t="s">
        <v>518</v>
      </c>
      <c r="I4237" s="553">
        <v>0</v>
      </c>
      <c r="J4237" s="1109"/>
      <c r="K4237" s="500">
        <f t="shared" si="1115"/>
        <v>20</v>
      </c>
      <c r="L4237" s="774"/>
      <c r="M4237" s="786"/>
      <c r="N4237" s="787"/>
      <c r="O4237" s="1147"/>
      <c r="P4237" s="428">
        <v>2</v>
      </c>
      <c r="Q4237" s="513">
        <v>2</v>
      </c>
      <c r="R4237" s="524">
        <f t="shared" si="1116"/>
        <v>20</v>
      </c>
      <c r="S4237" s="1110"/>
      <c r="T4237" s="514">
        <v>41</v>
      </c>
      <c r="U4237" s="793"/>
      <c r="V4237" s="291">
        <f t="shared" ca="1" si="1110"/>
        <v>40</v>
      </c>
      <c r="W4237" s="256">
        <f t="shared" ca="1" si="1123"/>
        <v>2</v>
      </c>
      <c r="X4237" s="256">
        <f t="shared" ca="1" si="1124"/>
        <v>1</v>
      </c>
      <c r="Y4237" s="336"/>
      <c r="Z4237" s="336"/>
    </row>
    <row r="4238" spans="1:26" s="337" customFormat="1" ht="15.75" x14ac:dyDescent="0.2">
      <c r="A4238" s="288"/>
      <c r="B4238" s="785"/>
      <c r="C4238" s="397" t="s">
        <v>807</v>
      </c>
      <c r="D4238" s="551">
        <v>42</v>
      </c>
      <c r="E4238" s="552" t="s">
        <v>518</v>
      </c>
      <c r="F4238" s="553">
        <v>10</v>
      </c>
      <c r="G4238" s="551">
        <v>46</v>
      </c>
      <c r="H4238" s="552" t="s">
        <v>518</v>
      </c>
      <c r="I4238" s="553">
        <v>0</v>
      </c>
      <c r="J4238" s="1109"/>
      <c r="K4238" s="500">
        <f t="shared" si="1115"/>
        <v>70</v>
      </c>
      <c r="L4238" s="774"/>
      <c r="M4238" s="786"/>
      <c r="N4238" s="787"/>
      <c r="O4238" s="1147"/>
      <c r="P4238" s="428">
        <v>2</v>
      </c>
      <c r="Q4238" s="513">
        <v>2</v>
      </c>
      <c r="R4238" s="524">
        <f t="shared" si="1116"/>
        <v>70</v>
      </c>
      <c r="S4238" s="1110"/>
      <c r="T4238" s="514">
        <v>42</v>
      </c>
      <c r="U4238" s="793"/>
      <c r="V4238" s="291">
        <f t="shared" ca="1" si="1110"/>
        <v>40</v>
      </c>
      <c r="W4238" s="256">
        <f t="shared" ca="1" si="1123"/>
        <v>2</v>
      </c>
      <c r="X4238" s="256">
        <f t="shared" ca="1" si="1124"/>
        <v>1</v>
      </c>
      <c r="Y4238" s="336"/>
      <c r="Z4238" s="336"/>
    </row>
    <row r="4239" spans="1:26" s="337" customFormat="1" ht="15.75" x14ac:dyDescent="0.2">
      <c r="A4239" s="288"/>
      <c r="B4239" s="785"/>
      <c r="C4239" s="397" t="s">
        <v>1214</v>
      </c>
      <c r="D4239" s="551">
        <v>0</v>
      </c>
      <c r="E4239" s="552" t="s">
        <v>518</v>
      </c>
      <c r="F4239" s="553">
        <v>12</v>
      </c>
      <c r="G4239" s="551">
        <v>2</v>
      </c>
      <c r="H4239" s="552" t="s">
        <v>518</v>
      </c>
      <c r="I4239" s="553">
        <v>0</v>
      </c>
      <c r="J4239" s="1109"/>
      <c r="K4239" s="500">
        <f t="shared" si="1115"/>
        <v>28</v>
      </c>
      <c r="L4239" s="774"/>
      <c r="M4239" s="786"/>
      <c r="N4239" s="787"/>
      <c r="O4239" s="1147"/>
      <c r="P4239" s="428">
        <v>2</v>
      </c>
      <c r="Q4239" s="513">
        <v>2</v>
      </c>
      <c r="R4239" s="524">
        <f t="shared" si="1116"/>
        <v>28</v>
      </c>
      <c r="S4239" s="1110"/>
      <c r="T4239" s="514">
        <v>42</v>
      </c>
      <c r="U4239" s="793"/>
      <c r="V4239" s="291">
        <f t="shared" ca="1" si="1110"/>
        <v>40</v>
      </c>
      <c r="W4239" s="256">
        <f t="shared" ref="W4239:W4247" ca="1" si="1125">IF(LEFT(_xlfn.FORMULATEXT(V4239),3)="=SO",1,IF(COUNTA(A4239:U4239)=0,0,2))</f>
        <v>2</v>
      </c>
      <c r="X4239" s="256">
        <f t="shared" ref="X4239:X4247" ca="1" si="1126">IF(COUNTA(OFFSET(A4238,1,0))-COUNTA(A4238)=-1,0,1)</f>
        <v>1</v>
      </c>
      <c r="Y4239" s="336"/>
      <c r="Z4239" s="336"/>
    </row>
    <row r="4240" spans="1:26" s="337" customFormat="1" ht="15.75" x14ac:dyDescent="0.2">
      <c r="A4240" s="288"/>
      <c r="B4240" s="785"/>
      <c r="C4240" s="397" t="s">
        <v>807</v>
      </c>
      <c r="D4240" s="551">
        <v>39</v>
      </c>
      <c r="E4240" s="552" t="s">
        <v>518</v>
      </c>
      <c r="F4240" s="553">
        <v>0</v>
      </c>
      <c r="G4240" s="551">
        <v>42</v>
      </c>
      <c r="H4240" s="552" t="s">
        <v>518</v>
      </c>
      <c r="I4240" s="553">
        <v>10</v>
      </c>
      <c r="J4240" s="1109"/>
      <c r="K4240" s="500">
        <f t="shared" si="1115"/>
        <v>70</v>
      </c>
      <c r="L4240" s="774"/>
      <c r="M4240" s="786"/>
      <c r="N4240" s="787"/>
      <c r="O4240" s="1147"/>
      <c r="P4240" s="428">
        <v>2</v>
      </c>
      <c r="Q4240" s="513">
        <v>2</v>
      </c>
      <c r="R4240" s="524">
        <f t="shared" si="1116"/>
        <v>70</v>
      </c>
      <c r="S4240" s="1110"/>
      <c r="T4240" s="514">
        <v>43</v>
      </c>
      <c r="U4240" s="793"/>
      <c r="V4240" s="291">
        <f t="shared" ca="1" si="1110"/>
        <v>40</v>
      </c>
      <c r="W4240" s="256">
        <f t="shared" ca="1" si="1125"/>
        <v>2</v>
      </c>
      <c r="X4240" s="256">
        <f t="shared" ca="1" si="1126"/>
        <v>1</v>
      </c>
      <c r="Y4240" s="336"/>
      <c r="Z4240" s="336"/>
    </row>
    <row r="4241" spans="1:29" s="337" customFormat="1" ht="15.75" x14ac:dyDescent="0.2">
      <c r="A4241" s="288"/>
      <c r="B4241" s="785"/>
      <c r="C4241" s="397" t="s">
        <v>1214</v>
      </c>
      <c r="D4241" s="551">
        <v>0</v>
      </c>
      <c r="E4241" s="552" t="s">
        <v>518</v>
      </c>
      <c r="F4241" s="553">
        <v>6</v>
      </c>
      <c r="G4241" s="551">
        <v>0</v>
      </c>
      <c r="H4241" s="552" t="s">
        <v>518</v>
      </c>
      <c r="I4241" s="553">
        <v>12</v>
      </c>
      <c r="J4241" s="1109"/>
      <c r="K4241" s="500">
        <f t="shared" si="1115"/>
        <v>6</v>
      </c>
      <c r="L4241" s="774"/>
      <c r="M4241" s="786"/>
      <c r="N4241" s="787"/>
      <c r="O4241" s="1147"/>
      <c r="P4241" s="428">
        <v>2</v>
      </c>
      <c r="Q4241" s="513">
        <v>2</v>
      </c>
      <c r="R4241" s="524">
        <f t="shared" si="1116"/>
        <v>6</v>
      </c>
      <c r="S4241" s="1110"/>
      <c r="T4241" s="514">
        <v>43</v>
      </c>
      <c r="U4241" s="793"/>
      <c r="V4241" s="291">
        <f t="shared" ca="1" si="1110"/>
        <v>40</v>
      </c>
      <c r="W4241" s="256">
        <f t="shared" ca="1" si="1125"/>
        <v>2</v>
      </c>
      <c r="X4241" s="256">
        <f t="shared" ca="1" si="1126"/>
        <v>1</v>
      </c>
      <c r="Y4241" s="336"/>
      <c r="Z4241" s="336"/>
    </row>
    <row r="4242" spans="1:29" s="337" customFormat="1" ht="15.75" x14ac:dyDescent="0.2">
      <c r="A4242" s="288"/>
      <c r="B4242" s="1205"/>
      <c r="C4242" s="397" t="s">
        <v>807</v>
      </c>
      <c r="D4242" s="551">
        <v>37</v>
      </c>
      <c r="E4242" s="552" t="s">
        <v>518</v>
      </c>
      <c r="F4242" s="553">
        <v>0</v>
      </c>
      <c r="G4242" s="551">
        <v>39</v>
      </c>
      <c r="H4242" s="552" t="s">
        <v>518</v>
      </c>
      <c r="I4242" s="553">
        <v>0</v>
      </c>
      <c r="J4242" s="1109"/>
      <c r="K4242" s="500">
        <f t="shared" si="1115"/>
        <v>40</v>
      </c>
      <c r="L4242" s="1206"/>
      <c r="M4242" s="786"/>
      <c r="N4242" s="787"/>
      <c r="O4242" s="1147"/>
      <c r="P4242" s="428">
        <v>2</v>
      </c>
      <c r="Q4242" s="513">
        <v>2</v>
      </c>
      <c r="R4242" s="524">
        <f t="shared" si="1116"/>
        <v>40</v>
      </c>
      <c r="S4242" s="1110"/>
      <c r="T4242" s="514">
        <v>44</v>
      </c>
      <c r="U4242" s="1209"/>
      <c r="V4242" s="291">
        <f t="shared" ca="1" si="1110"/>
        <v>40</v>
      </c>
      <c r="W4242" s="256">
        <f t="shared" ca="1" si="1125"/>
        <v>2</v>
      </c>
      <c r="X4242" s="256">
        <f t="shared" ca="1" si="1126"/>
        <v>1</v>
      </c>
      <c r="Y4242" s="336"/>
      <c r="Z4242" s="336"/>
    </row>
    <row r="4243" spans="1:29" s="337" customFormat="1" ht="15.75" x14ac:dyDescent="0.2">
      <c r="A4243" s="288"/>
      <c r="B4243" s="1205"/>
      <c r="C4243" s="755"/>
      <c r="D4243" s="551"/>
      <c r="E4243" s="552"/>
      <c r="F4243" s="553"/>
      <c r="G4243" s="551"/>
      <c r="H4243" s="552"/>
      <c r="I4243" s="553"/>
      <c r="J4243" s="1109"/>
      <c r="K4243" s="500"/>
      <c r="L4243" s="1206"/>
      <c r="M4243" s="786"/>
      <c r="N4243" s="787"/>
      <c r="O4243" s="1147"/>
      <c r="P4243" s="1207"/>
      <c r="Q4243" s="786"/>
      <c r="R4243" s="1208"/>
      <c r="S4243" s="1206"/>
      <c r="T4243" s="1202"/>
      <c r="U4243" s="1209"/>
      <c r="V4243" s="291">
        <f t="shared" ca="1" si="1110"/>
        <v>40</v>
      </c>
      <c r="W4243" s="256">
        <f t="shared" ca="1" si="1125"/>
        <v>0</v>
      </c>
      <c r="X4243" s="256">
        <f t="shared" ca="1" si="1126"/>
        <v>1</v>
      </c>
      <c r="Y4243" s="336"/>
      <c r="Z4243" s="336"/>
    </row>
    <row r="4244" spans="1:29" s="337" customFormat="1" ht="15.75" x14ac:dyDescent="0.2">
      <c r="A4244" s="288"/>
      <c r="B4244" s="785"/>
      <c r="C4244" s="755"/>
      <c r="D4244" s="551"/>
      <c r="E4244" s="552"/>
      <c r="F4244" s="553"/>
      <c r="G4244" s="551"/>
      <c r="H4244" s="552"/>
      <c r="I4244" s="553"/>
      <c r="J4244" s="1109"/>
      <c r="K4244" s="500"/>
      <c r="L4244" s="774"/>
      <c r="M4244" s="786"/>
      <c r="N4244" s="787"/>
      <c r="O4244" s="1147"/>
      <c r="P4244" s="789"/>
      <c r="Q4244" s="786"/>
      <c r="R4244" s="790"/>
      <c r="S4244" s="774"/>
      <c r="T4244" s="792"/>
      <c r="U4244" s="793"/>
      <c r="V4244" s="291">
        <f t="shared" ca="1" si="1110"/>
        <v>40</v>
      </c>
      <c r="W4244" s="256">
        <f t="shared" ca="1" si="1125"/>
        <v>0</v>
      </c>
      <c r="X4244" s="256">
        <f t="shared" ca="1" si="1126"/>
        <v>1</v>
      </c>
      <c r="Y4244" s="336"/>
      <c r="Z4244" s="336"/>
    </row>
    <row r="4245" spans="1:29" s="111" customFormat="1" ht="15" x14ac:dyDescent="0.2">
      <c r="A4245" s="288"/>
      <c r="B4245" s="338"/>
      <c r="C4245" s="339"/>
      <c r="D4245" s="340"/>
      <c r="E4245" s="341"/>
      <c r="F4245" s="342"/>
      <c r="G4245" s="340"/>
      <c r="H4245" s="341"/>
      <c r="I4245" s="342"/>
      <c r="J4245" s="343"/>
      <c r="K4245" s="344"/>
      <c r="L4245" s="345"/>
      <c r="M4245" s="346"/>
      <c r="N4245" s="347"/>
      <c r="O4245" s="348"/>
      <c r="P4245" s="345"/>
      <c r="Q4245" s="349"/>
      <c r="R4245" s="350"/>
      <c r="S4245" s="351"/>
      <c r="T4245" s="352"/>
      <c r="U4245" s="353"/>
      <c r="V4245" s="291">
        <f t="shared" ca="1" si="1110"/>
        <v>40</v>
      </c>
      <c r="W4245" s="256">
        <f t="shared" ca="1" si="1125"/>
        <v>0</v>
      </c>
      <c r="X4245" s="256">
        <f t="shared" ca="1" si="1126"/>
        <v>1</v>
      </c>
      <c r="Y4245" s="250"/>
      <c r="Z4245" s="250"/>
    </row>
    <row r="4246" spans="1:29" s="111" customFormat="1" ht="15.75" customHeight="1" x14ac:dyDescent="0.2">
      <c r="A4246" s="288"/>
      <c r="B4246" s="354"/>
      <c r="C4246" s="355"/>
      <c r="D4246" s="1354" t="s">
        <v>492</v>
      </c>
      <c r="E4246" s="1355"/>
      <c r="F4246" s="1355"/>
      <c r="G4246" s="1355"/>
      <c r="H4246" s="1355"/>
      <c r="I4246" s="1356"/>
      <c r="J4246" s="1357">
        <f>VLOOKUP(A4248,'11 - FINANCEIRO'!_xlnm.Print_Area,6,FALSE)</f>
        <v>1655.5</v>
      </c>
      <c r="K4246" s="1358"/>
      <c r="L4246" s="356" t="str">
        <f>VLOOKUP(A4248,'11 - FINANCEIRO'!_xlnm.Print_Area,4,FALSE)</f>
        <v>M</v>
      </c>
      <c r="M4246" s="1359" t="s">
        <v>493</v>
      </c>
      <c r="N4246" s="1360"/>
      <c r="O4246" s="1360"/>
      <c r="P4246" s="1360"/>
      <c r="Q4246" s="1361"/>
      <c r="R4246" s="357">
        <f>TRUNC(SUM(R4219:R4245),3)</f>
        <v>1597.5</v>
      </c>
      <c r="S4246" s="358" t="str">
        <f>L4246</f>
        <v>M</v>
      </c>
      <c r="T4246" s="359"/>
      <c r="U4246" s="360"/>
      <c r="V4246" s="291">
        <f t="shared" ca="1" si="1110"/>
        <v>40</v>
      </c>
      <c r="W4246" s="256">
        <f t="shared" ca="1" si="1125"/>
        <v>2</v>
      </c>
      <c r="X4246" s="256">
        <f t="shared" ca="1" si="1126"/>
        <v>1</v>
      </c>
      <c r="Y4246" s="250"/>
      <c r="Z4246" s="250"/>
    </row>
    <row r="4247" spans="1:29" s="293" customFormat="1" ht="15.75" customHeight="1" x14ac:dyDescent="0.2">
      <c r="A4247" s="288"/>
      <c r="B4247" s="354"/>
      <c r="C4247" s="361"/>
      <c r="D4247" s="1362" t="s">
        <v>494</v>
      </c>
      <c r="E4247" s="1363"/>
      <c r="F4247" s="1363"/>
      <c r="G4247" s="1363"/>
      <c r="H4247" s="1363"/>
      <c r="I4247" s="1364"/>
      <c r="J4247" s="1365">
        <f>R4246/J4246</f>
        <v>0.96496526729084864</v>
      </c>
      <c r="K4247" s="1366"/>
      <c r="L4247" s="1369"/>
      <c r="M4247" s="1371" t="s">
        <v>495</v>
      </c>
      <c r="N4247" s="1372"/>
      <c r="O4247" s="1372"/>
      <c r="P4247" s="1372"/>
      <c r="Q4247" s="1373"/>
      <c r="R4247" s="362">
        <f>VLOOKUP(A4248,'11 - FINANCEIRO'!_xlnm.Print_Area,8,FALSE)</f>
        <v>1557.5</v>
      </c>
      <c r="S4247" s="363" t="str">
        <f>L4246</f>
        <v>M</v>
      </c>
      <c r="T4247" s="359"/>
      <c r="U4247" s="360"/>
      <c r="V4247" s="291">
        <f t="shared" ca="1" si="1110"/>
        <v>40</v>
      </c>
      <c r="W4247" s="256">
        <f t="shared" ca="1" si="1125"/>
        <v>2</v>
      </c>
      <c r="X4247" s="256">
        <f t="shared" ca="1" si="1126"/>
        <v>1</v>
      </c>
      <c r="Y4247" s="256"/>
      <c r="Z4247" s="256"/>
      <c r="AA4247" s="292"/>
      <c r="AB4247" s="292"/>
      <c r="AC4247" s="292"/>
    </row>
    <row r="4248" spans="1:29" s="293" customFormat="1" ht="15.75" customHeight="1" x14ac:dyDescent="0.2">
      <c r="A4248" s="288" t="s">
        <v>726</v>
      </c>
      <c r="B4248" s="364"/>
      <c r="C4248" s="365"/>
      <c r="D4248" s="1354"/>
      <c r="E4248" s="1355"/>
      <c r="F4248" s="1355"/>
      <c r="G4248" s="1355"/>
      <c r="H4248" s="1355"/>
      <c r="I4248" s="1356"/>
      <c r="J4248" s="1367"/>
      <c r="K4248" s="1368"/>
      <c r="L4248" s="1370"/>
      <c r="M4248" s="1371" t="s">
        <v>496</v>
      </c>
      <c r="N4248" s="1372"/>
      <c r="O4248" s="1372"/>
      <c r="P4248" s="1372"/>
      <c r="Q4248" s="1373"/>
      <c r="R4248" s="362">
        <f>R4246-R4247</f>
        <v>40</v>
      </c>
      <c r="S4248" s="363" t="str">
        <f>L4246</f>
        <v>M</v>
      </c>
      <c r="T4248" s="366"/>
      <c r="U4248" s="367"/>
      <c r="V4248" s="291">
        <f ca="1">IF(OFFSET(V4248,1,1)=1,OFFSET(V4248,0,-4),OFFSET(V4248,1,0))</f>
        <v>40</v>
      </c>
      <c r="W4248" s="256">
        <f t="shared" ref="W4248:W4251" ca="1" si="1127">IF(LEFT(_xlfn.FORMULATEXT(V4248),3)="=SO",1,IF(COUNTA(A4248:U4248)=0,0,2))</f>
        <v>2</v>
      </c>
      <c r="X4248" s="256">
        <f t="shared" ref="X4248:X4251" ca="1" si="1128">IF(COUNTA(OFFSET(A4247,1,0))-COUNTA(A4247)=-1,0,1)</f>
        <v>1</v>
      </c>
      <c r="Y4248" s="256"/>
      <c r="Z4248" s="256"/>
      <c r="AA4248" s="292"/>
      <c r="AB4248" s="292"/>
      <c r="AC4248" s="292"/>
    </row>
    <row r="4249" spans="1:29" s="111" customFormat="1" ht="15.75" x14ac:dyDescent="0.2">
      <c r="A4249" s="288"/>
      <c r="B4249" s="368"/>
      <c r="C4249" s="365"/>
      <c r="D4249" s="369"/>
      <c r="E4249" s="370"/>
      <c r="F4249" s="369"/>
      <c r="G4249" s="369"/>
      <c r="H4249" s="369"/>
      <c r="I4249" s="369"/>
      <c r="J4249" s="371"/>
      <c r="K4249" s="372"/>
      <c r="L4249" s="373"/>
      <c r="M4249" s="374"/>
      <c r="N4249" s="374"/>
      <c r="O4249" s="374"/>
      <c r="P4249" s="374"/>
      <c r="Q4249" s="374"/>
      <c r="R4249" s="375"/>
      <c r="S4249" s="376"/>
      <c r="T4249" s="377"/>
      <c r="U4249" s="378"/>
      <c r="V4249" s="379">
        <f ca="1">SUM(V4217:V4248)</f>
        <v>1280</v>
      </c>
      <c r="W4249" s="256">
        <f t="shared" ca="1" si="1127"/>
        <v>1</v>
      </c>
      <c r="X4249" s="256">
        <f t="shared" ca="1" si="1128"/>
        <v>0</v>
      </c>
      <c r="Y4249" s="250"/>
      <c r="Z4249" s="250"/>
    </row>
    <row r="4250" spans="1:29" s="293" customFormat="1" ht="15.75" hidden="1" customHeight="1" x14ac:dyDescent="0.25">
      <c r="A4250" s="288"/>
      <c r="B4250" s="1374" t="str">
        <f>VLOOKUP(A4259,'11 - FINANCEIRO'!_xlnm.Print_Area,1,FALSE)</f>
        <v>6.1.6</v>
      </c>
      <c r="C4250" s="1376" t="str">
        <f>VLOOKUP(A4259,'11 - FINANCEIRO'!_xlnm.Print_Area,3,FALSE)</f>
        <v>Esgotamento de vala por turbina, impulsionada por força motriz a diesel (trator agrícola), diâmetro de sucção de 17"</v>
      </c>
      <c r="D4250" s="1378" t="s">
        <v>477</v>
      </c>
      <c r="E4250" s="1379"/>
      <c r="F4250" s="1379"/>
      <c r="G4250" s="1379"/>
      <c r="H4250" s="1379"/>
      <c r="I4250" s="1380"/>
      <c r="J4250" s="1338" t="s">
        <v>478</v>
      </c>
      <c r="K4250" s="1338" t="s">
        <v>479</v>
      </c>
      <c r="L4250" s="1338" t="s">
        <v>480</v>
      </c>
      <c r="M4250" s="1338" t="s">
        <v>481</v>
      </c>
      <c r="N4250" s="1338" t="s">
        <v>482</v>
      </c>
      <c r="O4250" s="1338" t="s">
        <v>483</v>
      </c>
      <c r="P4250" s="290" t="s">
        <v>484</v>
      </c>
      <c r="Q4250" s="1338" t="s">
        <v>485</v>
      </c>
      <c r="R4250" s="1336" t="s">
        <v>296</v>
      </c>
      <c r="S4250" s="1338" t="s">
        <v>486</v>
      </c>
      <c r="T4250" s="1338" t="s">
        <v>487</v>
      </c>
      <c r="U4250" s="1340" t="s">
        <v>488</v>
      </c>
      <c r="V4250" s="291">
        <f ca="1">IF(OFFSET(V4250,1,1)=1,OFFSET(V4250,0,-4),OFFSET(V4250,1,0))</f>
        <v>0</v>
      </c>
      <c r="W4250" s="256">
        <f t="shared" ca="1" si="1127"/>
        <v>2</v>
      </c>
      <c r="X4250" s="256">
        <f t="shared" ca="1" si="1128"/>
        <v>1</v>
      </c>
      <c r="Y4250" s="256"/>
      <c r="Z4250" s="256"/>
      <c r="AA4250" s="292"/>
      <c r="AB4250" s="292"/>
      <c r="AC4250" s="292"/>
    </row>
    <row r="4251" spans="1:29" s="337" customFormat="1" ht="15.75" hidden="1" x14ac:dyDescent="0.2">
      <c r="A4251" s="288"/>
      <c r="B4251" s="1375"/>
      <c r="C4251" s="1377" t="e">
        <f>VLOOKUP(LEFT(#REF!,5),'11 - FINANCEIRO'!_xlnm.Print_Area,2,FALSE)</f>
        <v>#REF!</v>
      </c>
      <c r="D4251" s="1342" t="s">
        <v>489</v>
      </c>
      <c r="E4251" s="1343"/>
      <c r="F4251" s="1344"/>
      <c r="G4251" s="1345" t="s">
        <v>490</v>
      </c>
      <c r="H4251" s="1346"/>
      <c r="I4251" s="1347"/>
      <c r="J4251" s="1339"/>
      <c r="K4251" s="1339"/>
      <c r="L4251" s="1339"/>
      <c r="M4251" s="1339"/>
      <c r="N4251" s="1339"/>
      <c r="O4251" s="1339"/>
      <c r="P4251" s="295" t="s">
        <v>491</v>
      </c>
      <c r="Q4251" s="1339"/>
      <c r="R4251" s="1337"/>
      <c r="S4251" s="1339"/>
      <c r="T4251" s="1339"/>
      <c r="U4251" s="1341"/>
      <c r="V4251" s="291">
        <f ca="1">IF(OFFSET(V4251,1,1)=1,OFFSET(V4251,0,-4),OFFSET(V4251,1,0))</f>
        <v>0</v>
      </c>
      <c r="W4251" s="256">
        <f t="shared" ca="1" si="1127"/>
        <v>2</v>
      </c>
      <c r="X4251" s="256">
        <f t="shared" ca="1" si="1128"/>
        <v>1</v>
      </c>
      <c r="Y4251" s="336"/>
      <c r="Z4251" s="336"/>
    </row>
    <row r="4252" spans="1:29" s="337" customFormat="1" ht="15.75" hidden="1" x14ac:dyDescent="0.2">
      <c r="A4252" s="288"/>
      <c r="B4252" s="512"/>
      <c r="C4252" s="397" t="s">
        <v>759</v>
      </c>
      <c r="D4252" s="1333">
        <v>45170</v>
      </c>
      <c r="E4252" s="1334"/>
      <c r="F4252" s="1335"/>
      <c r="G4252" s="1333">
        <v>45199</v>
      </c>
      <c r="H4252" s="1334"/>
      <c r="I4252" s="1335"/>
      <c r="J4252" s="317">
        <f>G4252-D4252+1</f>
        <v>30</v>
      </c>
      <c r="K4252" s="519"/>
      <c r="L4252" s="427"/>
      <c r="M4252" s="513"/>
      <c r="N4252" s="520"/>
      <c r="O4252" s="519"/>
      <c r="P4252" s="428"/>
      <c r="Q4252" s="513"/>
      <c r="R4252" s="524">
        <v>1</v>
      </c>
      <c r="S4252" s="427"/>
      <c r="T4252" s="514">
        <v>19</v>
      </c>
      <c r="U4252" s="765"/>
      <c r="V4252" s="291">
        <f t="shared" ref="V4252:V4257" ca="1" si="1129">IF(OFFSET(V4252,1,1)=1,OFFSET(V4252,0,-4),OFFSET(V4252,1,0))</f>
        <v>0</v>
      </c>
      <c r="W4252" s="256">
        <f t="shared" ref="W4252:W4257" ca="1" si="1130">IF(LEFT(_xlfn.FORMULATEXT(V4252),3)="=SO",1,IF(COUNTA(A4252:U4252)=0,0,2))</f>
        <v>2</v>
      </c>
      <c r="X4252" s="256">
        <f t="shared" ref="X4252:X4257" ca="1" si="1131">IF(COUNTA(OFFSET(A4251,1,0))-COUNTA(A4251)=-1,0,1)</f>
        <v>1</v>
      </c>
      <c r="Y4252" s="336"/>
      <c r="Z4252" s="336"/>
    </row>
    <row r="4253" spans="1:29" s="337" customFormat="1" ht="15.75" hidden="1" x14ac:dyDescent="0.2">
      <c r="A4253" s="288"/>
      <c r="B4253" s="512"/>
      <c r="C4253" s="397" t="s">
        <v>760</v>
      </c>
      <c r="D4253" s="1333">
        <v>45200</v>
      </c>
      <c r="E4253" s="1334"/>
      <c r="F4253" s="1335"/>
      <c r="G4253" s="1333">
        <v>45230</v>
      </c>
      <c r="H4253" s="1334"/>
      <c r="I4253" s="1335"/>
      <c r="J4253" s="317">
        <f>G4253-D4253+1</f>
        <v>31</v>
      </c>
      <c r="K4253" s="519"/>
      <c r="L4253" s="427"/>
      <c r="M4253" s="513"/>
      <c r="N4253" s="520"/>
      <c r="O4253" s="519"/>
      <c r="P4253" s="428"/>
      <c r="Q4253" s="513"/>
      <c r="R4253" s="524">
        <v>2</v>
      </c>
      <c r="S4253" s="427"/>
      <c r="T4253" s="514">
        <v>19</v>
      </c>
      <c r="U4253" s="765"/>
      <c r="V4253" s="291">
        <f t="shared" ca="1" si="1129"/>
        <v>0</v>
      </c>
      <c r="W4253" s="256">
        <f t="shared" ca="1" si="1130"/>
        <v>2</v>
      </c>
      <c r="X4253" s="256">
        <f t="shared" ca="1" si="1131"/>
        <v>1</v>
      </c>
      <c r="Y4253" s="336"/>
      <c r="Z4253" s="336"/>
    </row>
    <row r="4254" spans="1:29" s="337" customFormat="1" ht="15.75" hidden="1" x14ac:dyDescent="0.2">
      <c r="A4254" s="288"/>
      <c r="B4254" s="512"/>
      <c r="C4254" s="397" t="s">
        <v>761</v>
      </c>
      <c r="D4254" s="1333">
        <v>45231</v>
      </c>
      <c r="E4254" s="1334"/>
      <c r="F4254" s="1335"/>
      <c r="G4254" s="1333">
        <v>45260</v>
      </c>
      <c r="H4254" s="1334"/>
      <c r="I4254" s="1335"/>
      <c r="J4254" s="317">
        <f>G4254-D4254+1</f>
        <v>30</v>
      </c>
      <c r="K4254" s="519"/>
      <c r="L4254" s="427"/>
      <c r="M4254" s="513"/>
      <c r="N4254" s="520"/>
      <c r="O4254" s="519"/>
      <c r="P4254" s="428"/>
      <c r="Q4254" s="513"/>
      <c r="R4254" s="524">
        <v>2</v>
      </c>
      <c r="S4254" s="427"/>
      <c r="T4254" s="514">
        <v>19</v>
      </c>
      <c r="U4254" s="765"/>
      <c r="V4254" s="291">
        <f t="shared" ca="1" si="1129"/>
        <v>0</v>
      </c>
      <c r="W4254" s="256">
        <f t="shared" ca="1" si="1130"/>
        <v>2</v>
      </c>
      <c r="X4254" s="256">
        <f t="shared" ca="1" si="1131"/>
        <v>1</v>
      </c>
      <c r="Y4254" s="336"/>
      <c r="Z4254" s="336"/>
    </row>
    <row r="4255" spans="1:29" s="337" customFormat="1" ht="15.75" hidden="1" x14ac:dyDescent="0.2">
      <c r="A4255" s="288"/>
      <c r="B4255" s="512"/>
      <c r="C4255" s="397" t="s">
        <v>762</v>
      </c>
      <c r="D4255" s="1333">
        <v>45261</v>
      </c>
      <c r="E4255" s="1334"/>
      <c r="F4255" s="1335"/>
      <c r="G4255" s="1333">
        <v>45291</v>
      </c>
      <c r="H4255" s="1334"/>
      <c r="I4255" s="1335"/>
      <c r="J4255" s="317">
        <f>G4255-D4255+1</f>
        <v>31</v>
      </c>
      <c r="K4255" s="519"/>
      <c r="L4255" s="427"/>
      <c r="M4255" s="513"/>
      <c r="N4255" s="520"/>
      <c r="O4255" s="519"/>
      <c r="P4255" s="428"/>
      <c r="Q4255" s="513"/>
      <c r="R4255" s="524">
        <v>1</v>
      </c>
      <c r="S4255" s="427"/>
      <c r="T4255" s="514">
        <v>19</v>
      </c>
      <c r="U4255" s="765"/>
      <c r="V4255" s="291">
        <f t="shared" ca="1" si="1129"/>
        <v>0</v>
      </c>
      <c r="W4255" s="256">
        <f t="shared" ca="1" si="1130"/>
        <v>2</v>
      </c>
      <c r="X4255" s="256">
        <f t="shared" ca="1" si="1131"/>
        <v>1</v>
      </c>
      <c r="Y4255" s="336"/>
      <c r="Z4255" s="336"/>
    </row>
    <row r="4256" spans="1:29" s="111" customFormat="1" ht="15" hidden="1" x14ac:dyDescent="0.2">
      <c r="A4256" s="288"/>
      <c r="B4256" s="338"/>
      <c r="C4256" s="339"/>
      <c r="D4256" s="340"/>
      <c r="E4256" s="341"/>
      <c r="F4256" s="342"/>
      <c r="G4256" s="340"/>
      <c r="H4256" s="341"/>
      <c r="I4256" s="342"/>
      <c r="J4256" s="343"/>
      <c r="K4256" s="344"/>
      <c r="L4256" s="345"/>
      <c r="M4256" s="346"/>
      <c r="N4256" s="347"/>
      <c r="O4256" s="348"/>
      <c r="P4256" s="345"/>
      <c r="Q4256" s="349"/>
      <c r="R4256" s="350"/>
      <c r="S4256" s="351"/>
      <c r="T4256" s="352"/>
      <c r="U4256" s="353"/>
      <c r="V4256" s="291">
        <f t="shared" ca="1" si="1129"/>
        <v>0</v>
      </c>
      <c r="W4256" s="256">
        <f t="shared" ca="1" si="1130"/>
        <v>0</v>
      </c>
      <c r="X4256" s="256">
        <f t="shared" ca="1" si="1131"/>
        <v>1</v>
      </c>
      <c r="Y4256" s="250"/>
      <c r="Z4256" s="250"/>
    </row>
    <row r="4257" spans="1:29" s="111" customFormat="1" ht="15.75" hidden="1" customHeight="1" x14ac:dyDescent="0.2">
      <c r="A4257" s="288"/>
      <c r="B4257" s="354"/>
      <c r="C4257" s="355"/>
      <c r="D4257" s="1354" t="s">
        <v>492</v>
      </c>
      <c r="E4257" s="1355"/>
      <c r="F4257" s="1355"/>
      <c r="G4257" s="1355"/>
      <c r="H4257" s="1355"/>
      <c r="I4257" s="1356"/>
      <c r="J4257" s="1357">
        <f>VLOOKUP(A4259,'11 - FINANCEIRO'!_xlnm.Print_Area,6,FALSE)</f>
        <v>13</v>
      </c>
      <c r="K4257" s="1358"/>
      <c r="L4257" s="356" t="str">
        <f>VLOOKUP(A4259,'11 - FINANCEIRO'!_xlnm.Print_Area,4,FALSE)</f>
        <v>mês</v>
      </c>
      <c r="M4257" s="1359" t="s">
        <v>493</v>
      </c>
      <c r="N4257" s="1360"/>
      <c r="O4257" s="1360"/>
      <c r="P4257" s="1360"/>
      <c r="Q4257" s="1361"/>
      <c r="R4257" s="357">
        <f>TRUNC(SUM(R4252:R4256),3)</f>
        <v>6</v>
      </c>
      <c r="S4257" s="358" t="str">
        <f>L4257</f>
        <v>mês</v>
      </c>
      <c r="T4257" s="359"/>
      <c r="U4257" s="360"/>
      <c r="V4257" s="291">
        <f t="shared" ca="1" si="1129"/>
        <v>0</v>
      </c>
      <c r="W4257" s="256">
        <f t="shared" ca="1" si="1130"/>
        <v>2</v>
      </c>
      <c r="X4257" s="256">
        <f t="shared" ca="1" si="1131"/>
        <v>1</v>
      </c>
      <c r="Y4257" s="250"/>
      <c r="Z4257" s="250"/>
    </row>
    <row r="4258" spans="1:29" s="293" customFormat="1" ht="15.75" hidden="1" customHeight="1" x14ac:dyDescent="0.2">
      <c r="A4258" s="288"/>
      <c r="B4258" s="354"/>
      <c r="C4258" s="361"/>
      <c r="D4258" s="1362" t="s">
        <v>494</v>
      </c>
      <c r="E4258" s="1363"/>
      <c r="F4258" s="1363"/>
      <c r="G4258" s="1363"/>
      <c r="H4258" s="1363"/>
      <c r="I4258" s="1364"/>
      <c r="J4258" s="1365">
        <f>R4257/J4257</f>
        <v>0.46153846153846156</v>
      </c>
      <c r="K4258" s="1366"/>
      <c r="L4258" s="1369"/>
      <c r="M4258" s="1371" t="s">
        <v>495</v>
      </c>
      <c r="N4258" s="1372"/>
      <c r="O4258" s="1372"/>
      <c r="P4258" s="1372"/>
      <c r="Q4258" s="1373"/>
      <c r="R4258" s="362">
        <f>VLOOKUP(A4259,'11 - FINANCEIRO'!_xlnm.Print_Area,8,FALSE)</f>
        <v>6</v>
      </c>
      <c r="S4258" s="363" t="str">
        <f>L4257</f>
        <v>mês</v>
      </c>
      <c r="T4258" s="359"/>
      <c r="U4258" s="360"/>
      <c r="V4258" s="291">
        <f ca="1">IF(OFFSET(V4258,1,1)=1,OFFSET(V4258,0,-4),OFFSET(V4258,1,0))</f>
        <v>0</v>
      </c>
      <c r="W4258" s="256">
        <f t="shared" ref="W4258:W4263" ca="1" si="1132">IF(LEFT(_xlfn.FORMULATEXT(V4258),3)="=SO",1,IF(COUNTA(A4258:U4258)=0,0,2))</f>
        <v>2</v>
      </c>
      <c r="X4258" s="256">
        <f t="shared" ref="X4258:X4263" ca="1" si="1133">IF(COUNTA(OFFSET(A4257,1,0))-COUNTA(A4257)=-1,0,1)</f>
        <v>1</v>
      </c>
      <c r="Y4258" s="256"/>
      <c r="Z4258" s="256"/>
      <c r="AA4258" s="292"/>
      <c r="AB4258" s="292"/>
      <c r="AC4258" s="292"/>
    </row>
    <row r="4259" spans="1:29" s="293" customFormat="1" ht="15.75" hidden="1" customHeight="1" x14ac:dyDescent="0.2">
      <c r="A4259" s="288" t="s">
        <v>727</v>
      </c>
      <c r="B4259" s="364"/>
      <c r="C4259" s="365"/>
      <c r="D4259" s="1354"/>
      <c r="E4259" s="1355"/>
      <c r="F4259" s="1355"/>
      <c r="G4259" s="1355"/>
      <c r="H4259" s="1355"/>
      <c r="I4259" s="1356"/>
      <c r="J4259" s="1367"/>
      <c r="K4259" s="1368"/>
      <c r="L4259" s="1370"/>
      <c r="M4259" s="1371" t="s">
        <v>496</v>
      </c>
      <c r="N4259" s="1372"/>
      <c r="O4259" s="1372"/>
      <c r="P4259" s="1372"/>
      <c r="Q4259" s="1373"/>
      <c r="R4259" s="362">
        <f>R4257-R4258</f>
        <v>0</v>
      </c>
      <c r="S4259" s="363" t="str">
        <f>L4257</f>
        <v>mês</v>
      </c>
      <c r="T4259" s="366"/>
      <c r="U4259" s="367"/>
      <c r="V4259" s="291">
        <f ca="1">IF(OFFSET(V4259,1,1)=1,OFFSET(V4259,0,-4),OFFSET(V4259,1,0))</f>
        <v>0</v>
      </c>
      <c r="W4259" s="256">
        <f t="shared" ca="1" si="1132"/>
        <v>2</v>
      </c>
      <c r="X4259" s="256">
        <f t="shared" ca="1" si="1133"/>
        <v>1</v>
      </c>
      <c r="Y4259" s="256"/>
      <c r="Z4259" s="256"/>
      <c r="AA4259" s="292"/>
      <c r="AB4259" s="292"/>
      <c r="AC4259" s="292"/>
    </row>
    <row r="4260" spans="1:29" s="111" customFormat="1" ht="15.75" hidden="1" x14ac:dyDescent="0.2">
      <c r="A4260" s="288"/>
      <c r="B4260" s="368"/>
      <c r="C4260" s="365"/>
      <c r="D4260" s="369"/>
      <c r="E4260" s="370"/>
      <c r="F4260" s="369"/>
      <c r="G4260" s="369"/>
      <c r="H4260" s="369"/>
      <c r="I4260" s="369"/>
      <c r="J4260" s="371"/>
      <c r="K4260" s="372"/>
      <c r="L4260" s="373"/>
      <c r="M4260" s="374"/>
      <c r="N4260" s="374"/>
      <c r="O4260" s="374"/>
      <c r="P4260" s="374"/>
      <c r="Q4260" s="374"/>
      <c r="R4260" s="375"/>
      <c r="S4260" s="376"/>
      <c r="T4260" s="377"/>
      <c r="U4260" s="378"/>
      <c r="V4260" s="379">
        <f ca="1">SUM(V4250:V4259)</f>
        <v>0</v>
      </c>
      <c r="W4260" s="256">
        <f t="shared" ca="1" si="1132"/>
        <v>1</v>
      </c>
      <c r="X4260" s="256">
        <f t="shared" ca="1" si="1133"/>
        <v>0</v>
      </c>
      <c r="Y4260" s="250"/>
      <c r="Z4260" s="250"/>
    </row>
    <row r="4261" spans="1:29" s="293" customFormat="1" ht="33" customHeight="1" x14ac:dyDescent="0.2">
      <c r="A4261" s="288"/>
      <c r="B4261" s="1374" t="str">
        <f>VLOOKUP(A4312,'11 - FINANCEIRO'!_xlnm.Print_Area,1,FALSE)</f>
        <v>6.1.7</v>
      </c>
      <c r="C4261" s="1376" t="str">
        <f>VLOOKUP(A4312,'11 - FINANCEIRO'!_xlnm.Print_Area,3,FALSE)</f>
        <v>Aluguel mensal container para almoxarifado, incl. porta, 2 janelas, 1 pt iluminação, Isolamento térmico (teto), piso em comp. Naval pintado, cert. NR18, incl. laudo descontaminação.</v>
      </c>
      <c r="D4261" s="1378" t="s">
        <v>500</v>
      </c>
      <c r="E4261" s="1379"/>
      <c r="F4261" s="1379"/>
      <c r="G4261" s="1379"/>
      <c r="H4261" s="1379"/>
      <c r="I4261" s="1380"/>
      <c r="J4261" s="1338" t="s">
        <v>478</v>
      </c>
      <c r="K4261" s="1338" t="s">
        <v>479</v>
      </c>
      <c r="L4261" s="1338" t="s">
        <v>480</v>
      </c>
      <c r="M4261" s="1338" t="s">
        <v>481</v>
      </c>
      <c r="N4261" s="1338" t="s">
        <v>482</v>
      </c>
      <c r="O4261" s="1338" t="s">
        <v>483</v>
      </c>
      <c r="P4261" s="1338" t="s">
        <v>484</v>
      </c>
      <c r="Q4261" s="1338" t="s">
        <v>296</v>
      </c>
      <c r="R4261" s="1336" t="s">
        <v>296</v>
      </c>
      <c r="S4261" s="1338" t="s">
        <v>486</v>
      </c>
      <c r="T4261" s="1338" t="s">
        <v>487</v>
      </c>
      <c r="U4261" s="1340" t="s">
        <v>488</v>
      </c>
      <c r="V4261" s="291">
        <f t="shared" ref="V4261:V4371" ca="1" si="1134">IF(OFFSET(V4261,1,1)=1,OFFSET(V4261,0,-4),OFFSET(V4261,1,0))</f>
        <v>2</v>
      </c>
      <c r="W4261" s="256">
        <f t="shared" ca="1" si="1132"/>
        <v>2</v>
      </c>
      <c r="X4261" s="256">
        <f t="shared" ca="1" si="1133"/>
        <v>1</v>
      </c>
      <c r="Y4261" s="256"/>
      <c r="Z4261" s="256"/>
      <c r="AA4261" s="292"/>
      <c r="AB4261" s="292"/>
      <c r="AC4261" s="292"/>
    </row>
    <row r="4262" spans="1:29" s="293" customFormat="1" ht="33" customHeight="1" x14ac:dyDescent="0.2">
      <c r="A4262" s="288"/>
      <c r="B4262" s="1375"/>
      <c r="C4262" s="1377"/>
      <c r="D4262" s="1342" t="s">
        <v>489</v>
      </c>
      <c r="E4262" s="1343"/>
      <c r="F4262" s="1344"/>
      <c r="G4262" s="1345" t="s">
        <v>490</v>
      </c>
      <c r="H4262" s="1346"/>
      <c r="I4262" s="1347"/>
      <c r="J4262" s="1339"/>
      <c r="K4262" s="1339"/>
      <c r="L4262" s="1339"/>
      <c r="M4262" s="1339"/>
      <c r="N4262" s="1339"/>
      <c r="O4262" s="1339"/>
      <c r="P4262" s="1339" t="s">
        <v>491</v>
      </c>
      <c r="Q4262" s="1339"/>
      <c r="R4262" s="1337"/>
      <c r="S4262" s="1339"/>
      <c r="T4262" s="1339"/>
      <c r="U4262" s="1341"/>
      <c r="V4262" s="291">
        <f t="shared" ca="1" si="1134"/>
        <v>2</v>
      </c>
      <c r="W4262" s="256">
        <f t="shared" ca="1" si="1132"/>
        <v>2</v>
      </c>
      <c r="X4262" s="256">
        <f t="shared" ca="1" si="1133"/>
        <v>1</v>
      </c>
      <c r="Y4262" s="256"/>
      <c r="Z4262" s="256"/>
      <c r="AA4262" s="292"/>
      <c r="AB4262" s="292"/>
      <c r="AC4262" s="292"/>
    </row>
    <row r="4263" spans="1:29" s="293" customFormat="1" ht="15.75" x14ac:dyDescent="0.2">
      <c r="A4263" s="288"/>
      <c r="B4263" s="296"/>
      <c r="C4263" s="297" t="s">
        <v>789</v>
      </c>
      <c r="D4263" s="1381">
        <v>44776</v>
      </c>
      <c r="E4263" s="1382"/>
      <c r="F4263" s="1383"/>
      <c r="G4263" s="1381">
        <v>44804</v>
      </c>
      <c r="H4263" s="1382"/>
      <c r="I4263" s="1383"/>
      <c r="J4263" s="304">
        <f>G4263-D4263+1</f>
        <v>29</v>
      </c>
      <c r="K4263" s="304"/>
      <c r="L4263" s="304"/>
      <c r="M4263" s="304"/>
      <c r="N4263" s="304"/>
      <c r="O4263" s="304"/>
      <c r="P4263" s="306"/>
      <c r="Q4263" s="304"/>
      <c r="R4263" s="307">
        <v>1</v>
      </c>
      <c r="S4263" s="308" t="str">
        <f>S4310</f>
        <v>mês</v>
      </c>
      <c r="T4263" s="309">
        <v>19</v>
      </c>
      <c r="U4263" s="310"/>
      <c r="V4263" s="291">
        <f t="shared" ca="1" si="1134"/>
        <v>2</v>
      </c>
      <c r="W4263" s="256">
        <f t="shared" ca="1" si="1132"/>
        <v>2</v>
      </c>
      <c r="X4263" s="256">
        <f t="shared" ca="1" si="1133"/>
        <v>1</v>
      </c>
      <c r="Y4263" s="256"/>
      <c r="Z4263" s="256"/>
      <c r="AA4263" s="292"/>
      <c r="AB4263" s="292"/>
      <c r="AC4263" s="292"/>
    </row>
    <row r="4264" spans="1:29" s="337" customFormat="1" ht="15.75" x14ac:dyDescent="0.2">
      <c r="A4264" s="288"/>
      <c r="B4264" s="311"/>
      <c r="C4264" s="312" t="s">
        <v>790</v>
      </c>
      <c r="D4264" s="1333">
        <v>44805</v>
      </c>
      <c r="E4264" s="1334"/>
      <c r="F4264" s="1335"/>
      <c r="G4264" s="1333">
        <v>44836</v>
      </c>
      <c r="H4264" s="1334"/>
      <c r="I4264" s="1335"/>
      <c r="J4264" s="317">
        <f t="shared" ref="J4264:J4279" si="1135">G4264-D4264+1</f>
        <v>32</v>
      </c>
      <c r="K4264" s="313"/>
      <c r="L4264" s="317"/>
      <c r="M4264" s="315"/>
      <c r="N4264" s="314"/>
      <c r="O4264" s="313"/>
      <c r="P4264" s="318"/>
      <c r="Q4264" s="315"/>
      <c r="R4264" s="319">
        <v>1</v>
      </c>
      <c r="S4264" s="331" t="str">
        <f>$L$4310</f>
        <v>mês</v>
      </c>
      <c r="T4264" s="320">
        <v>19</v>
      </c>
      <c r="U4264" s="321"/>
      <c r="V4264" s="291">
        <f t="shared" ca="1" si="1134"/>
        <v>2</v>
      </c>
      <c r="W4264" s="256">
        <f t="shared" ref="W4264:W4279" ca="1" si="1136">IF(LEFT(_xlfn.FORMULATEXT(V4264),3)="=SO",1,IF(COUNTA(A4264:U4264)=0,0,2))</f>
        <v>2</v>
      </c>
      <c r="X4264" s="256">
        <f ca="1">IF(COUNTA(OFFSET(#REF!,1,0))-COUNTA(#REF!)=-1,0,1)</f>
        <v>1</v>
      </c>
      <c r="Y4264" s="336"/>
      <c r="Z4264" s="336"/>
    </row>
    <row r="4265" spans="1:29" s="337" customFormat="1" ht="15.75" x14ac:dyDescent="0.2">
      <c r="A4265" s="288"/>
      <c r="B4265" s="311"/>
      <c r="C4265" s="312" t="s">
        <v>788</v>
      </c>
      <c r="D4265" s="1333">
        <v>44837</v>
      </c>
      <c r="E4265" s="1334"/>
      <c r="F4265" s="1335"/>
      <c r="G4265" s="1333">
        <v>44865</v>
      </c>
      <c r="H4265" s="1334"/>
      <c r="I4265" s="1335"/>
      <c r="J4265" s="317">
        <f t="shared" si="1135"/>
        <v>29</v>
      </c>
      <c r="K4265" s="313"/>
      <c r="L4265" s="317"/>
      <c r="M4265" s="315"/>
      <c r="N4265" s="314"/>
      <c r="O4265" s="313"/>
      <c r="P4265" s="318"/>
      <c r="Q4265" s="315"/>
      <c r="R4265" s="319">
        <v>1</v>
      </c>
      <c r="S4265" s="331" t="str">
        <f t="shared" ref="S4265:S4306" si="1137">$L$4310</f>
        <v>mês</v>
      </c>
      <c r="T4265" s="320">
        <v>19</v>
      </c>
      <c r="U4265" s="321"/>
      <c r="V4265" s="291">
        <f t="shared" ca="1" si="1134"/>
        <v>2</v>
      </c>
      <c r="W4265" s="256">
        <f t="shared" ca="1" si="1136"/>
        <v>2</v>
      </c>
      <c r="X4265" s="256">
        <f t="shared" ref="X4265:X4276" ca="1" si="1138">IF(COUNTA(OFFSET(A4264,1,0))-COUNTA(A4264)=-1,0,1)</f>
        <v>1</v>
      </c>
      <c r="Y4265" s="336"/>
      <c r="Z4265" s="336"/>
    </row>
    <row r="4266" spans="1:29" s="405" customFormat="1" ht="15" x14ac:dyDescent="0.2">
      <c r="A4266" s="403"/>
      <c r="B4266" s="322"/>
      <c r="C4266" s="397" t="s">
        <v>791</v>
      </c>
      <c r="D4266" s="1333">
        <v>44866</v>
      </c>
      <c r="E4266" s="1334"/>
      <c r="F4266" s="1335"/>
      <c r="G4266" s="1333">
        <v>44890</v>
      </c>
      <c r="H4266" s="1334"/>
      <c r="I4266" s="1335"/>
      <c r="J4266" s="317">
        <f t="shared" si="1135"/>
        <v>25</v>
      </c>
      <c r="K4266" s="328"/>
      <c r="L4266" s="328"/>
      <c r="M4266" s="328"/>
      <c r="N4266" s="328"/>
      <c r="O4266" s="334"/>
      <c r="P4266" s="328"/>
      <c r="Q4266" s="334"/>
      <c r="R4266" s="333">
        <v>1</v>
      </c>
      <c r="S4266" s="331" t="str">
        <f t="shared" si="1137"/>
        <v>mês</v>
      </c>
      <c r="T4266" s="320">
        <v>19</v>
      </c>
      <c r="U4266" s="335"/>
      <c r="V4266" s="291">
        <f t="shared" ca="1" si="1134"/>
        <v>2</v>
      </c>
      <c r="W4266" s="256">
        <f t="shared" ca="1" si="1136"/>
        <v>2</v>
      </c>
      <c r="X4266" s="256">
        <f t="shared" ca="1" si="1138"/>
        <v>1</v>
      </c>
      <c r="Y4266" s="404"/>
      <c r="Z4266" s="404"/>
    </row>
    <row r="4267" spans="1:29" s="405" customFormat="1" ht="15" x14ac:dyDescent="0.2">
      <c r="A4267" s="403"/>
      <c r="B4267" s="322"/>
      <c r="C4267" s="397" t="s">
        <v>792</v>
      </c>
      <c r="D4267" s="1333">
        <f>G4266+1</f>
        <v>44891</v>
      </c>
      <c r="E4267" s="1334"/>
      <c r="F4267" s="1335"/>
      <c r="G4267" s="1333">
        <v>44926</v>
      </c>
      <c r="H4267" s="1334"/>
      <c r="I4267" s="1335"/>
      <c r="J4267" s="317">
        <f t="shared" si="1135"/>
        <v>36</v>
      </c>
      <c r="K4267" s="328"/>
      <c r="L4267" s="328"/>
      <c r="M4267" s="328"/>
      <c r="N4267" s="328"/>
      <c r="O4267" s="334"/>
      <c r="P4267" s="328"/>
      <c r="Q4267" s="334"/>
      <c r="R4267" s="333">
        <v>1</v>
      </c>
      <c r="S4267" s="331" t="str">
        <f t="shared" si="1137"/>
        <v>mês</v>
      </c>
      <c r="T4267" s="320">
        <v>19</v>
      </c>
      <c r="U4267" s="335"/>
      <c r="V4267" s="291">
        <f t="shared" ca="1" si="1134"/>
        <v>2</v>
      </c>
      <c r="W4267" s="256">
        <f t="shared" ca="1" si="1136"/>
        <v>2</v>
      </c>
      <c r="X4267" s="256">
        <f t="shared" ca="1" si="1138"/>
        <v>1</v>
      </c>
      <c r="Y4267" s="404"/>
      <c r="Z4267" s="404"/>
    </row>
    <row r="4268" spans="1:29" s="337" customFormat="1" ht="15" x14ac:dyDescent="0.2">
      <c r="A4268" s="288"/>
      <c r="B4268" s="322"/>
      <c r="C4268" s="397" t="s">
        <v>793</v>
      </c>
      <c r="D4268" s="1333">
        <v>44927</v>
      </c>
      <c r="E4268" s="1334"/>
      <c r="F4268" s="1335"/>
      <c r="G4268" s="1333">
        <v>44957</v>
      </c>
      <c r="H4268" s="1334"/>
      <c r="I4268" s="1335"/>
      <c r="J4268" s="317">
        <f t="shared" si="1135"/>
        <v>31</v>
      </c>
      <c r="K4268" s="327"/>
      <c r="L4268" s="328"/>
      <c r="M4268" s="329"/>
      <c r="N4268" s="330"/>
      <c r="O4268" s="331"/>
      <c r="P4268" s="328"/>
      <c r="Q4268" s="332"/>
      <c r="R4268" s="333">
        <v>1</v>
      </c>
      <c r="S4268" s="331" t="str">
        <f t="shared" si="1137"/>
        <v>mês</v>
      </c>
      <c r="T4268" s="320">
        <v>19</v>
      </c>
      <c r="U4268" s="335"/>
      <c r="V4268" s="291">
        <f t="shared" ca="1" si="1134"/>
        <v>2</v>
      </c>
      <c r="W4268" s="256">
        <f t="shared" ca="1" si="1136"/>
        <v>2</v>
      </c>
      <c r="X4268" s="256">
        <f t="shared" ca="1" si="1138"/>
        <v>1</v>
      </c>
      <c r="Y4268" s="336"/>
      <c r="Z4268" s="336"/>
    </row>
    <row r="4269" spans="1:29" s="337" customFormat="1" ht="15" x14ac:dyDescent="0.2">
      <c r="A4269" s="288"/>
      <c r="B4269" s="322"/>
      <c r="C4269" s="397" t="s">
        <v>794</v>
      </c>
      <c r="D4269" s="1333">
        <v>44958</v>
      </c>
      <c r="E4269" s="1334"/>
      <c r="F4269" s="1335"/>
      <c r="G4269" s="1333">
        <v>44985</v>
      </c>
      <c r="H4269" s="1334"/>
      <c r="I4269" s="1335"/>
      <c r="J4269" s="317">
        <f t="shared" si="1135"/>
        <v>28</v>
      </c>
      <c r="K4269" s="327"/>
      <c r="L4269" s="328"/>
      <c r="M4269" s="329"/>
      <c r="N4269" s="330"/>
      <c r="O4269" s="331"/>
      <c r="P4269" s="328"/>
      <c r="Q4269" s="332"/>
      <c r="R4269" s="333">
        <v>1</v>
      </c>
      <c r="S4269" s="331" t="str">
        <f t="shared" si="1137"/>
        <v>mês</v>
      </c>
      <c r="T4269" s="320">
        <v>19</v>
      </c>
      <c r="U4269" s="335"/>
      <c r="V4269" s="291">
        <f t="shared" ca="1" si="1134"/>
        <v>2</v>
      </c>
      <c r="W4269" s="256">
        <f t="shared" ca="1" si="1136"/>
        <v>2</v>
      </c>
      <c r="X4269" s="256">
        <f t="shared" ca="1" si="1138"/>
        <v>1</v>
      </c>
      <c r="Y4269" s="336"/>
      <c r="Z4269" s="336"/>
    </row>
    <row r="4270" spans="1:29" s="337" customFormat="1" ht="15" x14ac:dyDescent="0.2">
      <c r="A4270" s="288"/>
      <c r="B4270" s="322"/>
      <c r="C4270" s="397" t="s">
        <v>795</v>
      </c>
      <c r="D4270" s="1333">
        <v>44986</v>
      </c>
      <c r="E4270" s="1334"/>
      <c r="F4270" s="1335"/>
      <c r="G4270" s="1333">
        <v>45016</v>
      </c>
      <c r="H4270" s="1334"/>
      <c r="I4270" s="1335"/>
      <c r="J4270" s="317">
        <f t="shared" si="1135"/>
        <v>31</v>
      </c>
      <c r="K4270" s="327"/>
      <c r="L4270" s="328"/>
      <c r="M4270" s="329"/>
      <c r="N4270" s="330"/>
      <c r="O4270" s="331"/>
      <c r="P4270" s="328"/>
      <c r="Q4270" s="332"/>
      <c r="R4270" s="333">
        <v>1</v>
      </c>
      <c r="S4270" s="331" t="str">
        <f t="shared" si="1137"/>
        <v>mês</v>
      </c>
      <c r="T4270" s="320">
        <v>19</v>
      </c>
      <c r="U4270" s="335"/>
      <c r="V4270" s="291">
        <f t="shared" ca="1" si="1134"/>
        <v>2</v>
      </c>
      <c r="W4270" s="256">
        <f t="shared" ca="1" si="1136"/>
        <v>2</v>
      </c>
      <c r="X4270" s="256">
        <f t="shared" ca="1" si="1138"/>
        <v>1</v>
      </c>
      <c r="Y4270" s="336"/>
      <c r="Z4270" s="336"/>
    </row>
    <row r="4271" spans="1:29" s="337" customFormat="1" ht="15" x14ac:dyDescent="0.2">
      <c r="A4271" s="288"/>
      <c r="B4271" s="322"/>
      <c r="C4271" s="397" t="s">
        <v>796</v>
      </c>
      <c r="D4271" s="1333">
        <v>45017</v>
      </c>
      <c r="E4271" s="1334"/>
      <c r="F4271" s="1335"/>
      <c r="G4271" s="1333">
        <v>45046</v>
      </c>
      <c r="H4271" s="1334"/>
      <c r="I4271" s="1335"/>
      <c r="J4271" s="317">
        <f t="shared" si="1135"/>
        <v>30</v>
      </c>
      <c r="K4271" s="327"/>
      <c r="L4271" s="328"/>
      <c r="M4271" s="329"/>
      <c r="N4271" s="330"/>
      <c r="O4271" s="331"/>
      <c r="P4271" s="328"/>
      <c r="Q4271" s="332"/>
      <c r="R4271" s="333">
        <v>1</v>
      </c>
      <c r="S4271" s="331" t="str">
        <f t="shared" si="1137"/>
        <v>mês</v>
      </c>
      <c r="T4271" s="320">
        <v>19</v>
      </c>
      <c r="U4271" s="335"/>
      <c r="V4271" s="291">
        <f t="shared" ca="1" si="1134"/>
        <v>2</v>
      </c>
      <c r="W4271" s="256">
        <f t="shared" ca="1" si="1136"/>
        <v>2</v>
      </c>
      <c r="X4271" s="256">
        <f t="shared" ca="1" si="1138"/>
        <v>1</v>
      </c>
      <c r="Y4271" s="336"/>
      <c r="Z4271" s="336"/>
    </row>
    <row r="4272" spans="1:29" s="337" customFormat="1" ht="15" x14ac:dyDescent="0.2">
      <c r="A4272" s="288"/>
      <c r="B4272" s="322"/>
      <c r="C4272" s="397" t="s">
        <v>797</v>
      </c>
      <c r="D4272" s="1333">
        <v>45047</v>
      </c>
      <c r="E4272" s="1334"/>
      <c r="F4272" s="1335"/>
      <c r="G4272" s="1333">
        <v>45077</v>
      </c>
      <c r="H4272" s="1334"/>
      <c r="I4272" s="1335"/>
      <c r="J4272" s="317">
        <f t="shared" si="1135"/>
        <v>31</v>
      </c>
      <c r="K4272" s="327"/>
      <c r="L4272" s="328"/>
      <c r="M4272" s="329"/>
      <c r="N4272" s="330"/>
      <c r="O4272" s="331"/>
      <c r="P4272" s="328"/>
      <c r="Q4272" s="332"/>
      <c r="R4272" s="333">
        <v>1</v>
      </c>
      <c r="S4272" s="331" t="str">
        <f t="shared" si="1137"/>
        <v>mês</v>
      </c>
      <c r="T4272" s="320">
        <v>19</v>
      </c>
      <c r="U4272" s="335"/>
      <c r="V4272" s="291">
        <f t="shared" ca="1" si="1134"/>
        <v>2</v>
      </c>
      <c r="W4272" s="256">
        <f t="shared" ca="1" si="1136"/>
        <v>2</v>
      </c>
      <c r="X4272" s="256">
        <f t="shared" ca="1" si="1138"/>
        <v>1</v>
      </c>
      <c r="Y4272" s="336"/>
      <c r="Z4272" s="336"/>
    </row>
    <row r="4273" spans="1:29" s="337" customFormat="1" ht="15" x14ac:dyDescent="0.2">
      <c r="A4273" s="288"/>
      <c r="B4273" s="322"/>
      <c r="C4273" s="397" t="s">
        <v>798</v>
      </c>
      <c r="D4273" s="1333">
        <v>45078</v>
      </c>
      <c r="E4273" s="1334"/>
      <c r="F4273" s="1335"/>
      <c r="G4273" s="1333">
        <v>45107</v>
      </c>
      <c r="H4273" s="1334"/>
      <c r="I4273" s="1335"/>
      <c r="J4273" s="317">
        <f t="shared" si="1135"/>
        <v>30</v>
      </c>
      <c r="K4273" s="327"/>
      <c r="L4273" s="328"/>
      <c r="M4273" s="329"/>
      <c r="N4273" s="330"/>
      <c r="O4273" s="331"/>
      <c r="P4273" s="328"/>
      <c r="Q4273" s="332"/>
      <c r="R4273" s="333">
        <v>1</v>
      </c>
      <c r="S4273" s="331" t="str">
        <f t="shared" si="1137"/>
        <v>mês</v>
      </c>
      <c r="T4273" s="320">
        <v>19</v>
      </c>
      <c r="U4273" s="335"/>
      <c r="V4273" s="291">
        <f t="shared" ca="1" si="1134"/>
        <v>2</v>
      </c>
      <c r="W4273" s="256">
        <f t="shared" ca="1" si="1136"/>
        <v>2</v>
      </c>
      <c r="X4273" s="256">
        <f t="shared" ca="1" si="1138"/>
        <v>1</v>
      </c>
      <c r="Y4273" s="336"/>
      <c r="Z4273" s="336"/>
    </row>
    <row r="4274" spans="1:29" s="337" customFormat="1" ht="15" x14ac:dyDescent="0.2">
      <c r="A4274" s="288"/>
      <c r="B4274" s="322"/>
      <c r="C4274" s="397" t="s">
        <v>799</v>
      </c>
      <c r="D4274" s="1333">
        <v>45108</v>
      </c>
      <c r="E4274" s="1334"/>
      <c r="F4274" s="1335"/>
      <c r="G4274" s="1333">
        <v>45138</v>
      </c>
      <c r="H4274" s="1334"/>
      <c r="I4274" s="1335"/>
      <c r="J4274" s="317">
        <f t="shared" si="1135"/>
        <v>31</v>
      </c>
      <c r="K4274" s="327"/>
      <c r="L4274" s="328"/>
      <c r="M4274" s="329"/>
      <c r="N4274" s="330"/>
      <c r="O4274" s="331"/>
      <c r="P4274" s="328"/>
      <c r="Q4274" s="332"/>
      <c r="R4274" s="333">
        <v>1</v>
      </c>
      <c r="S4274" s="331" t="str">
        <f t="shared" si="1137"/>
        <v>mês</v>
      </c>
      <c r="T4274" s="320">
        <v>19</v>
      </c>
      <c r="U4274" s="335"/>
      <c r="V4274" s="291">
        <f t="shared" ca="1" si="1134"/>
        <v>2</v>
      </c>
      <c r="W4274" s="256">
        <f t="shared" ca="1" si="1136"/>
        <v>2</v>
      </c>
      <c r="X4274" s="256">
        <f t="shared" ca="1" si="1138"/>
        <v>1</v>
      </c>
      <c r="Y4274" s="336"/>
      <c r="Z4274" s="336"/>
    </row>
    <row r="4275" spans="1:29" s="337" customFormat="1" ht="15" x14ac:dyDescent="0.2">
      <c r="A4275" s="288"/>
      <c r="B4275" s="322"/>
      <c r="C4275" s="397" t="s">
        <v>800</v>
      </c>
      <c r="D4275" s="1333">
        <v>45139</v>
      </c>
      <c r="E4275" s="1334"/>
      <c r="F4275" s="1335"/>
      <c r="G4275" s="1333">
        <v>45169</v>
      </c>
      <c r="H4275" s="1334"/>
      <c r="I4275" s="1335"/>
      <c r="J4275" s="317">
        <f t="shared" si="1135"/>
        <v>31</v>
      </c>
      <c r="K4275" s="327"/>
      <c r="L4275" s="328"/>
      <c r="M4275" s="329"/>
      <c r="N4275" s="330"/>
      <c r="O4275" s="331"/>
      <c r="P4275" s="328"/>
      <c r="Q4275" s="332"/>
      <c r="R4275" s="333">
        <v>1</v>
      </c>
      <c r="S4275" s="331" t="str">
        <f t="shared" si="1137"/>
        <v>mês</v>
      </c>
      <c r="T4275" s="320">
        <v>19</v>
      </c>
      <c r="U4275" s="335"/>
      <c r="V4275" s="291">
        <f t="shared" ca="1" si="1134"/>
        <v>2</v>
      </c>
      <c r="W4275" s="256">
        <f t="shared" ca="1" si="1136"/>
        <v>2</v>
      </c>
      <c r="X4275" s="256">
        <f t="shared" ca="1" si="1138"/>
        <v>1</v>
      </c>
      <c r="Y4275" s="336"/>
      <c r="Z4275" s="336"/>
    </row>
    <row r="4276" spans="1:29" s="293" customFormat="1" ht="15.75" x14ac:dyDescent="0.2">
      <c r="A4276" s="288"/>
      <c r="B4276" s="311"/>
      <c r="C4276" s="397" t="s">
        <v>801</v>
      </c>
      <c r="D4276" s="1333">
        <v>45170</v>
      </c>
      <c r="E4276" s="1334"/>
      <c r="F4276" s="1335"/>
      <c r="G4276" s="1333">
        <v>45199</v>
      </c>
      <c r="H4276" s="1334"/>
      <c r="I4276" s="1335"/>
      <c r="J4276" s="317">
        <f t="shared" si="1135"/>
        <v>30</v>
      </c>
      <c r="K4276" s="313"/>
      <c r="L4276" s="317"/>
      <c r="M4276" s="315"/>
      <c r="N4276" s="314"/>
      <c r="O4276" s="313"/>
      <c r="P4276" s="318"/>
      <c r="Q4276" s="315"/>
      <c r="R4276" s="319">
        <v>1</v>
      </c>
      <c r="S4276" s="331" t="str">
        <f t="shared" si="1137"/>
        <v>mês</v>
      </c>
      <c r="T4276" s="320">
        <v>19</v>
      </c>
      <c r="U4276" s="321"/>
      <c r="V4276" s="291">
        <f t="shared" ca="1" si="1134"/>
        <v>2</v>
      </c>
      <c r="W4276" s="256">
        <f t="shared" ca="1" si="1136"/>
        <v>2</v>
      </c>
      <c r="X4276" s="256">
        <f t="shared" ca="1" si="1138"/>
        <v>1</v>
      </c>
      <c r="Y4276" s="256"/>
      <c r="Z4276" s="256"/>
      <c r="AA4276" s="292"/>
      <c r="AB4276" s="292"/>
      <c r="AC4276" s="292"/>
    </row>
    <row r="4277" spans="1:29" s="293" customFormat="1" ht="15.75" x14ac:dyDescent="0.2">
      <c r="A4277" s="288"/>
      <c r="B4277" s="311"/>
      <c r="C4277" s="397" t="s">
        <v>802</v>
      </c>
      <c r="D4277" s="1333">
        <v>45200</v>
      </c>
      <c r="E4277" s="1334"/>
      <c r="F4277" s="1335"/>
      <c r="G4277" s="1333">
        <v>45230</v>
      </c>
      <c r="H4277" s="1334"/>
      <c r="I4277" s="1335"/>
      <c r="J4277" s="317">
        <f t="shared" si="1135"/>
        <v>31</v>
      </c>
      <c r="K4277" s="313"/>
      <c r="L4277" s="317"/>
      <c r="M4277" s="315"/>
      <c r="N4277" s="314"/>
      <c r="O4277" s="313"/>
      <c r="P4277" s="318"/>
      <c r="Q4277" s="315"/>
      <c r="R4277" s="319">
        <v>1</v>
      </c>
      <c r="S4277" s="331" t="str">
        <f t="shared" si="1137"/>
        <v>mês</v>
      </c>
      <c r="T4277" s="320">
        <v>19</v>
      </c>
      <c r="U4277" s="321"/>
      <c r="V4277" s="291">
        <f t="shared" ca="1" si="1134"/>
        <v>2</v>
      </c>
      <c r="W4277" s="256">
        <f t="shared" ca="1" si="1136"/>
        <v>2</v>
      </c>
      <c r="X4277" s="256">
        <f ca="1">IF(COUNTA(OFFSET(#REF!,1,0))-COUNTA(#REF!)=-1,0,1)</f>
        <v>1</v>
      </c>
      <c r="Y4277" s="256"/>
      <c r="Z4277" s="256"/>
      <c r="AA4277" s="292"/>
      <c r="AB4277" s="292"/>
      <c r="AC4277" s="292"/>
    </row>
    <row r="4278" spans="1:29" s="292" customFormat="1" ht="15" x14ac:dyDescent="0.2">
      <c r="A4278" s="399"/>
      <c r="B4278" s="322"/>
      <c r="C4278" s="397" t="s">
        <v>803</v>
      </c>
      <c r="D4278" s="1333">
        <v>45231</v>
      </c>
      <c r="E4278" s="1334"/>
      <c r="F4278" s="1335"/>
      <c r="G4278" s="1333">
        <v>45260</v>
      </c>
      <c r="H4278" s="1334"/>
      <c r="I4278" s="1335"/>
      <c r="J4278" s="317">
        <f t="shared" si="1135"/>
        <v>30</v>
      </c>
      <c r="K4278" s="328"/>
      <c r="L4278" s="328"/>
      <c r="M4278" s="328"/>
      <c r="N4278" s="328"/>
      <c r="O4278" s="334"/>
      <c r="P4278" s="328"/>
      <c r="Q4278" s="334"/>
      <c r="R4278" s="333">
        <v>1</v>
      </c>
      <c r="S4278" s="331" t="str">
        <f t="shared" si="1137"/>
        <v>mês</v>
      </c>
      <c r="T4278" s="320">
        <v>19</v>
      </c>
      <c r="U4278" s="335"/>
      <c r="V4278" s="291">
        <f t="shared" ca="1" si="1134"/>
        <v>2</v>
      </c>
      <c r="W4278" s="256">
        <f t="shared" ca="1" si="1136"/>
        <v>2</v>
      </c>
      <c r="X4278" s="256">
        <f ca="1">IF(COUNTA(OFFSET(A4277,1,0))-COUNTA(A4277)=-1,0,1)</f>
        <v>1</v>
      </c>
      <c r="Y4278" s="256"/>
      <c r="Z4278" s="256"/>
    </row>
    <row r="4279" spans="1:29" s="292" customFormat="1" ht="15" x14ac:dyDescent="0.2">
      <c r="A4279" s="399"/>
      <c r="B4279" s="322"/>
      <c r="C4279" s="397" t="s">
        <v>804</v>
      </c>
      <c r="D4279" s="1333">
        <v>45261</v>
      </c>
      <c r="E4279" s="1334"/>
      <c r="F4279" s="1335"/>
      <c r="G4279" s="1333">
        <v>45291</v>
      </c>
      <c r="H4279" s="1334"/>
      <c r="I4279" s="1335"/>
      <c r="J4279" s="317">
        <f t="shared" si="1135"/>
        <v>31</v>
      </c>
      <c r="K4279" s="328"/>
      <c r="L4279" s="328"/>
      <c r="M4279" s="328"/>
      <c r="N4279" s="328"/>
      <c r="O4279" s="334"/>
      <c r="P4279" s="328"/>
      <c r="Q4279" s="334"/>
      <c r="R4279" s="333">
        <v>1</v>
      </c>
      <c r="S4279" s="331" t="str">
        <f t="shared" si="1137"/>
        <v>mês</v>
      </c>
      <c r="T4279" s="320">
        <v>19</v>
      </c>
      <c r="U4279" s="335"/>
      <c r="V4279" s="291">
        <f t="shared" ca="1" si="1134"/>
        <v>2</v>
      </c>
      <c r="W4279" s="256">
        <f t="shared" ca="1" si="1136"/>
        <v>2</v>
      </c>
      <c r="X4279" s="256">
        <f ca="1">IF(COUNTA(OFFSET(A4278,1,0))-COUNTA(A4278)=-1,0,1)</f>
        <v>1</v>
      </c>
      <c r="Y4279" s="256"/>
      <c r="Z4279" s="256"/>
    </row>
    <row r="4280" spans="1:29" s="337" customFormat="1" ht="15" x14ac:dyDescent="0.2">
      <c r="A4280" s="288"/>
      <c r="B4280" s="322"/>
      <c r="C4280" s="397" t="s">
        <v>805</v>
      </c>
      <c r="D4280" s="1333">
        <v>45292</v>
      </c>
      <c r="E4280" s="1334"/>
      <c r="F4280" s="1335"/>
      <c r="G4280" s="1333">
        <v>45322</v>
      </c>
      <c r="H4280" s="1334"/>
      <c r="I4280" s="1335"/>
      <c r="J4280" s="317">
        <f t="shared" ref="J4280:J4285" si="1139">G4280-D4280+1</f>
        <v>31</v>
      </c>
      <c r="K4280" s="327"/>
      <c r="L4280" s="328"/>
      <c r="M4280" s="329"/>
      <c r="N4280" s="330"/>
      <c r="O4280" s="331"/>
      <c r="P4280" s="328"/>
      <c r="Q4280" s="332"/>
      <c r="R4280" s="333">
        <v>1</v>
      </c>
      <c r="S4280" s="331" t="str">
        <f t="shared" si="1137"/>
        <v>mês</v>
      </c>
      <c r="T4280" s="320">
        <v>19</v>
      </c>
      <c r="U4280" s="335"/>
      <c r="V4280" s="291">
        <f t="shared" ca="1" si="1134"/>
        <v>2</v>
      </c>
      <c r="W4280" s="256">
        <f t="shared" ref="W4280:W4285" ca="1" si="1140">IF(LEFT(_xlfn.FORMULATEXT(V4280),3)="=SO",1,IF(COUNTA(A4280:U4280)=0,0,2))</f>
        <v>2</v>
      </c>
      <c r="X4280" s="256">
        <f ca="1">IF(COUNTA(OFFSET(#REF!,1,0))-COUNTA(#REF!)=-1,0,1)</f>
        <v>1</v>
      </c>
      <c r="Y4280" s="336"/>
      <c r="Z4280" s="336"/>
    </row>
    <row r="4281" spans="1:29" s="337" customFormat="1" ht="15" x14ac:dyDescent="0.2">
      <c r="A4281" s="288"/>
      <c r="B4281" s="322"/>
      <c r="C4281" s="397" t="s">
        <v>806</v>
      </c>
      <c r="D4281" s="1333">
        <v>45323</v>
      </c>
      <c r="E4281" s="1334"/>
      <c r="F4281" s="1335"/>
      <c r="G4281" s="1333">
        <v>45351</v>
      </c>
      <c r="H4281" s="1334"/>
      <c r="I4281" s="1335"/>
      <c r="J4281" s="317">
        <f t="shared" si="1139"/>
        <v>29</v>
      </c>
      <c r="K4281" s="327"/>
      <c r="L4281" s="328"/>
      <c r="M4281" s="329"/>
      <c r="N4281" s="330"/>
      <c r="O4281" s="331"/>
      <c r="P4281" s="328"/>
      <c r="Q4281" s="332"/>
      <c r="R4281" s="333">
        <v>1</v>
      </c>
      <c r="S4281" s="331" t="str">
        <f t="shared" si="1137"/>
        <v>mês</v>
      </c>
      <c r="T4281" s="320">
        <v>19</v>
      </c>
      <c r="U4281" s="335"/>
      <c r="V4281" s="291">
        <f t="shared" ca="1" si="1134"/>
        <v>2</v>
      </c>
      <c r="W4281" s="256">
        <f t="shared" ca="1" si="1140"/>
        <v>2</v>
      </c>
      <c r="X4281" s="256">
        <f t="shared" ref="X4281:X4286" ca="1" si="1141">IF(COUNTA(OFFSET(A4280,1,0))-COUNTA(A4280)=-1,0,1)</f>
        <v>1</v>
      </c>
      <c r="Y4281" s="336"/>
      <c r="Z4281" s="336"/>
    </row>
    <row r="4282" spans="1:29" s="337" customFormat="1" ht="15" x14ac:dyDescent="0.2">
      <c r="A4282" s="288"/>
      <c r="B4282" s="322"/>
      <c r="C4282" s="397" t="s">
        <v>894</v>
      </c>
      <c r="D4282" s="1333">
        <v>45352</v>
      </c>
      <c r="E4282" s="1334"/>
      <c r="F4282" s="1335"/>
      <c r="G4282" s="1333">
        <v>45382</v>
      </c>
      <c r="H4282" s="1334"/>
      <c r="I4282" s="1335"/>
      <c r="J4282" s="317">
        <f t="shared" si="1139"/>
        <v>31</v>
      </c>
      <c r="K4282" s="327"/>
      <c r="L4282" s="328"/>
      <c r="M4282" s="329"/>
      <c r="N4282" s="330"/>
      <c r="O4282" s="331"/>
      <c r="P4282" s="328"/>
      <c r="Q4282" s="332"/>
      <c r="R4282" s="333">
        <v>1</v>
      </c>
      <c r="S4282" s="331" t="str">
        <f t="shared" si="1137"/>
        <v>mês</v>
      </c>
      <c r="T4282" s="320">
        <v>20</v>
      </c>
      <c r="U4282" s="335"/>
      <c r="V4282" s="291">
        <f t="shared" ca="1" si="1134"/>
        <v>2</v>
      </c>
      <c r="W4282" s="256">
        <f t="shared" ca="1" si="1140"/>
        <v>2</v>
      </c>
      <c r="X4282" s="256">
        <f t="shared" ca="1" si="1141"/>
        <v>1</v>
      </c>
      <c r="Y4282" s="336"/>
      <c r="Z4282" s="336"/>
    </row>
    <row r="4283" spans="1:29" s="337" customFormat="1" ht="15" x14ac:dyDescent="0.2">
      <c r="A4283" s="288"/>
      <c r="B4283" s="322"/>
      <c r="C4283" s="397" t="s">
        <v>930</v>
      </c>
      <c r="D4283" s="1333">
        <v>45383</v>
      </c>
      <c r="E4283" s="1334"/>
      <c r="F4283" s="1335"/>
      <c r="G4283" s="1333">
        <v>45412</v>
      </c>
      <c r="H4283" s="1334"/>
      <c r="I4283" s="1335"/>
      <c r="J4283" s="317">
        <f t="shared" si="1139"/>
        <v>30</v>
      </c>
      <c r="K4283" s="327"/>
      <c r="L4283" s="328"/>
      <c r="M4283" s="329"/>
      <c r="N4283" s="330"/>
      <c r="O4283" s="331"/>
      <c r="P4283" s="328"/>
      <c r="Q4283" s="332"/>
      <c r="R4283" s="333">
        <v>1</v>
      </c>
      <c r="S4283" s="331" t="str">
        <f t="shared" si="1137"/>
        <v>mês</v>
      </c>
      <c r="T4283" s="320">
        <v>21</v>
      </c>
      <c r="U4283" s="335"/>
      <c r="V4283" s="291">
        <f t="shared" ca="1" si="1134"/>
        <v>2</v>
      </c>
      <c r="W4283" s="256">
        <f t="shared" ca="1" si="1140"/>
        <v>2</v>
      </c>
      <c r="X4283" s="256">
        <f t="shared" ca="1" si="1141"/>
        <v>1</v>
      </c>
      <c r="Y4283" s="336"/>
      <c r="Z4283" s="336"/>
    </row>
    <row r="4284" spans="1:29" s="337" customFormat="1" ht="15" x14ac:dyDescent="0.2">
      <c r="A4284" s="288"/>
      <c r="B4284" s="322"/>
      <c r="C4284" s="397" t="s">
        <v>936</v>
      </c>
      <c r="D4284" s="1333">
        <v>45413</v>
      </c>
      <c r="E4284" s="1334"/>
      <c r="F4284" s="1335"/>
      <c r="G4284" s="1333">
        <v>45443</v>
      </c>
      <c r="H4284" s="1334"/>
      <c r="I4284" s="1335"/>
      <c r="J4284" s="317">
        <f t="shared" si="1139"/>
        <v>31</v>
      </c>
      <c r="K4284" s="327"/>
      <c r="L4284" s="328"/>
      <c r="M4284" s="329"/>
      <c r="N4284" s="330"/>
      <c r="O4284" s="331"/>
      <c r="P4284" s="328"/>
      <c r="Q4284" s="332"/>
      <c r="R4284" s="333">
        <v>1</v>
      </c>
      <c r="S4284" s="331" t="str">
        <f t="shared" si="1137"/>
        <v>mês</v>
      </c>
      <c r="T4284" s="320">
        <v>22</v>
      </c>
      <c r="U4284" s="335"/>
      <c r="V4284" s="291">
        <f t="shared" ca="1" si="1134"/>
        <v>2</v>
      </c>
      <c r="W4284" s="256">
        <f t="shared" ca="1" si="1140"/>
        <v>2</v>
      </c>
      <c r="X4284" s="256">
        <f t="shared" ca="1" si="1141"/>
        <v>1</v>
      </c>
      <c r="Y4284" s="336"/>
      <c r="Z4284" s="336"/>
    </row>
    <row r="4285" spans="1:29" s="337" customFormat="1" ht="15" x14ac:dyDescent="0.2">
      <c r="A4285" s="288"/>
      <c r="B4285" s="322"/>
      <c r="C4285" s="397" t="s">
        <v>941</v>
      </c>
      <c r="D4285" s="1333">
        <v>45444</v>
      </c>
      <c r="E4285" s="1334"/>
      <c r="F4285" s="1335"/>
      <c r="G4285" s="1333">
        <v>45473</v>
      </c>
      <c r="H4285" s="1334"/>
      <c r="I4285" s="1335"/>
      <c r="J4285" s="317">
        <f t="shared" si="1139"/>
        <v>30</v>
      </c>
      <c r="K4285" s="327"/>
      <c r="L4285" s="328"/>
      <c r="M4285" s="329"/>
      <c r="N4285" s="330"/>
      <c r="O4285" s="331"/>
      <c r="P4285" s="328"/>
      <c r="Q4285" s="332"/>
      <c r="R4285" s="333">
        <v>1</v>
      </c>
      <c r="S4285" s="331" t="str">
        <f t="shared" si="1137"/>
        <v>mês</v>
      </c>
      <c r="T4285" s="320">
        <v>23</v>
      </c>
      <c r="U4285" s="335"/>
      <c r="V4285" s="291">
        <f t="shared" ca="1" si="1134"/>
        <v>2</v>
      </c>
      <c r="W4285" s="256">
        <f t="shared" ca="1" si="1140"/>
        <v>2</v>
      </c>
      <c r="X4285" s="256">
        <f t="shared" ca="1" si="1141"/>
        <v>1</v>
      </c>
      <c r="Y4285" s="336"/>
      <c r="Z4285" s="336"/>
    </row>
    <row r="4286" spans="1:29" s="337" customFormat="1" ht="15" x14ac:dyDescent="0.2">
      <c r="A4286" s="288"/>
      <c r="B4286" s="322"/>
      <c r="C4286" s="397" t="s">
        <v>946</v>
      </c>
      <c r="D4286" s="1333">
        <v>45474</v>
      </c>
      <c r="E4286" s="1334"/>
      <c r="F4286" s="1335"/>
      <c r="G4286" s="1333">
        <v>45504</v>
      </c>
      <c r="H4286" s="1334"/>
      <c r="I4286" s="1335"/>
      <c r="J4286" s="317">
        <f t="shared" ref="J4286:J4291" si="1142">G4286-D4286+1</f>
        <v>31</v>
      </c>
      <c r="K4286" s="327"/>
      <c r="L4286" s="328"/>
      <c r="M4286" s="329"/>
      <c r="N4286" s="330"/>
      <c r="O4286" s="331"/>
      <c r="P4286" s="328"/>
      <c r="Q4286" s="332"/>
      <c r="R4286" s="333">
        <v>1</v>
      </c>
      <c r="S4286" s="331" t="str">
        <f t="shared" si="1137"/>
        <v>mês</v>
      </c>
      <c r="T4286" s="320">
        <v>24</v>
      </c>
      <c r="U4286" s="335"/>
      <c r="V4286" s="291">
        <f t="shared" ca="1" si="1134"/>
        <v>2</v>
      </c>
      <c r="W4286" s="256">
        <f t="shared" ref="W4286:W4291" ca="1" si="1143">IF(LEFT(_xlfn.FORMULATEXT(V4286),3)="=SO",1,IF(COUNTA(A4286:U4286)=0,0,2))</f>
        <v>2</v>
      </c>
      <c r="X4286" s="256">
        <f t="shared" ca="1" si="1141"/>
        <v>1</v>
      </c>
      <c r="Y4286" s="336"/>
      <c r="Z4286" s="336"/>
    </row>
    <row r="4287" spans="1:29" s="337" customFormat="1" ht="15" x14ac:dyDescent="0.2">
      <c r="A4287" s="288"/>
      <c r="B4287" s="322"/>
      <c r="C4287" s="397" t="s">
        <v>974</v>
      </c>
      <c r="D4287" s="1333">
        <v>45505</v>
      </c>
      <c r="E4287" s="1334"/>
      <c r="F4287" s="1335"/>
      <c r="G4287" s="1333">
        <v>45535</v>
      </c>
      <c r="H4287" s="1334"/>
      <c r="I4287" s="1335"/>
      <c r="J4287" s="317">
        <f t="shared" si="1142"/>
        <v>31</v>
      </c>
      <c r="K4287" s="327"/>
      <c r="L4287" s="328"/>
      <c r="M4287" s="329"/>
      <c r="N4287" s="330"/>
      <c r="O4287" s="331"/>
      <c r="P4287" s="328"/>
      <c r="Q4287" s="332"/>
      <c r="R4287" s="333">
        <v>1</v>
      </c>
      <c r="S4287" s="331" t="str">
        <f t="shared" si="1137"/>
        <v>mês</v>
      </c>
      <c r="T4287" s="320">
        <v>25</v>
      </c>
      <c r="U4287" s="335"/>
      <c r="V4287" s="291">
        <f t="shared" ca="1" si="1134"/>
        <v>2</v>
      </c>
      <c r="W4287" s="256">
        <f t="shared" ca="1" si="1143"/>
        <v>2</v>
      </c>
      <c r="X4287" s="256">
        <f t="shared" ref="X4287:X4292" ca="1" si="1144">IF(COUNTA(OFFSET(A4286,1,0))-COUNTA(A4286)=-1,0,1)</f>
        <v>1</v>
      </c>
      <c r="Y4287" s="336"/>
      <c r="Z4287" s="336"/>
    </row>
    <row r="4288" spans="1:29" s="337" customFormat="1" ht="15" x14ac:dyDescent="0.2">
      <c r="A4288" s="288"/>
      <c r="B4288" s="322"/>
      <c r="C4288" s="397" t="s">
        <v>1008</v>
      </c>
      <c r="D4288" s="1333">
        <v>45536</v>
      </c>
      <c r="E4288" s="1334"/>
      <c r="F4288" s="1335"/>
      <c r="G4288" s="1333">
        <v>45565</v>
      </c>
      <c r="H4288" s="1334"/>
      <c r="I4288" s="1335"/>
      <c r="J4288" s="317">
        <f t="shared" si="1142"/>
        <v>30</v>
      </c>
      <c r="K4288" s="327"/>
      <c r="L4288" s="328"/>
      <c r="M4288" s="329"/>
      <c r="N4288" s="330"/>
      <c r="O4288" s="331"/>
      <c r="P4288" s="328"/>
      <c r="Q4288" s="332"/>
      <c r="R4288" s="333">
        <v>1</v>
      </c>
      <c r="S4288" s="331" t="str">
        <f t="shared" si="1137"/>
        <v>mês</v>
      </c>
      <c r="T4288" s="320">
        <v>26</v>
      </c>
      <c r="U4288" s="335"/>
      <c r="V4288" s="291">
        <f t="shared" ca="1" si="1134"/>
        <v>2</v>
      </c>
      <c r="W4288" s="256">
        <f t="shared" ca="1" si="1143"/>
        <v>2</v>
      </c>
      <c r="X4288" s="256">
        <f t="shared" ca="1" si="1144"/>
        <v>1</v>
      </c>
      <c r="Y4288" s="336"/>
      <c r="Z4288" s="336"/>
    </row>
    <row r="4289" spans="1:26" s="337" customFormat="1" ht="15" x14ac:dyDescent="0.2">
      <c r="A4289" s="288"/>
      <c r="B4289" s="322"/>
      <c r="C4289" s="397" t="s">
        <v>1012</v>
      </c>
      <c r="D4289" s="1333">
        <v>45566</v>
      </c>
      <c r="E4289" s="1334"/>
      <c r="F4289" s="1335"/>
      <c r="G4289" s="1333">
        <v>45596</v>
      </c>
      <c r="H4289" s="1334"/>
      <c r="I4289" s="1335"/>
      <c r="J4289" s="317">
        <f t="shared" si="1142"/>
        <v>31</v>
      </c>
      <c r="K4289" s="327"/>
      <c r="L4289" s="328"/>
      <c r="M4289" s="329"/>
      <c r="N4289" s="330"/>
      <c r="O4289" s="331"/>
      <c r="P4289" s="328"/>
      <c r="Q4289" s="332"/>
      <c r="R4289" s="333">
        <v>1</v>
      </c>
      <c r="S4289" s="331" t="str">
        <f t="shared" si="1137"/>
        <v>mês</v>
      </c>
      <c r="T4289" s="320">
        <v>27</v>
      </c>
      <c r="U4289" s="335"/>
      <c r="V4289" s="291">
        <f t="shared" ca="1" si="1134"/>
        <v>2</v>
      </c>
      <c r="W4289" s="256">
        <f t="shared" ca="1" si="1143"/>
        <v>2</v>
      </c>
      <c r="X4289" s="256">
        <f t="shared" ca="1" si="1144"/>
        <v>1</v>
      </c>
      <c r="Y4289" s="336"/>
      <c r="Z4289" s="336"/>
    </row>
    <row r="4290" spans="1:26" s="337" customFormat="1" ht="15" x14ac:dyDescent="0.2">
      <c r="A4290" s="288"/>
      <c r="B4290" s="322"/>
      <c r="C4290" s="397" t="s">
        <v>1033</v>
      </c>
      <c r="D4290" s="1333">
        <v>45597</v>
      </c>
      <c r="E4290" s="1334"/>
      <c r="F4290" s="1335"/>
      <c r="G4290" s="1333">
        <v>45626</v>
      </c>
      <c r="H4290" s="1334"/>
      <c r="I4290" s="1335"/>
      <c r="J4290" s="317">
        <f t="shared" si="1142"/>
        <v>30</v>
      </c>
      <c r="K4290" s="327"/>
      <c r="L4290" s="328"/>
      <c r="M4290" s="329"/>
      <c r="N4290" s="330"/>
      <c r="O4290" s="331"/>
      <c r="P4290" s="328"/>
      <c r="Q4290" s="332"/>
      <c r="R4290" s="333">
        <v>1</v>
      </c>
      <c r="S4290" s="331" t="str">
        <f t="shared" si="1137"/>
        <v>mês</v>
      </c>
      <c r="T4290" s="320">
        <v>28</v>
      </c>
      <c r="U4290" s="335"/>
      <c r="V4290" s="291">
        <f t="shared" ca="1" si="1134"/>
        <v>2</v>
      </c>
      <c r="W4290" s="256">
        <f t="shared" ca="1" si="1143"/>
        <v>2</v>
      </c>
      <c r="X4290" s="256">
        <f t="shared" ca="1" si="1144"/>
        <v>1</v>
      </c>
      <c r="Y4290" s="336"/>
      <c r="Z4290" s="336"/>
    </row>
    <row r="4291" spans="1:26" s="337" customFormat="1" ht="15" x14ac:dyDescent="0.2">
      <c r="A4291" s="288"/>
      <c r="B4291" s="322"/>
      <c r="C4291" s="397" t="s">
        <v>1042</v>
      </c>
      <c r="D4291" s="1333">
        <v>45627</v>
      </c>
      <c r="E4291" s="1334"/>
      <c r="F4291" s="1335"/>
      <c r="G4291" s="1333">
        <v>45657</v>
      </c>
      <c r="H4291" s="1334"/>
      <c r="I4291" s="1335"/>
      <c r="J4291" s="317">
        <f t="shared" si="1142"/>
        <v>31</v>
      </c>
      <c r="K4291" s="327"/>
      <c r="L4291" s="328"/>
      <c r="M4291" s="329"/>
      <c r="N4291" s="330"/>
      <c r="O4291" s="331"/>
      <c r="P4291" s="328"/>
      <c r="Q4291" s="332"/>
      <c r="R4291" s="333">
        <v>1</v>
      </c>
      <c r="S4291" s="331" t="str">
        <f t="shared" si="1137"/>
        <v>mês</v>
      </c>
      <c r="T4291" s="320">
        <v>29</v>
      </c>
      <c r="U4291" s="335"/>
      <c r="V4291" s="291">
        <f t="shared" ca="1" si="1134"/>
        <v>2</v>
      </c>
      <c r="W4291" s="256">
        <f t="shared" ca="1" si="1143"/>
        <v>2</v>
      </c>
      <c r="X4291" s="256">
        <f t="shared" ca="1" si="1144"/>
        <v>1</v>
      </c>
      <c r="Y4291" s="336"/>
      <c r="Z4291" s="336"/>
    </row>
    <row r="4292" spans="1:26" s="337" customFormat="1" ht="15" x14ac:dyDescent="0.2">
      <c r="A4292" s="288"/>
      <c r="B4292" s="322"/>
      <c r="C4292" s="397" t="s">
        <v>1057</v>
      </c>
      <c r="D4292" s="1333">
        <v>45658</v>
      </c>
      <c r="E4292" s="1334"/>
      <c r="F4292" s="1335"/>
      <c r="G4292" s="1333">
        <v>45688</v>
      </c>
      <c r="H4292" s="1334"/>
      <c r="I4292" s="1335"/>
      <c r="J4292" s="317">
        <f t="shared" ref="J4292" si="1145">G4292-D4292+1</f>
        <v>31</v>
      </c>
      <c r="K4292" s="327"/>
      <c r="L4292" s="328"/>
      <c r="M4292" s="329"/>
      <c r="N4292" s="330"/>
      <c r="O4292" s="331"/>
      <c r="P4292" s="328"/>
      <c r="Q4292" s="332"/>
      <c r="R4292" s="333">
        <v>1</v>
      </c>
      <c r="S4292" s="331" t="str">
        <f t="shared" si="1137"/>
        <v>mês</v>
      </c>
      <c r="T4292" s="320">
        <v>30</v>
      </c>
      <c r="U4292" s="335"/>
      <c r="V4292" s="291">
        <f t="shared" ca="1" si="1134"/>
        <v>2</v>
      </c>
      <c r="W4292" s="256">
        <f t="shared" ref="W4292" ca="1" si="1146">IF(LEFT(_xlfn.FORMULATEXT(V4292),3)="=SO",1,IF(COUNTA(A4292:U4292)=0,0,2))</f>
        <v>2</v>
      </c>
      <c r="X4292" s="256">
        <f t="shared" ca="1" si="1144"/>
        <v>1</v>
      </c>
      <c r="Y4292" s="336"/>
      <c r="Z4292" s="336"/>
    </row>
    <row r="4293" spans="1:26" s="337" customFormat="1" ht="15" x14ac:dyDescent="0.2">
      <c r="A4293" s="288"/>
      <c r="B4293" s="322"/>
      <c r="C4293" s="397" t="s">
        <v>1076</v>
      </c>
      <c r="D4293" s="1333">
        <v>45689</v>
      </c>
      <c r="E4293" s="1334"/>
      <c r="F4293" s="1335"/>
      <c r="G4293" s="1333">
        <v>45716</v>
      </c>
      <c r="H4293" s="1334"/>
      <c r="I4293" s="1335"/>
      <c r="J4293" s="317">
        <f t="shared" ref="J4293:J4307" si="1147">G4293-D4293+1</f>
        <v>28</v>
      </c>
      <c r="K4293" s="327"/>
      <c r="L4293" s="328"/>
      <c r="M4293" s="329"/>
      <c r="N4293" s="330"/>
      <c r="O4293" s="331"/>
      <c r="P4293" s="328"/>
      <c r="Q4293" s="332"/>
      <c r="R4293" s="333">
        <v>1</v>
      </c>
      <c r="S4293" s="331" t="str">
        <f t="shared" si="1137"/>
        <v>mês</v>
      </c>
      <c r="T4293" s="320">
        <v>31</v>
      </c>
      <c r="U4293" s="335"/>
      <c r="V4293" s="291">
        <f t="shared" ca="1" si="1134"/>
        <v>2</v>
      </c>
      <c r="W4293" s="256">
        <f t="shared" ref="W4293:W4294" ca="1" si="1148">IF(LEFT(_xlfn.FORMULATEXT(V4293),3)="=SO",1,IF(COUNTA(A4293:U4293)=0,0,2))</f>
        <v>2</v>
      </c>
      <c r="X4293" s="256">
        <f t="shared" ref="X4293:X4294" ca="1" si="1149">IF(COUNTA(OFFSET(A4292,1,0))-COUNTA(A4292)=-1,0,1)</f>
        <v>1</v>
      </c>
      <c r="Y4293" s="336"/>
      <c r="Z4293" s="336"/>
    </row>
    <row r="4294" spans="1:26" s="337" customFormat="1" ht="15" x14ac:dyDescent="0.2">
      <c r="A4294" s="288"/>
      <c r="B4294" s="322"/>
      <c r="C4294" s="397" t="s">
        <v>1080</v>
      </c>
      <c r="D4294" s="1333">
        <v>45717</v>
      </c>
      <c r="E4294" s="1334"/>
      <c r="F4294" s="1335"/>
      <c r="G4294" s="1333">
        <v>45747</v>
      </c>
      <c r="H4294" s="1334"/>
      <c r="I4294" s="1335"/>
      <c r="J4294" s="317">
        <f t="shared" si="1147"/>
        <v>31</v>
      </c>
      <c r="K4294" s="327"/>
      <c r="L4294" s="328"/>
      <c r="M4294" s="329"/>
      <c r="N4294" s="330"/>
      <c r="O4294" s="331"/>
      <c r="P4294" s="328"/>
      <c r="Q4294" s="332"/>
      <c r="R4294" s="333">
        <v>1</v>
      </c>
      <c r="S4294" s="331" t="str">
        <f t="shared" si="1137"/>
        <v>mês</v>
      </c>
      <c r="T4294" s="320">
        <v>32</v>
      </c>
      <c r="U4294" s="335"/>
      <c r="V4294" s="291">
        <f t="shared" ca="1" si="1134"/>
        <v>2</v>
      </c>
      <c r="W4294" s="256">
        <f t="shared" ca="1" si="1148"/>
        <v>2</v>
      </c>
      <c r="X4294" s="256">
        <f t="shared" ca="1" si="1149"/>
        <v>1</v>
      </c>
      <c r="Y4294" s="336"/>
      <c r="Z4294" s="336"/>
    </row>
    <row r="4295" spans="1:26" s="111" customFormat="1" ht="15.75" x14ac:dyDescent="0.2">
      <c r="A4295" s="288"/>
      <c r="B4295" s="311"/>
      <c r="C4295" s="397" t="s">
        <v>1164</v>
      </c>
      <c r="D4295" s="1333">
        <v>45748</v>
      </c>
      <c r="E4295" s="1334"/>
      <c r="F4295" s="1335"/>
      <c r="G4295" s="1333">
        <v>45777</v>
      </c>
      <c r="H4295" s="1334"/>
      <c r="I4295" s="1335"/>
      <c r="J4295" s="317">
        <f t="shared" si="1147"/>
        <v>30</v>
      </c>
      <c r="K4295" s="433"/>
      <c r="L4295" s="328"/>
      <c r="M4295" s="328"/>
      <c r="N4295" s="328"/>
      <c r="O4295" s="334"/>
      <c r="P4295" s="328"/>
      <c r="Q4295" s="334"/>
      <c r="R4295" s="333">
        <v>1</v>
      </c>
      <c r="S4295" s="331" t="str">
        <f t="shared" si="1137"/>
        <v>mês</v>
      </c>
      <c r="T4295" s="320">
        <v>33</v>
      </c>
      <c r="U4295" s="321"/>
      <c r="V4295" s="291">
        <f t="shared" ca="1" si="1134"/>
        <v>2</v>
      </c>
      <c r="W4295" s="256">
        <f t="shared" ref="W4295" ca="1" si="1150">IF(LEFT(_xlfn.FORMULATEXT(V4295),3)="=SO",1,IF(COUNTA(A4295:U4295)=0,0,2))</f>
        <v>2</v>
      </c>
      <c r="X4295" s="256">
        <f t="shared" ref="X4295" ca="1" si="1151">IF(COUNTA(OFFSET(A4294,1,0))-COUNTA(A4294)=-1,0,1)</f>
        <v>1</v>
      </c>
      <c r="Y4295" s="250"/>
      <c r="Z4295" s="250"/>
    </row>
    <row r="4296" spans="1:26" s="111" customFormat="1" ht="15.75" x14ac:dyDescent="0.2">
      <c r="A4296" s="288"/>
      <c r="B4296" s="562"/>
      <c r="C4296" s="397" t="s">
        <v>1165</v>
      </c>
      <c r="D4296" s="1333">
        <v>45778</v>
      </c>
      <c r="E4296" s="1334"/>
      <c r="F4296" s="1335"/>
      <c r="G4296" s="1333">
        <v>45808</v>
      </c>
      <c r="H4296" s="1334"/>
      <c r="I4296" s="1335"/>
      <c r="J4296" s="317">
        <f t="shared" si="1147"/>
        <v>31</v>
      </c>
      <c r="K4296" s="433"/>
      <c r="L4296" s="328"/>
      <c r="M4296" s="328"/>
      <c r="N4296" s="328"/>
      <c r="O4296" s="334"/>
      <c r="P4296" s="328"/>
      <c r="Q4296" s="334"/>
      <c r="R4296" s="333">
        <v>1</v>
      </c>
      <c r="S4296" s="331" t="str">
        <f t="shared" si="1137"/>
        <v>mês</v>
      </c>
      <c r="T4296" s="320">
        <v>35</v>
      </c>
      <c r="U4296" s="321"/>
      <c r="V4296" s="291">
        <f t="shared" ca="1" si="1134"/>
        <v>2</v>
      </c>
      <c r="W4296" s="256">
        <f t="shared" ref="W4296:W4300" ca="1" si="1152">IF(LEFT(_xlfn.FORMULATEXT(V4296),3)="=SO",1,IF(COUNTA(A4296:U4296)=0,0,2))</f>
        <v>2</v>
      </c>
      <c r="X4296" s="256">
        <f t="shared" ref="X4296:X4300" ca="1" si="1153">IF(COUNTA(OFFSET(A4295,1,0))-COUNTA(A4295)=-1,0,1)</f>
        <v>1</v>
      </c>
      <c r="Y4296" s="250"/>
      <c r="Z4296" s="250"/>
    </row>
    <row r="4297" spans="1:26" s="111" customFormat="1" ht="15.75" x14ac:dyDescent="0.2">
      <c r="A4297" s="288"/>
      <c r="B4297" s="562"/>
      <c r="C4297" s="397" t="s">
        <v>1166</v>
      </c>
      <c r="D4297" s="1333">
        <v>45809</v>
      </c>
      <c r="E4297" s="1334"/>
      <c r="F4297" s="1335"/>
      <c r="G4297" s="1333">
        <v>45838</v>
      </c>
      <c r="H4297" s="1334"/>
      <c r="I4297" s="1335"/>
      <c r="J4297" s="317">
        <f t="shared" si="1147"/>
        <v>30</v>
      </c>
      <c r="K4297" s="433"/>
      <c r="L4297" s="328"/>
      <c r="M4297" s="328"/>
      <c r="N4297" s="328"/>
      <c r="O4297" s="334"/>
      <c r="P4297" s="328"/>
      <c r="Q4297" s="334"/>
      <c r="R4297" s="333">
        <v>1</v>
      </c>
      <c r="S4297" s="331" t="str">
        <f t="shared" si="1137"/>
        <v>mês</v>
      </c>
      <c r="T4297" s="320">
        <v>35</v>
      </c>
      <c r="U4297" s="321"/>
      <c r="V4297" s="291">
        <f t="shared" ca="1" si="1134"/>
        <v>2</v>
      </c>
      <c r="W4297" s="256">
        <f t="shared" ca="1" si="1152"/>
        <v>2</v>
      </c>
      <c r="X4297" s="256">
        <f t="shared" ca="1" si="1153"/>
        <v>1</v>
      </c>
      <c r="Y4297" s="250"/>
      <c r="Z4297" s="250"/>
    </row>
    <row r="4298" spans="1:26" s="111" customFormat="1" ht="15.75" x14ac:dyDescent="0.2">
      <c r="A4298" s="288"/>
      <c r="B4298" s="562"/>
      <c r="C4298" s="397" t="s">
        <v>1167</v>
      </c>
      <c r="D4298" s="1333">
        <v>45839</v>
      </c>
      <c r="E4298" s="1334"/>
      <c r="F4298" s="1335"/>
      <c r="G4298" s="1333">
        <v>45869</v>
      </c>
      <c r="H4298" s="1334"/>
      <c r="I4298" s="1335"/>
      <c r="J4298" s="317">
        <f t="shared" si="1147"/>
        <v>31</v>
      </c>
      <c r="K4298" s="433"/>
      <c r="L4298" s="328"/>
      <c r="M4298" s="328"/>
      <c r="N4298" s="328"/>
      <c r="O4298" s="334"/>
      <c r="P4298" s="328"/>
      <c r="Q4298" s="334"/>
      <c r="R4298" s="333">
        <v>1</v>
      </c>
      <c r="S4298" s="331" t="str">
        <f t="shared" si="1137"/>
        <v>mês</v>
      </c>
      <c r="T4298" s="320">
        <v>35</v>
      </c>
      <c r="U4298" s="321"/>
      <c r="V4298" s="291">
        <f t="shared" ca="1" si="1134"/>
        <v>2</v>
      </c>
      <c r="W4298" s="256">
        <f t="shared" ca="1" si="1152"/>
        <v>2</v>
      </c>
      <c r="X4298" s="256">
        <f t="shared" ca="1" si="1153"/>
        <v>1</v>
      </c>
      <c r="Y4298" s="250"/>
      <c r="Z4298" s="250"/>
    </row>
    <row r="4299" spans="1:26" s="111" customFormat="1" ht="15.75" x14ac:dyDescent="0.2">
      <c r="A4299" s="288"/>
      <c r="B4299" s="562"/>
      <c r="C4299" s="397" t="s">
        <v>1186</v>
      </c>
      <c r="D4299" s="1333">
        <v>45870</v>
      </c>
      <c r="E4299" s="1334"/>
      <c r="F4299" s="1335"/>
      <c r="G4299" s="1333">
        <v>45900</v>
      </c>
      <c r="H4299" s="1334"/>
      <c r="I4299" s="1335"/>
      <c r="J4299" s="317">
        <f t="shared" si="1147"/>
        <v>31</v>
      </c>
      <c r="K4299" s="433"/>
      <c r="L4299" s="328"/>
      <c r="M4299" s="328"/>
      <c r="N4299" s="328"/>
      <c r="O4299" s="334"/>
      <c r="P4299" s="328"/>
      <c r="Q4299" s="334"/>
      <c r="R4299" s="333">
        <v>1</v>
      </c>
      <c r="S4299" s="331" t="str">
        <f t="shared" si="1137"/>
        <v>mês</v>
      </c>
      <c r="T4299" s="320">
        <v>36</v>
      </c>
      <c r="U4299" s="568"/>
      <c r="V4299" s="291">
        <f t="shared" ca="1" si="1134"/>
        <v>2</v>
      </c>
      <c r="W4299" s="256">
        <f t="shared" ca="1" si="1152"/>
        <v>2</v>
      </c>
      <c r="X4299" s="256">
        <f t="shared" ca="1" si="1153"/>
        <v>1</v>
      </c>
      <c r="Y4299" s="250"/>
      <c r="Z4299" s="250"/>
    </row>
    <row r="4300" spans="1:26" s="111" customFormat="1" ht="15.75" x14ac:dyDescent="0.2">
      <c r="A4300" s="288"/>
      <c r="B4300" s="562"/>
      <c r="C4300" s="397" t="s">
        <v>1217</v>
      </c>
      <c r="D4300" s="1333">
        <v>45901</v>
      </c>
      <c r="E4300" s="1334"/>
      <c r="F4300" s="1335"/>
      <c r="G4300" s="1333">
        <v>45930</v>
      </c>
      <c r="H4300" s="1334"/>
      <c r="I4300" s="1335"/>
      <c r="J4300" s="317">
        <f t="shared" si="1147"/>
        <v>30</v>
      </c>
      <c r="K4300" s="433"/>
      <c r="L4300" s="328"/>
      <c r="M4300" s="328"/>
      <c r="N4300" s="328"/>
      <c r="O4300" s="334"/>
      <c r="P4300" s="328"/>
      <c r="Q4300" s="334"/>
      <c r="R4300" s="333">
        <v>2</v>
      </c>
      <c r="S4300" s="331" t="str">
        <f t="shared" si="1137"/>
        <v>mês</v>
      </c>
      <c r="T4300" s="320">
        <v>37</v>
      </c>
      <c r="U4300" s="568" t="s">
        <v>1216</v>
      </c>
      <c r="V4300" s="291">
        <f t="shared" ca="1" si="1134"/>
        <v>2</v>
      </c>
      <c r="W4300" s="256">
        <f t="shared" ca="1" si="1152"/>
        <v>2</v>
      </c>
      <c r="X4300" s="256">
        <f t="shared" ca="1" si="1153"/>
        <v>1</v>
      </c>
      <c r="Y4300" s="250"/>
      <c r="Z4300" s="250"/>
    </row>
    <row r="4301" spans="1:26" s="111" customFormat="1" ht="15.75" x14ac:dyDescent="0.2">
      <c r="A4301" s="288"/>
      <c r="B4301" s="562"/>
      <c r="C4301" s="397" t="s">
        <v>1230</v>
      </c>
      <c r="D4301" s="1333">
        <v>45931</v>
      </c>
      <c r="E4301" s="1334"/>
      <c r="F4301" s="1335"/>
      <c r="G4301" s="1333">
        <v>45961</v>
      </c>
      <c r="H4301" s="1334"/>
      <c r="I4301" s="1335"/>
      <c r="J4301" s="317">
        <f t="shared" si="1147"/>
        <v>31</v>
      </c>
      <c r="K4301" s="327"/>
      <c r="L4301" s="328"/>
      <c r="M4301" s="329"/>
      <c r="N4301" s="330"/>
      <c r="O4301" s="331"/>
      <c r="P4301" s="328"/>
      <c r="Q4301" s="332"/>
      <c r="R4301" s="333">
        <v>2</v>
      </c>
      <c r="S4301" s="331" t="str">
        <f t="shared" si="1137"/>
        <v>mês</v>
      </c>
      <c r="T4301" s="320">
        <v>38</v>
      </c>
      <c r="U4301" s="568"/>
      <c r="V4301" s="291">
        <f t="shared" ca="1" si="1134"/>
        <v>2</v>
      </c>
      <c r="W4301" s="256">
        <f t="shared" ref="W4301" ca="1" si="1154">IF(LEFT(_xlfn.FORMULATEXT(V4301),3)="=SO",1,IF(COUNTA(A4301:U4301)=0,0,2))</f>
        <v>2</v>
      </c>
      <c r="X4301" s="256">
        <f t="shared" ref="X4301" ca="1" si="1155">IF(COUNTA(OFFSET(A4300,1,0))-COUNTA(A4300)=-1,0,1)</f>
        <v>1</v>
      </c>
      <c r="Y4301" s="250"/>
      <c r="Z4301" s="250"/>
    </row>
    <row r="4302" spans="1:26" s="111" customFormat="1" ht="15.75" x14ac:dyDescent="0.2">
      <c r="A4302" s="288"/>
      <c r="B4302" s="562"/>
      <c r="C4302" s="397" t="s">
        <v>1250</v>
      </c>
      <c r="D4302" s="1333">
        <v>45962</v>
      </c>
      <c r="E4302" s="1334"/>
      <c r="F4302" s="1335"/>
      <c r="G4302" s="1333">
        <v>45991</v>
      </c>
      <c r="H4302" s="1334"/>
      <c r="I4302" s="1335"/>
      <c r="J4302" s="317">
        <f t="shared" si="1147"/>
        <v>30</v>
      </c>
      <c r="K4302" s="327"/>
      <c r="L4302" s="328"/>
      <c r="M4302" s="329"/>
      <c r="N4302" s="330"/>
      <c r="O4302" s="331"/>
      <c r="P4302" s="328"/>
      <c r="Q4302" s="332"/>
      <c r="R4302" s="333">
        <v>1</v>
      </c>
      <c r="S4302" s="331" t="str">
        <f t="shared" si="1137"/>
        <v>mês</v>
      </c>
      <c r="T4302" s="320">
        <v>39</v>
      </c>
      <c r="U4302" s="568"/>
      <c r="V4302" s="291">
        <f t="shared" ca="1" si="1134"/>
        <v>2</v>
      </c>
      <c r="W4302" s="256">
        <f t="shared" ref="W4302:W4310" ca="1" si="1156">IF(LEFT(_xlfn.FORMULATEXT(V4302),3)="=SO",1,IF(COUNTA(A4302:U4302)=0,0,2))</f>
        <v>2</v>
      </c>
      <c r="X4302" s="256">
        <f t="shared" ref="X4302:X4310" ca="1" si="1157">IF(COUNTA(OFFSET(A4301,1,0))-COUNTA(A4301)=-1,0,1)</f>
        <v>1</v>
      </c>
      <c r="Y4302" s="250"/>
      <c r="Z4302" s="250"/>
    </row>
    <row r="4303" spans="1:26" s="111" customFormat="1" ht="15.75" x14ac:dyDescent="0.2">
      <c r="A4303" s="288"/>
      <c r="B4303" s="562"/>
      <c r="C4303" s="397" t="s">
        <v>1286</v>
      </c>
      <c r="D4303" s="1333">
        <v>45992</v>
      </c>
      <c r="E4303" s="1334"/>
      <c r="F4303" s="1335"/>
      <c r="G4303" s="1333">
        <v>46022</v>
      </c>
      <c r="H4303" s="1334"/>
      <c r="I4303" s="1335"/>
      <c r="J4303" s="317">
        <f t="shared" si="1147"/>
        <v>31</v>
      </c>
      <c r="K4303" s="327"/>
      <c r="L4303" s="328"/>
      <c r="M4303" s="329"/>
      <c r="N4303" s="330"/>
      <c r="O4303" s="331"/>
      <c r="P4303" s="328"/>
      <c r="Q4303" s="332"/>
      <c r="R4303" s="333">
        <v>1</v>
      </c>
      <c r="S4303" s="331" t="str">
        <f t="shared" si="1137"/>
        <v>mês</v>
      </c>
      <c r="T4303" s="320">
        <v>40</v>
      </c>
      <c r="U4303" s="568"/>
      <c r="V4303" s="291">
        <f t="shared" ca="1" si="1134"/>
        <v>2</v>
      </c>
      <c r="W4303" s="256">
        <f t="shared" ca="1" si="1156"/>
        <v>2</v>
      </c>
      <c r="X4303" s="256">
        <f t="shared" ca="1" si="1157"/>
        <v>1</v>
      </c>
      <c r="Y4303" s="250"/>
      <c r="Z4303" s="250"/>
    </row>
    <row r="4304" spans="1:26" s="111" customFormat="1" ht="15.75" x14ac:dyDescent="0.2">
      <c r="A4304" s="288"/>
      <c r="B4304" s="562"/>
      <c r="C4304" s="397" t="s">
        <v>1303</v>
      </c>
      <c r="D4304" s="1333">
        <v>46023</v>
      </c>
      <c r="E4304" s="1334"/>
      <c r="F4304" s="1335"/>
      <c r="G4304" s="1333">
        <v>46053</v>
      </c>
      <c r="H4304" s="1334"/>
      <c r="I4304" s="1335"/>
      <c r="J4304" s="317">
        <f t="shared" si="1147"/>
        <v>31</v>
      </c>
      <c r="K4304" s="327"/>
      <c r="L4304" s="328"/>
      <c r="M4304" s="329"/>
      <c r="N4304" s="330"/>
      <c r="O4304" s="331"/>
      <c r="P4304" s="328"/>
      <c r="Q4304" s="332"/>
      <c r="R4304" s="333">
        <v>1</v>
      </c>
      <c r="S4304" s="331" t="str">
        <f t="shared" si="1137"/>
        <v>mês</v>
      </c>
      <c r="T4304" s="320">
        <v>41</v>
      </c>
      <c r="U4304" s="568"/>
      <c r="V4304" s="291">
        <f t="shared" ca="1" si="1134"/>
        <v>2</v>
      </c>
      <c r="W4304" s="256">
        <f t="shared" ca="1" si="1156"/>
        <v>2</v>
      </c>
      <c r="X4304" s="256">
        <f t="shared" ca="1" si="1157"/>
        <v>1</v>
      </c>
      <c r="Y4304" s="250"/>
      <c r="Z4304" s="250"/>
    </row>
    <row r="4305" spans="1:29" s="111" customFormat="1" ht="15.75" x14ac:dyDescent="0.2">
      <c r="A4305" s="288"/>
      <c r="B4305" s="562"/>
      <c r="C4305" s="397" t="s">
        <v>1320</v>
      </c>
      <c r="D4305" s="1333">
        <v>46054</v>
      </c>
      <c r="E4305" s="1334"/>
      <c r="F4305" s="1335"/>
      <c r="G4305" s="1333">
        <v>46081</v>
      </c>
      <c r="H4305" s="1334"/>
      <c r="I4305" s="1335"/>
      <c r="J4305" s="317">
        <f t="shared" si="1147"/>
        <v>28</v>
      </c>
      <c r="K4305" s="327"/>
      <c r="L4305" s="328"/>
      <c r="M4305" s="329"/>
      <c r="N4305" s="330"/>
      <c r="O4305" s="331"/>
      <c r="P4305" s="328"/>
      <c r="Q4305" s="332"/>
      <c r="R4305" s="333">
        <v>1</v>
      </c>
      <c r="S4305" s="331" t="str">
        <f t="shared" si="1137"/>
        <v>mês</v>
      </c>
      <c r="T4305" s="320">
        <v>42</v>
      </c>
      <c r="U4305" s="568"/>
      <c r="V4305" s="291">
        <f t="shared" ca="1" si="1134"/>
        <v>2</v>
      </c>
      <c r="W4305" s="256">
        <f t="shared" ca="1" si="1156"/>
        <v>2</v>
      </c>
      <c r="X4305" s="256">
        <f t="shared" ca="1" si="1157"/>
        <v>1</v>
      </c>
      <c r="Y4305" s="250"/>
      <c r="Z4305" s="250"/>
    </row>
    <row r="4306" spans="1:29" s="111" customFormat="1" ht="15.75" x14ac:dyDescent="0.2">
      <c r="A4306" s="288"/>
      <c r="B4306" s="562"/>
      <c r="C4306" s="397" t="s">
        <v>1330</v>
      </c>
      <c r="D4306" s="1333">
        <v>46082</v>
      </c>
      <c r="E4306" s="1334"/>
      <c r="F4306" s="1335"/>
      <c r="G4306" s="1333">
        <v>46112</v>
      </c>
      <c r="H4306" s="1334"/>
      <c r="I4306" s="1335"/>
      <c r="J4306" s="317">
        <f t="shared" si="1147"/>
        <v>31</v>
      </c>
      <c r="K4306" s="327"/>
      <c r="L4306" s="328"/>
      <c r="M4306" s="329"/>
      <c r="N4306" s="330"/>
      <c r="O4306" s="331"/>
      <c r="P4306" s="328"/>
      <c r="Q4306" s="332"/>
      <c r="R4306" s="333">
        <v>1</v>
      </c>
      <c r="S4306" s="331" t="str">
        <f t="shared" si="1137"/>
        <v>mês</v>
      </c>
      <c r="T4306" s="320">
        <v>43</v>
      </c>
      <c r="U4306" s="335"/>
      <c r="V4306" s="291">
        <f t="shared" ca="1" si="1134"/>
        <v>2</v>
      </c>
      <c r="W4306" s="256">
        <f t="shared" ca="1" si="1156"/>
        <v>2</v>
      </c>
      <c r="X4306" s="256">
        <f t="shared" ca="1" si="1157"/>
        <v>1</v>
      </c>
      <c r="Y4306" s="250"/>
      <c r="Z4306" s="250"/>
    </row>
    <row r="4307" spans="1:29" s="111" customFormat="1" ht="15.75" x14ac:dyDescent="0.2">
      <c r="A4307" s="288"/>
      <c r="B4307" s="562"/>
      <c r="C4307" s="397" t="s">
        <v>1368</v>
      </c>
      <c r="D4307" s="1333">
        <v>46113</v>
      </c>
      <c r="E4307" s="1334"/>
      <c r="F4307" s="1335"/>
      <c r="G4307" s="1333">
        <v>46142</v>
      </c>
      <c r="H4307" s="1334"/>
      <c r="I4307" s="1335"/>
      <c r="J4307" s="317">
        <f t="shared" si="1147"/>
        <v>30</v>
      </c>
      <c r="K4307" s="327"/>
      <c r="L4307" s="328"/>
      <c r="M4307" s="329"/>
      <c r="N4307" s="330"/>
      <c r="O4307" s="331"/>
      <c r="P4307" s="328"/>
      <c r="Q4307" s="332"/>
      <c r="R4307" s="333">
        <v>2</v>
      </c>
      <c r="S4307" s="331" t="str">
        <f t="shared" ref="S4307" si="1158">$S$150</f>
        <v>mês</v>
      </c>
      <c r="T4307" s="320">
        <v>44</v>
      </c>
      <c r="U4307" s="574"/>
      <c r="V4307" s="291">
        <f t="shared" ca="1" si="1134"/>
        <v>2</v>
      </c>
      <c r="W4307" s="256">
        <f t="shared" ca="1" si="1156"/>
        <v>2</v>
      </c>
      <c r="X4307" s="256">
        <f t="shared" ca="1" si="1157"/>
        <v>1</v>
      </c>
      <c r="Y4307" s="250"/>
      <c r="Z4307" s="250"/>
    </row>
    <row r="4308" spans="1:29" s="111" customFormat="1" ht="15.75" x14ac:dyDescent="0.2">
      <c r="A4308" s="288"/>
      <c r="B4308" s="562"/>
      <c r="C4308" s="755"/>
      <c r="D4308" s="756"/>
      <c r="E4308" s="757"/>
      <c r="F4308" s="758"/>
      <c r="G4308" s="756"/>
      <c r="H4308" s="757"/>
      <c r="I4308" s="758"/>
      <c r="J4308" s="1109"/>
      <c r="K4308" s="759"/>
      <c r="L4308" s="501"/>
      <c r="M4308" s="760"/>
      <c r="N4308" s="761"/>
      <c r="O4308" s="505"/>
      <c r="P4308" s="501"/>
      <c r="Q4308" s="739"/>
      <c r="R4308" s="1111"/>
      <c r="S4308" s="505"/>
      <c r="T4308" s="506"/>
      <c r="U4308" s="574"/>
      <c r="V4308" s="291">
        <f t="shared" ca="1" si="1134"/>
        <v>2</v>
      </c>
      <c r="W4308" s="256">
        <f t="shared" ca="1" si="1156"/>
        <v>0</v>
      </c>
      <c r="X4308" s="256">
        <f t="shared" ca="1" si="1157"/>
        <v>1</v>
      </c>
      <c r="Y4308" s="250"/>
      <c r="Z4308" s="250"/>
    </row>
    <row r="4309" spans="1:29" s="111" customFormat="1" ht="15" x14ac:dyDescent="0.2">
      <c r="A4309" s="288"/>
      <c r="B4309" s="338"/>
      <c r="C4309" s="339"/>
      <c r="D4309" s="1348"/>
      <c r="E4309" s="1349"/>
      <c r="F4309" s="1350"/>
      <c r="G4309" s="1351"/>
      <c r="H4309" s="1352"/>
      <c r="I4309" s="1353"/>
      <c r="J4309" s="343"/>
      <c r="K4309" s="344"/>
      <c r="L4309" s="345"/>
      <c r="M4309" s="346"/>
      <c r="N4309" s="347"/>
      <c r="O4309" s="348"/>
      <c r="P4309" s="345"/>
      <c r="Q4309" s="349"/>
      <c r="R4309" s="350"/>
      <c r="S4309" s="351"/>
      <c r="T4309" s="352"/>
      <c r="U4309" s="353"/>
      <c r="V4309" s="291">
        <f t="shared" ca="1" si="1134"/>
        <v>2</v>
      </c>
      <c r="W4309" s="256">
        <f t="shared" ca="1" si="1156"/>
        <v>0</v>
      </c>
      <c r="X4309" s="256">
        <f t="shared" ca="1" si="1157"/>
        <v>1</v>
      </c>
      <c r="Y4309" s="250"/>
      <c r="Z4309" s="250"/>
    </row>
    <row r="4310" spans="1:29" s="111" customFormat="1" ht="15.75" x14ac:dyDescent="0.2">
      <c r="A4310" s="288"/>
      <c r="B4310" s="354"/>
      <c r="C4310" s="355"/>
      <c r="D4310" s="1354" t="s">
        <v>492</v>
      </c>
      <c r="E4310" s="1355"/>
      <c r="F4310" s="1355"/>
      <c r="G4310" s="1355"/>
      <c r="H4310" s="1355"/>
      <c r="I4310" s="1356"/>
      <c r="J4310" s="1357">
        <f>VLOOKUP(A4312,'11 - FINANCEIRO'!_xlnm.Print_Area,6,FALSE)</f>
        <v>63</v>
      </c>
      <c r="K4310" s="1358"/>
      <c r="L4310" s="356" t="str">
        <f>VLOOKUP(A4312,'11 - FINANCEIRO'!_xlnm.Print_Area,4,FALSE)</f>
        <v>mês</v>
      </c>
      <c r="M4310" s="1359" t="s">
        <v>493</v>
      </c>
      <c r="N4310" s="1360"/>
      <c r="O4310" s="1360"/>
      <c r="P4310" s="1360"/>
      <c r="Q4310" s="1361"/>
      <c r="R4310" s="357">
        <f>TRUNC(SUM(R4263:R4309),3)</f>
        <v>48</v>
      </c>
      <c r="S4310" s="358" t="str">
        <f>L4310</f>
        <v>mês</v>
      </c>
      <c r="T4310" s="1384"/>
      <c r="U4310" s="1385"/>
      <c r="V4310" s="291">
        <f t="shared" ca="1" si="1134"/>
        <v>2</v>
      </c>
      <c r="W4310" s="256">
        <f t="shared" ca="1" si="1156"/>
        <v>2</v>
      </c>
      <c r="X4310" s="256">
        <f t="shared" ca="1" si="1157"/>
        <v>1</v>
      </c>
      <c r="Y4310" s="250"/>
      <c r="Z4310" s="250"/>
    </row>
    <row r="4311" spans="1:29" s="111" customFormat="1" ht="15.75" x14ac:dyDescent="0.2">
      <c r="A4311" s="288"/>
      <c r="B4311" s="354"/>
      <c r="C4311" s="361"/>
      <c r="D4311" s="1362" t="s">
        <v>494</v>
      </c>
      <c r="E4311" s="1363"/>
      <c r="F4311" s="1363"/>
      <c r="G4311" s="1363"/>
      <c r="H4311" s="1363"/>
      <c r="I4311" s="1364"/>
      <c r="J4311" s="1365">
        <f>IF(R4310&gt;J4310,1,R4310/J4310)</f>
        <v>0.76190476190476186</v>
      </c>
      <c r="K4311" s="1366"/>
      <c r="L4311" s="1369"/>
      <c r="M4311" s="1371" t="s">
        <v>495</v>
      </c>
      <c r="N4311" s="1372"/>
      <c r="O4311" s="1372"/>
      <c r="P4311" s="1372"/>
      <c r="Q4311" s="1373"/>
      <c r="R4311" s="362">
        <f>VLOOKUP(A4312,'11 - FINANCEIRO'!_xlnm.Print_Area,8,FALSE)</f>
        <v>46</v>
      </c>
      <c r="S4311" s="363" t="str">
        <f>L4310</f>
        <v>mês</v>
      </c>
      <c r="T4311" s="1386"/>
      <c r="U4311" s="1387"/>
      <c r="V4311" s="291">
        <f t="shared" ca="1" si="1134"/>
        <v>2</v>
      </c>
      <c r="W4311" s="256">
        <f t="shared" ref="W4311:W4333" ca="1" si="1159">IF(LEFT(_xlfn.FORMULATEXT(V4311),3)="=SO",1,IF(COUNTA(A4311:U4311)=0,0,2))</f>
        <v>2</v>
      </c>
      <c r="X4311" s="256">
        <f t="shared" ref="X4311:X4315" ca="1" si="1160">IF(COUNTA(OFFSET(A4310,1,0))-COUNTA(A4310)=-1,0,1)</f>
        <v>1</v>
      </c>
      <c r="Y4311" s="250"/>
      <c r="Z4311" s="250"/>
    </row>
    <row r="4312" spans="1:29" s="293" customFormat="1" ht="15.75" x14ac:dyDescent="0.2">
      <c r="A4312" s="288" t="s">
        <v>729</v>
      </c>
      <c r="B4312" s="364"/>
      <c r="C4312" s="365"/>
      <c r="D4312" s="1354"/>
      <c r="E4312" s="1355"/>
      <c r="F4312" s="1355"/>
      <c r="G4312" s="1355"/>
      <c r="H4312" s="1355"/>
      <c r="I4312" s="1356"/>
      <c r="J4312" s="1367"/>
      <c r="K4312" s="1368"/>
      <c r="L4312" s="1370"/>
      <c r="M4312" s="1371" t="s">
        <v>496</v>
      </c>
      <c r="N4312" s="1372"/>
      <c r="O4312" s="1372"/>
      <c r="P4312" s="1372"/>
      <c r="Q4312" s="1373"/>
      <c r="R4312" s="362">
        <f>R4310-R4311</f>
        <v>2</v>
      </c>
      <c r="S4312" s="363" t="str">
        <f>L4310</f>
        <v>mês</v>
      </c>
      <c r="T4312" s="1388"/>
      <c r="U4312" s="1389"/>
      <c r="V4312" s="291">
        <f t="shared" ca="1" si="1134"/>
        <v>2</v>
      </c>
      <c r="W4312" s="256">
        <f t="shared" ca="1" si="1159"/>
        <v>2</v>
      </c>
      <c r="X4312" s="256">
        <f t="shared" ca="1" si="1160"/>
        <v>1</v>
      </c>
      <c r="Y4312" s="256"/>
      <c r="Z4312" s="256"/>
      <c r="AA4312" s="292"/>
      <c r="AB4312" s="292"/>
      <c r="AC4312" s="292"/>
    </row>
    <row r="4313" spans="1:29" s="111" customFormat="1" ht="15.75" x14ac:dyDescent="0.2">
      <c r="A4313" s="288"/>
      <c r="B4313" s="368"/>
      <c r="C4313" s="365"/>
      <c r="D4313" s="369"/>
      <c r="E4313" s="370"/>
      <c r="F4313" s="369"/>
      <c r="G4313" s="369"/>
      <c r="H4313" s="369"/>
      <c r="I4313" s="369"/>
      <c r="J4313" s="371"/>
      <c r="K4313" s="372"/>
      <c r="L4313" s="373"/>
      <c r="M4313" s="374"/>
      <c r="N4313" s="374"/>
      <c r="O4313" s="374"/>
      <c r="P4313" s="374"/>
      <c r="Q4313" s="374"/>
      <c r="R4313" s="375"/>
      <c r="S4313" s="376"/>
      <c r="T4313" s="377"/>
      <c r="U4313" s="378"/>
      <c r="V4313" s="379">
        <f ca="1">SUM(V4261:V4312)</f>
        <v>104</v>
      </c>
      <c r="W4313" s="256">
        <f t="shared" ca="1" si="1159"/>
        <v>1</v>
      </c>
      <c r="X4313" s="256">
        <f t="shared" ca="1" si="1160"/>
        <v>0</v>
      </c>
      <c r="Y4313" s="250"/>
      <c r="Z4313" s="250"/>
    </row>
    <row r="4314" spans="1:29" s="293" customFormat="1" ht="33" customHeight="1" x14ac:dyDescent="0.2">
      <c r="A4314" s="288"/>
      <c r="B4314" s="1374" t="str">
        <f>VLOOKUP(A4364,'11 - FINANCEIRO'!_xlnm.Print_Area,1,FALSE)</f>
        <v>6.1.8</v>
      </c>
      <c r="C4314" s="1376" t="str">
        <f>VLOOKUP(A4364,'11 - FINANCEIRO'!_xlnm.Print_Area,3,FALSE)</f>
        <v>Banheiro químico</v>
      </c>
      <c r="D4314" s="1378" t="s">
        <v>500</v>
      </c>
      <c r="E4314" s="1379"/>
      <c r="F4314" s="1379"/>
      <c r="G4314" s="1379"/>
      <c r="H4314" s="1379"/>
      <c r="I4314" s="1380"/>
      <c r="J4314" s="1338" t="s">
        <v>478</v>
      </c>
      <c r="K4314" s="1338" t="s">
        <v>479</v>
      </c>
      <c r="L4314" s="1338" t="s">
        <v>480</v>
      </c>
      <c r="M4314" s="1338" t="s">
        <v>481</v>
      </c>
      <c r="N4314" s="1338" t="s">
        <v>482</v>
      </c>
      <c r="O4314" s="1338" t="s">
        <v>483</v>
      </c>
      <c r="P4314" s="1338" t="s">
        <v>484</v>
      </c>
      <c r="Q4314" s="1338" t="s">
        <v>296</v>
      </c>
      <c r="R4314" s="1336" t="s">
        <v>296</v>
      </c>
      <c r="S4314" s="1338" t="s">
        <v>486</v>
      </c>
      <c r="T4314" s="1338" t="s">
        <v>487</v>
      </c>
      <c r="U4314" s="1340" t="s">
        <v>488</v>
      </c>
      <c r="V4314" s="291">
        <f t="shared" ca="1" si="1134"/>
        <v>2</v>
      </c>
      <c r="W4314" s="256">
        <f t="shared" ca="1" si="1159"/>
        <v>2</v>
      </c>
      <c r="X4314" s="256">
        <f t="shared" ca="1" si="1160"/>
        <v>1</v>
      </c>
      <c r="Y4314" s="256"/>
      <c r="Z4314" s="256"/>
      <c r="AA4314" s="292"/>
      <c r="AB4314" s="292"/>
      <c r="AC4314" s="292"/>
    </row>
    <row r="4315" spans="1:29" s="293" customFormat="1" ht="33" customHeight="1" x14ac:dyDescent="0.2">
      <c r="A4315" s="288"/>
      <c r="B4315" s="1375"/>
      <c r="C4315" s="1377"/>
      <c r="D4315" s="1342" t="s">
        <v>489</v>
      </c>
      <c r="E4315" s="1343"/>
      <c r="F4315" s="1344"/>
      <c r="G4315" s="1345" t="s">
        <v>490</v>
      </c>
      <c r="H4315" s="1346"/>
      <c r="I4315" s="1347"/>
      <c r="J4315" s="1339"/>
      <c r="K4315" s="1339"/>
      <c r="L4315" s="1339"/>
      <c r="M4315" s="1339"/>
      <c r="N4315" s="1339"/>
      <c r="O4315" s="1339"/>
      <c r="P4315" s="1339" t="s">
        <v>491</v>
      </c>
      <c r="Q4315" s="1339"/>
      <c r="R4315" s="1337"/>
      <c r="S4315" s="1339"/>
      <c r="T4315" s="1339"/>
      <c r="U4315" s="1341"/>
      <c r="V4315" s="291">
        <f t="shared" ca="1" si="1134"/>
        <v>2</v>
      </c>
      <c r="W4315" s="256">
        <f t="shared" ca="1" si="1159"/>
        <v>2</v>
      </c>
      <c r="X4315" s="256">
        <f t="shared" ca="1" si="1160"/>
        <v>1</v>
      </c>
      <c r="Y4315" s="256"/>
      <c r="Z4315" s="256"/>
      <c r="AA4315" s="292"/>
      <c r="AB4315" s="292"/>
      <c r="AC4315" s="292"/>
    </row>
    <row r="4316" spans="1:29" s="337" customFormat="1" ht="15.75" x14ac:dyDescent="0.2">
      <c r="A4316" s="288"/>
      <c r="B4316" s="311"/>
      <c r="C4316" s="312" t="s">
        <v>790</v>
      </c>
      <c r="D4316" s="1333">
        <v>44805</v>
      </c>
      <c r="E4316" s="1334"/>
      <c r="F4316" s="1335"/>
      <c r="G4316" s="1333">
        <v>44836</v>
      </c>
      <c r="H4316" s="1334"/>
      <c r="I4316" s="1335"/>
      <c r="J4316" s="317">
        <f t="shared" ref="J4316:J4333" si="1161">G4316-D4316+1</f>
        <v>32</v>
      </c>
      <c r="K4316" s="313"/>
      <c r="L4316" s="317"/>
      <c r="M4316" s="315"/>
      <c r="N4316" s="314"/>
      <c r="O4316" s="313"/>
      <c r="P4316" s="318"/>
      <c r="Q4316" s="315"/>
      <c r="R4316" s="319">
        <v>1</v>
      </c>
      <c r="S4316" s="331" t="s">
        <v>313</v>
      </c>
      <c r="T4316" s="320">
        <v>19</v>
      </c>
      <c r="U4316" s="321"/>
      <c r="V4316" s="291">
        <f t="shared" ca="1" si="1134"/>
        <v>2</v>
      </c>
      <c r="W4316" s="256">
        <f t="shared" ca="1" si="1159"/>
        <v>2</v>
      </c>
      <c r="X4316" s="256">
        <f ca="1">IF(COUNTA(OFFSET(#REF!,1,0))-COUNTA(#REF!)=-1,0,1)</f>
        <v>1</v>
      </c>
      <c r="Y4316" s="336"/>
      <c r="Z4316" s="336"/>
    </row>
    <row r="4317" spans="1:29" s="337" customFormat="1" ht="15.75" x14ac:dyDescent="0.2">
      <c r="A4317" s="288"/>
      <c r="B4317" s="311"/>
      <c r="C4317" s="312" t="s">
        <v>788</v>
      </c>
      <c r="D4317" s="1333">
        <v>44837</v>
      </c>
      <c r="E4317" s="1334"/>
      <c r="F4317" s="1335"/>
      <c r="G4317" s="1333">
        <v>44865</v>
      </c>
      <c r="H4317" s="1334"/>
      <c r="I4317" s="1335"/>
      <c r="J4317" s="317">
        <f t="shared" si="1161"/>
        <v>29</v>
      </c>
      <c r="K4317" s="313"/>
      <c r="L4317" s="317"/>
      <c r="M4317" s="315"/>
      <c r="N4317" s="314"/>
      <c r="O4317" s="313"/>
      <c r="P4317" s="318"/>
      <c r="Q4317" s="315"/>
      <c r="R4317" s="319">
        <v>1</v>
      </c>
      <c r="S4317" s="331" t="s">
        <v>313</v>
      </c>
      <c r="T4317" s="320">
        <v>19</v>
      </c>
      <c r="U4317" s="321"/>
      <c r="V4317" s="291">
        <f t="shared" ca="1" si="1134"/>
        <v>2</v>
      </c>
      <c r="W4317" s="256">
        <f t="shared" ca="1" si="1159"/>
        <v>2</v>
      </c>
      <c r="X4317" s="256">
        <f t="shared" ref="X4317:X4328" ca="1" si="1162">IF(COUNTA(OFFSET(A4316,1,0))-COUNTA(A4316)=-1,0,1)</f>
        <v>1</v>
      </c>
      <c r="Y4317" s="336"/>
      <c r="Z4317" s="336"/>
    </row>
    <row r="4318" spans="1:29" s="405" customFormat="1" ht="15" x14ac:dyDescent="0.2">
      <c r="A4318" s="403"/>
      <c r="B4318" s="322"/>
      <c r="C4318" s="397" t="s">
        <v>791</v>
      </c>
      <c r="D4318" s="1333">
        <v>44866</v>
      </c>
      <c r="E4318" s="1334"/>
      <c r="F4318" s="1335"/>
      <c r="G4318" s="1333">
        <v>44890</v>
      </c>
      <c r="H4318" s="1334"/>
      <c r="I4318" s="1335"/>
      <c r="J4318" s="317">
        <f t="shared" si="1161"/>
        <v>25</v>
      </c>
      <c r="K4318" s="328"/>
      <c r="L4318" s="328"/>
      <c r="M4318" s="328"/>
      <c r="N4318" s="328"/>
      <c r="O4318" s="334"/>
      <c r="P4318" s="328"/>
      <c r="Q4318" s="334"/>
      <c r="R4318" s="333">
        <v>1</v>
      </c>
      <c r="S4318" s="331" t="s">
        <v>313</v>
      </c>
      <c r="T4318" s="320">
        <v>19</v>
      </c>
      <c r="U4318" s="335"/>
      <c r="V4318" s="291">
        <f t="shared" ca="1" si="1134"/>
        <v>2</v>
      </c>
      <c r="W4318" s="256">
        <f t="shared" ca="1" si="1159"/>
        <v>2</v>
      </c>
      <c r="X4318" s="256">
        <f t="shared" ca="1" si="1162"/>
        <v>1</v>
      </c>
      <c r="Y4318" s="404"/>
      <c r="Z4318" s="404"/>
    </row>
    <row r="4319" spans="1:29" s="405" customFormat="1" ht="15" x14ac:dyDescent="0.2">
      <c r="A4319" s="403"/>
      <c r="B4319" s="322"/>
      <c r="C4319" s="397" t="s">
        <v>792</v>
      </c>
      <c r="D4319" s="1333">
        <f>G4318+1</f>
        <v>44891</v>
      </c>
      <c r="E4319" s="1334"/>
      <c r="F4319" s="1335"/>
      <c r="G4319" s="1333">
        <v>44926</v>
      </c>
      <c r="H4319" s="1334"/>
      <c r="I4319" s="1335"/>
      <c r="J4319" s="317">
        <f t="shared" si="1161"/>
        <v>36</v>
      </c>
      <c r="K4319" s="328"/>
      <c r="L4319" s="328"/>
      <c r="M4319" s="328"/>
      <c r="N4319" s="328"/>
      <c r="O4319" s="334"/>
      <c r="P4319" s="328"/>
      <c r="Q4319" s="334"/>
      <c r="R4319" s="333">
        <v>1</v>
      </c>
      <c r="S4319" s="331" t="s">
        <v>313</v>
      </c>
      <c r="T4319" s="320">
        <v>19</v>
      </c>
      <c r="U4319" s="335"/>
      <c r="V4319" s="291">
        <f t="shared" ca="1" si="1134"/>
        <v>2</v>
      </c>
      <c r="W4319" s="256">
        <f t="shared" ca="1" si="1159"/>
        <v>2</v>
      </c>
      <c r="X4319" s="256">
        <f t="shared" ca="1" si="1162"/>
        <v>1</v>
      </c>
      <c r="Y4319" s="404"/>
      <c r="Z4319" s="404"/>
    </row>
    <row r="4320" spans="1:29" s="337" customFormat="1" ht="15" x14ac:dyDescent="0.2">
      <c r="A4320" s="288"/>
      <c r="B4320" s="322"/>
      <c r="C4320" s="397" t="s">
        <v>793</v>
      </c>
      <c r="D4320" s="1333">
        <v>44927</v>
      </c>
      <c r="E4320" s="1334"/>
      <c r="F4320" s="1335"/>
      <c r="G4320" s="1333">
        <v>44957</v>
      </c>
      <c r="H4320" s="1334"/>
      <c r="I4320" s="1335"/>
      <c r="J4320" s="317">
        <f t="shared" si="1161"/>
        <v>31</v>
      </c>
      <c r="K4320" s="327"/>
      <c r="L4320" s="328"/>
      <c r="M4320" s="329"/>
      <c r="N4320" s="330"/>
      <c r="O4320" s="331"/>
      <c r="P4320" s="328"/>
      <c r="Q4320" s="332"/>
      <c r="R4320" s="333">
        <v>1</v>
      </c>
      <c r="S4320" s="331" t="s">
        <v>313</v>
      </c>
      <c r="T4320" s="320">
        <v>19</v>
      </c>
      <c r="U4320" s="335"/>
      <c r="V4320" s="291">
        <f t="shared" ca="1" si="1134"/>
        <v>2</v>
      </c>
      <c r="W4320" s="256">
        <f t="shared" ca="1" si="1159"/>
        <v>2</v>
      </c>
      <c r="X4320" s="256">
        <f t="shared" ca="1" si="1162"/>
        <v>1</v>
      </c>
      <c r="Y4320" s="336"/>
      <c r="Z4320" s="336"/>
    </row>
    <row r="4321" spans="1:29" s="337" customFormat="1" ht="15" x14ac:dyDescent="0.2">
      <c r="A4321" s="288"/>
      <c r="B4321" s="322"/>
      <c r="C4321" s="397" t="s">
        <v>794</v>
      </c>
      <c r="D4321" s="1333">
        <v>44958</v>
      </c>
      <c r="E4321" s="1334"/>
      <c r="F4321" s="1335"/>
      <c r="G4321" s="1333">
        <v>44985</v>
      </c>
      <c r="H4321" s="1334"/>
      <c r="I4321" s="1335"/>
      <c r="J4321" s="317">
        <f t="shared" si="1161"/>
        <v>28</v>
      </c>
      <c r="K4321" s="327"/>
      <c r="L4321" s="328"/>
      <c r="M4321" s="329"/>
      <c r="N4321" s="330"/>
      <c r="O4321" s="331"/>
      <c r="P4321" s="328"/>
      <c r="Q4321" s="332"/>
      <c r="R4321" s="333">
        <v>1</v>
      </c>
      <c r="S4321" s="331" t="s">
        <v>313</v>
      </c>
      <c r="T4321" s="320">
        <v>19</v>
      </c>
      <c r="U4321" s="335"/>
      <c r="V4321" s="291">
        <f t="shared" ca="1" si="1134"/>
        <v>2</v>
      </c>
      <c r="W4321" s="256">
        <f t="shared" ca="1" si="1159"/>
        <v>2</v>
      </c>
      <c r="X4321" s="256">
        <f t="shared" ca="1" si="1162"/>
        <v>1</v>
      </c>
      <c r="Y4321" s="336"/>
      <c r="Z4321" s="336"/>
    </row>
    <row r="4322" spans="1:29" s="337" customFormat="1" ht="15" x14ac:dyDescent="0.2">
      <c r="A4322" s="288"/>
      <c r="B4322" s="322"/>
      <c r="C4322" s="397" t="s">
        <v>795</v>
      </c>
      <c r="D4322" s="1333">
        <v>44986</v>
      </c>
      <c r="E4322" s="1334"/>
      <c r="F4322" s="1335"/>
      <c r="G4322" s="1333">
        <v>45016</v>
      </c>
      <c r="H4322" s="1334"/>
      <c r="I4322" s="1335"/>
      <c r="J4322" s="317">
        <f t="shared" si="1161"/>
        <v>31</v>
      </c>
      <c r="K4322" s="327"/>
      <c r="L4322" s="328"/>
      <c r="M4322" s="329"/>
      <c r="N4322" s="330"/>
      <c r="O4322" s="331"/>
      <c r="P4322" s="328"/>
      <c r="Q4322" s="332"/>
      <c r="R4322" s="333">
        <v>1</v>
      </c>
      <c r="S4322" s="331" t="s">
        <v>313</v>
      </c>
      <c r="T4322" s="320">
        <v>19</v>
      </c>
      <c r="U4322" s="335"/>
      <c r="V4322" s="291">
        <f t="shared" ca="1" si="1134"/>
        <v>2</v>
      </c>
      <c r="W4322" s="256">
        <f t="shared" ca="1" si="1159"/>
        <v>2</v>
      </c>
      <c r="X4322" s="256">
        <f t="shared" ca="1" si="1162"/>
        <v>1</v>
      </c>
      <c r="Y4322" s="336"/>
      <c r="Z4322" s="336"/>
    </row>
    <row r="4323" spans="1:29" s="337" customFormat="1" ht="15" x14ac:dyDescent="0.2">
      <c r="A4323" s="288"/>
      <c r="B4323" s="322"/>
      <c r="C4323" s="397" t="s">
        <v>796</v>
      </c>
      <c r="D4323" s="1333">
        <v>45017</v>
      </c>
      <c r="E4323" s="1334"/>
      <c r="F4323" s="1335"/>
      <c r="G4323" s="1333">
        <v>45046</v>
      </c>
      <c r="H4323" s="1334"/>
      <c r="I4323" s="1335"/>
      <c r="J4323" s="317">
        <f t="shared" si="1161"/>
        <v>30</v>
      </c>
      <c r="K4323" s="327"/>
      <c r="L4323" s="328"/>
      <c r="M4323" s="329"/>
      <c r="N4323" s="330"/>
      <c r="O4323" s="331"/>
      <c r="P4323" s="328"/>
      <c r="Q4323" s="332"/>
      <c r="R4323" s="333">
        <v>1</v>
      </c>
      <c r="S4323" s="331" t="s">
        <v>313</v>
      </c>
      <c r="T4323" s="320">
        <v>19</v>
      </c>
      <c r="U4323" s="335"/>
      <c r="V4323" s="291">
        <f t="shared" ca="1" si="1134"/>
        <v>2</v>
      </c>
      <c r="W4323" s="256">
        <f t="shared" ca="1" si="1159"/>
        <v>2</v>
      </c>
      <c r="X4323" s="256">
        <f t="shared" ca="1" si="1162"/>
        <v>1</v>
      </c>
      <c r="Y4323" s="336"/>
      <c r="Z4323" s="336"/>
    </row>
    <row r="4324" spans="1:29" s="337" customFormat="1" ht="15" x14ac:dyDescent="0.2">
      <c r="A4324" s="288"/>
      <c r="B4324" s="322"/>
      <c r="C4324" s="397" t="s">
        <v>797</v>
      </c>
      <c r="D4324" s="1333">
        <v>45047</v>
      </c>
      <c r="E4324" s="1334"/>
      <c r="F4324" s="1335"/>
      <c r="G4324" s="1333">
        <v>45077</v>
      </c>
      <c r="H4324" s="1334"/>
      <c r="I4324" s="1335"/>
      <c r="J4324" s="317">
        <f t="shared" si="1161"/>
        <v>31</v>
      </c>
      <c r="K4324" s="327"/>
      <c r="L4324" s="328"/>
      <c r="M4324" s="329"/>
      <c r="N4324" s="330"/>
      <c r="O4324" s="331"/>
      <c r="P4324" s="328"/>
      <c r="Q4324" s="332"/>
      <c r="R4324" s="333">
        <v>1</v>
      </c>
      <c r="S4324" s="331" t="s">
        <v>313</v>
      </c>
      <c r="T4324" s="320">
        <v>19</v>
      </c>
      <c r="U4324" s="335"/>
      <c r="V4324" s="291">
        <f t="shared" ca="1" si="1134"/>
        <v>2</v>
      </c>
      <c r="W4324" s="256">
        <f t="shared" ca="1" si="1159"/>
        <v>2</v>
      </c>
      <c r="X4324" s="256">
        <f t="shared" ca="1" si="1162"/>
        <v>1</v>
      </c>
      <c r="Y4324" s="336"/>
      <c r="Z4324" s="336"/>
    </row>
    <row r="4325" spans="1:29" s="337" customFormat="1" ht="15" x14ac:dyDescent="0.2">
      <c r="A4325" s="288"/>
      <c r="B4325" s="322"/>
      <c r="C4325" s="397" t="s">
        <v>798</v>
      </c>
      <c r="D4325" s="1333">
        <v>45078</v>
      </c>
      <c r="E4325" s="1334"/>
      <c r="F4325" s="1335"/>
      <c r="G4325" s="1333">
        <v>45107</v>
      </c>
      <c r="H4325" s="1334"/>
      <c r="I4325" s="1335"/>
      <c r="J4325" s="317">
        <f t="shared" si="1161"/>
        <v>30</v>
      </c>
      <c r="K4325" s="327"/>
      <c r="L4325" s="328"/>
      <c r="M4325" s="329"/>
      <c r="N4325" s="330"/>
      <c r="O4325" s="331"/>
      <c r="P4325" s="328"/>
      <c r="Q4325" s="332"/>
      <c r="R4325" s="333">
        <v>1</v>
      </c>
      <c r="S4325" s="331" t="s">
        <v>313</v>
      </c>
      <c r="T4325" s="320">
        <v>19</v>
      </c>
      <c r="U4325" s="335"/>
      <c r="V4325" s="291">
        <f t="shared" ca="1" si="1134"/>
        <v>2</v>
      </c>
      <c r="W4325" s="256">
        <f t="shared" ca="1" si="1159"/>
        <v>2</v>
      </c>
      <c r="X4325" s="256">
        <f t="shared" ca="1" si="1162"/>
        <v>1</v>
      </c>
      <c r="Y4325" s="336"/>
      <c r="Z4325" s="336"/>
    </row>
    <row r="4326" spans="1:29" s="337" customFormat="1" ht="15" x14ac:dyDescent="0.2">
      <c r="A4326" s="288"/>
      <c r="B4326" s="322"/>
      <c r="C4326" s="397" t="s">
        <v>799</v>
      </c>
      <c r="D4326" s="1333">
        <v>45108</v>
      </c>
      <c r="E4326" s="1334"/>
      <c r="F4326" s="1335"/>
      <c r="G4326" s="1333">
        <v>45138</v>
      </c>
      <c r="H4326" s="1334"/>
      <c r="I4326" s="1335"/>
      <c r="J4326" s="317">
        <f t="shared" si="1161"/>
        <v>31</v>
      </c>
      <c r="K4326" s="327"/>
      <c r="L4326" s="328"/>
      <c r="M4326" s="329"/>
      <c r="N4326" s="330"/>
      <c r="O4326" s="331"/>
      <c r="P4326" s="328"/>
      <c r="Q4326" s="332"/>
      <c r="R4326" s="333">
        <v>1</v>
      </c>
      <c r="S4326" s="331" t="s">
        <v>313</v>
      </c>
      <c r="T4326" s="320">
        <v>19</v>
      </c>
      <c r="U4326" s="335"/>
      <c r="V4326" s="291">
        <f t="shared" ca="1" si="1134"/>
        <v>2</v>
      </c>
      <c r="W4326" s="256">
        <f t="shared" ca="1" si="1159"/>
        <v>2</v>
      </c>
      <c r="X4326" s="256">
        <f t="shared" ca="1" si="1162"/>
        <v>1</v>
      </c>
      <c r="Y4326" s="336"/>
      <c r="Z4326" s="336"/>
    </row>
    <row r="4327" spans="1:29" s="337" customFormat="1" ht="15" x14ac:dyDescent="0.2">
      <c r="A4327" s="288"/>
      <c r="B4327" s="322"/>
      <c r="C4327" s="397" t="s">
        <v>800</v>
      </c>
      <c r="D4327" s="1333">
        <v>45139</v>
      </c>
      <c r="E4327" s="1334"/>
      <c r="F4327" s="1335"/>
      <c r="G4327" s="1333">
        <v>45169</v>
      </c>
      <c r="H4327" s="1334"/>
      <c r="I4327" s="1335"/>
      <c r="J4327" s="317">
        <f t="shared" si="1161"/>
        <v>31</v>
      </c>
      <c r="K4327" s="327"/>
      <c r="L4327" s="328"/>
      <c r="M4327" s="329"/>
      <c r="N4327" s="330"/>
      <c r="O4327" s="331"/>
      <c r="P4327" s="328"/>
      <c r="Q4327" s="332"/>
      <c r="R4327" s="333">
        <v>1</v>
      </c>
      <c r="S4327" s="331" t="s">
        <v>313</v>
      </c>
      <c r="T4327" s="320">
        <v>19</v>
      </c>
      <c r="U4327" s="335"/>
      <c r="V4327" s="291">
        <f t="shared" ca="1" si="1134"/>
        <v>2</v>
      </c>
      <c r="W4327" s="256">
        <f t="shared" ca="1" si="1159"/>
        <v>2</v>
      </c>
      <c r="X4327" s="256">
        <f t="shared" ca="1" si="1162"/>
        <v>1</v>
      </c>
      <c r="Y4327" s="336"/>
      <c r="Z4327" s="336"/>
    </row>
    <row r="4328" spans="1:29" s="293" customFormat="1" ht="15.75" x14ac:dyDescent="0.2">
      <c r="A4328" s="288"/>
      <c r="B4328" s="311"/>
      <c r="C4328" s="397" t="s">
        <v>801</v>
      </c>
      <c r="D4328" s="1333">
        <v>45170</v>
      </c>
      <c r="E4328" s="1334"/>
      <c r="F4328" s="1335"/>
      <c r="G4328" s="1333">
        <v>45199</v>
      </c>
      <c r="H4328" s="1334"/>
      <c r="I4328" s="1335"/>
      <c r="J4328" s="317">
        <f t="shared" si="1161"/>
        <v>30</v>
      </c>
      <c r="K4328" s="313"/>
      <c r="L4328" s="317"/>
      <c r="M4328" s="315"/>
      <c r="N4328" s="314"/>
      <c r="O4328" s="313"/>
      <c r="P4328" s="318"/>
      <c r="Q4328" s="315"/>
      <c r="R4328" s="319">
        <v>1</v>
      </c>
      <c r="S4328" s="331" t="s">
        <v>313</v>
      </c>
      <c r="T4328" s="320">
        <v>19</v>
      </c>
      <c r="U4328" s="321"/>
      <c r="V4328" s="291">
        <f t="shared" ca="1" si="1134"/>
        <v>2</v>
      </c>
      <c r="W4328" s="256">
        <f t="shared" ca="1" si="1159"/>
        <v>2</v>
      </c>
      <c r="X4328" s="256">
        <f t="shared" ca="1" si="1162"/>
        <v>1</v>
      </c>
      <c r="Y4328" s="256"/>
      <c r="Z4328" s="256"/>
      <c r="AA4328" s="292"/>
      <c r="AB4328" s="292"/>
      <c r="AC4328" s="292"/>
    </row>
    <row r="4329" spans="1:29" s="293" customFormat="1" ht="15.75" x14ac:dyDescent="0.2">
      <c r="A4329" s="288"/>
      <c r="B4329" s="311"/>
      <c r="C4329" s="397" t="s">
        <v>802</v>
      </c>
      <c r="D4329" s="1333">
        <v>45200</v>
      </c>
      <c r="E4329" s="1334"/>
      <c r="F4329" s="1335"/>
      <c r="G4329" s="1333">
        <v>45230</v>
      </c>
      <c r="H4329" s="1334"/>
      <c r="I4329" s="1335"/>
      <c r="J4329" s="317">
        <f t="shared" si="1161"/>
        <v>31</v>
      </c>
      <c r="K4329" s="313"/>
      <c r="L4329" s="317"/>
      <c r="M4329" s="315"/>
      <c r="N4329" s="314"/>
      <c r="O4329" s="313"/>
      <c r="P4329" s="318"/>
      <c r="Q4329" s="315"/>
      <c r="R4329" s="319">
        <v>1</v>
      </c>
      <c r="S4329" s="331" t="s">
        <v>313</v>
      </c>
      <c r="T4329" s="320">
        <v>19</v>
      </c>
      <c r="U4329" s="321"/>
      <c r="V4329" s="291">
        <f t="shared" ca="1" si="1134"/>
        <v>2</v>
      </c>
      <c r="W4329" s="256">
        <f t="shared" ca="1" si="1159"/>
        <v>2</v>
      </c>
      <c r="X4329" s="256">
        <f ca="1">IF(COUNTA(OFFSET(#REF!,1,0))-COUNTA(#REF!)=-1,0,1)</f>
        <v>1</v>
      </c>
      <c r="Y4329" s="256"/>
      <c r="Z4329" s="256"/>
      <c r="AA4329" s="292"/>
      <c r="AB4329" s="292"/>
      <c r="AC4329" s="292"/>
    </row>
    <row r="4330" spans="1:29" s="292" customFormat="1" ht="15" x14ac:dyDescent="0.2">
      <c r="A4330" s="399"/>
      <c r="B4330" s="322"/>
      <c r="C4330" s="397" t="s">
        <v>803</v>
      </c>
      <c r="D4330" s="1333">
        <v>45231</v>
      </c>
      <c r="E4330" s="1334"/>
      <c r="F4330" s="1335"/>
      <c r="G4330" s="1333">
        <v>45260</v>
      </c>
      <c r="H4330" s="1334"/>
      <c r="I4330" s="1335"/>
      <c r="J4330" s="317">
        <f t="shared" si="1161"/>
        <v>30</v>
      </c>
      <c r="K4330" s="328"/>
      <c r="L4330" s="328"/>
      <c r="M4330" s="328"/>
      <c r="N4330" s="328"/>
      <c r="O4330" s="334"/>
      <c r="P4330" s="328"/>
      <c r="Q4330" s="334"/>
      <c r="R4330" s="333">
        <v>1</v>
      </c>
      <c r="S4330" s="331" t="s">
        <v>313</v>
      </c>
      <c r="T4330" s="320">
        <v>19</v>
      </c>
      <c r="U4330" s="335"/>
      <c r="V4330" s="291">
        <f t="shared" ca="1" si="1134"/>
        <v>2</v>
      </c>
      <c r="W4330" s="256">
        <f t="shared" ca="1" si="1159"/>
        <v>2</v>
      </c>
      <c r="X4330" s="256">
        <f ca="1">IF(COUNTA(OFFSET(A4329,1,0))-COUNTA(A4329)=-1,0,1)</f>
        <v>1</v>
      </c>
      <c r="Y4330" s="256"/>
      <c r="Z4330" s="256"/>
    </row>
    <row r="4331" spans="1:29" s="292" customFormat="1" ht="15" x14ac:dyDescent="0.2">
      <c r="A4331" s="399"/>
      <c r="B4331" s="322"/>
      <c r="C4331" s="397" t="s">
        <v>804</v>
      </c>
      <c r="D4331" s="1333">
        <v>45261</v>
      </c>
      <c r="E4331" s="1334"/>
      <c r="F4331" s="1335"/>
      <c r="G4331" s="1333">
        <v>45291</v>
      </c>
      <c r="H4331" s="1334"/>
      <c r="I4331" s="1335"/>
      <c r="J4331" s="317">
        <f t="shared" si="1161"/>
        <v>31</v>
      </c>
      <c r="K4331" s="328"/>
      <c r="L4331" s="328"/>
      <c r="M4331" s="328"/>
      <c r="N4331" s="328"/>
      <c r="O4331" s="334"/>
      <c r="P4331" s="328"/>
      <c r="Q4331" s="334"/>
      <c r="R4331" s="333">
        <v>1</v>
      </c>
      <c r="S4331" s="331" t="s">
        <v>313</v>
      </c>
      <c r="T4331" s="320">
        <v>19</v>
      </c>
      <c r="U4331" s="335"/>
      <c r="V4331" s="291">
        <f t="shared" ca="1" si="1134"/>
        <v>2</v>
      </c>
      <c r="W4331" s="256">
        <f t="shared" ca="1" si="1159"/>
        <v>2</v>
      </c>
      <c r="X4331" s="256">
        <f ca="1">IF(COUNTA(OFFSET(A4330,1,0))-COUNTA(A4330)=-1,0,1)</f>
        <v>1</v>
      </c>
      <c r="Y4331" s="256"/>
      <c r="Z4331" s="256"/>
    </row>
    <row r="4332" spans="1:29" s="337" customFormat="1" ht="15" x14ac:dyDescent="0.2">
      <c r="A4332" s="288"/>
      <c r="B4332" s="322"/>
      <c r="C4332" s="397" t="s">
        <v>805</v>
      </c>
      <c r="D4332" s="1333">
        <v>45292</v>
      </c>
      <c r="E4332" s="1334"/>
      <c r="F4332" s="1335"/>
      <c r="G4332" s="1333">
        <v>45322</v>
      </c>
      <c r="H4332" s="1334"/>
      <c r="I4332" s="1335"/>
      <c r="J4332" s="317">
        <f t="shared" si="1161"/>
        <v>31</v>
      </c>
      <c r="K4332" s="327"/>
      <c r="L4332" s="328"/>
      <c r="M4332" s="329"/>
      <c r="N4332" s="330"/>
      <c r="O4332" s="331"/>
      <c r="P4332" s="328"/>
      <c r="Q4332" s="332"/>
      <c r="R4332" s="333">
        <v>1</v>
      </c>
      <c r="S4332" s="331" t="s">
        <v>313</v>
      </c>
      <c r="T4332" s="320">
        <v>19</v>
      </c>
      <c r="U4332" s="335"/>
      <c r="V4332" s="291">
        <f t="shared" ca="1" si="1134"/>
        <v>2</v>
      </c>
      <c r="W4332" s="256">
        <f t="shared" ca="1" si="1159"/>
        <v>2</v>
      </c>
      <c r="X4332" s="256">
        <f ca="1">IF(COUNTA(OFFSET(#REF!,1,0))-COUNTA(#REF!)=-1,0,1)</f>
        <v>1</v>
      </c>
      <c r="Y4332" s="336"/>
      <c r="Z4332" s="336"/>
    </row>
    <row r="4333" spans="1:29" s="337" customFormat="1" ht="15" x14ac:dyDescent="0.2">
      <c r="A4333" s="288"/>
      <c r="B4333" s="322"/>
      <c r="C4333" s="397" t="s">
        <v>806</v>
      </c>
      <c r="D4333" s="1333">
        <v>45323</v>
      </c>
      <c r="E4333" s="1334"/>
      <c r="F4333" s="1335"/>
      <c r="G4333" s="1333">
        <v>45351</v>
      </c>
      <c r="H4333" s="1334"/>
      <c r="I4333" s="1335"/>
      <c r="J4333" s="317">
        <f t="shared" si="1161"/>
        <v>29</v>
      </c>
      <c r="K4333" s="327"/>
      <c r="L4333" s="328"/>
      <c r="M4333" s="329"/>
      <c r="N4333" s="330"/>
      <c r="O4333" s="331"/>
      <c r="P4333" s="328"/>
      <c r="Q4333" s="332"/>
      <c r="R4333" s="333">
        <v>1</v>
      </c>
      <c r="S4333" s="331" t="s">
        <v>313</v>
      </c>
      <c r="T4333" s="320">
        <v>19</v>
      </c>
      <c r="U4333" s="335"/>
      <c r="V4333" s="291">
        <f t="shared" ca="1" si="1134"/>
        <v>2</v>
      </c>
      <c r="W4333" s="256">
        <f t="shared" ca="1" si="1159"/>
        <v>2</v>
      </c>
      <c r="X4333" s="256">
        <f t="shared" ref="X4333:X4338" ca="1" si="1163">IF(COUNTA(OFFSET(A4332,1,0))-COUNTA(A4332)=-1,0,1)</f>
        <v>1</v>
      </c>
      <c r="Y4333" s="336"/>
      <c r="Z4333" s="336"/>
    </row>
    <row r="4334" spans="1:29" s="337" customFormat="1" ht="15" x14ac:dyDescent="0.2">
      <c r="A4334" s="288"/>
      <c r="B4334" s="322"/>
      <c r="C4334" s="397" t="s">
        <v>894</v>
      </c>
      <c r="D4334" s="1333">
        <v>45352</v>
      </c>
      <c r="E4334" s="1334"/>
      <c r="F4334" s="1335"/>
      <c r="G4334" s="1333">
        <v>45382</v>
      </c>
      <c r="H4334" s="1334"/>
      <c r="I4334" s="1335"/>
      <c r="J4334" s="317">
        <f t="shared" ref="J4334:J4347" si="1164">G4334-D4334+1</f>
        <v>31</v>
      </c>
      <c r="K4334" s="327"/>
      <c r="L4334" s="328"/>
      <c r="M4334" s="329"/>
      <c r="N4334" s="330"/>
      <c r="O4334" s="331"/>
      <c r="P4334" s="328"/>
      <c r="Q4334" s="332"/>
      <c r="R4334" s="333">
        <v>1</v>
      </c>
      <c r="S4334" s="331" t="s">
        <v>313</v>
      </c>
      <c r="T4334" s="320">
        <v>20</v>
      </c>
      <c r="U4334" s="335"/>
      <c r="V4334" s="291">
        <f t="shared" ca="1" si="1134"/>
        <v>2</v>
      </c>
      <c r="W4334" s="256">
        <f t="shared" ref="W4334:W4339" ca="1" si="1165">IF(LEFT(_xlfn.FORMULATEXT(V4334),3)="=SO",1,IF(COUNTA(A4334:U4334)=0,0,2))</f>
        <v>2</v>
      </c>
      <c r="X4334" s="256">
        <f t="shared" ca="1" si="1163"/>
        <v>1</v>
      </c>
      <c r="Y4334" s="336"/>
      <c r="Z4334" s="336"/>
    </row>
    <row r="4335" spans="1:29" s="337" customFormat="1" ht="15" x14ac:dyDescent="0.2">
      <c r="A4335" s="288"/>
      <c r="B4335" s="322"/>
      <c r="C4335" s="397" t="s">
        <v>937</v>
      </c>
      <c r="D4335" s="1333">
        <v>45383</v>
      </c>
      <c r="E4335" s="1334"/>
      <c r="F4335" s="1335"/>
      <c r="G4335" s="1333">
        <v>45412</v>
      </c>
      <c r="H4335" s="1334"/>
      <c r="I4335" s="1335"/>
      <c r="J4335" s="317">
        <f t="shared" si="1164"/>
        <v>30</v>
      </c>
      <c r="K4335" s="327"/>
      <c r="L4335" s="328"/>
      <c r="M4335" s="329"/>
      <c r="N4335" s="330"/>
      <c r="O4335" s="331"/>
      <c r="P4335" s="328"/>
      <c r="Q4335" s="332"/>
      <c r="R4335" s="333">
        <v>1</v>
      </c>
      <c r="S4335" s="331" t="s">
        <v>313</v>
      </c>
      <c r="T4335" s="320">
        <v>21</v>
      </c>
      <c r="U4335" s="335"/>
      <c r="V4335" s="291">
        <f t="shared" ca="1" si="1134"/>
        <v>2</v>
      </c>
      <c r="W4335" s="256">
        <f t="shared" ca="1" si="1165"/>
        <v>2</v>
      </c>
      <c r="X4335" s="256">
        <f t="shared" ca="1" si="1163"/>
        <v>1</v>
      </c>
      <c r="Y4335" s="336"/>
      <c r="Z4335" s="336"/>
    </row>
    <row r="4336" spans="1:29" s="337" customFormat="1" ht="15" x14ac:dyDescent="0.2">
      <c r="A4336" s="288"/>
      <c r="B4336" s="322"/>
      <c r="C4336" s="397" t="s">
        <v>938</v>
      </c>
      <c r="D4336" s="1333">
        <v>45413</v>
      </c>
      <c r="E4336" s="1334"/>
      <c r="F4336" s="1335"/>
      <c r="G4336" s="1333">
        <v>45443</v>
      </c>
      <c r="H4336" s="1334"/>
      <c r="I4336" s="1335"/>
      <c r="J4336" s="317">
        <f t="shared" si="1164"/>
        <v>31</v>
      </c>
      <c r="K4336" s="327"/>
      <c r="L4336" s="328"/>
      <c r="M4336" s="329"/>
      <c r="N4336" s="330"/>
      <c r="O4336" s="331"/>
      <c r="P4336" s="328"/>
      <c r="Q4336" s="332"/>
      <c r="R4336" s="333">
        <v>1</v>
      </c>
      <c r="S4336" s="331" t="s">
        <v>313</v>
      </c>
      <c r="T4336" s="320">
        <v>22</v>
      </c>
      <c r="U4336" s="335"/>
      <c r="V4336" s="291">
        <f t="shared" ca="1" si="1134"/>
        <v>2</v>
      </c>
      <c r="W4336" s="256">
        <f t="shared" ca="1" si="1165"/>
        <v>2</v>
      </c>
      <c r="X4336" s="256">
        <f t="shared" ca="1" si="1163"/>
        <v>1</v>
      </c>
      <c r="Y4336" s="336"/>
      <c r="Z4336" s="336"/>
    </row>
    <row r="4337" spans="1:26" s="337" customFormat="1" ht="15" x14ac:dyDescent="0.2">
      <c r="A4337" s="288"/>
      <c r="B4337" s="322"/>
      <c r="C4337" s="397" t="s">
        <v>941</v>
      </c>
      <c r="D4337" s="1333">
        <v>45444</v>
      </c>
      <c r="E4337" s="1334"/>
      <c r="F4337" s="1335"/>
      <c r="G4337" s="1333">
        <v>45473</v>
      </c>
      <c r="H4337" s="1334"/>
      <c r="I4337" s="1335"/>
      <c r="J4337" s="317">
        <f t="shared" si="1164"/>
        <v>30</v>
      </c>
      <c r="K4337" s="327"/>
      <c r="L4337" s="328"/>
      <c r="M4337" s="329"/>
      <c r="N4337" s="330"/>
      <c r="O4337" s="331"/>
      <c r="P4337" s="328"/>
      <c r="Q4337" s="332"/>
      <c r="R4337" s="333">
        <v>1</v>
      </c>
      <c r="S4337" s="331" t="s">
        <v>313</v>
      </c>
      <c r="T4337" s="320">
        <v>23</v>
      </c>
      <c r="U4337" s="335"/>
      <c r="V4337" s="291">
        <f t="shared" ca="1" si="1134"/>
        <v>2</v>
      </c>
      <c r="W4337" s="256">
        <f t="shared" ca="1" si="1165"/>
        <v>2</v>
      </c>
      <c r="X4337" s="256">
        <f t="shared" ca="1" si="1163"/>
        <v>1</v>
      </c>
      <c r="Y4337" s="336"/>
      <c r="Z4337" s="336"/>
    </row>
    <row r="4338" spans="1:26" s="337" customFormat="1" ht="15" x14ac:dyDescent="0.2">
      <c r="A4338" s="288"/>
      <c r="B4338" s="322"/>
      <c r="C4338" s="397" t="s">
        <v>946</v>
      </c>
      <c r="D4338" s="1333">
        <v>45474</v>
      </c>
      <c r="E4338" s="1334"/>
      <c r="F4338" s="1335"/>
      <c r="G4338" s="1333">
        <v>45504</v>
      </c>
      <c r="H4338" s="1334"/>
      <c r="I4338" s="1335"/>
      <c r="J4338" s="317">
        <f t="shared" si="1164"/>
        <v>31</v>
      </c>
      <c r="K4338" s="327"/>
      <c r="L4338" s="328"/>
      <c r="M4338" s="329"/>
      <c r="N4338" s="330"/>
      <c r="O4338" s="331"/>
      <c r="P4338" s="328"/>
      <c r="Q4338" s="332"/>
      <c r="R4338" s="333">
        <v>1</v>
      </c>
      <c r="S4338" s="331" t="s">
        <v>313</v>
      </c>
      <c r="T4338" s="320">
        <v>24</v>
      </c>
      <c r="U4338" s="335"/>
      <c r="V4338" s="291">
        <f t="shared" ca="1" si="1134"/>
        <v>2</v>
      </c>
      <c r="W4338" s="256">
        <f t="shared" ca="1" si="1165"/>
        <v>2</v>
      </c>
      <c r="X4338" s="256">
        <f t="shared" ca="1" si="1163"/>
        <v>1</v>
      </c>
      <c r="Y4338" s="336"/>
      <c r="Z4338" s="336"/>
    </row>
    <row r="4339" spans="1:26" s="337" customFormat="1" ht="15" x14ac:dyDescent="0.2">
      <c r="A4339" s="288"/>
      <c r="B4339" s="322"/>
      <c r="C4339" s="397" t="s">
        <v>974</v>
      </c>
      <c r="D4339" s="1333">
        <v>45505</v>
      </c>
      <c r="E4339" s="1334"/>
      <c r="F4339" s="1335"/>
      <c r="G4339" s="1333">
        <v>45535</v>
      </c>
      <c r="H4339" s="1334"/>
      <c r="I4339" s="1335"/>
      <c r="J4339" s="317">
        <f t="shared" si="1164"/>
        <v>31</v>
      </c>
      <c r="K4339" s="327"/>
      <c r="L4339" s="328"/>
      <c r="M4339" s="329"/>
      <c r="N4339" s="330"/>
      <c r="O4339" s="331"/>
      <c r="P4339" s="328"/>
      <c r="Q4339" s="332"/>
      <c r="R4339" s="333">
        <v>1</v>
      </c>
      <c r="S4339" s="331" t="s">
        <v>313</v>
      </c>
      <c r="T4339" s="320">
        <v>25</v>
      </c>
      <c r="U4339" s="335"/>
      <c r="V4339" s="291">
        <f t="shared" ca="1" si="1134"/>
        <v>2</v>
      </c>
      <c r="W4339" s="256">
        <f t="shared" ca="1" si="1165"/>
        <v>2</v>
      </c>
      <c r="X4339" s="256">
        <f t="shared" ref="X4339:X4346" ca="1" si="1166">IF(COUNTA(OFFSET(A4338,1,0))-COUNTA(A4338)=-1,0,1)</f>
        <v>1</v>
      </c>
      <c r="Y4339" s="336"/>
      <c r="Z4339" s="336"/>
    </row>
    <row r="4340" spans="1:26" s="337" customFormat="1" ht="15" x14ac:dyDescent="0.2">
      <c r="A4340" s="288"/>
      <c r="B4340" s="322"/>
      <c r="C4340" s="397" t="s">
        <v>1008</v>
      </c>
      <c r="D4340" s="1333">
        <v>45536</v>
      </c>
      <c r="E4340" s="1334"/>
      <c r="F4340" s="1335"/>
      <c r="G4340" s="1333">
        <v>45565</v>
      </c>
      <c r="H4340" s="1334"/>
      <c r="I4340" s="1335"/>
      <c r="J4340" s="317">
        <f t="shared" si="1164"/>
        <v>30</v>
      </c>
      <c r="K4340" s="327"/>
      <c r="L4340" s="328"/>
      <c r="M4340" s="329"/>
      <c r="N4340" s="330"/>
      <c r="O4340" s="331"/>
      <c r="P4340" s="328"/>
      <c r="Q4340" s="332"/>
      <c r="R4340" s="333">
        <v>1</v>
      </c>
      <c r="S4340" s="331" t="s">
        <v>313</v>
      </c>
      <c r="T4340" s="320">
        <v>26</v>
      </c>
      <c r="U4340" s="335"/>
      <c r="V4340" s="291">
        <f t="shared" ca="1" si="1134"/>
        <v>2</v>
      </c>
      <c r="W4340" s="256">
        <f ca="1">IF(LEFT(_xlfn.FORMULATEXT(V4340),3)="=SO",1,IF(COUNTA(A4340:U4340)=0,0,2))</f>
        <v>2</v>
      </c>
      <c r="X4340" s="256">
        <f t="shared" ca="1" si="1166"/>
        <v>1</v>
      </c>
      <c r="Y4340" s="336"/>
      <c r="Z4340" s="336"/>
    </row>
    <row r="4341" spans="1:26" s="337" customFormat="1" ht="15" x14ac:dyDescent="0.2">
      <c r="A4341" s="288"/>
      <c r="B4341" s="322"/>
      <c r="C4341" s="397" t="s">
        <v>1012</v>
      </c>
      <c r="D4341" s="1333">
        <v>45566</v>
      </c>
      <c r="E4341" s="1334"/>
      <c r="F4341" s="1335"/>
      <c r="G4341" s="1333">
        <v>45596</v>
      </c>
      <c r="H4341" s="1334"/>
      <c r="I4341" s="1335"/>
      <c r="J4341" s="317">
        <f t="shared" si="1164"/>
        <v>31</v>
      </c>
      <c r="K4341" s="327"/>
      <c r="L4341" s="328"/>
      <c r="M4341" s="329"/>
      <c r="N4341" s="330"/>
      <c r="O4341" s="331"/>
      <c r="P4341" s="328"/>
      <c r="Q4341" s="332"/>
      <c r="R4341" s="333">
        <v>1</v>
      </c>
      <c r="S4341" s="331" t="s">
        <v>313</v>
      </c>
      <c r="T4341" s="320">
        <v>27</v>
      </c>
      <c r="U4341" s="335"/>
      <c r="V4341" s="291">
        <f t="shared" ca="1" si="1134"/>
        <v>2</v>
      </c>
      <c r="W4341" s="256">
        <f ca="1">IF(LEFT(_xlfn.FORMULATEXT(V4341),3)="=SO",1,IF(COUNTA(A4341:U4341)=0,0,2))</f>
        <v>2</v>
      </c>
      <c r="X4341" s="256">
        <f t="shared" ca="1" si="1166"/>
        <v>1</v>
      </c>
      <c r="Y4341" s="336"/>
      <c r="Z4341" s="336"/>
    </row>
    <row r="4342" spans="1:26" s="337" customFormat="1" ht="15" x14ac:dyDescent="0.2">
      <c r="A4342" s="288"/>
      <c r="B4342" s="322"/>
      <c r="C4342" s="397" t="s">
        <v>1033</v>
      </c>
      <c r="D4342" s="1333">
        <v>45597</v>
      </c>
      <c r="E4342" s="1334"/>
      <c r="F4342" s="1335"/>
      <c r="G4342" s="1333">
        <v>45626</v>
      </c>
      <c r="H4342" s="1334"/>
      <c r="I4342" s="1335"/>
      <c r="J4342" s="317">
        <f t="shared" si="1164"/>
        <v>30</v>
      </c>
      <c r="K4342" s="327"/>
      <c r="L4342" s="328"/>
      <c r="M4342" s="329"/>
      <c r="N4342" s="330"/>
      <c r="O4342" s="331"/>
      <c r="P4342" s="328"/>
      <c r="Q4342" s="332"/>
      <c r="R4342" s="333">
        <v>1</v>
      </c>
      <c r="S4342" s="331" t="s">
        <v>313</v>
      </c>
      <c r="T4342" s="320">
        <v>28</v>
      </c>
      <c r="U4342" s="335"/>
      <c r="V4342" s="291">
        <f t="shared" ca="1" si="1134"/>
        <v>2</v>
      </c>
      <c r="W4342" s="256">
        <f ca="1">IF(LEFT(_xlfn.FORMULATEXT(V4342),3)="=SO",1,IF(COUNTA(A4342:U4342)=0,0,2))</f>
        <v>2</v>
      </c>
      <c r="X4342" s="256">
        <f t="shared" ca="1" si="1166"/>
        <v>1</v>
      </c>
      <c r="Y4342" s="336"/>
      <c r="Z4342" s="336"/>
    </row>
    <row r="4343" spans="1:26" s="337" customFormat="1" ht="15" x14ac:dyDescent="0.2">
      <c r="A4343" s="288"/>
      <c r="B4343" s="322"/>
      <c r="C4343" s="397" t="s">
        <v>1042</v>
      </c>
      <c r="D4343" s="1333">
        <v>45627</v>
      </c>
      <c r="E4343" s="1334"/>
      <c r="F4343" s="1335"/>
      <c r="G4343" s="1333">
        <v>45657</v>
      </c>
      <c r="H4343" s="1334"/>
      <c r="I4343" s="1335"/>
      <c r="J4343" s="317">
        <f t="shared" si="1164"/>
        <v>31</v>
      </c>
      <c r="K4343" s="327"/>
      <c r="L4343" s="328"/>
      <c r="M4343" s="329"/>
      <c r="N4343" s="330"/>
      <c r="O4343" s="331"/>
      <c r="P4343" s="328"/>
      <c r="Q4343" s="332"/>
      <c r="R4343" s="333">
        <v>1</v>
      </c>
      <c r="S4343" s="331" t="s">
        <v>313</v>
      </c>
      <c r="T4343" s="320">
        <v>29</v>
      </c>
      <c r="U4343" s="335"/>
      <c r="V4343" s="291">
        <f t="shared" ca="1" si="1134"/>
        <v>2</v>
      </c>
      <c r="W4343" s="256">
        <f ca="1">IF(LEFT(_xlfn.FORMULATEXT(V4343),3)="=SO",1,IF(COUNTA(A4343:U4343)=0,0,2))</f>
        <v>2</v>
      </c>
      <c r="X4343" s="256">
        <f t="shared" ca="1" si="1166"/>
        <v>1</v>
      </c>
      <c r="Y4343" s="336"/>
      <c r="Z4343" s="336"/>
    </row>
    <row r="4344" spans="1:26" s="337" customFormat="1" ht="15" x14ac:dyDescent="0.2">
      <c r="A4344" s="288"/>
      <c r="B4344" s="322"/>
      <c r="C4344" s="397" t="s">
        <v>1057</v>
      </c>
      <c r="D4344" s="1333">
        <v>45658</v>
      </c>
      <c r="E4344" s="1334"/>
      <c r="F4344" s="1335"/>
      <c r="G4344" s="1333">
        <v>45688</v>
      </c>
      <c r="H4344" s="1334"/>
      <c r="I4344" s="1335"/>
      <c r="J4344" s="317">
        <f t="shared" si="1164"/>
        <v>31</v>
      </c>
      <c r="K4344" s="327"/>
      <c r="L4344" s="328"/>
      <c r="M4344" s="329"/>
      <c r="N4344" s="330"/>
      <c r="O4344" s="331"/>
      <c r="P4344" s="328"/>
      <c r="Q4344" s="332"/>
      <c r="R4344" s="333">
        <v>1</v>
      </c>
      <c r="S4344" s="331" t="s">
        <v>313</v>
      </c>
      <c r="T4344" s="320">
        <v>30</v>
      </c>
      <c r="U4344" s="335"/>
      <c r="V4344" s="291">
        <f t="shared" ca="1" si="1134"/>
        <v>2</v>
      </c>
      <c r="W4344" s="256">
        <f t="shared" ref="W4344:W4346" ca="1" si="1167">IF(LEFT(_xlfn.FORMULATEXT(V4344),3)="=SO",1,IF(COUNTA(A4344:U4344)=0,0,2))</f>
        <v>2</v>
      </c>
      <c r="X4344" s="256">
        <f t="shared" ca="1" si="1166"/>
        <v>1</v>
      </c>
      <c r="Y4344" s="336"/>
      <c r="Z4344" s="336"/>
    </row>
    <row r="4345" spans="1:26" s="337" customFormat="1" ht="15" x14ac:dyDescent="0.2">
      <c r="A4345" s="288"/>
      <c r="B4345" s="322"/>
      <c r="C4345" s="397" t="s">
        <v>1076</v>
      </c>
      <c r="D4345" s="1333">
        <v>45689</v>
      </c>
      <c r="E4345" s="1334"/>
      <c r="F4345" s="1335"/>
      <c r="G4345" s="1333">
        <v>45716</v>
      </c>
      <c r="H4345" s="1334"/>
      <c r="I4345" s="1335"/>
      <c r="J4345" s="317">
        <f t="shared" si="1164"/>
        <v>28</v>
      </c>
      <c r="K4345" s="327"/>
      <c r="L4345" s="328"/>
      <c r="M4345" s="329"/>
      <c r="N4345" s="330"/>
      <c r="O4345" s="331"/>
      <c r="P4345" s="328"/>
      <c r="Q4345" s="332"/>
      <c r="R4345" s="333">
        <v>1</v>
      </c>
      <c r="S4345" s="331" t="s">
        <v>313</v>
      </c>
      <c r="T4345" s="320">
        <v>31</v>
      </c>
      <c r="U4345" s="335"/>
      <c r="V4345" s="291">
        <f t="shared" ca="1" si="1134"/>
        <v>2</v>
      </c>
      <c r="W4345" s="256">
        <f t="shared" ca="1" si="1167"/>
        <v>2</v>
      </c>
      <c r="X4345" s="256">
        <f t="shared" ca="1" si="1166"/>
        <v>1</v>
      </c>
      <c r="Y4345" s="336"/>
      <c r="Z4345" s="336"/>
    </row>
    <row r="4346" spans="1:26" s="337" customFormat="1" ht="15" x14ac:dyDescent="0.2">
      <c r="A4346" s="288"/>
      <c r="B4346" s="322"/>
      <c r="C4346" s="397" t="s">
        <v>1080</v>
      </c>
      <c r="D4346" s="1333">
        <v>45717</v>
      </c>
      <c r="E4346" s="1334"/>
      <c r="F4346" s="1335"/>
      <c r="G4346" s="1333">
        <v>45747</v>
      </c>
      <c r="H4346" s="1334"/>
      <c r="I4346" s="1335"/>
      <c r="J4346" s="317">
        <f t="shared" si="1164"/>
        <v>31</v>
      </c>
      <c r="K4346" s="327"/>
      <c r="L4346" s="328"/>
      <c r="M4346" s="329"/>
      <c r="N4346" s="330"/>
      <c r="O4346" s="331"/>
      <c r="P4346" s="328"/>
      <c r="Q4346" s="332"/>
      <c r="R4346" s="333">
        <v>1</v>
      </c>
      <c r="S4346" s="331" t="s">
        <v>313</v>
      </c>
      <c r="T4346" s="320">
        <v>32</v>
      </c>
      <c r="U4346" s="335"/>
      <c r="V4346" s="291">
        <f t="shared" ca="1" si="1134"/>
        <v>2</v>
      </c>
      <c r="W4346" s="256">
        <f t="shared" ca="1" si="1167"/>
        <v>2</v>
      </c>
      <c r="X4346" s="256">
        <f t="shared" ca="1" si="1166"/>
        <v>1</v>
      </c>
      <c r="Y4346" s="336"/>
      <c r="Z4346" s="336"/>
    </row>
    <row r="4347" spans="1:26" s="111" customFormat="1" ht="15.75" x14ac:dyDescent="0.2">
      <c r="A4347" s="288"/>
      <c r="B4347" s="311"/>
      <c r="C4347" s="397" t="s">
        <v>1164</v>
      </c>
      <c r="D4347" s="1333">
        <v>45748</v>
      </c>
      <c r="E4347" s="1334"/>
      <c r="F4347" s="1335"/>
      <c r="G4347" s="1333">
        <v>45777</v>
      </c>
      <c r="H4347" s="1334"/>
      <c r="I4347" s="1335"/>
      <c r="J4347" s="317">
        <f t="shared" si="1164"/>
        <v>30</v>
      </c>
      <c r="K4347" s="433"/>
      <c r="L4347" s="328"/>
      <c r="M4347" s="328"/>
      <c r="N4347" s="328"/>
      <c r="O4347" s="334"/>
      <c r="P4347" s="328"/>
      <c r="Q4347" s="334"/>
      <c r="R4347" s="333">
        <v>1</v>
      </c>
      <c r="S4347" s="331" t="s">
        <v>313</v>
      </c>
      <c r="T4347" s="320">
        <v>33</v>
      </c>
      <c r="U4347" s="321"/>
      <c r="V4347" s="291">
        <f t="shared" ca="1" si="1134"/>
        <v>2</v>
      </c>
      <c r="W4347" s="256">
        <f t="shared" ref="W4347" ca="1" si="1168">IF(LEFT(_xlfn.FORMULATEXT(V4347),3)="=SO",1,IF(COUNTA(A4347:U4347)=0,0,2))</f>
        <v>2</v>
      </c>
      <c r="X4347" s="256">
        <f t="shared" ref="X4347" ca="1" si="1169">IF(COUNTA(OFFSET(A4346,1,0))-COUNTA(A4346)=-1,0,1)</f>
        <v>1</v>
      </c>
      <c r="Y4347" s="250"/>
      <c r="Z4347" s="250"/>
    </row>
    <row r="4348" spans="1:26" s="111" customFormat="1" ht="15.75" x14ac:dyDescent="0.2">
      <c r="A4348" s="288"/>
      <c r="B4348" s="562"/>
      <c r="C4348" s="397" t="s">
        <v>1165</v>
      </c>
      <c r="D4348" s="1333">
        <v>45778</v>
      </c>
      <c r="E4348" s="1334"/>
      <c r="F4348" s="1335"/>
      <c r="G4348" s="1333">
        <v>45808</v>
      </c>
      <c r="H4348" s="1334"/>
      <c r="I4348" s="1335"/>
      <c r="J4348" s="317">
        <f>G4348-D4348+1</f>
        <v>31</v>
      </c>
      <c r="K4348" s="433"/>
      <c r="L4348" s="328"/>
      <c r="M4348" s="328"/>
      <c r="N4348" s="328"/>
      <c r="O4348" s="334"/>
      <c r="P4348" s="328"/>
      <c r="Q4348" s="334"/>
      <c r="R4348" s="333">
        <v>1</v>
      </c>
      <c r="S4348" s="331" t="s">
        <v>313</v>
      </c>
      <c r="T4348" s="320">
        <v>35</v>
      </c>
      <c r="U4348" s="321"/>
      <c r="V4348" s="291">
        <f t="shared" ca="1" si="1134"/>
        <v>2</v>
      </c>
      <c r="W4348" s="256">
        <f t="shared" ref="W4348:W4351" ca="1" si="1170">IF(LEFT(_xlfn.FORMULATEXT(V4348),3)="=SO",1,IF(COUNTA(A4348:U4348)=0,0,2))</f>
        <v>2</v>
      </c>
      <c r="X4348" s="256">
        <f t="shared" ref="X4348:X4351" ca="1" si="1171">IF(COUNTA(OFFSET(A4347,1,0))-COUNTA(A4347)=-1,0,1)</f>
        <v>1</v>
      </c>
      <c r="Y4348" s="250"/>
      <c r="Z4348" s="250"/>
    </row>
    <row r="4349" spans="1:26" s="111" customFormat="1" ht="15.75" x14ac:dyDescent="0.2">
      <c r="A4349" s="288"/>
      <c r="B4349" s="562"/>
      <c r="C4349" s="397" t="s">
        <v>1166</v>
      </c>
      <c r="D4349" s="1333">
        <v>45809</v>
      </c>
      <c r="E4349" s="1334"/>
      <c r="F4349" s="1335"/>
      <c r="G4349" s="1333">
        <v>45838</v>
      </c>
      <c r="H4349" s="1334"/>
      <c r="I4349" s="1335"/>
      <c r="J4349" s="317">
        <f>G4349-D4349+1</f>
        <v>30</v>
      </c>
      <c r="K4349" s="433"/>
      <c r="L4349" s="328"/>
      <c r="M4349" s="328"/>
      <c r="N4349" s="328"/>
      <c r="O4349" s="334"/>
      <c r="P4349" s="328"/>
      <c r="Q4349" s="334"/>
      <c r="R4349" s="333">
        <v>1</v>
      </c>
      <c r="S4349" s="331" t="s">
        <v>313</v>
      </c>
      <c r="T4349" s="320">
        <v>35</v>
      </c>
      <c r="U4349" s="321"/>
      <c r="V4349" s="291">
        <f t="shared" ca="1" si="1134"/>
        <v>2</v>
      </c>
      <c r="W4349" s="256">
        <f t="shared" ca="1" si="1170"/>
        <v>2</v>
      </c>
      <c r="X4349" s="256">
        <f t="shared" ca="1" si="1171"/>
        <v>1</v>
      </c>
      <c r="Y4349" s="250"/>
      <c r="Z4349" s="250"/>
    </row>
    <row r="4350" spans="1:26" s="111" customFormat="1" ht="15.75" x14ac:dyDescent="0.2">
      <c r="A4350" s="288"/>
      <c r="B4350" s="562"/>
      <c r="C4350" s="397" t="s">
        <v>1167</v>
      </c>
      <c r="D4350" s="1333">
        <v>45839</v>
      </c>
      <c r="E4350" s="1334"/>
      <c r="F4350" s="1335"/>
      <c r="G4350" s="1333">
        <v>45869</v>
      </c>
      <c r="H4350" s="1334"/>
      <c r="I4350" s="1335"/>
      <c r="J4350" s="317">
        <f>G4350-D4350+1</f>
        <v>31</v>
      </c>
      <c r="K4350" s="433"/>
      <c r="L4350" s="328"/>
      <c r="M4350" s="328"/>
      <c r="N4350" s="328"/>
      <c r="O4350" s="334"/>
      <c r="P4350" s="328"/>
      <c r="Q4350" s="334"/>
      <c r="R4350" s="333">
        <v>1</v>
      </c>
      <c r="S4350" s="331" t="s">
        <v>313</v>
      </c>
      <c r="T4350" s="320">
        <v>35</v>
      </c>
      <c r="U4350" s="321"/>
      <c r="V4350" s="291">
        <f t="shared" ca="1" si="1134"/>
        <v>2</v>
      </c>
      <c r="W4350" s="256">
        <f t="shared" ca="1" si="1170"/>
        <v>2</v>
      </c>
      <c r="X4350" s="256">
        <f t="shared" ca="1" si="1171"/>
        <v>1</v>
      </c>
      <c r="Y4350" s="250"/>
      <c r="Z4350" s="250"/>
    </row>
    <row r="4351" spans="1:26" s="111" customFormat="1" ht="15.75" x14ac:dyDescent="0.2">
      <c r="A4351" s="288"/>
      <c r="B4351" s="562"/>
      <c r="C4351" s="397" t="s">
        <v>1186</v>
      </c>
      <c r="D4351" s="1333">
        <v>45870</v>
      </c>
      <c r="E4351" s="1334"/>
      <c r="F4351" s="1335"/>
      <c r="G4351" s="1333">
        <v>45900</v>
      </c>
      <c r="H4351" s="1334"/>
      <c r="I4351" s="1335"/>
      <c r="J4351" s="317">
        <f>G4351-D4351+1</f>
        <v>31</v>
      </c>
      <c r="K4351" s="433"/>
      <c r="L4351" s="328"/>
      <c r="M4351" s="328"/>
      <c r="N4351" s="328"/>
      <c r="O4351" s="334"/>
      <c r="P4351" s="328"/>
      <c r="Q4351" s="334"/>
      <c r="R4351" s="333">
        <v>1</v>
      </c>
      <c r="S4351" s="331" t="s">
        <v>313</v>
      </c>
      <c r="T4351" s="320">
        <v>36</v>
      </c>
      <c r="U4351" s="568"/>
      <c r="V4351" s="291">
        <f t="shared" ca="1" si="1134"/>
        <v>2</v>
      </c>
      <c r="W4351" s="256">
        <f t="shared" ca="1" si="1170"/>
        <v>2</v>
      </c>
      <c r="X4351" s="256">
        <f t="shared" ca="1" si="1171"/>
        <v>1</v>
      </c>
      <c r="Y4351" s="250"/>
      <c r="Z4351" s="250"/>
    </row>
    <row r="4352" spans="1:26" s="111" customFormat="1" ht="15.75" x14ac:dyDescent="0.2">
      <c r="A4352" s="288"/>
      <c r="B4352" s="562"/>
      <c r="C4352" s="397" t="s">
        <v>1217</v>
      </c>
      <c r="D4352" s="1333">
        <v>45901</v>
      </c>
      <c r="E4352" s="1334"/>
      <c r="F4352" s="1335"/>
      <c r="G4352" s="1333">
        <v>45930</v>
      </c>
      <c r="H4352" s="1334"/>
      <c r="I4352" s="1335"/>
      <c r="J4352" s="317">
        <f>G4352-D4352+1</f>
        <v>30</v>
      </c>
      <c r="K4352" s="433"/>
      <c r="L4352" s="328"/>
      <c r="M4352" s="328"/>
      <c r="N4352" s="328"/>
      <c r="O4352" s="334"/>
      <c r="P4352" s="328"/>
      <c r="Q4352" s="334"/>
      <c r="R4352" s="333">
        <v>1</v>
      </c>
      <c r="S4352" s="331" t="s">
        <v>313</v>
      </c>
      <c r="T4352" s="320">
        <v>37</v>
      </c>
      <c r="U4352" s="568"/>
      <c r="V4352" s="291">
        <f t="shared" ca="1" si="1134"/>
        <v>2</v>
      </c>
      <c r="W4352" s="256">
        <f t="shared" ref="W4352:W4354" ca="1" si="1172">IF(LEFT(_xlfn.FORMULATEXT(V4352),3)="=SO",1,IF(COUNTA(A4352:U4352)=0,0,2))</f>
        <v>2</v>
      </c>
      <c r="X4352" s="256">
        <f t="shared" ref="X4352:X4354" ca="1" si="1173">IF(COUNTA(OFFSET(A4351,1,0))-COUNTA(A4351)=-1,0,1)</f>
        <v>1</v>
      </c>
      <c r="Y4352" s="250"/>
      <c r="Z4352" s="250"/>
    </row>
    <row r="4353" spans="1:29" s="111" customFormat="1" ht="15.75" x14ac:dyDescent="0.2">
      <c r="A4353" s="288"/>
      <c r="B4353" s="562"/>
      <c r="C4353" s="397" t="s">
        <v>1230</v>
      </c>
      <c r="D4353" s="1333">
        <v>45931</v>
      </c>
      <c r="E4353" s="1334"/>
      <c r="F4353" s="1335"/>
      <c r="G4353" s="1333">
        <v>45961</v>
      </c>
      <c r="H4353" s="1334"/>
      <c r="I4353" s="1335"/>
      <c r="J4353" s="317">
        <f t="shared" ref="J4353:J4359" si="1174">G4353-D4353+1</f>
        <v>31</v>
      </c>
      <c r="K4353" s="433"/>
      <c r="L4353" s="328"/>
      <c r="M4353" s="328"/>
      <c r="N4353" s="328"/>
      <c r="O4353" s="334"/>
      <c r="P4353" s="328"/>
      <c r="Q4353" s="334"/>
      <c r="R4353" s="333">
        <v>2</v>
      </c>
      <c r="S4353" s="331" t="s">
        <v>313</v>
      </c>
      <c r="T4353" s="320">
        <v>38</v>
      </c>
      <c r="U4353" s="568"/>
      <c r="V4353" s="291">
        <f t="shared" ca="1" si="1134"/>
        <v>2</v>
      </c>
      <c r="W4353" s="256">
        <f t="shared" ca="1" si="1172"/>
        <v>2</v>
      </c>
      <c r="X4353" s="256">
        <f t="shared" ca="1" si="1173"/>
        <v>1</v>
      </c>
      <c r="Y4353" s="250"/>
      <c r="Z4353" s="250"/>
    </row>
    <row r="4354" spans="1:29" s="111" customFormat="1" ht="15.75" x14ac:dyDescent="0.2">
      <c r="A4354" s="288"/>
      <c r="B4354" s="562"/>
      <c r="C4354" s="397" t="s">
        <v>1250</v>
      </c>
      <c r="D4354" s="1333">
        <v>45962</v>
      </c>
      <c r="E4354" s="1334"/>
      <c r="F4354" s="1335"/>
      <c r="G4354" s="1333">
        <v>45991</v>
      </c>
      <c r="H4354" s="1334"/>
      <c r="I4354" s="1335"/>
      <c r="J4354" s="317">
        <f t="shared" si="1174"/>
        <v>30</v>
      </c>
      <c r="K4354" s="327"/>
      <c r="L4354" s="328"/>
      <c r="M4354" s="329"/>
      <c r="N4354" s="330"/>
      <c r="O4354" s="331"/>
      <c r="P4354" s="328"/>
      <c r="Q4354" s="332"/>
      <c r="R4354" s="333">
        <v>1</v>
      </c>
      <c r="S4354" s="331" t="s">
        <v>313</v>
      </c>
      <c r="T4354" s="320">
        <v>39</v>
      </c>
      <c r="U4354" s="568"/>
      <c r="V4354" s="291">
        <f t="shared" ca="1" si="1134"/>
        <v>2</v>
      </c>
      <c r="W4354" s="256">
        <f t="shared" ca="1" si="1172"/>
        <v>2</v>
      </c>
      <c r="X4354" s="256">
        <f t="shared" ca="1" si="1173"/>
        <v>1</v>
      </c>
      <c r="Y4354" s="250"/>
      <c r="Z4354" s="250"/>
    </row>
    <row r="4355" spans="1:29" s="111" customFormat="1" ht="15.75" x14ac:dyDescent="0.2">
      <c r="A4355" s="288"/>
      <c r="B4355" s="562"/>
      <c r="C4355" s="397" t="s">
        <v>1286</v>
      </c>
      <c r="D4355" s="1333">
        <v>45992</v>
      </c>
      <c r="E4355" s="1334"/>
      <c r="F4355" s="1335"/>
      <c r="G4355" s="1333">
        <v>46022</v>
      </c>
      <c r="H4355" s="1334"/>
      <c r="I4355" s="1335"/>
      <c r="J4355" s="317">
        <f t="shared" si="1174"/>
        <v>31</v>
      </c>
      <c r="K4355" s="327"/>
      <c r="L4355" s="328"/>
      <c r="M4355" s="329"/>
      <c r="N4355" s="330"/>
      <c r="O4355" s="331"/>
      <c r="P4355" s="328"/>
      <c r="Q4355" s="332"/>
      <c r="R4355" s="333">
        <v>2</v>
      </c>
      <c r="S4355" s="331" t="s">
        <v>313</v>
      </c>
      <c r="T4355" s="320">
        <v>40</v>
      </c>
      <c r="U4355" s="568"/>
      <c r="V4355" s="291">
        <f t="shared" ca="1" si="1134"/>
        <v>2</v>
      </c>
      <c r="W4355" s="256">
        <f t="shared" ref="W4355" ca="1" si="1175">IF(LEFT(_xlfn.FORMULATEXT(V4355),3)="=SO",1,IF(COUNTA(A4355:U4355)=0,0,2))</f>
        <v>2</v>
      </c>
      <c r="X4355" s="256">
        <f t="shared" ref="X4355" ca="1" si="1176">IF(COUNTA(OFFSET(A4354,1,0))-COUNTA(A4354)=-1,0,1)</f>
        <v>1</v>
      </c>
      <c r="Y4355" s="250"/>
      <c r="Z4355" s="250"/>
    </row>
    <row r="4356" spans="1:29" s="111" customFormat="1" ht="15.75" x14ac:dyDescent="0.2">
      <c r="A4356" s="288"/>
      <c r="B4356" s="562"/>
      <c r="C4356" s="397" t="s">
        <v>1303</v>
      </c>
      <c r="D4356" s="1333">
        <v>46023</v>
      </c>
      <c r="E4356" s="1334"/>
      <c r="F4356" s="1335"/>
      <c r="G4356" s="1333">
        <v>46053</v>
      </c>
      <c r="H4356" s="1334"/>
      <c r="I4356" s="1335"/>
      <c r="J4356" s="317">
        <f t="shared" si="1174"/>
        <v>31</v>
      </c>
      <c r="K4356" s="327"/>
      <c r="L4356" s="328"/>
      <c r="M4356" s="329"/>
      <c r="N4356" s="330"/>
      <c r="O4356" s="331"/>
      <c r="P4356" s="328"/>
      <c r="Q4356" s="332"/>
      <c r="R4356" s="333">
        <v>2</v>
      </c>
      <c r="S4356" s="331" t="s">
        <v>313</v>
      </c>
      <c r="T4356" s="320">
        <v>41</v>
      </c>
      <c r="U4356" s="568"/>
      <c r="V4356" s="291">
        <f t="shared" ca="1" si="1134"/>
        <v>2</v>
      </c>
      <c r="W4356" s="256">
        <f t="shared" ref="W4356:W4364" ca="1" si="1177">IF(LEFT(_xlfn.FORMULATEXT(V4356),3)="=SO",1,IF(COUNTA(A4356:U4356)=0,0,2))</f>
        <v>2</v>
      </c>
      <c r="X4356" s="256">
        <f t="shared" ref="X4356:X4364" ca="1" si="1178">IF(COUNTA(OFFSET(A4355,1,0))-COUNTA(A4355)=-1,0,1)</f>
        <v>1</v>
      </c>
      <c r="Y4356" s="250"/>
      <c r="Z4356" s="250"/>
    </row>
    <row r="4357" spans="1:29" s="111" customFormat="1" ht="15.75" x14ac:dyDescent="0.2">
      <c r="A4357" s="288"/>
      <c r="B4357" s="562"/>
      <c r="C4357" s="397" t="s">
        <v>1320</v>
      </c>
      <c r="D4357" s="1333">
        <v>46054</v>
      </c>
      <c r="E4357" s="1334"/>
      <c r="F4357" s="1335"/>
      <c r="G4357" s="1333">
        <v>46081</v>
      </c>
      <c r="H4357" s="1334"/>
      <c r="I4357" s="1335"/>
      <c r="J4357" s="317">
        <f t="shared" si="1174"/>
        <v>28</v>
      </c>
      <c r="K4357" s="327"/>
      <c r="L4357" s="328"/>
      <c r="M4357" s="329"/>
      <c r="N4357" s="330"/>
      <c r="O4357" s="331"/>
      <c r="P4357" s="328"/>
      <c r="Q4357" s="332"/>
      <c r="R4357" s="333">
        <v>2</v>
      </c>
      <c r="S4357" s="331" t="str">
        <f t="shared" ref="S4357:S4358" si="1179">$S$154</f>
        <v>mês</v>
      </c>
      <c r="T4357" s="320">
        <v>42</v>
      </c>
      <c r="U4357" s="335"/>
      <c r="V4357" s="291">
        <f t="shared" ca="1" si="1134"/>
        <v>2</v>
      </c>
      <c r="W4357" s="256">
        <f t="shared" ca="1" si="1177"/>
        <v>2</v>
      </c>
      <c r="X4357" s="256">
        <f t="shared" ca="1" si="1178"/>
        <v>1</v>
      </c>
      <c r="Y4357" s="250"/>
      <c r="Z4357" s="250"/>
    </row>
    <row r="4358" spans="1:29" s="111" customFormat="1" ht="15.75" x14ac:dyDescent="0.2">
      <c r="A4358" s="288"/>
      <c r="B4358" s="562"/>
      <c r="C4358" s="397" t="s">
        <v>1330</v>
      </c>
      <c r="D4358" s="1333">
        <v>46082</v>
      </c>
      <c r="E4358" s="1334"/>
      <c r="F4358" s="1335"/>
      <c r="G4358" s="1333">
        <v>46112</v>
      </c>
      <c r="H4358" s="1334"/>
      <c r="I4358" s="1335"/>
      <c r="J4358" s="317">
        <f t="shared" si="1174"/>
        <v>31</v>
      </c>
      <c r="K4358" s="327"/>
      <c r="L4358" s="328"/>
      <c r="M4358" s="329"/>
      <c r="N4358" s="330"/>
      <c r="O4358" s="331"/>
      <c r="P4358" s="328"/>
      <c r="Q4358" s="332"/>
      <c r="R4358" s="333">
        <v>2</v>
      </c>
      <c r="S4358" s="331" t="str">
        <f t="shared" si="1179"/>
        <v>mês</v>
      </c>
      <c r="T4358" s="320">
        <v>43</v>
      </c>
      <c r="U4358" s="335"/>
      <c r="V4358" s="291">
        <f t="shared" ca="1" si="1134"/>
        <v>2</v>
      </c>
      <c r="W4358" s="256">
        <f t="shared" ca="1" si="1177"/>
        <v>2</v>
      </c>
      <c r="X4358" s="256">
        <f t="shared" ca="1" si="1178"/>
        <v>1</v>
      </c>
      <c r="Y4358" s="250"/>
      <c r="Z4358" s="250"/>
    </row>
    <row r="4359" spans="1:29" s="111" customFormat="1" ht="15.75" x14ac:dyDescent="0.2">
      <c r="A4359" s="288"/>
      <c r="B4359" s="562"/>
      <c r="C4359" s="397" t="s">
        <v>1368</v>
      </c>
      <c r="D4359" s="1333">
        <v>46113</v>
      </c>
      <c r="E4359" s="1334"/>
      <c r="F4359" s="1335"/>
      <c r="G4359" s="1333">
        <v>46142</v>
      </c>
      <c r="H4359" s="1334"/>
      <c r="I4359" s="1335"/>
      <c r="J4359" s="317">
        <f t="shared" si="1174"/>
        <v>30</v>
      </c>
      <c r="K4359" s="327"/>
      <c r="L4359" s="328"/>
      <c r="M4359" s="329"/>
      <c r="N4359" s="330"/>
      <c r="O4359" s="331"/>
      <c r="P4359" s="328"/>
      <c r="Q4359" s="332"/>
      <c r="R4359" s="333">
        <v>2</v>
      </c>
      <c r="S4359" s="331" t="str">
        <f t="shared" ref="S4359" si="1180">$S$150</f>
        <v>mês</v>
      </c>
      <c r="T4359" s="320">
        <v>44</v>
      </c>
      <c r="U4359" s="574"/>
      <c r="V4359" s="291">
        <f t="shared" ca="1" si="1134"/>
        <v>2</v>
      </c>
      <c r="W4359" s="256">
        <f t="shared" ca="1" si="1177"/>
        <v>2</v>
      </c>
      <c r="X4359" s="256">
        <f t="shared" ca="1" si="1178"/>
        <v>1</v>
      </c>
      <c r="Y4359" s="250"/>
      <c r="Z4359" s="250"/>
    </row>
    <row r="4360" spans="1:29" s="111" customFormat="1" ht="15.75" x14ac:dyDescent="0.2">
      <c r="A4360" s="288"/>
      <c r="B4360" s="562"/>
      <c r="C4360" s="755"/>
      <c r="D4360" s="756"/>
      <c r="E4360" s="757"/>
      <c r="F4360" s="758"/>
      <c r="G4360" s="756"/>
      <c r="H4360" s="757"/>
      <c r="I4360" s="758"/>
      <c r="J4360" s="1109"/>
      <c r="K4360" s="759"/>
      <c r="L4360" s="501"/>
      <c r="M4360" s="760"/>
      <c r="N4360" s="761"/>
      <c r="O4360" s="505"/>
      <c r="P4360" s="501"/>
      <c r="Q4360" s="739"/>
      <c r="R4360" s="1111"/>
      <c r="S4360" s="505"/>
      <c r="T4360" s="506"/>
      <c r="U4360" s="574"/>
      <c r="V4360" s="291">
        <f t="shared" ca="1" si="1134"/>
        <v>2</v>
      </c>
      <c r="W4360" s="256">
        <f t="shared" ca="1" si="1177"/>
        <v>0</v>
      </c>
      <c r="X4360" s="256">
        <f t="shared" ca="1" si="1178"/>
        <v>1</v>
      </c>
      <c r="Y4360" s="250"/>
      <c r="Z4360" s="250"/>
    </row>
    <row r="4361" spans="1:29" s="111" customFormat="1" ht="15" x14ac:dyDescent="0.2">
      <c r="A4361" s="288"/>
      <c r="B4361" s="338"/>
      <c r="C4361" s="339"/>
      <c r="D4361" s="1348"/>
      <c r="E4361" s="1349"/>
      <c r="F4361" s="1350"/>
      <c r="G4361" s="1351"/>
      <c r="H4361" s="1352"/>
      <c r="I4361" s="1353"/>
      <c r="J4361" s="343"/>
      <c r="K4361" s="344"/>
      <c r="L4361" s="345"/>
      <c r="M4361" s="346"/>
      <c r="N4361" s="347"/>
      <c r="O4361" s="348"/>
      <c r="P4361" s="345"/>
      <c r="Q4361" s="349"/>
      <c r="R4361" s="350"/>
      <c r="S4361" s="351"/>
      <c r="T4361" s="352"/>
      <c r="U4361" s="353"/>
      <c r="V4361" s="291">
        <f t="shared" ca="1" si="1134"/>
        <v>2</v>
      </c>
      <c r="W4361" s="256">
        <f t="shared" ca="1" si="1177"/>
        <v>0</v>
      </c>
      <c r="X4361" s="256">
        <f t="shared" ca="1" si="1178"/>
        <v>1</v>
      </c>
      <c r="Y4361" s="250"/>
      <c r="Z4361" s="250"/>
    </row>
    <row r="4362" spans="1:29" s="111" customFormat="1" ht="15.75" x14ac:dyDescent="0.2">
      <c r="A4362" s="288"/>
      <c r="B4362" s="354"/>
      <c r="C4362" s="355"/>
      <c r="D4362" s="1354" t="s">
        <v>492</v>
      </c>
      <c r="E4362" s="1355"/>
      <c r="F4362" s="1355"/>
      <c r="G4362" s="1355"/>
      <c r="H4362" s="1355"/>
      <c r="I4362" s="1356"/>
      <c r="J4362" s="1357">
        <f>VLOOKUP(A4364,'11 - FINANCEIRO'!_xlnm.Print_Area,6,FALSE)</f>
        <v>62</v>
      </c>
      <c r="K4362" s="1358"/>
      <c r="L4362" s="356" t="str">
        <f>VLOOKUP(A4364,'11 - FINANCEIRO'!_xlnm.Print_Area,4,FALSE)</f>
        <v>und</v>
      </c>
      <c r="M4362" s="1359" t="s">
        <v>493</v>
      </c>
      <c r="N4362" s="1360"/>
      <c r="O4362" s="1360"/>
      <c r="P4362" s="1360"/>
      <c r="Q4362" s="1361"/>
      <c r="R4362" s="357">
        <f>TRUNC(SUM(R4316:R4361),3)</f>
        <v>50</v>
      </c>
      <c r="S4362" s="358" t="str">
        <f>L4362</f>
        <v>und</v>
      </c>
      <c r="T4362" s="1384"/>
      <c r="U4362" s="1385"/>
      <c r="V4362" s="291">
        <f t="shared" ca="1" si="1134"/>
        <v>2</v>
      </c>
      <c r="W4362" s="256">
        <f t="shared" ca="1" si="1177"/>
        <v>2</v>
      </c>
      <c r="X4362" s="256">
        <f t="shared" ca="1" si="1178"/>
        <v>1</v>
      </c>
      <c r="Y4362" s="250"/>
      <c r="Z4362" s="250"/>
    </row>
    <row r="4363" spans="1:29" s="111" customFormat="1" ht="15.75" x14ac:dyDescent="0.2">
      <c r="A4363" s="288"/>
      <c r="B4363" s="354"/>
      <c r="C4363" s="361"/>
      <c r="D4363" s="1362" t="s">
        <v>494</v>
      </c>
      <c r="E4363" s="1363"/>
      <c r="F4363" s="1363"/>
      <c r="G4363" s="1363"/>
      <c r="H4363" s="1363"/>
      <c r="I4363" s="1364"/>
      <c r="J4363" s="1365">
        <f>IF(R4362&gt;J4362,1,R4362/J4362)</f>
        <v>0.80645161290322576</v>
      </c>
      <c r="K4363" s="1366"/>
      <c r="L4363" s="1369"/>
      <c r="M4363" s="1371" t="s">
        <v>495</v>
      </c>
      <c r="N4363" s="1372"/>
      <c r="O4363" s="1372"/>
      <c r="P4363" s="1372"/>
      <c r="Q4363" s="1373"/>
      <c r="R4363" s="362">
        <f>VLOOKUP(A4364,'11 - FINANCEIRO'!_xlnm.Print_Area,8,FALSE)</f>
        <v>48</v>
      </c>
      <c r="S4363" s="363" t="str">
        <f>L4362</f>
        <v>und</v>
      </c>
      <c r="T4363" s="1386"/>
      <c r="U4363" s="1387"/>
      <c r="V4363" s="291">
        <f t="shared" ca="1" si="1134"/>
        <v>2</v>
      </c>
      <c r="W4363" s="256">
        <f t="shared" ca="1" si="1177"/>
        <v>2</v>
      </c>
      <c r="X4363" s="256">
        <f t="shared" ca="1" si="1178"/>
        <v>1</v>
      </c>
      <c r="Y4363" s="250"/>
      <c r="Z4363" s="250"/>
    </row>
    <row r="4364" spans="1:29" s="293" customFormat="1" ht="15.75" x14ac:dyDescent="0.2">
      <c r="A4364" s="288" t="s">
        <v>730</v>
      </c>
      <c r="B4364" s="364"/>
      <c r="C4364" s="365"/>
      <c r="D4364" s="1354"/>
      <c r="E4364" s="1355"/>
      <c r="F4364" s="1355"/>
      <c r="G4364" s="1355"/>
      <c r="H4364" s="1355"/>
      <c r="I4364" s="1356"/>
      <c r="J4364" s="1367"/>
      <c r="K4364" s="1368"/>
      <c r="L4364" s="1370"/>
      <c r="M4364" s="1371" t="s">
        <v>496</v>
      </c>
      <c r="N4364" s="1372"/>
      <c r="O4364" s="1372"/>
      <c r="P4364" s="1372"/>
      <c r="Q4364" s="1373"/>
      <c r="R4364" s="362">
        <f>R4362-R4363</f>
        <v>2</v>
      </c>
      <c r="S4364" s="363" t="str">
        <f>L4362</f>
        <v>und</v>
      </c>
      <c r="T4364" s="1388"/>
      <c r="U4364" s="1389"/>
      <c r="V4364" s="291">
        <f t="shared" ca="1" si="1134"/>
        <v>2</v>
      </c>
      <c r="W4364" s="256">
        <f t="shared" ca="1" si="1177"/>
        <v>2</v>
      </c>
      <c r="X4364" s="256">
        <f t="shared" ca="1" si="1178"/>
        <v>1</v>
      </c>
      <c r="Y4364" s="256"/>
      <c r="Z4364" s="256"/>
      <c r="AA4364" s="292"/>
      <c r="AB4364" s="292"/>
      <c r="AC4364" s="292"/>
    </row>
    <row r="4365" spans="1:29" s="111" customFormat="1" ht="15.75" x14ac:dyDescent="0.2">
      <c r="A4365" s="288"/>
      <c r="B4365" s="368"/>
      <c r="C4365" s="365"/>
      <c r="D4365" s="369"/>
      <c r="E4365" s="370"/>
      <c r="F4365" s="369"/>
      <c r="G4365" s="369"/>
      <c r="H4365" s="369"/>
      <c r="I4365" s="369"/>
      <c r="J4365" s="371"/>
      <c r="K4365" s="372"/>
      <c r="L4365" s="373"/>
      <c r="M4365" s="374"/>
      <c r="N4365" s="374"/>
      <c r="O4365" s="374"/>
      <c r="P4365" s="374"/>
      <c r="Q4365" s="374"/>
      <c r="R4365" s="375"/>
      <c r="S4365" s="376"/>
      <c r="T4365" s="377"/>
      <c r="U4365" s="378"/>
      <c r="V4365" s="379">
        <f ca="1">SUM(V4314:V4364)</f>
        <v>102</v>
      </c>
      <c r="W4365" s="256">
        <f t="shared" ref="W4365:W4368" ca="1" si="1181">IF(LEFT(_xlfn.FORMULATEXT(V4365),3)="=SO",1,IF(COUNTA(A4365:U4365)=0,0,2))</f>
        <v>1</v>
      </c>
      <c r="X4365" s="256">
        <f t="shared" ref="X4365:X4368" ca="1" si="1182">IF(COUNTA(OFFSET(A4364,1,0))-COUNTA(A4364)=-1,0,1)</f>
        <v>0</v>
      </c>
      <c r="Y4365" s="250"/>
      <c r="Z4365" s="250"/>
    </row>
    <row r="4366" spans="1:29" s="293" customFormat="1" ht="33" hidden="1" customHeight="1" x14ac:dyDescent="0.2">
      <c r="A4366" s="288"/>
      <c r="B4366" s="1374" t="str">
        <f>VLOOKUP(A4378,'11 - FINANCEIRO'!_xlnm.Print_Area,1,FALSE)</f>
        <v>6.1.9</v>
      </c>
      <c r="C4366" s="1376" t="str">
        <f>VLOOKUP(A4378,'11 - FINANCEIRO'!_xlnm.Print_Area,3,FALSE)</f>
        <v>Rip-rap de areia inclusive escavação, transporte e fornecimento de materiais</v>
      </c>
      <c r="D4366" s="1378" t="s">
        <v>500</v>
      </c>
      <c r="E4366" s="1379"/>
      <c r="F4366" s="1379"/>
      <c r="G4366" s="1379"/>
      <c r="H4366" s="1379"/>
      <c r="I4366" s="1380"/>
      <c r="J4366" s="1338" t="s">
        <v>478</v>
      </c>
      <c r="K4366" s="1338" t="s">
        <v>479</v>
      </c>
      <c r="L4366" s="1338" t="s">
        <v>480</v>
      </c>
      <c r="M4366" s="1338" t="s">
        <v>481</v>
      </c>
      <c r="N4366" s="1338" t="s">
        <v>482</v>
      </c>
      <c r="O4366" s="1338" t="s">
        <v>483</v>
      </c>
      <c r="P4366" s="1338" t="s">
        <v>484</v>
      </c>
      <c r="Q4366" s="1338" t="s">
        <v>296</v>
      </c>
      <c r="R4366" s="1336" t="s">
        <v>296</v>
      </c>
      <c r="S4366" s="1338" t="s">
        <v>486</v>
      </c>
      <c r="T4366" s="1338" t="s">
        <v>487</v>
      </c>
      <c r="U4366" s="1340" t="s">
        <v>488</v>
      </c>
      <c r="V4366" s="291">
        <f t="shared" ca="1" si="1134"/>
        <v>0</v>
      </c>
      <c r="W4366" s="256">
        <f t="shared" ca="1" si="1181"/>
        <v>2</v>
      </c>
      <c r="X4366" s="256">
        <f t="shared" ca="1" si="1182"/>
        <v>1</v>
      </c>
      <c r="Y4366" s="256"/>
      <c r="Z4366" s="256"/>
      <c r="AA4366" s="292"/>
      <c r="AB4366" s="292"/>
      <c r="AC4366" s="292"/>
    </row>
    <row r="4367" spans="1:29" s="293" customFormat="1" ht="33" hidden="1" customHeight="1" x14ac:dyDescent="0.2">
      <c r="A4367" s="288"/>
      <c r="B4367" s="1375"/>
      <c r="C4367" s="1377"/>
      <c r="D4367" s="1342" t="s">
        <v>489</v>
      </c>
      <c r="E4367" s="1343"/>
      <c r="F4367" s="1344"/>
      <c r="G4367" s="1345" t="s">
        <v>490</v>
      </c>
      <c r="H4367" s="1346"/>
      <c r="I4367" s="1347"/>
      <c r="J4367" s="1339"/>
      <c r="K4367" s="1339"/>
      <c r="L4367" s="1339"/>
      <c r="M4367" s="1339"/>
      <c r="N4367" s="1339"/>
      <c r="O4367" s="1339"/>
      <c r="P4367" s="1339" t="s">
        <v>491</v>
      </c>
      <c r="Q4367" s="1339"/>
      <c r="R4367" s="1337"/>
      <c r="S4367" s="1339"/>
      <c r="T4367" s="1339"/>
      <c r="U4367" s="1341"/>
      <c r="V4367" s="291">
        <f t="shared" ca="1" si="1134"/>
        <v>0</v>
      </c>
      <c r="W4367" s="256">
        <f t="shared" ca="1" si="1181"/>
        <v>2</v>
      </c>
      <c r="X4367" s="256">
        <f t="shared" ca="1" si="1182"/>
        <v>1</v>
      </c>
      <c r="Y4367" s="256"/>
      <c r="Z4367" s="256"/>
      <c r="AA4367" s="292"/>
      <c r="AB4367" s="292"/>
      <c r="AC4367" s="292"/>
    </row>
    <row r="4368" spans="1:29" s="293" customFormat="1" ht="15.75" hidden="1" x14ac:dyDescent="0.2">
      <c r="A4368" s="288"/>
      <c r="B4368" s="581"/>
      <c r="C4368" s="582" t="s">
        <v>787</v>
      </c>
      <c r="D4368" s="551">
        <v>5</v>
      </c>
      <c r="E4368" s="552" t="s">
        <v>518</v>
      </c>
      <c r="F4368" s="553">
        <v>7</v>
      </c>
      <c r="G4368" s="496">
        <v>31</v>
      </c>
      <c r="H4368" s="497" t="s">
        <v>518</v>
      </c>
      <c r="I4368" s="498">
        <v>10</v>
      </c>
      <c r="J4368" s="589"/>
      <c r="K4368" s="747">
        <f>ABS((G4368*20+I4368)-(D4368*20+F4368))</f>
        <v>523</v>
      </c>
      <c r="L4368" s="747">
        <v>12</v>
      </c>
      <c r="M4368" s="747">
        <v>1.2</v>
      </c>
      <c r="N4368" s="589">
        <f>14*1.6</f>
        <v>22.400000000000002</v>
      </c>
      <c r="O4368" s="589">
        <f>M4368*N4368</f>
        <v>26.880000000000003</v>
      </c>
      <c r="P4368" s="749"/>
      <c r="Q4368" s="589">
        <v>9</v>
      </c>
      <c r="R4368" s="592">
        <f>Q4368*O4368</f>
        <v>241.92000000000002</v>
      </c>
      <c r="S4368" s="807" t="str">
        <f>S4376</f>
        <v>M³</v>
      </c>
      <c r="T4368" s="593">
        <v>19</v>
      </c>
      <c r="U4368" s="808"/>
      <c r="V4368" s="291">
        <f t="shared" ca="1" si="1134"/>
        <v>0</v>
      </c>
      <c r="W4368" s="256">
        <f t="shared" ca="1" si="1181"/>
        <v>2</v>
      </c>
      <c r="X4368" s="256">
        <f t="shared" ca="1" si="1182"/>
        <v>1</v>
      </c>
      <c r="Y4368" s="256"/>
      <c r="Z4368" s="256"/>
      <c r="AA4368" s="292"/>
      <c r="AB4368" s="292"/>
      <c r="AC4368" s="292"/>
    </row>
    <row r="4369" spans="1:29" s="111" customFormat="1" ht="47.25" hidden="1" x14ac:dyDescent="0.2">
      <c r="A4369" s="399"/>
      <c r="B4369" s="311"/>
      <c r="C4369" s="312" t="s">
        <v>787</v>
      </c>
      <c r="D4369" s="417">
        <v>95</v>
      </c>
      <c r="E4369" s="314" t="s">
        <v>518</v>
      </c>
      <c r="F4369" s="418">
        <v>0</v>
      </c>
      <c r="G4369" s="419">
        <v>95</v>
      </c>
      <c r="H4369" s="316" t="s">
        <v>518</v>
      </c>
      <c r="I4369" s="420">
        <v>0.8</v>
      </c>
      <c r="J4369" s="317"/>
      <c r="K4369" s="433">
        <f>ABS((G4369*20+I4369)-(D4369*20+F4369))</f>
        <v>0.79999999999995453</v>
      </c>
      <c r="L4369" s="433">
        <v>6</v>
      </c>
      <c r="M4369" s="433">
        <v>0.8</v>
      </c>
      <c r="N4369" s="317">
        <f>L4369*M4369</f>
        <v>4.8000000000000007</v>
      </c>
      <c r="O4369" s="317">
        <f>M4369*N4369</f>
        <v>3.8400000000000007</v>
      </c>
      <c r="P4369" s="318"/>
      <c r="Q4369" s="317">
        <v>1</v>
      </c>
      <c r="R4369" s="319">
        <f>Q4369*O4369</f>
        <v>3.8400000000000007</v>
      </c>
      <c r="S4369" s="398" t="str">
        <f>S4377</f>
        <v>M³</v>
      </c>
      <c r="T4369" s="320">
        <v>20</v>
      </c>
      <c r="U4369" s="321" t="s">
        <v>927</v>
      </c>
      <c r="V4369" s="815">
        <f t="shared" ca="1" si="1134"/>
        <v>0</v>
      </c>
      <c r="W4369" s="250">
        <f ca="1">IF(LEFT(_xlfn.FORMULATEXT(V4369),3)="=SO",1,IF(COUNTA(A4369:U4369)=0,0,2))</f>
        <v>2</v>
      </c>
      <c r="X4369" s="250">
        <f ca="1">IF(COUNTA(OFFSET(A4368,1,0))-COUNTA(A4368)=-1,0,1)</f>
        <v>1</v>
      </c>
      <c r="Y4369" s="250"/>
      <c r="Z4369" s="250"/>
    </row>
    <row r="4370" spans="1:29" s="111" customFormat="1" ht="15.75" hidden="1" x14ac:dyDescent="0.2">
      <c r="A4370" s="399"/>
      <c r="B4370" s="311"/>
      <c r="C4370" s="312" t="s">
        <v>787</v>
      </c>
      <c r="D4370" s="417">
        <v>95</v>
      </c>
      <c r="E4370" s="314" t="s">
        <v>518</v>
      </c>
      <c r="F4370" s="418">
        <v>10</v>
      </c>
      <c r="G4370" s="419">
        <v>95</v>
      </c>
      <c r="H4370" s="316" t="s">
        <v>518</v>
      </c>
      <c r="I4370" s="420">
        <v>10</v>
      </c>
      <c r="J4370" s="317"/>
      <c r="K4370" s="433">
        <f>ABS((G4370*20+I4370)-(D4370*20+F4370))</f>
        <v>0</v>
      </c>
      <c r="L4370" s="433">
        <v>12</v>
      </c>
      <c r="M4370" s="433">
        <v>0.8</v>
      </c>
      <c r="N4370" s="317">
        <f>L4370*M4370</f>
        <v>9.6000000000000014</v>
      </c>
      <c r="O4370" s="317">
        <f>M4370*N4370</f>
        <v>7.6800000000000015</v>
      </c>
      <c r="P4370" s="318"/>
      <c r="Q4370" s="317">
        <v>1</v>
      </c>
      <c r="R4370" s="319">
        <f>Q4370*O4370</f>
        <v>7.6800000000000015</v>
      </c>
      <c r="S4370" s="398" t="str">
        <f>S4378</f>
        <v>M³</v>
      </c>
      <c r="T4370" s="320">
        <v>21</v>
      </c>
      <c r="U4370" s="321"/>
      <c r="V4370" s="815">
        <f t="shared" ca="1" si="1134"/>
        <v>0</v>
      </c>
      <c r="W4370" s="250">
        <f ca="1">IF(LEFT(_xlfn.FORMULATEXT(V4370),3)="=SO",1,IF(COUNTA(A4370:U4370)=0,0,2))</f>
        <v>2</v>
      </c>
      <c r="X4370" s="250">
        <f ca="1">IF(COUNTA(OFFSET(A4369,1,0))-COUNTA(A4369)=-1,0,1)</f>
        <v>1</v>
      </c>
      <c r="Y4370" s="250"/>
      <c r="Z4370" s="250"/>
    </row>
    <row r="4371" spans="1:29" s="111" customFormat="1" ht="15.75" hidden="1" x14ac:dyDescent="0.2">
      <c r="A4371" s="399"/>
      <c r="B4371" s="562"/>
      <c r="C4371" s="312" t="s">
        <v>1218</v>
      </c>
      <c r="D4371" s="738">
        <v>6</v>
      </c>
      <c r="E4371" s="552" t="s">
        <v>518</v>
      </c>
      <c r="F4371" s="752">
        <v>12</v>
      </c>
      <c r="G4371" s="738">
        <v>6</v>
      </c>
      <c r="H4371" s="552" t="s">
        <v>518</v>
      </c>
      <c r="I4371" s="752">
        <v>15</v>
      </c>
      <c r="J4371" s="560"/>
      <c r="K4371" s="433">
        <f>ABS((G4371*20+I4371)-(D4371*20+F4371))</f>
        <v>3</v>
      </c>
      <c r="L4371" s="433">
        <v>8</v>
      </c>
      <c r="M4371" s="433">
        <v>1.9</v>
      </c>
      <c r="N4371" s="317">
        <f>L4371*M4371</f>
        <v>15.2</v>
      </c>
      <c r="O4371" s="317">
        <f>M4371*N4371</f>
        <v>28.88</v>
      </c>
      <c r="P4371" s="318"/>
      <c r="Q4371" s="317">
        <v>1</v>
      </c>
      <c r="R4371" s="319">
        <f>Q4371*O4371</f>
        <v>28.88</v>
      </c>
      <c r="S4371" s="398" t="s">
        <v>308</v>
      </c>
      <c r="T4371" s="320">
        <v>37</v>
      </c>
      <c r="U4371" s="568"/>
      <c r="V4371" s="815">
        <f t="shared" ca="1" si="1134"/>
        <v>0</v>
      </c>
      <c r="W4371" s="250">
        <f t="shared" ref="W4371:W4376" ca="1" si="1183">IF(LEFT(_xlfn.FORMULATEXT(V4371),3)="=SO",1,IF(COUNTA(A4371:U4371)=0,0,2))</f>
        <v>2</v>
      </c>
      <c r="X4371" s="250">
        <f t="shared" ref="X4371:X4376" ca="1" si="1184">IF(COUNTA(OFFSET(A4370,1,0))-COUNTA(A4370)=-1,0,1)</f>
        <v>1</v>
      </c>
      <c r="Y4371" s="250"/>
      <c r="Z4371" s="250"/>
    </row>
    <row r="4372" spans="1:29" s="111" customFormat="1" ht="15.75" hidden="1" x14ac:dyDescent="0.2">
      <c r="A4372" s="399"/>
      <c r="B4372" s="562"/>
      <c r="C4372" s="755"/>
      <c r="D4372" s="551"/>
      <c r="E4372" s="552"/>
      <c r="F4372" s="553"/>
      <c r="G4372" s="496"/>
      <c r="H4372" s="497"/>
      <c r="I4372" s="498"/>
      <c r="J4372" s="560"/>
      <c r="K4372" s="500"/>
      <c r="L4372" s="508"/>
      <c r="M4372" s="553"/>
      <c r="N4372" s="552"/>
      <c r="O4372" s="738"/>
      <c r="P4372" s="565"/>
      <c r="Q4372" s="752"/>
      <c r="R4372" s="558"/>
      <c r="S4372" s="771"/>
      <c r="T4372" s="506"/>
      <c r="U4372" s="568"/>
      <c r="V4372" s="815">
        <f t="shared" ref="V4372:V4376" ca="1" si="1185">IF(OFFSET(V4372,1,1)=1,OFFSET(V4372,0,-4),OFFSET(V4372,1,0))</f>
        <v>0</v>
      </c>
      <c r="W4372" s="250">
        <f t="shared" ca="1" si="1183"/>
        <v>0</v>
      </c>
      <c r="X4372" s="250">
        <f t="shared" ca="1" si="1184"/>
        <v>1</v>
      </c>
      <c r="Y4372" s="250"/>
      <c r="Z4372" s="250"/>
    </row>
    <row r="4373" spans="1:29" s="111" customFormat="1" ht="15.75" hidden="1" x14ac:dyDescent="0.2">
      <c r="A4373" s="399"/>
      <c r="B4373" s="562"/>
      <c r="C4373" s="755"/>
      <c r="D4373" s="551"/>
      <c r="E4373" s="552"/>
      <c r="F4373" s="553"/>
      <c r="G4373" s="496"/>
      <c r="H4373" s="497"/>
      <c r="I4373" s="498"/>
      <c r="J4373" s="560"/>
      <c r="K4373" s="500"/>
      <c r="L4373" s="508"/>
      <c r="M4373" s="553"/>
      <c r="N4373" s="552"/>
      <c r="O4373" s="738"/>
      <c r="P4373" s="565"/>
      <c r="Q4373" s="752"/>
      <c r="R4373" s="558"/>
      <c r="S4373" s="771"/>
      <c r="T4373" s="506"/>
      <c r="U4373" s="568"/>
      <c r="V4373" s="815">
        <f t="shared" ca="1" si="1185"/>
        <v>0</v>
      </c>
      <c r="W4373" s="250">
        <f t="shared" ca="1" si="1183"/>
        <v>0</v>
      </c>
      <c r="X4373" s="250">
        <f t="shared" ca="1" si="1184"/>
        <v>1</v>
      </c>
      <c r="Y4373" s="250"/>
      <c r="Z4373" s="250"/>
    </row>
    <row r="4374" spans="1:29" s="337" customFormat="1" ht="15" hidden="1" x14ac:dyDescent="0.2">
      <c r="A4374" s="288"/>
      <c r="B4374" s="494"/>
      <c r="C4374" s="755"/>
      <c r="D4374" s="756"/>
      <c r="E4374" s="757"/>
      <c r="F4374" s="758"/>
      <c r="G4374" s="756"/>
      <c r="H4374" s="757"/>
      <c r="I4374" s="758"/>
      <c r="J4374" s="560"/>
      <c r="K4374" s="759"/>
      <c r="L4374" s="501"/>
      <c r="M4374" s="760"/>
      <c r="N4374" s="761"/>
      <c r="O4374" s="505"/>
      <c r="P4374" s="501"/>
      <c r="Q4374" s="739"/>
      <c r="R4374" s="504"/>
      <c r="S4374" s="505"/>
      <c r="T4374" s="506"/>
      <c r="U4374" s="574"/>
      <c r="V4374" s="815">
        <f t="shared" ca="1" si="1185"/>
        <v>0</v>
      </c>
      <c r="W4374" s="250">
        <f t="shared" ca="1" si="1183"/>
        <v>0</v>
      </c>
      <c r="X4374" s="250">
        <f t="shared" ca="1" si="1184"/>
        <v>1</v>
      </c>
      <c r="Y4374" s="336"/>
      <c r="Z4374" s="336"/>
    </row>
    <row r="4375" spans="1:29" s="111" customFormat="1" ht="15" hidden="1" x14ac:dyDescent="0.2">
      <c r="A4375" s="288"/>
      <c r="B4375" s="338"/>
      <c r="C4375" s="339"/>
      <c r="D4375" s="1348"/>
      <c r="E4375" s="1349"/>
      <c r="F4375" s="1350"/>
      <c r="G4375" s="1351"/>
      <c r="H4375" s="1352"/>
      <c r="I4375" s="1353"/>
      <c r="J4375" s="343"/>
      <c r="K4375" s="344"/>
      <c r="L4375" s="345"/>
      <c r="M4375" s="346"/>
      <c r="N4375" s="347"/>
      <c r="O4375" s="348"/>
      <c r="P4375" s="345"/>
      <c r="Q4375" s="349"/>
      <c r="R4375" s="350"/>
      <c r="S4375" s="351"/>
      <c r="T4375" s="352"/>
      <c r="U4375" s="353"/>
      <c r="V4375" s="815">
        <f t="shared" ca="1" si="1185"/>
        <v>0</v>
      </c>
      <c r="W4375" s="250">
        <f t="shared" ca="1" si="1183"/>
        <v>0</v>
      </c>
      <c r="X4375" s="250">
        <f t="shared" ca="1" si="1184"/>
        <v>1</v>
      </c>
      <c r="Y4375" s="250"/>
      <c r="Z4375" s="250"/>
    </row>
    <row r="4376" spans="1:29" s="111" customFormat="1" ht="15.75" hidden="1" x14ac:dyDescent="0.2">
      <c r="A4376" s="288"/>
      <c r="B4376" s="354"/>
      <c r="C4376" s="355"/>
      <c r="D4376" s="1354" t="s">
        <v>492</v>
      </c>
      <c r="E4376" s="1355"/>
      <c r="F4376" s="1355"/>
      <c r="G4376" s="1355"/>
      <c r="H4376" s="1355"/>
      <c r="I4376" s="1356"/>
      <c r="J4376" s="1357">
        <f>VLOOKUP(A4378,'11 - FINANCEIRO'!_xlnm.Print_Area,6,FALSE)</f>
        <v>503.99999999999994</v>
      </c>
      <c r="K4376" s="1358"/>
      <c r="L4376" s="356" t="str">
        <f>VLOOKUP(A4378,'11 - FINANCEIRO'!_xlnm.Print_Area,4,FALSE)</f>
        <v>M³</v>
      </c>
      <c r="M4376" s="1359" t="s">
        <v>493</v>
      </c>
      <c r="N4376" s="1360"/>
      <c r="O4376" s="1360"/>
      <c r="P4376" s="1360"/>
      <c r="Q4376" s="1361"/>
      <c r="R4376" s="357">
        <f>TRUNC(SUM(R4368:R4375),3)</f>
        <v>282.32</v>
      </c>
      <c r="S4376" s="358" t="str">
        <f>L4376</f>
        <v>M³</v>
      </c>
      <c r="T4376" s="359"/>
      <c r="U4376" s="360"/>
      <c r="V4376" s="815">
        <f t="shared" ca="1" si="1185"/>
        <v>0</v>
      </c>
      <c r="W4376" s="250">
        <f t="shared" ca="1" si="1183"/>
        <v>2</v>
      </c>
      <c r="X4376" s="250">
        <f t="shared" ca="1" si="1184"/>
        <v>1</v>
      </c>
      <c r="Y4376" s="250"/>
      <c r="Z4376" s="250"/>
    </row>
    <row r="4377" spans="1:29" s="111" customFormat="1" ht="15.75" hidden="1" x14ac:dyDescent="0.2">
      <c r="A4377" s="288"/>
      <c r="B4377" s="354"/>
      <c r="C4377" s="361"/>
      <c r="D4377" s="1362" t="s">
        <v>494</v>
      </c>
      <c r="E4377" s="1363"/>
      <c r="F4377" s="1363"/>
      <c r="G4377" s="1363"/>
      <c r="H4377" s="1363"/>
      <c r="I4377" s="1364"/>
      <c r="J4377" s="1365">
        <f>R4376/J4376</f>
        <v>0.56015873015873019</v>
      </c>
      <c r="K4377" s="1366"/>
      <c r="L4377" s="1369"/>
      <c r="M4377" s="1371" t="s">
        <v>495</v>
      </c>
      <c r="N4377" s="1372"/>
      <c r="O4377" s="1372"/>
      <c r="P4377" s="1372"/>
      <c r="Q4377" s="1373"/>
      <c r="R4377" s="362">
        <f>VLOOKUP(A4378,'11 - FINANCEIRO'!_xlnm.Print_Area,8,FALSE)</f>
        <v>282.32</v>
      </c>
      <c r="S4377" s="363" t="str">
        <f>L4376</f>
        <v>M³</v>
      </c>
      <c r="T4377" s="359"/>
      <c r="U4377" s="360"/>
      <c r="V4377" s="291">
        <f ca="1">IF(OFFSET(V4377,1,1)=1,OFFSET(V4377,0,-4),OFFSET(V4377,1,0))</f>
        <v>0</v>
      </c>
      <c r="W4377" s="256">
        <f t="shared" ref="W4377:W4385" ca="1" si="1186">IF(LEFT(_xlfn.FORMULATEXT(V4377),3)="=SO",1,IF(COUNTA(A4377:U4377)=0,0,2))</f>
        <v>2</v>
      </c>
      <c r="X4377" s="256">
        <f t="shared" ref="X4377:X4381" ca="1" si="1187">IF(COUNTA(OFFSET(A4376,1,0))-COUNTA(A4376)=-1,0,1)</f>
        <v>1</v>
      </c>
      <c r="Y4377" s="250"/>
      <c r="Z4377" s="250"/>
    </row>
    <row r="4378" spans="1:29" s="293" customFormat="1" ht="15.75" hidden="1" x14ac:dyDescent="0.2">
      <c r="A4378" s="288" t="s">
        <v>731</v>
      </c>
      <c r="B4378" s="364"/>
      <c r="C4378" s="365"/>
      <c r="D4378" s="1354"/>
      <c r="E4378" s="1355"/>
      <c r="F4378" s="1355"/>
      <c r="G4378" s="1355"/>
      <c r="H4378" s="1355"/>
      <c r="I4378" s="1356"/>
      <c r="J4378" s="1367"/>
      <c r="K4378" s="1368"/>
      <c r="L4378" s="1370"/>
      <c r="M4378" s="1371" t="s">
        <v>496</v>
      </c>
      <c r="N4378" s="1372"/>
      <c r="O4378" s="1372"/>
      <c r="P4378" s="1372"/>
      <c r="Q4378" s="1373"/>
      <c r="R4378" s="362">
        <f>R4376-R4377</f>
        <v>0</v>
      </c>
      <c r="S4378" s="363" t="str">
        <f>L4376</f>
        <v>M³</v>
      </c>
      <c r="T4378" s="366"/>
      <c r="U4378" s="367"/>
      <c r="V4378" s="291">
        <f ca="1">IF(OFFSET(V4378,1,1)=1,OFFSET(V4378,0,-4),OFFSET(V4378,1,0))</f>
        <v>0</v>
      </c>
      <c r="W4378" s="256">
        <f t="shared" ca="1" si="1186"/>
        <v>2</v>
      </c>
      <c r="X4378" s="256">
        <f t="shared" ca="1" si="1187"/>
        <v>1</v>
      </c>
      <c r="Y4378" s="256"/>
      <c r="Z4378" s="256"/>
      <c r="AA4378" s="292"/>
      <c r="AB4378" s="292"/>
      <c r="AC4378" s="292"/>
    </row>
    <row r="4379" spans="1:29" s="111" customFormat="1" ht="15.75" hidden="1" x14ac:dyDescent="0.2">
      <c r="A4379" s="288"/>
      <c r="B4379" s="368"/>
      <c r="C4379" s="365"/>
      <c r="D4379" s="369"/>
      <c r="E4379" s="370"/>
      <c r="F4379" s="369"/>
      <c r="G4379" s="369"/>
      <c r="H4379" s="369"/>
      <c r="I4379" s="369"/>
      <c r="J4379" s="371"/>
      <c r="K4379" s="372"/>
      <c r="L4379" s="373"/>
      <c r="M4379" s="374"/>
      <c r="N4379" s="374"/>
      <c r="O4379" s="374"/>
      <c r="P4379" s="374"/>
      <c r="Q4379" s="374"/>
      <c r="R4379" s="375"/>
      <c r="S4379" s="376"/>
      <c r="T4379" s="377"/>
      <c r="U4379" s="378"/>
      <c r="V4379" s="379">
        <f ca="1">SUM(V4366:V4378)</f>
        <v>0</v>
      </c>
      <c r="W4379" s="256">
        <f t="shared" ca="1" si="1186"/>
        <v>1</v>
      </c>
      <c r="X4379" s="256">
        <f t="shared" ca="1" si="1187"/>
        <v>0</v>
      </c>
      <c r="Y4379" s="250"/>
      <c r="Z4379" s="250"/>
    </row>
    <row r="4380" spans="1:29" s="293" customFormat="1" ht="33" customHeight="1" x14ac:dyDescent="0.2">
      <c r="A4380" s="288"/>
      <c r="B4380" s="1374" t="str">
        <f>VLOOKUP(A4424,'11 - FINANCEIRO'!_xlnm.Print_Area,1,FALSE)</f>
        <v>6.1.10</v>
      </c>
      <c r="C4380" s="1376" t="str">
        <f>VLOOKUP(A4424,'11 - FINANCEIRO'!_xlnm.Print_Area,3,FALSE)</f>
        <v>Vigia noturno com encargos complementares</v>
      </c>
      <c r="D4380" s="1378" t="s">
        <v>500</v>
      </c>
      <c r="E4380" s="1379"/>
      <c r="F4380" s="1379"/>
      <c r="G4380" s="1379"/>
      <c r="H4380" s="1379"/>
      <c r="I4380" s="1380"/>
      <c r="J4380" s="1338" t="s">
        <v>478</v>
      </c>
      <c r="K4380" s="1338" t="s">
        <v>479</v>
      </c>
      <c r="L4380" s="1338" t="s">
        <v>480</v>
      </c>
      <c r="M4380" s="1338" t="s">
        <v>481</v>
      </c>
      <c r="N4380" s="1338" t="s">
        <v>482</v>
      </c>
      <c r="O4380" s="1338" t="s">
        <v>483</v>
      </c>
      <c r="P4380" s="1338" t="s">
        <v>484</v>
      </c>
      <c r="Q4380" s="1338" t="s">
        <v>296</v>
      </c>
      <c r="R4380" s="1336" t="s">
        <v>296</v>
      </c>
      <c r="S4380" s="1338" t="s">
        <v>486</v>
      </c>
      <c r="T4380" s="1338" t="s">
        <v>487</v>
      </c>
      <c r="U4380" s="1340" t="s">
        <v>488</v>
      </c>
      <c r="V4380" s="291">
        <f t="shared" ref="V4380:V4496" ca="1" si="1188">IF(OFFSET(V4380,1,1)=1,OFFSET(V4380,0,-4),OFFSET(V4380,1,0))</f>
        <v>440</v>
      </c>
      <c r="W4380" s="256">
        <f t="shared" ca="1" si="1186"/>
        <v>2</v>
      </c>
      <c r="X4380" s="256">
        <f t="shared" ca="1" si="1187"/>
        <v>1</v>
      </c>
      <c r="Y4380" s="256"/>
      <c r="Z4380" s="256"/>
      <c r="AA4380" s="292"/>
      <c r="AB4380" s="292"/>
      <c r="AC4380" s="292"/>
    </row>
    <row r="4381" spans="1:29" s="293" customFormat="1" ht="33" customHeight="1" x14ac:dyDescent="0.2">
      <c r="A4381" s="288"/>
      <c r="B4381" s="1375"/>
      <c r="C4381" s="1377"/>
      <c r="D4381" s="1342" t="s">
        <v>489</v>
      </c>
      <c r="E4381" s="1343"/>
      <c r="F4381" s="1344"/>
      <c r="G4381" s="1345" t="s">
        <v>490</v>
      </c>
      <c r="H4381" s="1346"/>
      <c r="I4381" s="1347"/>
      <c r="J4381" s="1339"/>
      <c r="K4381" s="1339"/>
      <c r="L4381" s="1339"/>
      <c r="M4381" s="1339"/>
      <c r="N4381" s="1339"/>
      <c r="O4381" s="1339"/>
      <c r="P4381" s="1339" t="s">
        <v>491</v>
      </c>
      <c r="Q4381" s="1339"/>
      <c r="R4381" s="1337"/>
      <c r="S4381" s="1339"/>
      <c r="T4381" s="1339"/>
      <c r="U4381" s="1341"/>
      <c r="V4381" s="291">
        <f t="shared" ca="1" si="1188"/>
        <v>440</v>
      </c>
      <c r="W4381" s="256">
        <f t="shared" ca="1" si="1186"/>
        <v>2</v>
      </c>
      <c r="X4381" s="256">
        <f t="shared" ca="1" si="1187"/>
        <v>1</v>
      </c>
      <c r="Y4381" s="256"/>
      <c r="Z4381" s="256"/>
      <c r="AA4381" s="292"/>
      <c r="AB4381" s="292"/>
      <c r="AC4381" s="292"/>
    </row>
    <row r="4382" spans="1:29" s="292" customFormat="1" ht="15" x14ac:dyDescent="0.2">
      <c r="A4382" s="399"/>
      <c r="B4382" s="322"/>
      <c r="C4382" s="397" t="s">
        <v>803</v>
      </c>
      <c r="D4382" s="1333">
        <v>45231</v>
      </c>
      <c r="E4382" s="1334"/>
      <c r="F4382" s="1335"/>
      <c r="G4382" s="1333">
        <v>45260</v>
      </c>
      <c r="H4382" s="1334"/>
      <c r="I4382" s="1335"/>
      <c r="J4382" s="317">
        <f t="shared" ref="J4382:J4390" si="1189">G4382-D4382+1</f>
        <v>30</v>
      </c>
      <c r="K4382" s="328"/>
      <c r="L4382" s="328"/>
      <c r="M4382" s="328"/>
      <c r="N4382" s="328"/>
      <c r="O4382" s="334"/>
      <c r="P4382" s="328"/>
      <c r="Q4382" s="315"/>
      <c r="R4382" s="319">
        <v>220</v>
      </c>
      <c r="S4382" s="331" t="s">
        <v>703</v>
      </c>
      <c r="T4382" s="320">
        <v>19</v>
      </c>
      <c r="U4382" s="335"/>
      <c r="V4382" s="291">
        <f t="shared" ca="1" si="1188"/>
        <v>440</v>
      </c>
      <c r="W4382" s="256">
        <f t="shared" ca="1" si="1186"/>
        <v>2</v>
      </c>
      <c r="X4382" s="256">
        <f ca="1">IF(COUNTA(OFFSET(#REF!,1,0))-COUNTA(#REF!)=-1,0,1)</f>
        <v>1</v>
      </c>
      <c r="Y4382" s="256"/>
      <c r="Z4382" s="256"/>
    </row>
    <row r="4383" spans="1:29" s="292" customFormat="1" ht="15" x14ac:dyDescent="0.2">
      <c r="A4383" s="399"/>
      <c r="B4383" s="322"/>
      <c r="C4383" s="397" t="s">
        <v>804</v>
      </c>
      <c r="D4383" s="1333">
        <v>45261</v>
      </c>
      <c r="E4383" s="1334"/>
      <c r="F4383" s="1335"/>
      <c r="G4383" s="1333">
        <v>45291</v>
      </c>
      <c r="H4383" s="1334"/>
      <c r="I4383" s="1335"/>
      <c r="J4383" s="317">
        <f t="shared" si="1189"/>
        <v>31</v>
      </c>
      <c r="K4383" s="328"/>
      <c r="L4383" s="328"/>
      <c r="M4383" s="328"/>
      <c r="N4383" s="328"/>
      <c r="O4383" s="334"/>
      <c r="P4383" s="328"/>
      <c r="Q4383" s="315"/>
      <c r="R4383" s="319">
        <v>220</v>
      </c>
      <c r="S4383" s="331" t="s">
        <v>703</v>
      </c>
      <c r="T4383" s="320">
        <v>19</v>
      </c>
      <c r="U4383" s="335"/>
      <c r="V4383" s="291">
        <f t="shared" ca="1" si="1188"/>
        <v>440</v>
      </c>
      <c r="W4383" s="256">
        <f t="shared" ca="1" si="1186"/>
        <v>2</v>
      </c>
      <c r="X4383" s="256">
        <f ca="1">IF(COUNTA(OFFSET(A4382,1,0))-COUNTA(A4382)=-1,0,1)</f>
        <v>1</v>
      </c>
      <c r="Y4383" s="256"/>
      <c r="Z4383" s="256"/>
    </row>
    <row r="4384" spans="1:29" s="337" customFormat="1" ht="15" x14ac:dyDescent="0.2">
      <c r="A4384" s="288"/>
      <c r="B4384" s="322"/>
      <c r="C4384" s="397" t="s">
        <v>805</v>
      </c>
      <c r="D4384" s="1333">
        <v>45292</v>
      </c>
      <c r="E4384" s="1334"/>
      <c r="F4384" s="1335"/>
      <c r="G4384" s="1333">
        <v>45322</v>
      </c>
      <c r="H4384" s="1334"/>
      <c r="I4384" s="1335"/>
      <c r="J4384" s="317">
        <f t="shared" si="1189"/>
        <v>31</v>
      </c>
      <c r="K4384" s="327"/>
      <c r="L4384" s="328"/>
      <c r="M4384" s="329"/>
      <c r="N4384" s="330"/>
      <c r="O4384" s="331"/>
      <c r="P4384" s="328"/>
      <c r="Q4384" s="315"/>
      <c r="R4384" s="319">
        <v>220</v>
      </c>
      <c r="S4384" s="331" t="s">
        <v>703</v>
      </c>
      <c r="T4384" s="320">
        <v>19</v>
      </c>
      <c r="U4384" s="335"/>
      <c r="V4384" s="291">
        <f t="shared" ca="1" si="1188"/>
        <v>440</v>
      </c>
      <c r="W4384" s="256">
        <f t="shared" ca="1" si="1186"/>
        <v>2</v>
      </c>
      <c r="X4384" s="256">
        <f ca="1">IF(COUNTA(OFFSET(#REF!,1,0))-COUNTA(#REF!)=-1,0,1)</f>
        <v>1</v>
      </c>
      <c r="Y4384" s="336"/>
      <c r="Z4384" s="336"/>
    </row>
    <row r="4385" spans="1:26" s="337" customFormat="1" ht="15" x14ac:dyDescent="0.2">
      <c r="A4385" s="288"/>
      <c r="B4385" s="322"/>
      <c r="C4385" s="397" t="s">
        <v>806</v>
      </c>
      <c r="D4385" s="1333">
        <v>45323</v>
      </c>
      <c r="E4385" s="1334"/>
      <c r="F4385" s="1335"/>
      <c r="G4385" s="1333">
        <v>45351</v>
      </c>
      <c r="H4385" s="1334"/>
      <c r="I4385" s="1335"/>
      <c r="J4385" s="317">
        <f t="shared" si="1189"/>
        <v>29</v>
      </c>
      <c r="K4385" s="327"/>
      <c r="L4385" s="328"/>
      <c r="M4385" s="329"/>
      <c r="N4385" s="330"/>
      <c r="O4385" s="331"/>
      <c r="P4385" s="328"/>
      <c r="Q4385" s="315"/>
      <c r="R4385" s="319">
        <v>220</v>
      </c>
      <c r="S4385" s="331" t="s">
        <v>703</v>
      </c>
      <c r="T4385" s="320">
        <v>19</v>
      </c>
      <c r="U4385" s="335"/>
      <c r="V4385" s="291">
        <f t="shared" ca="1" si="1188"/>
        <v>440</v>
      </c>
      <c r="W4385" s="256">
        <f t="shared" ca="1" si="1186"/>
        <v>2</v>
      </c>
      <c r="X4385" s="256">
        <f t="shared" ref="X4385:X4390" ca="1" si="1190">IF(COUNTA(OFFSET(A4384,1,0))-COUNTA(A4384)=-1,0,1)</f>
        <v>1</v>
      </c>
      <c r="Y4385" s="336"/>
      <c r="Z4385" s="336"/>
    </row>
    <row r="4386" spans="1:26" s="337" customFormat="1" ht="15" x14ac:dyDescent="0.2">
      <c r="A4386" s="288"/>
      <c r="B4386" s="322"/>
      <c r="C4386" s="397" t="s">
        <v>894</v>
      </c>
      <c r="D4386" s="1333">
        <v>45352</v>
      </c>
      <c r="E4386" s="1334"/>
      <c r="F4386" s="1335"/>
      <c r="G4386" s="1333">
        <v>45382</v>
      </c>
      <c r="H4386" s="1334"/>
      <c r="I4386" s="1335"/>
      <c r="J4386" s="317">
        <f t="shared" si="1189"/>
        <v>31</v>
      </c>
      <c r="K4386" s="327"/>
      <c r="L4386" s="328"/>
      <c r="M4386" s="329"/>
      <c r="N4386" s="330"/>
      <c r="O4386" s="331"/>
      <c r="P4386" s="328"/>
      <c r="Q4386" s="315"/>
      <c r="R4386" s="319">
        <v>220</v>
      </c>
      <c r="S4386" s="331" t="s">
        <v>703</v>
      </c>
      <c r="T4386" s="320">
        <v>20</v>
      </c>
      <c r="U4386" s="335"/>
      <c r="V4386" s="291">
        <f t="shared" ca="1" si="1188"/>
        <v>440</v>
      </c>
      <c r="W4386" s="256">
        <f t="shared" ref="W4386:W4391" ca="1" si="1191">IF(LEFT(_xlfn.FORMULATEXT(V4386),3)="=SO",1,IF(COUNTA(A4386:U4386)=0,0,2))</f>
        <v>2</v>
      </c>
      <c r="X4386" s="256">
        <f t="shared" ca="1" si="1190"/>
        <v>1</v>
      </c>
      <c r="Y4386" s="336"/>
      <c r="Z4386" s="336"/>
    </row>
    <row r="4387" spans="1:26" s="337" customFormat="1" ht="15" x14ac:dyDescent="0.2">
      <c r="A4387" s="288"/>
      <c r="B4387" s="322"/>
      <c r="C4387" s="397" t="s">
        <v>930</v>
      </c>
      <c r="D4387" s="1333">
        <v>45383</v>
      </c>
      <c r="E4387" s="1334"/>
      <c r="F4387" s="1335"/>
      <c r="G4387" s="1333">
        <v>45412</v>
      </c>
      <c r="H4387" s="1334"/>
      <c r="I4387" s="1335"/>
      <c r="J4387" s="317">
        <f t="shared" si="1189"/>
        <v>30</v>
      </c>
      <c r="K4387" s="327"/>
      <c r="L4387" s="328"/>
      <c r="M4387" s="329"/>
      <c r="N4387" s="330"/>
      <c r="O4387" s="331"/>
      <c r="P4387" s="328"/>
      <c r="Q4387" s="315"/>
      <c r="R4387" s="319">
        <v>220</v>
      </c>
      <c r="S4387" s="331" t="s">
        <v>703</v>
      </c>
      <c r="T4387" s="320">
        <v>21</v>
      </c>
      <c r="U4387" s="335"/>
      <c r="V4387" s="291">
        <f t="shared" ca="1" si="1188"/>
        <v>440</v>
      </c>
      <c r="W4387" s="256">
        <f t="shared" ca="1" si="1191"/>
        <v>2</v>
      </c>
      <c r="X4387" s="256">
        <f t="shared" ca="1" si="1190"/>
        <v>1</v>
      </c>
      <c r="Y4387" s="336"/>
      <c r="Z4387" s="336"/>
    </row>
    <row r="4388" spans="1:26" s="337" customFormat="1" ht="15" x14ac:dyDescent="0.2">
      <c r="A4388" s="288"/>
      <c r="B4388" s="322"/>
      <c r="C4388" s="397" t="s">
        <v>936</v>
      </c>
      <c r="D4388" s="1333">
        <v>45413</v>
      </c>
      <c r="E4388" s="1334"/>
      <c r="F4388" s="1335"/>
      <c r="G4388" s="1333">
        <v>45443</v>
      </c>
      <c r="H4388" s="1334"/>
      <c r="I4388" s="1335"/>
      <c r="J4388" s="317">
        <f t="shared" si="1189"/>
        <v>31</v>
      </c>
      <c r="K4388" s="327"/>
      <c r="L4388" s="328"/>
      <c r="M4388" s="329"/>
      <c r="N4388" s="330"/>
      <c r="O4388" s="331"/>
      <c r="P4388" s="328"/>
      <c r="Q4388" s="315"/>
      <c r="R4388" s="319">
        <v>220</v>
      </c>
      <c r="S4388" s="331" t="s">
        <v>703</v>
      </c>
      <c r="T4388" s="320">
        <v>22</v>
      </c>
      <c r="U4388" s="335"/>
      <c r="V4388" s="291">
        <f t="shared" ca="1" si="1188"/>
        <v>440</v>
      </c>
      <c r="W4388" s="256">
        <f t="shared" ca="1" si="1191"/>
        <v>2</v>
      </c>
      <c r="X4388" s="256">
        <f t="shared" ca="1" si="1190"/>
        <v>1</v>
      </c>
      <c r="Y4388" s="336"/>
      <c r="Z4388" s="336"/>
    </row>
    <row r="4389" spans="1:26" s="337" customFormat="1" ht="15" x14ac:dyDescent="0.2">
      <c r="A4389" s="288"/>
      <c r="B4389" s="322"/>
      <c r="C4389" s="397" t="s">
        <v>941</v>
      </c>
      <c r="D4389" s="1333">
        <v>45444</v>
      </c>
      <c r="E4389" s="1334"/>
      <c r="F4389" s="1335"/>
      <c r="G4389" s="1333">
        <v>45473</v>
      </c>
      <c r="H4389" s="1334"/>
      <c r="I4389" s="1335"/>
      <c r="J4389" s="317">
        <f t="shared" si="1189"/>
        <v>30</v>
      </c>
      <c r="K4389" s="327"/>
      <c r="L4389" s="328"/>
      <c r="M4389" s="329"/>
      <c r="N4389" s="330"/>
      <c r="O4389" s="331"/>
      <c r="P4389" s="328"/>
      <c r="Q4389" s="315"/>
      <c r="R4389" s="319">
        <v>220</v>
      </c>
      <c r="S4389" s="331" t="s">
        <v>703</v>
      </c>
      <c r="T4389" s="320">
        <v>23</v>
      </c>
      <c r="U4389" s="335"/>
      <c r="V4389" s="291">
        <f t="shared" ca="1" si="1188"/>
        <v>440</v>
      </c>
      <c r="W4389" s="256">
        <f t="shared" ca="1" si="1191"/>
        <v>2</v>
      </c>
      <c r="X4389" s="256">
        <f t="shared" ca="1" si="1190"/>
        <v>1</v>
      </c>
      <c r="Y4389" s="336"/>
      <c r="Z4389" s="336"/>
    </row>
    <row r="4390" spans="1:26" s="337" customFormat="1" ht="15" x14ac:dyDescent="0.2">
      <c r="A4390" s="288"/>
      <c r="B4390" s="322"/>
      <c r="C4390" s="397" t="s">
        <v>946</v>
      </c>
      <c r="D4390" s="1333">
        <v>45474</v>
      </c>
      <c r="E4390" s="1334"/>
      <c r="F4390" s="1335"/>
      <c r="G4390" s="1333">
        <v>45504</v>
      </c>
      <c r="H4390" s="1334"/>
      <c r="I4390" s="1335"/>
      <c r="J4390" s="317">
        <f t="shared" si="1189"/>
        <v>31</v>
      </c>
      <c r="K4390" s="327"/>
      <c r="L4390" s="328"/>
      <c r="M4390" s="329"/>
      <c r="N4390" s="330"/>
      <c r="O4390" s="331"/>
      <c r="P4390" s="328"/>
      <c r="Q4390" s="315"/>
      <c r="R4390" s="319">
        <v>220</v>
      </c>
      <c r="S4390" s="331" t="s">
        <v>703</v>
      </c>
      <c r="T4390" s="320">
        <v>24</v>
      </c>
      <c r="U4390" s="335"/>
      <c r="V4390" s="291">
        <f t="shared" ca="1" si="1188"/>
        <v>440</v>
      </c>
      <c r="W4390" s="256">
        <f t="shared" ca="1" si="1191"/>
        <v>2</v>
      </c>
      <c r="X4390" s="256">
        <f t="shared" ca="1" si="1190"/>
        <v>1</v>
      </c>
      <c r="Y4390" s="336"/>
      <c r="Z4390" s="336"/>
    </row>
    <row r="4391" spans="1:26" s="337" customFormat="1" ht="15" x14ac:dyDescent="0.2">
      <c r="A4391" s="288"/>
      <c r="B4391" s="322"/>
      <c r="C4391" s="397" t="s">
        <v>974</v>
      </c>
      <c r="D4391" s="1333">
        <v>45505</v>
      </c>
      <c r="E4391" s="1334"/>
      <c r="F4391" s="1335"/>
      <c r="G4391" s="1333">
        <v>45535</v>
      </c>
      <c r="H4391" s="1334"/>
      <c r="I4391" s="1335"/>
      <c r="J4391" s="317">
        <f>G4391-D4391+1</f>
        <v>31</v>
      </c>
      <c r="K4391" s="327"/>
      <c r="L4391" s="328"/>
      <c r="M4391" s="329"/>
      <c r="N4391" s="330"/>
      <c r="O4391" s="331"/>
      <c r="P4391" s="328"/>
      <c r="Q4391" s="315"/>
      <c r="R4391" s="319">
        <v>220</v>
      </c>
      <c r="S4391" s="331" t="s">
        <v>703</v>
      </c>
      <c r="T4391" s="320">
        <v>25</v>
      </c>
      <c r="U4391" s="335"/>
      <c r="V4391" s="291">
        <f t="shared" ca="1" si="1188"/>
        <v>440</v>
      </c>
      <c r="W4391" s="256">
        <f t="shared" ca="1" si="1191"/>
        <v>2</v>
      </c>
      <c r="X4391" s="256">
        <f ca="1">IF(COUNTA(OFFSET(A4390,1,0))-COUNTA(A4390)=-1,0,1)</f>
        <v>1</v>
      </c>
      <c r="Y4391" s="336"/>
      <c r="Z4391" s="336"/>
    </row>
    <row r="4392" spans="1:26" s="337" customFormat="1" ht="15" x14ac:dyDescent="0.2">
      <c r="A4392" s="288"/>
      <c r="B4392" s="322"/>
      <c r="C4392" s="397" t="s">
        <v>1008</v>
      </c>
      <c r="D4392" s="1333">
        <v>45536</v>
      </c>
      <c r="E4392" s="1334"/>
      <c r="F4392" s="1335"/>
      <c r="G4392" s="1333">
        <v>45565</v>
      </c>
      <c r="H4392" s="1334"/>
      <c r="I4392" s="1335"/>
      <c r="J4392" s="317">
        <f>G4392-D4392+1</f>
        <v>30</v>
      </c>
      <c r="K4392" s="327"/>
      <c r="L4392" s="328"/>
      <c r="M4392" s="329"/>
      <c r="N4392" s="330"/>
      <c r="O4392" s="331"/>
      <c r="P4392" s="328"/>
      <c r="Q4392" s="315"/>
      <c r="R4392" s="319">
        <v>220</v>
      </c>
      <c r="S4392" s="331" t="s">
        <v>703</v>
      </c>
      <c r="T4392" s="320">
        <v>26</v>
      </c>
      <c r="U4392" s="335"/>
      <c r="V4392" s="291">
        <f t="shared" ca="1" si="1188"/>
        <v>440</v>
      </c>
      <c r="W4392" s="256">
        <f ca="1">IF(LEFT(_xlfn.FORMULATEXT(V4392),3)="=SO",1,IF(COUNTA(A4392:U4392)=0,0,2))</f>
        <v>2</v>
      </c>
      <c r="X4392" s="256">
        <f ca="1">IF(COUNTA(OFFSET(A4391,1,0))-COUNTA(A4391)=-1,0,1)</f>
        <v>1</v>
      </c>
      <c r="Y4392" s="336"/>
      <c r="Z4392" s="336"/>
    </row>
    <row r="4393" spans="1:26" s="337" customFormat="1" ht="15" x14ac:dyDescent="0.2">
      <c r="A4393" s="288"/>
      <c r="B4393" s="322"/>
      <c r="C4393" s="397" t="s">
        <v>1012</v>
      </c>
      <c r="D4393" s="1333">
        <v>45566</v>
      </c>
      <c r="E4393" s="1334"/>
      <c r="F4393" s="1335"/>
      <c r="G4393" s="1333">
        <v>45596</v>
      </c>
      <c r="H4393" s="1334"/>
      <c r="I4393" s="1335"/>
      <c r="J4393" s="317">
        <f>G4393-D4393+1</f>
        <v>31</v>
      </c>
      <c r="K4393" s="327"/>
      <c r="L4393" s="328"/>
      <c r="M4393" s="329"/>
      <c r="N4393" s="330"/>
      <c r="O4393" s="331"/>
      <c r="P4393" s="328"/>
      <c r="Q4393" s="332"/>
      <c r="R4393" s="319">
        <v>220</v>
      </c>
      <c r="S4393" s="331" t="s">
        <v>703</v>
      </c>
      <c r="T4393" s="320">
        <v>27</v>
      </c>
      <c r="U4393" s="335"/>
      <c r="V4393" s="291">
        <f t="shared" ca="1" si="1188"/>
        <v>440</v>
      </c>
      <c r="W4393" s="256">
        <f ca="1">IF(LEFT(_xlfn.FORMULATEXT(V4393),3)="=SO",1,IF(COUNTA(A4393:U4393)=0,0,2))</f>
        <v>2</v>
      </c>
      <c r="X4393" s="256">
        <f ca="1">IF(COUNTA(OFFSET(A4392,1,0))-COUNTA(A4392)=-1,0,1)</f>
        <v>1</v>
      </c>
      <c r="Y4393" s="336"/>
      <c r="Z4393" s="336"/>
    </row>
    <row r="4394" spans="1:26" s="337" customFormat="1" ht="15" x14ac:dyDescent="0.2">
      <c r="A4394" s="288"/>
      <c r="B4394" s="322"/>
      <c r="C4394" s="397" t="s">
        <v>1033</v>
      </c>
      <c r="D4394" s="1333">
        <v>45597</v>
      </c>
      <c r="E4394" s="1334"/>
      <c r="F4394" s="1335"/>
      <c r="G4394" s="1333">
        <v>45626</v>
      </c>
      <c r="H4394" s="1334"/>
      <c r="I4394" s="1335"/>
      <c r="J4394" s="317">
        <f>G4394-D4394+1</f>
        <v>30</v>
      </c>
      <c r="K4394" s="327"/>
      <c r="L4394" s="328"/>
      <c r="M4394" s="329"/>
      <c r="N4394" s="330"/>
      <c r="O4394" s="331"/>
      <c r="P4394" s="328"/>
      <c r="Q4394" s="332"/>
      <c r="R4394" s="319">
        <v>220</v>
      </c>
      <c r="S4394" s="331" t="s">
        <v>703</v>
      </c>
      <c r="T4394" s="320">
        <v>28</v>
      </c>
      <c r="U4394" s="335"/>
      <c r="V4394" s="291">
        <f t="shared" ca="1" si="1188"/>
        <v>440</v>
      </c>
      <c r="W4394" s="256">
        <f ca="1">IF(LEFT(_xlfn.FORMULATEXT(V4394),3)="=SO",1,IF(COUNTA(A4394:U4394)=0,0,2))</f>
        <v>2</v>
      </c>
      <c r="X4394" s="256">
        <f ca="1">IF(COUNTA(OFFSET(A4393,1,0))-COUNTA(A4393)=-1,0,1)</f>
        <v>1</v>
      </c>
      <c r="Y4394" s="336"/>
      <c r="Z4394" s="336"/>
    </row>
    <row r="4395" spans="1:26" s="337" customFormat="1" ht="15" x14ac:dyDescent="0.2">
      <c r="A4395" s="288"/>
      <c r="B4395" s="494"/>
      <c r="C4395" s="397" t="s">
        <v>1042</v>
      </c>
      <c r="D4395" s="1333">
        <v>45627</v>
      </c>
      <c r="E4395" s="1334"/>
      <c r="F4395" s="1335"/>
      <c r="G4395" s="1333">
        <v>45657</v>
      </c>
      <c r="H4395" s="1334"/>
      <c r="I4395" s="1335"/>
      <c r="J4395" s="317">
        <f>G4395-D4395+1</f>
        <v>31</v>
      </c>
      <c r="K4395" s="759"/>
      <c r="L4395" s="501"/>
      <c r="M4395" s="760"/>
      <c r="N4395" s="761"/>
      <c r="O4395" s="505"/>
      <c r="P4395" s="501"/>
      <c r="Q4395" s="739"/>
      <c r="R4395" s="558">
        <v>220</v>
      </c>
      <c r="S4395" s="505" t="s">
        <v>703</v>
      </c>
      <c r="T4395" s="506">
        <v>29</v>
      </c>
      <c r="U4395" s="574"/>
      <c r="V4395" s="291">
        <f t="shared" ca="1" si="1188"/>
        <v>440</v>
      </c>
      <c r="W4395" s="256">
        <f t="shared" ref="W4395:W4399" ca="1" si="1192">IF(LEFT(_xlfn.FORMULATEXT(V4395),3)="=SO",1,IF(COUNTA(A4395:U4395)=0,0,2))</f>
        <v>2</v>
      </c>
      <c r="X4395" s="256">
        <f t="shared" ref="X4395:X4399" ca="1" si="1193">IF(COUNTA(OFFSET(A4394,1,0))-COUNTA(A4394)=-1,0,1)</f>
        <v>1</v>
      </c>
      <c r="Y4395" s="336"/>
      <c r="Z4395" s="336"/>
    </row>
    <row r="4396" spans="1:26" s="337" customFormat="1" ht="15" x14ac:dyDescent="0.2">
      <c r="A4396" s="288"/>
      <c r="B4396" s="322"/>
      <c r="C4396" s="397" t="s">
        <v>1057</v>
      </c>
      <c r="D4396" s="1333">
        <v>45658</v>
      </c>
      <c r="E4396" s="1334"/>
      <c r="F4396" s="1335"/>
      <c r="G4396" s="1333">
        <v>45688</v>
      </c>
      <c r="H4396" s="1334"/>
      <c r="I4396" s="1335"/>
      <c r="J4396" s="317">
        <f t="shared" ref="J4396:J4398" si="1194">G4396-D4396+1</f>
        <v>31</v>
      </c>
      <c r="K4396" s="327"/>
      <c r="L4396" s="328"/>
      <c r="M4396" s="329"/>
      <c r="N4396" s="330"/>
      <c r="O4396" s="331"/>
      <c r="P4396" s="328"/>
      <c r="Q4396" s="332"/>
      <c r="R4396" s="333">
        <v>220</v>
      </c>
      <c r="S4396" s="331" t="s">
        <v>703</v>
      </c>
      <c r="T4396" s="320">
        <v>30</v>
      </c>
      <c r="U4396" s="335"/>
      <c r="V4396" s="291">
        <f t="shared" ca="1" si="1188"/>
        <v>440</v>
      </c>
      <c r="W4396" s="256">
        <f t="shared" ca="1" si="1192"/>
        <v>2</v>
      </c>
      <c r="X4396" s="256">
        <f t="shared" ca="1" si="1193"/>
        <v>1</v>
      </c>
      <c r="Y4396" s="336"/>
      <c r="Z4396" s="336"/>
    </row>
    <row r="4397" spans="1:26" s="337" customFormat="1" ht="15" x14ac:dyDescent="0.2">
      <c r="A4397" s="288"/>
      <c r="B4397" s="494"/>
      <c r="C4397" s="397" t="s">
        <v>1076</v>
      </c>
      <c r="D4397" s="1333">
        <v>45689</v>
      </c>
      <c r="E4397" s="1334"/>
      <c r="F4397" s="1335"/>
      <c r="G4397" s="1333">
        <v>45716</v>
      </c>
      <c r="H4397" s="1334"/>
      <c r="I4397" s="1335"/>
      <c r="J4397" s="317">
        <f t="shared" si="1194"/>
        <v>28</v>
      </c>
      <c r="K4397" s="759"/>
      <c r="L4397" s="501"/>
      <c r="M4397" s="760"/>
      <c r="N4397" s="761"/>
      <c r="O4397" s="505"/>
      <c r="P4397" s="501"/>
      <c r="Q4397" s="739"/>
      <c r="R4397" s="333">
        <v>220</v>
      </c>
      <c r="S4397" s="331" t="s">
        <v>703</v>
      </c>
      <c r="T4397" s="506">
        <v>31</v>
      </c>
      <c r="U4397" s="574"/>
      <c r="V4397" s="291">
        <f t="shared" ca="1" si="1188"/>
        <v>440</v>
      </c>
      <c r="W4397" s="256">
        <f t="shared" ca="1" si="1192"/>
        <v>2</v>
      </c>
      <c r="X4397" s="256">
        <f t="shared" ca="1" si="1193"/>
        <v>1</v>
      </c>
      <c r="Y4397" s="336"/>
      <c r="Z4397" s="336"/>
    </row>
    <row r="4398" spans="1:26" s="337" customFormat="1" ht="15" x14ac:dyDescent="0.2">
      <c r="A4398" s="288"/>
      <c r="B4398" s="322"/>
      <c r="C4398" s="397" t="s">
        <v>1080</v>
      </c>
      <c r="D4398" s="1333">
        <v>45717</v>
      </c>
      <c r="E4398" s="1334"/>
      <c r="F4398" s="1335"/>
      <c r="G4398" s="1333">
        <v>45747</v>
      </c>
      <c r="H4398" s="1334"/>
      <c r="I4398" s="1335"/>
      <c r="J4398" s="317">
        <f t="shared" si="1194"/>
        <v>31</v>
      </c>
      <c r="K4398" s="327"/>
      <c r="L4398" s="328"/>
      <c r="M4398" s="329"/>
      <c r="N4398" s="330"/>
      <c r="O4398" s="331"/>
      <c r="P4398" s="328"/>
      <c r="Q4398" s="332"/>
      <c r="R4398" s="333">
        <v>220</v>
      </c>
      <c r="S4398" s="331" t="s">
        <v>703</v>
      </c>
      <c r="T4398" s="320">
        <v>32</v>
      </c>
      <c r="U4398" s="335"/>
      <c r="V4398" s="291">
        <f t="shared" ca="1" si="1188"/>
        <v>440</v>
      </c>
      <c r="W4398" s="256">
        <f t="shared" ca="1" si="1192"/>
        <v>2</v>
      </c>
      <c r="X4398" s="256">
        <f t="shared" ca="1" si="1193"/>
        <v>1</v>
      </c>
      <c r="Y4398" s="336"/>
      <c r="Z4398" s="336"/>
    </row>
    <row r="4399" spans="1:26" s="337" customFormat="1" ht="15" x14ac:dyDescent="0.2">
      <c r="A4399" s="288"/>
      <c r="B4399" s="322"/>
      <c r="C4399" s="397" t="s">
        <v>1090</v>
      </c>
      <c r="D4399" s="1333">
        <v>45748</v>
      </c>
      <c r="E4399" s="1334"/>
      <c r="F4399" s="1335"/>
      <c r="G4399" s="1333">
        <v>45777</v>
      </c>
      <c r="H4399" s="1334"/>
      <c r="I4399" s="1335"/>
      <c r="J4399" s="317">
        <f t="shared" ref="J4399:J4400" si="1195">G4399-D4399+1</f>
        <v>30</v>
      </c>
      <c r="K4399" s="327"/>
      <c r="L4399" s="328"/>
      <c r="M4399" s="329"/>
      <c r="N4399" s="330"/>
      <c r="O4399" s="331"/>
      <c r="P4399" s="328"/>
      <c r="Q4399" s="332"/>
      <c r="R4399" s="333">
        <v>220</v>
      </c>
      <c r="S4399" s="331" t="s">
        <v>703</v>
      </c>
      <c r="T4399" s="320">
        <v>33</v>
      </c>
      <c r="U4399" s="335"/>
      <c r="V4399" s="291">
        <f t="shared" ca="1" si="1188"/>
        <v>440</v>
      </c>
      <c r="W4399" s="256">
        <f t="shared" ca="1" si="1192"/>
        <v>2</v>
      </c>
      <c r="X4399" s="256">
        <f t="shared" ca="1" si="1193"/>
        <v>1</v>
      </c>
      <c r="Y4399" s="336"/>
      <c r="Z4399" s="336"/>
    </row>
    <row r="4400" spans="1:26" s="337" customFormat="1" ht="15" x14ac:dyDescent="0.2">
      <c r="A4400" s="288"/>
      <c r="B4400" s="494"/>
      <c r="C4400" s="397" t="s">
        <v>1165</v>
      </c>
      <c r="D4400" s="1333">
        <v>45778</v>
      </c>
      <c r="E4400" s="1334"/>
      <c r="F4400" s="1335"/>
      <c r="G4400" s="1333">
        <v>45808</v>
      </c>
      <c r="H4400" s="1334"/>
      <c r="I4400" s="1335"/>
      <c r="J4400" s="317">
        <f t="shared" si="1195"/>
        <v>31</v>
      </c>
      <c r="K4400" s="327"/>
      <c r="L4400" s="328"/>
      <c r="M4400" s="329"/>
      <c r="N4400" s="330"/>
      <c r="O4400" s="331"/>
      <c r="P4400" s="328"/>
      <c r="Q4400" s="332"/>
      <c r="R4400" s="333">
        <v>220</v>
      </c>
      <c r="S4400" s="331" t="s">
        <v>703</v>
      </c>
      <c r="T4400" s="320">
        <v>35</v>
      </c>
      <c r="U4400" s="574"/>
      <c r="V4400" s="291">
        <f t="shared" ca="1" si="1188"/>
        <v>440</v>
      </c>
      <c r="W4400" s="256">
        <f t="shared" ref="W4400:W4405" ca="1" si="1196">IF(LEFT(_xlfn.FORMULATEXT(V4400),3)="=SO",1,IF(COUNTA(A4400:U4400)=0,0,2))</f>
        <v>2</v>
      </c>
      <c r="X4400" s="256">
        <f t="shared" ref="X4400:X4405" ca="1" si="1197">IF(COUNTA(OFFSET(A4399,1,0))-COUNTA(A4399)=-1,0,1)</f>
        <v>1</v>
      </c>
      <c r="Y4400" s="336"/>
      <c r="Z4400" s="336"/>
    </row>
    <row r="4401" spans="1:26" s="337" customFormat="1" ht="15" x14ac:dyDescent="0.2">
      <c r="A4401" s="288"/>
      <c r="B4401" s="494"/>
      <c r="C4401" s="397" t="s">
        <v>1166</v>
      </c>
      <c r="D4401" s="1333">
        <v>45809</v>
      </c>
      <c r="E4401" s="1334"/>
      <c r="F4401" s="1335"/>
      <c r="G4401" s="1333">
        <v>45838</v>
      </c>
      <c r="H4401" s="1334"/>
      <c r="I4401" s="1335"/>
      <c r="J4401" s="317">
        <f>G4401-D4401+1</f>
        <v>30</v>
      </c>
      <c r="K4401" s="433"/>
      <c r="L4401" s="328"/>
      <c r="M4401" s="328"/>
      <c r="N4401" s="328"/>
      <c r="O4401" s="334"/>
      <c r="P4401" s="328"/>
      <c r="Q4401" s="334"/>
      <c r="R4401" s="333">
        <v>220</v>
      </c>
      <c r="S4401" s="331" t="s">
        <v>703</v>
      </c>
      <c r="T4401" s="320">
        <v>35</v>
      </c>
      <c r="U4401" s="574"/>
      <c r="V4401" s="291">
        <f t="shared" ca="1" si="1188"/>
        <v>440</v>
      </c>
      <c r="W4401" s="256">
        <f t="shared" ca="1" si="1196"/>
        <v>2</v>
      </c>
      <c r="X4401" s="256">
        <f t="shared" ca="1" si="1197"/>
        <v>1</v>
      </c>
      <c r="Y4401" s="336"/>
      <c r="Z4401" s="336"/>
    </row>
    <row r="4402" spans="1:26" s="337" customFormat="1" ht="15" x14ac:dyDescent="0.2">
      <c r="A4402" s="288"/>
      <c r="B4402" s="494"/>
      <c r="C4402" s="397" t="s">
        <v>1167</v>
      </c>
      <c r="D4402" s="1333">
        <v>45839</v>
      </c>
      <c r="E4402" s="1334"/>
      <c r="F4402" s="1335"/>
      <c r="G4402" s="1333">
        <v>45869</v>
      </c>
      <c r="H4402" s="1334"/>
      <c r="I4402" s="1335"/>
      <c r="J4402" s="317">
        <f>G4402-D4402+1</f>
        <v>31</v>
      </c>
      <c r="K4402" s="433"/>
      <c r="L4402" s="328"/>
      <c r="M4402" s="328"/>
      <c r="N4402" s="328"/>
      <c r="O4402" s="334"/>
      <c r="P4402" s="328"/>
      <c r="Q4402" s="334"/>
      <c r="R4402" s="333">
        <v>220</v>
      </c>
      <c r="S4402" s="331" t="s">
        <v>703</v>
      </c>
      <c r="T4402" s="320">
        <v>35</v>
      </c>
      <c r="U4402" s="574"/>
      <c r="V4402" s="291">
        <f t="shared" ca="1" si="1188"/>
        <v>440</v>
      </c>
      <c r="W4402" s="256">
        <f t="shared" ca="1" si="1196"/>
        <v>2</v>
      </c>
      <c r="X4402" s="256">
        <f t="shared" ca="1" si="1197"/>
        <v>1</v>
      </c>
      <c r="Y4402" s="336"/>
      <c r="Z4402" s="336"/>
    </row>
    <row r="4403" spans="1:26" s="337" customFormat="1" ht="15" x14ac:dyDescent="0.2">
      <c r="A4403" s="288"/>
      <c r="B4403" s="494"/>
      <c r="C4403" s="397" t="s">
        <v>1186</v>
      </c>
      <c r="D4403" s="1333">
        <v>45870</v>
      </c>
      <c r="E4403" s="1334"/>
      <c r="F4403" s="1335"/>
      <c r="G4403" s="1333">
        <v>45900</v>
      </c>
      <c r="H4403" s="1334"/>
      <c r="I4403" s="1335"/>
      <c r="J4403" s="317">
        <f>G4403-D4403+1</f>
        <v>31</v>
      </c>
      <c r="K4403" s="433"/>
      <c r="L4403" s="328"/>
      <c r="M4403" s="328"/>
      <c r="N4403" s="328"/>
      <c r="O4403" s="334"/>
      <c r="P4403" s="328"/>
      <c r="Q4403" s="334"/>
      <c r="R4403" s="333">
        <v>220</v>
      </c>
      <c r="S4403" s="331" t="s">
        <v>703</v>
      </c>
      <c r="T4403" s="320">
        <v>36</v>
      </c>
      <c r="U4403" s="574"/>
      <c r="V4403" s="291">
        <f t="shared" ca="1" si="1188"/>
        <v>440</v>
      </c>
      <c r="W4403" s="256">
        <f t="shared" ca="1" si="1196"/>
        <v>2</v>
      </c>
      <c r="X4403" s="256">
        <f t="shared" ca="1" si="1197"/>
        <v>1</v>
      </c>
      <c r="Y4403" s="336"/>
      <c r="Z4403" s="336"/>
    </row>
    <row r="4404" spans="1:26" s="337" customFormat="1" ht="15" x14ac:dyDescent="0.2">
      <c r="A4404" s="288"/>
      <c r="B4404" s="494"/>
      <c r="C4404" s="397" t="s">
        <v>1219</v>
      </c>
      <c r="D4404" s="1333">
        <v>45901</v>
      </c>
      <c r="E4404" s="1334"/>
      <c r="F4404" s="1335"/>
      <c r="G4404" s="1333">
        <v>45930</v>
      </c>
      <c r="H4404" s="1334"/>
      <c r="I4404" s="1335"/>
      <c r="J4404" s="317">
        <f>G4404-D4404+1</f>
        <v>30</v>
      </c>
      <c r="K4404" s="433"/>
      <c r="L4404" s="328"/>
      <c r="M4404" s="328"/>
      <c r="N4404" s="328"/>
      <c r="O4404" s="334"/>
      <c r="P4404" s="328"/>
      <c r="Q4404" s="334"/>
      <c r="R4404" s="333">
        <v>220</v>
      </c>
      <c r="S4404" s="331" t="s">
        <v>703</v>
      </c>
      <c r="T4404" s="320">
        <v>37</v>
      </c>
      <c r="U4404" s="574"/>
      <c r="V4404" s="291">
        <f t="shared" ca="1" si="1188"/>
        <v>440</v>
      </c>
      <c r="W4404" s="256">
        <f t="shared" ca="1" si="1196"/>
        <v>2</v>
      </c>
      <c r="X4404" s="256">
        <f t="shared" ca="1" si="1197"/>
        <v>1</v>
      </c>
      <c r="Y4404" s="336"/>
      <c r="Z4404" s="336"/>
    </row>
    <row r="4405" spans="1:26" s="337" customFormat="1" ht="15" x14ac:dyDescent="0.2">
      <c r="A4405" s="288"/>
      <c r="B4405" s="494"/>
      <c r="C4405" s="397" t="s">
        <v>1220</v>
      </c>
      <c r="D4405" s="1333">
        <v>45901</v>
      </c>
      <c r="E4405" s="1334"/>
      <c r="F4405" s="1335"/>
      <c r="G4405" s="1333">
        <v>45930</v>
      </c>
      <c r="H4405" s="1334"/>
      <c r="I4405" s="1335"/>
      <c r="J4405" s="317">
        <f>G4405-D4405+1</f>
        <v>30</v>
      </c>
      <c r="K4405" s="433"/>
      <c r="L4405" s="328"/>
      <c r="M4405" s="328"/>
      <c r="N4405" s="328"/>
      <c r="O4405" s="334"/>
      <c r="P4405" s="328"/>
      <c r="Q4405" s="334"/>
      <c r="R4405" s="333">
        <v>220</v>
      </c>
      <c r="S4405" s="331" t="s">
        <v>703</v>
      </c>
      <c r="T4405" s="320">
        <v>37</v>
      </c>
      <c r="U4405" s="574" t="s">
        <v>1212</v>
      </c>
      <c r="V4405" s="291">
        <f t="shared" ca="1" si="1188"/>
        <v>440</v>
      </c>
      <c r="W4405" s="256">
        <f t="shared" ca="1" si="1196"/>
        <v>2</v>
      </c>
      <c r="X4405" s="256">
        <f t="shared" ca="1" si="1197"/>
        <v>1</v>
      </c>
      <c r="Y4405" s="336"/>
      <c r="Z4405" s="336"/>
    </row>
    <row r="4406" spans="1:26" s="337" customFormat="1" ht="15" x14ac:dyDescent="0.2">
      <c r="A4406" s="288"/>
      <c r="B4406" s="494"/>
      <c r="C4406" s="397" t="s">
        <v>1231</v>
      </c>
      <c r="D4406" s="1333">
        <v>45931</v>
      </c>
      <c r="E4406" s="1334"/>
      <c r="F4406" s="1335"/>
      <c r="G4406" s="1333">
        <v>45961</v>
      </c>
      <c r="H4406" s="1334"/>
      <c r="I4406" s="1335"/>
      <c r="J4406" s="317">
        <f t="shared" ref="J4406:J4419" si="1198">G4406-D4406+1</f>
        <v>31</v>
      </c>
      <c r="K4406" s="433"/>
      <c r="L4406" s="328"/>
      <c r="M4406" s="328"/>
      <c r="N4406" s="328"/>
      <c r="O4406" s="334"/>
      <c r="P4406" s="328"/>
      <c r="Q4406" s="334"/>
      <c r="R4406" s="333">
        <v>220</v>
      </c>
      <c r="S4406" s="331" t="s">
        <v>703</v>
      </c>
      <c r="T4406" s="320">
        <v>38</v>
      </c>
      <c r="U4406" s="574"/>
      <c r="V4406" s="291">
        <f t="shared" ca="1" si="1188"/>
        <v>440</v>
      </c>
      <c r="W4406" s="256">
        <f t="shared" ref="W4406:W4407" ca="1" si="1199">IF(LEFT(_xlfn.FORMULATEXT(V4406),3)="=SO",1,IF(COUNTA(A4406:U4406)=0,0,2))</f>
        <v>2</v>
      </c>
      <c r="X4406" s="256">
        <f t="shared" ref="X4406:X4407" ca="1" si="1200">IF(COUNTA(OFFSET(A4405,1,0))-COUNTA(A4405)=-1,0,1)</f>
        <v>1</v>
      </c>
      <c r="Y4406" s="336"/>
      <c r="Z4406" s="336"/>
    </row>
    <row r="4407" spans="1:26" s="337" customFormat="1" ht="15" x14ac:dyDescent="0.2">
      <c r="A4407" s="288"/>
      <c r="B4407" s="494"/>
      <c r="C4407" s="397" t="s">
        <v>1232</v>
      </c>
      <c r="D4407" s="1333">
        <v>45931</v>
      </c>
      <c r="E4407" s="1334"/>
      <c r="F4407" s="1335"/>
      <c r="G4407" s="1333">
        <v>45961</v>
      </c>
      <c r="H4407" s="1334"/>
      <c r="I4407" s="1335"/>
      <c r="J4407" s="317">
        <f t="shared" si="1198"/>
        <v>31</v>
      </c>
      <c r="K4407" s="433"/>
      <c r="L4407" s="328"/>
      <c r="M4407" s="328"/>
      <c r="N4407" s="328"/>
      <c r="O4407" s="334"/>
      <c r="P4407" s="328"/>
      <c r="Q4407" s="334"/>
      <c r="R4407" s="333">
        <v>220</v>
      </c>
      <c r="S4407" s="331" t="s">
        <v>703</v>
      </c>
      <c r="T4407" s="320">
        <v>38</v>
      </c>
      <c r="U4407" s="574"/>
      <c r="V4407" s="291">
        <f t="shared" ca="1" si="1188"/>
        <v>440</v>
      </c>
      <c r="W4407" s="256">
        <f t="shared" ca="1" si="1199"/>
        <v>2</v>
      </c>
      <c r="X4407" s="256">
        <f t="shared" ca="1" si="1200"/>
        <v>1</v>
      </c>
      <c r="Y4407" s="336"/>
      <c r="Z4407" s="336"/>
    </row>
    <row r="4408" spans="1:26" s="337" customFormat="1" ht="15" x14ac:dyDescent="0.2">
      <c r="A4408" s="288"/>
      <c r="B4408" s="494"/>
      <c r="C4408" s="397" t="s">
        <v>1251</v>
      </c>
      <c r="D4408" s="1333">
        <v>45962</v>
      </c>
      <c r="E4408" s="1334"/>
      <c r="F4408" s="1335"/>
      <c r="G4408" s="1333">
        <v>45991</v>
      </c>
      <c r="H4408" s="1334"/>
      <c r="I4408" s="1335"/>
      <c r="J4408" s="317">
        <f t="shared" si="1198"/>
        <v>30</v>
      </c>
      <c r="K4408" s="433"/>
      <c r="L4408" s="328"/>
      <c r="M4408" s="328"/>
      <c r="N4408" s="328"/>
      <c r="O4408" s="334"/>
      <c r="P4408" s="328"/>
      <c r="Q4408" s="334"/>
      <c r="R4408" s="333">
        <v>220</v>
      </c>
      <c r="S4408" s="331" t="s">
        <v>703</v>
      </c>
      <c r="T4408" s="320">
        <v>39</v>
      </c>
      <c r="U4408" s="574"/>
      <c r="V4408" s="291">
        <f t="shared" ca="1" si="1188"/>
        <v>440</v>
      </c>
      <c r="W4408" s="256">
        <f t="shared" ref="W4408:W4409" ca="1" si="1201">IF(LEFT(_xlfn.FORMULATEXT(V4408),3)="=SO",1,IF(COUNTA(A4408:U4408)=0,0,2))</f>
        <v>2</v>
      </c>
      <c r="X4408" s="256">
        <f t="shared" ref="X4408:X4409" ca="1" si="1202">IF(COUNTA(OFFSET(A4407,1,0))-COUNTA(A4407)=-1,0,1)</f>
        <v>1</v>
      </c>
      <c r="Y4408" s="336"/>
      <c r="Z4408" s="336"/>
    </row>
    <row r="4409" spans="1:26" s="337" customFormat="1" ht="15" x14ac:dyDescent="0.2">
      <c r="A4409" s="288"/>
      <c r="B4409" s="494"/>
      <c r="C4409" s="397" t="s">
        <v>1252</v>
      </c>
      <c r="D4409" s="1333">
        <v>45962</v>
      </c>
      <c r="E4409" s="1334"/>
      <c r="F4409" s="1335"/>
      <c r="G4409" s="1333">
        <v>45991</v>
      </c>
      <c r="H4409" s="1334"/>
      <c r="I4409" s="1335"/>
      <c r="J4409" s="317">
        <f t="shared" si="1198"/>
        <v>30</v>
      </c>
      <c r="K4409" s="433"/>
      <c r="L4409" s="328"/>
      <c r="M4409" s="328"/>
      <c r="N4409" s="328"/>
      <c r="O4409" s="334"/>
      <c r="P4409" s="328"/>
      <c r="Q4409" s="334"/>
      <c r="R4409" s="333">
        <v>220</v>
      </c>
      <c r="S4409" s="331" t="s">
        <v>703</v>
      </c>
      <c r="T4409" s="320">
        <v>39</v>
      </c>
      <c r="U4409" s="574"/>
      <c r="V4409" s="291">
        <f t="shared" ca="1" si="1188"/>
        <v>440</v>
      </c>
      <c r="W4409" s="256">
        <f t="shared" ca="1" si="1201"/>
        <v>2</v>
      </c>
      <c r="X4409" s="256">
        <f t="shared" ca="1" si="1202"/>
        <v>1</v>
      </c>
      <c r="Y4409" s="336"/>
      <c r="Z4409" s="336"/>
    </row>
    <row r="4410" spans="1:26" s="337" customFormat="1" ht="15" x14ac:dyDescent="0.2">
      <c r="A4410" s="288"/>
      <c r="B4410" s="494"/>
      <c r="C4410" s="397" t="s">
        <v>1287</v>
      </c>
      <c r="D4410" s="1333">
        <v>45992</v>
      </c>
      <c r="E4410" s="1334"/>
      <c r="F4410" s="1335"/>
      <c r="G4410" s="1333">
        <v>46022</v>
      </c>
      <c r="H4410" s="1334"/>
      <c r="I4410" s="1335"/>
      <c r="J4410" s="317">
        <f t="shared" si="1198"/>
        <v>31</v>
      </c>
      <c r="K4410" s="433"/>
      <c r="L4410" s="328"/>
      <c r="M4410" s="328"/>
      <c r="N4410" s="328"/>
      <c r="O4410" s="334"/>
      <c r="P4410" s="328"/>
      <c r="Q4410" s="334"/>
      <c r="R4410" s="333">
        <v>220</v>
      </c>
      <c r="S4410" s="331" t="s">
        <v>703</v>
      </c>
      <c r="T4410" s="320">
        <v>40</v>
      </c>
      <c r="U4410" s="574"/>
      <c r="V4410" s="291">
        <f t="shared" ca="1" si="1188"/>
        <v>440</v>
      </c>
      <c r="W4410" s="256">
        <f t="shared" ref="W4410:W4411" ca="1" si="1203">IF(LEFT(_xlfn.FORMULATEXT(V4410),3)="=SO",1,IF(COUNTA(A4410:U4410)=0,0,2))</f>
        <v>2</v>
      </c>
      <c r="X4410" s="256">
        <f t="shared" ref="X4410:X4411" ca="1" si="1204">IF(COUNTA(OFFSET(A4409,1,0))-COUNTA(A4409)=-1,0,1)</f>
        <v>1</v>
      </c>
      <c r="Y4410" s="336"/>
      <c r="Z4410" s="336"/>
    </row>
    <row r="4411" spans="1:26" s="337" customFormat="1" ht="15" x14ac:dyDescent="0.2">
      <c r="A4411" s="288"/>
      <c r="B4411" s="494"/>
      <c r="C4411" s="397" t="s">
        <v>1288</v>
      </c>
      <c r="D4411" s="1333">
        <v>45992</v>
      </c>
      <c r="E4411" s="1334"/>
      <c r="F4411" s="1335"/>
      <c r="G4411" s="1333">
        <v>46022</v>
      </c>
      <c r="H4411" s="1334"/>
      <c r="I4411" s="1335"/>
      <c r="J4411" s="317">
        <f t="shared" si="1198"/>
        <v>31</v>
      </c>
      <c r="K4411" s="433"/>
      <c r="L4411" s="328"/>
      <c r="M4411" s="328"/>
      <c r="N4411" s="328"/>
      <c r="O4411" s="334"/>
      <c r="P4411" s="328"/>
      <c r="Q4411" s="334"/>
      <c r="R4411" s="333">
        <v>220</v>
      </c>
      <c r="S4411" s="331" t="s">
        <v>703</v>
      </c>
      <c r="T4411" s="320">
        <v>40</v>
      </c>
      <c r="U4411" s="574"/>
      <c r="V4411" s="291">
        <f t="shared" ca="1" si="1188"/>
        <v>440</v>
      </c>
      <c r="W4411" s="256">
        <f t="shared" ca="1" si="1203"/>
        <v>2</v>
      </c>
      <c r="X4411" s="256">
        <f t="shared" ca="1" si="1204"/>
        <v>1</v>
      </c>
      <c r="Y4411" s="336"/>
      <c r="Z4411" s="336"/>
    </row>
    <row r="4412" spans="1:26" s="337" customFormat="1" ht="15" x14ac:dyDescent="0.2">
      <c r="A4412" s="288"/>
      <c r="B4412" s="494"/>
      <c r="C4412" s="397" t="s">
        <v>1304</v>
      </c>
      <c r="D4412" s="1333">
        <v>46023</v>
      </c>
      <c r="E4412" s="1334"/>
      <c r="F4412" s="1335"/>
      <c r="G4412" s="1333">
        <v>46053</v>
      </c>
      <c r="H4412" s="1334"/>
      <c r="I4412" s="1335"/>
      <c r="J4412" s="317">
        <f t="shared" si="1198"/>
        <v>31</v>
      </c>
      <c r="K4412" s="433"/>
      <c r="L4412" s="328"/>
      <c r="M4412" s="328"/>
      <c r="N4412" s="328"/>
      <c r="O4412" s="334"/>
      <c r="P4412" s="328"/>
      <c r="Q4412" s="334"/>
      <c r="R4412" s="333">
        <v>220</v>
      </c>
      <c r="S4412" s="331" t="s">
        <v>703</v>
      </c>
      <c r="T4412" s="320">
        <v>41</v>
      </c>
      <c r="U4412" s="574"/>
      <c r="V4412" s="291">
        <f t="shared" ca="1" si="1188"/>
        <v>440</v>
      </c>
      <c r="W4412" s="256">
        <f t="shared" ref="W4412:W4414" ca="1" si="1205">IF(LEFT(_xlfn.FORMULATEXT(V4412),3)="=SO",1,IF(COUNTA(A4412:U4412)=0,0,2))</f>
        <v>2</v>
      </c>
      <c r="X4412" s="256">
        <f t="shared" ref="X4412:X4414" ca="1" si="1206">IF(COUNTA(OFFSET(A4411,1,0))-COUNTA(A4411)=-1,0,1)</f>
        <v>1</v>
      </c>
      <c r="Y4412" s="336"/>
      <c r="Z4412" s="336"/>
    </row>
    <row r="4413" spans="1:26" s="337" customFormat="1" ht="15" x14ac:dyDescent="0.2">
      <c r="A4413" s="288"/>
      <c r="B4413" s="494"/>
      <c r="C4413" s="397" t="s">
        <v>1305</v>
      </c>
      <c r="D4413" s="1333">
        <v>46023</v>
      </c>
      <c r="E4413" s="1334"/>
      <c r="F4413" s="1335"/>
      <c r="G4413" s="1333">
        <v>46053</v>
      </c>
      <c r="H4413" s="1334"/>
      <c r="I4413" s="1335"/>
      <c r="J4413" s="317">
        <f t="shared" si="1198"/>
        <v>31</v>
      </c>
      <c r="K4413" s="433"/>
      <c r="L4413" s="328"/>
      <c r="M4413" s="328"/>
      <c r="N4413" s="328"/>
      <c r="O4413" s="334"/>
      <c r="P4413" s="328"/>
      <c r="Q4413" s="334"/>
      <c r="R4413" s="333">
        <v>220</v>
      </c>
      <c r="S4413" s="331" t="s">
        <v>703</v>
      </c>
      <c r="T4413" s="320">
        <v>41</v>
      </c>
      <c r="U4413" s="574"/>
      <c r="V4413" s="291">
        <f t="shared" ca="1" si="1188"/>
        <v>440</v>
      </c>
      <c r="W4413" s="256">
        <f t="shared" ca="1" si="1205"/>
        <v>2</v>
      </c>
      <c r="X4413" s="256">
        <f t="shared" ca="1" si="1206"/>
        <v>1</v>
      </c>
      <c r="Y4413" s="336"/>
      <c r="Z4413" s="336"/>
    </row>
    <row r="4414" spans="1:26" s="337" customFormat="1" ht="15" x14ac:dyDescent="0.2">
      <c r="A4414" s="288"/>
      <c r="B4414" s="494"/>
      <c r="C4414" s="397" t="s">
        <v>1321</v>
      </c>
      <c r="D4414" s="1333">
        <v>46054</v>
      </c>
      <c r="E4414" s="1334"/>
      <c r="F4414" s="1335"/>
      <c r="G4414" s="1333">
        <v>46081</v>
      </c>
      <c r="H4414" s="1334"/>
      <c r="I4414" s="1335"/>
      <c r="J4414" s="317">
        <f t="shared" si="1198"/>
        <v>28</v>
      </c>
      <c r="K4414" s="433"/>
      <c r="L4414" s="328"/>
      <c r="M4414" s="328"/>
      <c r="N4414" s="328"/>
      <c r="O4414" s="334"/>
      <c r="P4414" s="328"/>
      <c r="Q4414" s="334"/>
      <c r="R4414" s="333">
        <v>220</v>
      </c>
      <c r="S4414" s="331" t="s">
        <v>703</v>
      </c>
      <c r="T4414" s="320">
        <v>42</v>
      </c>
      <c r="U4414" s="574"/>
      <c r="V4414" s="291">
        <f t="shared" ca="1" si="1188"/>
        <v>440</v>
      </c>
      <c r="W4414" s="256">
        <f t="shared" ca="1" si="1205"/>
        <v>2</v>
      </c>
      <c r="X4414" s="256">
        <f t="shared" ca="1" si="1206"/>
        <v>1</v>
      </c>
      <c r="Y4414" s="336"/>
      <c r="Z4414" s="336"/>
    </row>
    <row r="4415" spans="1:26" s="337" customFormat="1" ht="15" x14ac:dyDescent="0.2">
      <c r="A4415" s="288"/>
      <c r="B4415" s="494"/>
      <c r="C4415" s="397" t="s">
        <v>1322</v>
      </c>
      <c r="D4415" s="1333">
        <v>46054</v>
      </c>
      <c r="E4415" s="1334"/>
      <c r="F4415" s="1335"/>
      <c r="G4415" s="1333">
        <v>46081</v>
      </c>
      <c r="H4415" s="1334"/>
      <c r="I4415" s="1335"/>
      <c r="J4415" s="317">
        <f t="shared" si="1198"/>
        <v>28</v>
      </c>
      <c r="K4415" s="433"/>
      <c r="L4415" s="328"/>
      <c r="M4415" s="328"/>
      <c r="N4415" s="328"/>
      <c r="O4415" s="334"/>
      <c r="P4415" s="328"/>
      <c r="Q4415" s="334"/>
      <c r="R4415" s="333">
        <v>220</v>
      </c>
      <c r="S4415" s="331" t="s">
        <v>703</v>
      </c>
      <c r="T4415" s="320">
        <v>42</v>
      </c>
      <c r="U4415" s="574"/>
      <c r="V4415" s="291">
        <f t="shared" ca="1" si="1188"/>
        <v>440</v>
      </c>
      <c r="W4415" s="256">
        <f t="shared" ref="W4415:W4423" ca="1" si="1207">IF(LEFT(_xlfn.FORMULATEXT(V4415),3)="=SO",1,IF(COUNTA(A4415:U4415)=0,0,2))</f>
        <v>2</v>
      </c>
      <c r="X4415" s="256">
        <f t="shared" ref="X4415:X4423" ca="1" si="1208">IF(COUNTA(OFFSET(A4414,1,0))-COUNTA(A4414)=-1,0,1)</f>
        <v>1</v>
      </c>
      <c r="Y4415" s="336"/>
      <c r="Z4415" s="336"/>
    </row>
    <row r="4416" spans="1:26" s="337" customFormat="1" ht="15" x14ac:dyDescent="0.2">
      <c r="A4416" s="288"/>
      <c r="B4416" s="494"/>
      <c r="C4416" s="397" t="s">
        <v>1331</v>
      </c>
      <c r="D4416" s="1333">
        <v>46082</v>
      </c>
      <c r="E4416" s="1334"/>
      <c r="F4416" s="1335"/>
      <c r="G4416" s="1333">
        <v>46112</v>
      </c>
      <c r="H4416" s="1334"/>
      <c r="I4416" s="1335"/>
      <c r="J4416" s="317">
        <f t="shared" si="1198"/>
        <v>31</v>
      </c>
      <c r="K4416" s="433"/>
      <c r="L4416" s="328"/>
      <c r="M4416" s="328"/>
      <c r="N4416" s="328"/>
      <c r="O4416" s="334"/>
      <c r="P4416" s="328"/>
      <c r="Q4416" s="334"/>
      <c r="R4416" s="333">
        <v>220</v>
      </c>
      <c r="S4416" s="331" t="s">
        <v>703</v>
      </c>
      <c r="T4416" s="320">
        <v>43</v>
      </c>
      <c r="U4416" s="574"/>
      <c r="V4416" s="291">
        <f t="shared" ca="1" si="1188"/>
        <v>440</v>
      </c>
      <c r="W4416" s="256">
        <f t="shared" ca="1" si="1207"/>
        <v>2</v>
      </c>
      <c r="X4416" s="256">
        <f t="shared" ca="1" si="1208"/>
        <v>1</v>
      </c>
      <c r="Y4416" s="336"/>
      <c r="Z4416" s="336"/>
    </row>
    <row r="4417" spans="1:29" s="337" customFormat="1" ht="15" x14ac:dyDescent="0.2">
      <c r="A4417" s="288"/>
      <c r="B4417" s="494"/>
      <c r="C4417" s="397" t="s">
        <v>1332</v>
      </c>
      <c r="D4417" s="1333">
        <v>46082</v>
      </c>
      <c r="E4417" s="1334"/>
      <c r="F4417" s="1335"/>
      <c r="G4417" s="1333">
        <v>46112</v>
      </c>
      <c r="H4417" s="1334"/>
      <c r="I4417" s="1335"/>
      <c r="J4417" s="317">
        <f t="shared" si="1198"/>
        <v>31</v>
      </c>
      <c r="K4417" s="433"/>
      <c r="L4417" s="328"/>
      <c r="M4417" s="328"/>
      <c r="N4417" s="328"/>
      <c r="O4417" s="334"/>
      <c r="P4417" s="328"/>
      <c r="Q4417" s="334"/>
      <c r="R4417" s="333">
        <v>220</v>
      </c>
      <c r="S4417" s="331" t="s">
        <v>703</v>
      </c>
      <c r="T4417" s="320">
        <v>43</v>
      </c>
      <c r="U4417" s="574"/>
      <c r="V4417" s="291">
        <f t="shared" ca="1" si="1188"/>
        <v>440</v>
      </c>
      <c r="W4417" s="256">
        <f t="shared" ca="1" si="1207"/>
        <v>2</v>
      </c>
      <c r="X4417" s="256">
        <f t="shared" ca="1" si="1208"/>
        <v>1</v>
      </c>
      <c r="Y4417" s="336"/>
      <c r="Z4417" s="336"/>
    </row>
    <row r="4418" spans="1:29" s="337" customFormat="1" ht="15" x14ac:dyDescent="0.2">
      <c r="A4418" s="288"/>
      <c r="B4418" s="494"/>
      <c r="C4418" s="397" t="s">
        <v>1369</v>
      </c>
      <c r="D4418" s="1333">
        <v>46113</v>
      </c>
      <c r="E4418" s="1334"/>
      <c r="F4418" s="1335"/>
      <c r="G4418" s="1333">
        <v>46142</v>
      </c>
      <c r="H4418" s="1334"/>
      <c r="I4418" s="1335"/>
      <c r="J4418" s="317">
        <f t="shared" si="1198"/>
        <v>30</v>
      </c>
      <c r="K4418" s="433"/>
      <c r="L4418" s="328"/>
      <c r="M4418" s="328"/>
      <c r="N4418" s="328"/>
      <c r="O4418" s="334"/>
      <c r="P4418" s="328"/>
      <c r="Q4418" s="334"/>
      <c r="R4418" s="333">
        <v>220</v>
      </c>
      <c r="S4418" s="331" t="s">
        <v>703</v>
      </c>
      <c r="T4418" s="320">
        <v>44</v>
      </c>
      <c r="U4418" s="574"/>
      <c r="V4418" s="291">
        <f t="shared" ca="1" si="1188"/>
        <v>440</v>
      </c>
      <c r="W4418" s="256">
        <f t="shared" ca="1" si="1207"/>
        <v>2</v>
      </c>
      <c r="X4418" s="256">
        <f t="shared" ca="1" si="1208"/>
        <v>1</v>
      </c>
      <c r="Y4418" s="336"/>
      <c r="Z4418" s="336"/>
    </row>
    <row r="4419" spans="1:29" s="337" customFormat="1" ht="15" x14ac:dyDescent="0.2">
      <c r="A4419" s="288"/>
      <c r="B4419" s="494"/>
      <c r="C4419" s="397" t="s">
        <v>1370</v>
      </c>
      <c r="D4419" s="1333">
        <v>46113</v>
      </c>
      <c r="E4419" s="1334"/>
      <c r="F4419" s="1335"/>
      <c r="G4419" s="1333">
        <v>46142</v>
      </c>
      <c r="H4419" s="1334"/>
      <c r="I4419" s="1335"/>
      <c r="J4419" s="317">
        <f t="shared" si="1198"/>
        <v>30</v>
      </c>
      <c r="K4419" s="433"/>
      <c r="L4419" s="328"/>
      <c r="M4419" s="328"/>
      <c r="N4419" s="328"/>
      <c r="O4419" s="334"/>
      <c r="P4419" s="328"/>
      <c r="Q4419" s="334"/>
      <c r="R4419" s="333">
        <v>220</v>
      </c>
      <c r="S4419" s="331" t="s">
        <v>703</v>
      </c>
      <c r="T4419" s="320">
        <v>44</v>
      </c>
      <c r="U4419" s="574"/>
      <c r="V4419" s="291">
        <f t="shared" ca="1" si="1188"/>
        <v>440</v>
      </c>
      <c r="W4419" s="256">
        <f t="shared" ca="1" si="1207"/>
        <v>2</v>
      </c>
      <c r="X4419" s="256">
        <f t="shared" ca="1" si="1208"/>
        <v>1</v>
      </c>
      <c r="Y4419" s="336"/>
      <c r="Z4419" s="336"/>
    </row>
    <row r="4420" spans="1:29" s="337" customFormat="1" ht="15" x14ac:dyDescent="0.2">
      <c r="A4420" s="288"/>
      <c r="B4420" s="494"/>
      <c r="C4420" s="755"/>
      <c r="D4420" s="756"/>
      <c r="E4420" s="757"/>
      <c r="F4420" s="758"/>
      <c r="G4420" s="756"/>
      <c r="H4420" s="757"/>
      <c r="I4420" s="758"/>
      <c r="J4420" s="560"/>
      <c r="K4420" s="500"/>
      <c r="L4420" s="501"/>
      <c r="M4420" s="760"/>
      <c r="N4420" s="761"/>
      <c r="O4420" s="505"/>
      <c r="P4420" s="501"/>
      <c r="Q4420" s="739"/>
      <c r="R4420" s="504"/>
      <c r="S4420" s="505"/>
      <c r="T4420" s="506"/>
      <c r="U4420" s="574"/>
      <c r="V4420" s="291">
        <f t="shared" ca="1" si="1188"/>
        <v>440</v>
      </c>
      <c r="W4420" s="256">
        <f t="shared" ca="1" si="1207"/>
        <v>0</v>
      </c>
      <c r="X4420" s="256">
        <f t="shared" ca="1" si="1208"/>
        <v>1</v>
      </c>
      <c r="Y4420" s="336"/>
      <c r="Z4420" s="336"/>
    </row>
    <row r="4421" spans="1:29" s="111" customFormat="1" ht="15" x14ac:dyDescent="0.2">
      <c r="A4421" s="288"/>
      <c r="B4421" s="338"/>
      <c r="C4421" s="339"/>
      <c r="D4421" s="1348"/>
      <c r="E4421" s="1349"/>
      <c r="F4421" s="1350"/>
      <c r="G4421" s="1351"/>
      <c r="H4421" s="1352"/>
      <c r="I4421" s="1353"/>
      <c r="J4421" s="343"/>
      <c r="K4421" s="344"/>
      <c r="L4421" s="345"/>
      <c r="M4421" s="346"/>
      <c r="N4421" s="347"/>
      <c r="O4421" s="348"/>
      <c r="P4421" s="345"/>
      <c r="Q4421" s="349"/>
      <c r="R4421" s="350"/>
      <c r="S4421" s="351"/>
      <c r="T4421" s="352"/>
      <c r="U4421" s="353"/>
      <c r="V4421" s="291">
        <f t="shared" ca="1" si="1188"/>
        <v>440</v>
      </c>
      <c r="W4421" s="256">
        <f t="shared" ca="1" si="1207"/>
        <v>0</v>
      </c>
      <c r="X4421" s="256">
        <f t="shared" ca="1" si="1208"/>
        <v>1</v>
      </c>
      <c r="Y4421" s="250"/>
      <c r="Z4421" s="250"/>
    </row>
    <row r="4422" spans="1:29" s="111" customFormat="1" ht="15.75" x14ac:dyDescent="0.2">
      <c r="A4422" s="288"/>
      <c r="B4422" s="354"/>
      <c r="C4422" s="355"/>
      <c r="D4422" s="1354" t="s">
        <v>492</v>
      </c>
      <c r="E4422" s="1355"/>
      <c r="F4422" s="1355"/>
      <c r="G4422" s="1355"/>
      <c r="H4422" s="1355"/>
      <c r="I4422" s="1356"/>
      <c r="J4422" s="1357">
        <f>VLOOKUP(A4424,'11 - FINANCEIRO'!_xlnm.Print_Area,6,FALSE)</f>
        <v>8800</v>
      </c>
      <c r="K4422" s="1358"/>
      <c r="L4422" s="356" t="str">
        <f>VLOOKUP(A4424,'11 - FINANCEIRO'!_xlnm.Print_Area,4,FALSE)</f>
        <v>H</v>
      </c>
      <c r="M4422" s="1359" t="s">
        <v>493</v>
      </c>
      <c r="N4422" s="1360"/>
      <c r="O4422" s="1360"/>
      <c r="P4422" s="1360"/>
      <c r="Q4422" s="1361"/>
      <c r="R4422" s="357">
        <f>TRUNC(SUM(R4382:R4421),3)</f>
        <v>8360</v>
      </c>
      <c r="S4422" s="358" t="str">
        <f>L4422</f>
        <v>H</v>
      </c>
      <c r="T4422" s="359"/>
      <c r="U4422" s="360"/>
      <c r="V4422" s="291">
        <f t="shared" ca="1" si="1188"/>
        <v>440</v>
      </c>
      <c r="W4422" s="256">
        <f t="shared" ca="1" si="1207"/>
        <v>2</v>
      </c>
      <c r="X4422" s="256">
        <f t="shared" ca="1" si="1208"/>
        <v>1</v>
      </c>
      <c r="Y4422" s="250"/>
      <c r="Z4422" s="250"/>
    </row>
    <row r="4423" spans="1:29" s="111" customFormat="1" ht="15.75" x14ac:dyDescent="0.2">
      <c r="A4423" s="288"/>
      <c r="B4423" s="354"/>
      <c r="C4423" s="361"/>
      <c r="D4423" s="1362" t="s">
        <v>494</v>
      </c>
      <c r="E4423" s="1363"/>
      <c r="F4423" s="1363"/>
      <c r="G4423" s="1363"/>
      <c r="H4423" s="1363"/>
      <c r="I4423" s="1364"/>
      <c r="J4423" s="1365">
        <f>IF(R4422&gt;J4422,1,R4422/J4422)</f>
        <v>0.95</v>
      </c>
      <c r="K4423" s="1366"/>
      <c r="L4423" s="1369"/>
      <c r="M4423" s="1371" t="s">
        <v>495</v>
      </c>
      <c r="N4423" s="1372"/>
      <c r="O4423" s="1372"/>
      <c r="P4423" s="1372"/>
      <c r="Q4423" s="1373"/>
      <c r="R4423" s="362">
        <f>VLOOKUP(A4424,'11 - FINANCEIRO'!_xlnm.Print_Area,8,FALSE)</f>
        <v>7920</v>
      </c>
      <c r="S4423" s="363" t="str">
        <f>L4422</f>
        <v>H</v>
      </c>
      <c r="T4423" s="359"/>
      <c r="U4423" s="829"/>
      <c r="V4423" s="291">
        <f t="shared" ca="1" si="1188"/>
        <v>440</v>
      </c>
      <c r="W4423" s="256">
        <f t="shared" ca="1" si="1207"/>
        <v>2</v>
      </c>
      <c r="X4423" s="256">
        <f t="shared" ca="1" si="1208"/>
        <v>1</v>
      </c>
      <c r="Y4423" s="250"/>
      <c r="Z4423" s="250"/>
    </row>
    <row r="4424" spans="1:29" s="293" customFormat="1" ht="15.75" x14ac:dyDescent="0.2">
      <c r="A4424" s="288" t="s">
        <v>732</v>
      </c>
      <c r="B4424" s="364"/>
      <c r="C4424" s="365"/>
      <c r="D4424" s="1354"/>
      <c r="E4424" s="1355"/>
      <c r="F4424" s="1355"/>
      <c r="G4424" s="1355"/>
      <c r="H4424" s="1355"/>
      <c r="I4424" s="1356"/>
      <c r="J4424" s="1367"/>
      <c r="K4424" s="1368"/>
      <c r="L4424" s="1370"/>
      <c r="M4424" s="1371" t="s">
        <v>496</v>
      </c>
      <c r="N4424" s="1372"/>
      <c r="O4424" s="1372"/>
      <c r="P4424" s="1372"/>
      <c r="Q4424" s="1373"/>
      <c r="R4424" s="362">
        <f>R4422-R4423</f>
        <v>440</v>
      </c>
      <c r="S4424" s="363" t="str">
        <f>L4422</f>
        <v>H</v>
      </c>
      <c r="T4424" s="366"/>
      <c r="U4424" s="367"/>
      <c r="V4424" s="291">
        <f t="shared" ca="1" si="1188"/>
        <v>440</v>
      </c>
      <c r="W4424" s="256">
        <f t="shared" ref="W4424:W4446" ca="1" si="1209">IF(LEFT(_xlfn.FORMULATEXT(V4424),3)="=SO",1,IF(COUNTA(A4424:U4424)=0,0,2))</f>
        <v>2</v>
      </c>
      <c r="X4424" s="256">
        <f t="shared" ref="X4424:X4428" ca="1" si="1210">IF(COUNTA(OFFSET(A4423,1,0))-COUNTA(A4423)=-1,0,1)</f>
        <v>1</v>
      </c>
      <c r="Y4424" s="256"/>
      <c r="Z4424" s="256"/>
      <c r="AA4424" s="292"/>
      <c r="AB4424" s="292"/>
      <c r="AC4424" s="292"/>
    </row>
    <row r="4425" spans="1:29" s="111" customFormat="1" ht="15.75" x14ac:dyDescent="0.2">
      <c r="A4425" s="288"/>
      <c r="B4425" s="368"/>
      <c r="C4425" s="365"/>
      <c r="D4425" s="369"/>
      <c r="E4425" s="370"/>
      <c r="F4425" s="369"/>
      <c r="G4425" s="369"/>
      <c r="H4425" s="369"/>
      <c r="I4425" s="369"/>
      <c r="J4425" s="371"/>
      <c r="K4425" s="372"/>
      <c r="L4425" s="373"/>
      <c r="M4425" s="374"/>
      <c r="N4425" s="374"/>
      <c r="O4425" s="374"/>
      <c r="P4425" s="374"/>
      <c r="Q4425" s="374"/>
      <c r="R4425" s="375"/>
      <c r="S4425" s="376"/>
      <c r="T4425" s="377"/>
      <c r="U4425" s="378"/>
      <c r="V4425" s="379">
        <f ca="1">SUM(V4380:V4424)</f>
        <v>19800</v>
      </c>
      <c r="W4425" s="256">
        <f t="shared" ca="1" si="1209"/>
        <v>1</v>
      </c>
      <c r="X4425" s="256">
        <f t="shared" ca="1" si="1210"/>
        <v>0</v>
      </c>
      <c r="Y4425" s="250"/>
      <c r="Z4425" s="250"/>
    </row>
    <row r="4426" spans="1:29" s="293" customFormat="1" ht="33" customHeight="1" x14ac:dyDescent="0.2">
      <c r="A4426" s="288"/>
      <c r="B4426" s="1374" t="str">
        <f>VLOOKUP(A4485,'11 - FINANCEIRO'!_xlnm.Print_Area,1,FALSE)</f>
        <v>6.1.11</v>
      </c>
      <c r="C4426" s="1376" t="str">
        <f>VLOOKUP(A4485,'11 - FINANCEIRO'!_xlnm.Print_Area,3,FALSE)</f>
        <v>Bomba D ́agua submersível para locação Motor: Elétrico Mono ou Trifásico Tensão: 220 V Diâmetro saída: 6 pol.  (BOMBA ELETRICA)</v>
      </c>
      <c r="D4426" s="1378" t="s">
        <v>500</v>
      </c>
      <c r="E4426" s="1379"/>
      <c r="F4426" s="1379"/>
      <c r="G4426" s="1379"/>
      <c r="H4426" s="1379"/>
      <c r="I4426" s="1380"/>
      <c r="J4426" s="1338" t="s">
        <v>478</v>
      </c>
      <c r="K4426" s="1338" t="s">
        <v>479</v>
      </c>
      <c r="L4426" s="1338" t="s">
        <v>480</v>
      </c>
      <c r="M4426" s="1338" t="s">
        <v>481</v>
      </c>
      <c r="N4426" s="1338" t="s">
        <v>482</v>
      </c>
      <c r="O4426" s="1338" t="s">
        <v>483</v>
      </c>
      <c r="P4426" s="1338" t="s">
        <v>484</v>
      </c>
      <c r="Q4426" s="1338" t="s">
        <v>296</v>
      </c>
      <c r="R4426" s="1336" t="s">
        <v>296</v>
      </c>
      <c r="S4426" s="1338" t="s">
        <v>486</v>
      </c>
      <c r="T4426" s="1338" t="s">
        <v>487</v>
      </c>
      <c r="U4426" s="1340" t="s">
        <v>488</v>
      </c>
      <c r="V4426" s="291">
        <f t="shared" ca="1" si="1188"/>
        <v>4</v>
      </c>
      <c r="W4426" s="256">
        <f t="shared" ca="1" si="1209"/>
        <v>2</v>
      </c>
      <c r="X4426" s="256">
        <f t="shared" ca="1" si="1210"/>
        <v>1</v>
      </c>
      <c r="Y4426" s="256"/>
      <c r="Z4426" s="256"/>
      <c r="AA4426" s="292"/>
      <c r="AB4426" s="292"/>
      <c r="AC4426" s="292"/>
    </row>
    <row r="4427" spans="1:29" s="293" customFormat="1" ht="33" customHeight="1" x14ac:dyDescent="0.2">
      <c r="A4427" s="288"/>
      <c r="B4427" s="1375"/>
      <c r="C4427" s="1377"/>
      <c r="D4427" s="1342" t="s">
        <v>489</v>
      </c>
      <c r="E4427" s="1343"/>
      <c r="F4427" s="1344"/>
      <c r="G4427" s="1345" t="s">
        <v>490</v>
      </c>
      <c r="H4427" s="1346"/>
      <c r="I4427" s="1347"/>
      <c r="J4427" s="1339"/>
      <c r="K4427" s="1339"/>
      <c r="L4427" s="1339"/>
      <c r="M4427" s="1339"/>
      <c r="N4427" s="1339"/>
      <c r="O4427" s="1339"/>
      <c r="P4427" s="1339" t="s">
        <v>491</v>
      </c>
      <c r="Q4427" s="1339"/>
      <c r="R4427" s="1337"/>
      <c r="S4427" s="1339"/>
      <c r="T4427" s="1339"/>
      <c r="U4427" s="1341"/>
      <c r="V4427" s="291">
        <f t="shared" ca="1" si="1188"/>
        <v>4</v>
      </c>
      <c r="W4427" s="256">
        <f t="shared" ca="1" si="1209"/>
        <v>2</v>
      </c>
      <c r="X4427" s="256">
        <f t="shared" ca="1" si="1210"/>
        <v>1</v>
      </c>
      <c r="Y4427" s="256"/>
      <c r="Z4427" s="256"/>
      <c r="AA4427" s="292"/>
      <c r="AB4427" s="292"/>
      <c r="AC4427" s="292"/>
    </row>
    <row r="4428" spans="1:29" s="293" customFormat="1" ht="15.75" x14ac:dyDescent="0.2">
      <c r="A4428" s="288"/>
      <c r="B4428" s="296"/>
      <c r="C4428" s="297" t="s">
        <v>789</v>
      </c>
      <c r="D4428" s="1381">
        <v>44776</v>
      </c>
      <c r="E4428" s="1382"/>
      <c r="F4428" s="1383"/>
      <c r="G4428" s="1381">
        <v>44804</v>
      </c>
      <c r="H4428" s="1382"/>
      <c r="I4428" s="1383"/>
      <c r="J4428" s="304">
        <f t="shared" ref="J4428:J4447" si="1211">G4428-D4428+1</f>
        <v>29</v>
      </c>
      <c r="K4428" s="304"/>
      <c r="L4428" s="304"/>
      <c r="M4428" s="304"/>
      <c r="N4428" s="304"/>
      <c r="O4428" s="304"/>
      <c r="P4428" s="306"/>
      <c r="Q4428" s="304"/>
      <c r="R4428" s="307">
        <v>2</v>
      </c>
      <c r="S4428" s="308" t="str">
        <f>S4483</f>
        <v>mês</v>
      </c>
      <c r="T4428" s="309">
        <v>19</v>
      </c>
      <c r="U4428" s="310"/>
      <c r="V4428" s="291">
        <f t="shared" ca="1" si="1188"/>
        <v>4</v>
      </c>
      <c r="W4428" s="256">
        <f t="shared" ca="1" si="1209"/>
        <v>2</v>
      </c>
      <c r="X4428" s="256">
        <f t="shared" ca="1" si="1210"/>
        <v>1</v>
      </c>
      <c r="Y4428" s="256"/>
      <c r="Z4428" s="256"/>
      <c r="AA4428" s="292"/>
      <c r="AB4428" s="292"/>
      <c r="AC4428" s="292"/>
    </row>
    <row r="4429" spans="1:29" s="337" customFormat="1" ht="15.75" x14ac:dyDescent="0.2">
      <c r="A4429" s="288"/>
      <c r="B4429" s="311"/>
      <c r="C4429" s="312" t="s">
        <v>790</v>
      </c>
      <c r="D4429" s="1333">
        <v>44805</v>
      </c>
      <c r="E4429" s="1334"/>
      <c r="F4429" s="1335"/>
      <c r="G4429" s="1333">
        <v>44836</v>
      </c>
      <c r="H4429" s="1334"/>
      <c r="I4429" s="1335"/>
      <c r="J4429" s="317">
        <f t="shared" si="1211"/>
        <v>32</v>
      </c>
      <c r="K4429" s="313"/>
      <c r="L4429" s="317"/>
      <c r="M4429" s="315"/>
      <c r="N4429" s="314"/>
      <c r="O4429" s="313"/>
      <c r="P4429" s="318"/>
      <c r="Q4429" s="315"/>
      <c r="R4429" s="319">
        <v>2</v>
      </c>
      <c r="S4429" s="331" t="s">
        <v>313</v>
      </c>
      <c r="T4429" s="320">
        <v>19</v>
      </c>
      <c r="U4429" s="321"/>
      <c r="V4429" s="291">
        <f t="shared" ca="1" si="1188"/>
        <v>4</v>
      </c>
      <c r="W4429" s="256">
        <f t="shared" ca="1" si="1209"/>
        <v>2</v>
      </c>
      <c r="X4429" s="256">
        <f ca="1">IF(COUNTA(OFFSET(#REF!,1,0))-COUNTA(#REF!)=-1,0,1)</f>
        <v>1</v>
      </c>
      <c r="Y4429" s="336"/>
      <c r="Z4429" s="336"/>
    </row>
    <row r="4430" spans="1:29" s="337" customFormat="1" ht="15.75" x14ac:dyDescent="0.2">
      <c r="A4430" s="288"/>
      <c r="B4430" s="311"/>
      <c r="C4430" s="312" t="s">
        <v>788</v>
      </c>
      <c r="D4430" s="1333">
        <v>44837</v>
      </c>
      <c r="E4430" s="1334"/>
      <c r="F4430" s="1335"/>
      <c r="G4430" s="1333">
        <v>44865</v>
      </c>
      <c r="H4430" s="1334"/>
      <c r="I4430" s="1335"/>
      <c r="J4430" s="317">
        <f t="shared" si="1211"/>
        <v>29</v>
      </c>
      <c r="K4430" s="313"/>
      <c r="L4430" s="317"/>
      <c r="M4430" s="315"/>
      <c r="N4430" s="314"/>
      <c r="O4430" s="313"/>
      <c r="P4430" s="318"/>
      <c r="Q4430" s="315"/>
      <c r="R4430" s="319">
        <v>2</v>
      </c>
      <c r="S4430" s="331" t="s">
        <v>313</v>
      </c>
      <c r="T4430" s="320">
        <v>19</v>
      </c>
      <c r="U4430" s="321"/>
      <c r="V4430" s="291">
        <f t="shared" ca="1" si="1188"/>
        <v>4</v>
      </c>
      <c r="W4430" s="256">
        <f t="shared" ca="1" si="1209"/>
        <v>2</v>
      </c>
      <c r="X4430" s="256">
        <f t="shared" ref="X4430:X4441" ca="1" si="1212">IF(COUNTA(OFFSET(A4429,1,0))-COUNTA(A4429)=-1,0,1)</f>
        <v>1</v>
      </c>
      <c r="Y4430" s="336"/>
      <c r="Z4430" s="336"/>
    </row>
    <row r="4431" spans="1:29" s="405" customFormat="1" ht="15" x14ac:dyDescent="0.2">
      <c r="A4431" s="403"/>
      <c r="B4431" s="322"/>
      <c r="C4431" s="397" t="s">
        <v>791</v>
      </c>
      <c r="D4431" s="1333">
        <v>44866</v>
      </c>
      <c r="E4431" s="1334"/>
      <c r="F4431" s="1335"/>
      <c r="G4431" s="1333">
        <v>44890</v>
      </c>
      <c r="H4431" s="1334"/>
      <c r="I4431" s="1335"/>
      <c r="J4431" s="317">
        <f t="shared" si="1211"/>
        <v>25</v>
      </c>
      <c r="K4431" s="328"/>
      <c r="L4431" s="328"/>
      <c r="M4431" s="328"/>
      <c r="N4431" s="328"/>
      <c r="O4431" s="334"/>
      <c r="P4431" s="328"/>
      <c r="Q4431" s="334"/>
      <c r="R4431" s="319">
        <v>2</v>
      </c>
      <c r="S4431" s="331" t="s">
        <v>313</v>
      </c>
      <c r="T4431" s="320">
        <v>19</v>
      </c>
      <c r="U4431" s="335"/>
      <c r="V4431" s="291">
        <f t="shared" ca="1" si="1188"/>
        <v>4</v>
      </c>
      <c r="W4431" s="256">
        <f t="shared" ca="1" si="1209"/>
        <v>2</v>
      </c>
      <c r="X4431" s="256">
        <f t="shared" ca="1" si="1212"/>
        <v>1</v>
      </c>
      <c r="Y4431" s="404"/>
      <c r="Z4431" s="404"/>
    </row>
    <row r="4432" spans="1:29" s="405" customFormat="1" ht="15" x14ac:dyDescent="0.2">
      <c r="A4432" s="403"/>
      <c r="B4432" s="322"/>
      <c r="C4432" s="397" t="s">
        <v>792</v>
      </c>
      <c r="D4432" s="1333">
        <f>G4431+1</f>
        <v>44891</v>
      </c>
      <c r="E4432" s="1334"/>
      <c r="F4432" s="1335"/>
      <c r="G4432" s="1333">
        <v>44926</v>
      </c>
      <c r="H4432" s="1334"/>
      <c r="I4432" s="1335"/>
      <c r="J4432" s="317">
        <f t="shared" si="1211"/>
        <v>36</v>
      </c>
      <c r="K4432" s="328"/>
      <c r="L4432" s="328"/>
      <c r="M4432" s="328"/>
      <c r="N4432" s="328"/>
      <c r="O4432" s="334"/>
      <c r="P4432" s="328"/>
      <c r="Q4432" s="334"/>
      <c r="R4432" s="319">
        <v>2</v>
      </c>
      <c r="S4432" s="331" t="s">
        <v>313</v>
      </c>
      <c r="T4432" s="320">
        <v>19</v>
      </c>
      <c r="U4432" s="335"/>
      <c r="V4432" s="291">
        <f t="shared" ca="1" si="1188"/>
        <v>4</v>
      </c>
      <c r="W4432" s="256">
        <f t="shared" ca="1" si="1209"/>
        <v>2</v>
      </c>
      <c r="X4432" s="256">
        <f t="shared" ca="1" si="1212"/>
        <v>1</v>
      </c>
      <c r="Y4432" s="404"/>
      <c r="Z4432" s="404"/>
    </row>
    <row r="4433" spans="1:29" s="337" customFormat="1" ht="15" x14ac:dyDescent="0.2">
      <c r="A4433" s="288"/>
      <c r="B4433" s="322"/>
      <c r="C4433" s="397" t="s">
        <v>793</v>
      </c>
      <c r="D4433" s="1333">
        <v>44927</v>
      </c>
      <c r="E4433" s="1334"/>
      <c r="F4433" s="1335"/>
      <c r="G4433" s="1333">
        <v>44957</v>
      </c>
      <c r="H4433" s="1334"/>
      <c r="I4433" s="1335"/>
      <c r="J4433" s="317">
        <f t="shared" si="1211"/>
        <v>31</v>
      </c>
      <c r="K4433" s="327"/>
      <c r="L4433" s="328"/>
      <c r="M4433" s="329"/>
      <c r="N4433" s="330"/>
      <c r="O4433" s="331"/>
      <c r="P4433" s="328"/>
      <c r="Q4433" s="332"/>
      <c r="R4433" s="319">
        <v>2</v>
      </c>
      <c r="S4433" s="331" t="s">
        <v>313</v>
      </c>
      <c r="T4433" s="320">
        <v>19</v>
      </c>
      <c r="U4433" s="335"/>
      <c r="V4433" s="291">
        <f t="shared" ca="1" si="1188"/>
        <v>4</v>
      </c>
      <c r="W4433" s="256">
        <f t="shared" ca="1" si="1209"/>
        <v>2</v>
      </c>
      <c r="X4433" s="256">
        <f t="shared" ca="1" si="1212"/>
        <v>1</v>
      </c>
      <c r="Y4433" s="336"/>
      <c r="Z4433" s="336"/>
    </row>
    <row r="4434" spans="1:29" s="337" customFormat="1" ht="15" x14ac:dyDescent="0.2">
      <c r="A4434" s="288"/>
      <c r="B4434" s="322"/>
      <c r="C4434" s="397" t="s">
        <v>794</v>
      </c>
      <c r="D4434" s="1333">
        <v>44958</v>
      </c>
      <c r="E4434" s="1334"/>
      <c r="F4434" s="1335"/>
      <c r="G4434" s="1333">
        <v>44985</v>
      </c>
      <c r="H4434" s="1334"/>
      <c r="I4434" s="1335"/>
      <c r="J4434" s="317">
        <f t="shared" si="1211"/>
        <v>28</v>
      </c>
      <c r="K4434" s="327"/>
      <c r="L4434" s="328"/>
      <c r="M4434" s="329"/>
      <c r="N4434" s="330"/>
      <c r="O4434" s="331"/>
      <c r="P4434" s="328"/>
      <c r="Q4434" s="332"/>
      <c r="R4434" s="319">
        <v>2</v>
      </c>
      <c r="S4434" s="331" t="str">
        <f t="shared" ref="S4434:S4440" si="1213">$S$154</f>
        <v>mês</v>
      </c>
      <c r="T4434" s="320">
        <v>19</v>
      </c>
      <c r="U4434" s="335"/>
      <c r="V4434" s="291">
        <f t="shared" ca="1" si="1188"/>
        <v>4</v>
      </c>
      <c r="W4434" s="256">
        <f t="shared" ca="1" si="1209"/>
        <v>2</v>
      </c>
      <c r="X4434" s="256">
        <f t="shared" ca="1" si="1212"/>
        <v>1</v>
      </c>
      <c r="Y4434" s="336"/>
      <c r="Z4434" s="336"/>
    </row>
    <row r="4435" spans="1:29" s="337" customFormat="1" ht="15" x14ac:dyDescent="0.2">
      <c r="A4435" s="288"/>
      <c r="B4435" s="322"/>
      <c r="C4435" s="397" t="s">
        <v>795</v>
      </c>
      <c r="D4435" s="1333">
        <v>44986</v>
      </c>
      <c r="E4435" s="1334"/>
      <c r="F4435" s="1335"/>
      <c r="G4435" s="1333">
        <v>45016</v>
      </c>
      <c r="H4435" s="1334"/>
      <c r="I4435" s="1335"/>
      <c r="J4435" s="317">
        <f t="shared" si="1211"/>
        <v>31</v>
      </c>
      <c r="K4435" s="327"/>
      <c r="L4435" s="328"/>
      <c r="M4435" s="329"/>
      <c r="N4435" s="330"/>
      <c r="O4435" s="331"/>
      <c r="P4435" s="328"/>
      <c r="Q4435" s="332"/>
      <c r="R4435" s="319">
        <v>2</v>
      </c>
      <c r="S4435" s="331" t="str">
        <f t="shared" si="1213"/>
        <v>mês</v>
      </c>
      <c r="T4435" s="320">
        <v>19</v>
      </c>
      <c r="U4435" s="335"/>
      <c r="V4435" s="291">
        <f t="shared" ca="1" si="1188"/>
        <v>4</v>
      </c>
      <c r="W4435" s="256">
        <f t="shared" ca="1" si="1209"/>
        <v>2</v>
      </c>
      <c r="X4435" s="256">
        <f t="shared" ca="1" si="1212"/>
        <v>1</v>
      </c>
      <c r="Y4435" s="336"/>
      <c r="Z4435" s="336"/>
    </row>
    <row r="4436" spans="1:29" s="337" customFormat="1" ht="15" x14ac:dyDescent="0.2">
      <c r="A4436" s="288"/>
      <c r="B4436" s="322"/>
      <c r="C4436" s="397" t="s">
        <v>796</v>
      </c>
      <c r="D4436" s="1333">
        <v>45017</v>
      </c>
      <c r="E4436" s="1334"/>
      <c r="F4436" s="1335"/>
      <c r="G4436" s="1333">
        <v>45046</v>
      </c>
      <c r="H4436" s="1334"/>
      <c r="I4436" s="1335"/>
      <c r="J4436" s="317">
        <f t="shared" si="1211"/>
        <v>30</v>
      </c>
      <c r="K4436" s="327"/>
      <c r="L4436" s="328"/>
      <c r="M4436" s="329"/>
      <c r="N4436" s="330"/>
      <c r="O4436" s="331"/>
      <c r="P4436" s="328"/>
      <c r="Q4436" s="332"/>
      <c r="R4436" s="319">
        <v>2</v>
      </c>
      <c r="S4436" s="331" t="str">
        <f t="shared" si="1213"/>
        <v>mês</v>
      </c>
      <c r="T4436" s="320">
        <v>19</v>
      </c>
      <c r="U4436" s="335"/>
      <c r="V4436" s="291">
        <f t="shared" ca="1" si="1188"/>
        <v>4</v>
      </c>
      <c r="W4436" s="256">
        <f t="shared" ca="1" si="1209"/>
        <v>2</v>
      </c>
      <c r="X4436" s="256">
        <f t="shared" ca="1" si="1212"/>
        <v>1</v>
      </c>
      <c r="Y4436" s="336"/>
      <c r="Z4436" s="336"/>
    </row>
    <row r="4437" spans="1:29" s="337" customFormat="1" ht="15" x14ac:dyDescent="0.2">
      <c r="A4437" s="288"/>
      <c r="B4437" s="322"/>
      <c r="C4437" s="397" t="s">
        <v>797</v>
      </c>
      <c r="D4437" s="1333">
        <v>45047</v>
      </c>
      <c r="E4437" s="1334"/>
      <c r="F4437" s="1335"/>
      <c r="G4437" s="1333">
        <v>45077</v>
      </c>
      <c r="H4437" s="1334"/>
      <c r="I4437" s="1335"/>
      <c r="J4437" s="317">
        <f t="shared" si="1211"/>
        <v>31</v>
      </c>
      <c r="K4437" s="327"/>
      <c r="L4437" s="328"/>
      <c r="M4437" s="329"/>
      <c r="N4437" s="330"/>
      <c r="O4437" s="331"/>
      <c r="P4437" s="328"/>
      <c r="Q4437" s="332"/>
      <c r="R4437" s="319">
        <v>2</v>
      </c>
      <c r="S4437" s="331" t="str">
        <f t="shared" si="1213"/>
        <v>mês</v>
      </c>
      <c r="T4437" s="320">
        <v>19</v>
      </c>
      <c r="U4437" s="335"/>
      <c r="V4437" s="291">
        <f t="shared" ca="1" si="1188"/>
        <v>4</v>
      </c>
      <c r="W4437" s="256">
        <f t="shared" ca="1" si="1209"/>
        <v>2</v>
      </c>
      <c r="X4437" s="256">
        <f t="shared" ca="1" si="1212"/>
        <v>1</v>
      </c>
      <c r="Y4437" s="336"/>
      <c r="Z4437" s="336"/>
    </row>
    <row r="4438" spans="1:29" s="337" customFormat="1" ht="15" x14ac:dyDescent="0.2">
      <c r="A4438" s="288"/>
      <c r="B4438" s="322"/>
      <c r="C4438" s="397" t="s">
        <v>798</v>
      </c>
      <c r="D4438" s="1333">
        <v>45078</v>
      </c>
      <c r="E4438" s="1334"/>
      <c r="F4438" s="1335"/>
      <c r="G4438" s="1333">
        <v>45107</v>
      </c>
      <c r="H4438" s="1334"/>
      <c r="I4438" s="1335"/>
      <c r="J4438" s="317">
        <f t="shared" si="1211"/>
        <v>30</v>
      </c>
      <c r="K4438" s="327"/>
      <c r="L4438" s="328"/>
      <c r="M4438" s="329"/>
      <c r="N4438" s="330"/>
      <c r="O4438" s="331"/>
      <c r="P4438" s="328"/>
      <c r="Q4438" s="332"/>
      <c r="R4438" s="319">
        <v>2</v>
      </c>
      <c r="S4438" s="331" t="str">
        <f t="shared" si="1213"/>
        <v>mês</v>
      </c>
      <c r="T4438" s="320">
        <v>19</v>
      </c>
      <c r="U4438" s="335"/>
      <c r="V4438" s="291">
        <f t="shared" ca="1" si="1188"/>
        <v>4</v>
      </c>
      <c r="W4438" s="256">
        <f t="shared" ca="1" si="1209"/>
        <v>2</v>
      </c>
      <c r="X4438" s="256">
        <f t="shared" ca="1" si="1212"/>
        <v>1</v>
      </c>
      <c r="Y4438" s="336"/>
      <c r="Z4438" s="336"/>
    </row>
    <row r="4439" spans="1:29" s="337" customFormat="1" ht="15" x14ac:dyDescent="0.2">
      <c r="A4439" s="288"/>
      <c r="B4439" s="322"/>
      <c r="C4439" s="397" t="s">
        <v>799</v>
      </c>
      <c r="D4439" s="1333">
        <v>45108</v>
      </c>
      <c r="E4439" s="1334"/>
      <c r="F4439" s="1335"/>
      <c r="G4439" s="1333">
        <v>45138</v>
      </c>
      <c r="H4439" s="1334"/>
      <c r="I4439" s="1335"/>
      <c r="J4439" s="317">
        <f t="shared" si="1211"/>
        <v>31</v>
      </c>
      <c r="K4439" s="327"/>
      <c r="L4439" s="328"/>
      <c r="M4439" s="329"/>
      <c r="N4439" s="330"/>
      <c r="O4439" s="331"/>
      <c r="P4439" s="328"/>
      <c r="Q4439" s="332"/>
      <c r="R4439" s="319">
        <v>2</v>
      </c>
      <c r="S4439" s="331" t="str">
        <f t="shared" si="1213"/>
        <v>mês</v>
      </c>
      <c r="T4439" s="320">
        <v>19</v>
      </c>
      <c r="U4439" s="335"/>
      <c r="V4439" s="291">
        <f t="shared" ca="1" si="1188"/>
        <v>4</v>
      </c>
      <c r="W4439" s="256">
        <f t="shared" ca="1" si="1209"/>
        <v>2</v>
      </c>
      <c r="X4439" s="256">
        <f t="shared" ca="1" si="1212"/>
        <v>1</v>
      </c>
      <c r="Y4439" s="336"/>
      <c r="Z4439" s="336"/>
    </row>
    <row r="4440" spans="1:29" s="337" customFormat="1" ht="15" x14ac:dyDescent="0.2">
      <c r="A4440" s="288"/>
      <c r="B4440" s="322"/>
      <c r="C4440" s="397" t="s">
        <v>800</v>
      </c>
      <c r="D4440" s="1333">
        <v>45139</v>
      </c>
      <c r="E4440" s="1334"/>
      <c r="F4440" s="1335"/>
      <c r="G4440" s="1333">
        <v>45169</v>
      </c>
      <c r="H4440" s="1334"/>
      <c r="I4440" s="1335"/>
      <c r="J4440" s="317">
        <f t="shared" si="1211"/>
        <v>31</v>
      </c>
      <c r="K4440" s="327"/>
      <c r="L4440" s="328"/>
      <c r="M4440" s="329"/>
      <c r="N4440" s="330"/>
      <c r="O4440" s="331"/>
      <c r="P4440" s="328"/>
      <c r="Q4440" s="332"/>
      <c r="R4440" s="319">
        <v>2</v>
      </c>
      <c r="S4440" s="331" t="str">
        <f t="shared" si="1213"/>
        <v>mês</v>
      </c>
      <c r="T4440" s="320">
        <v>19</v>
      </c>
      <c r="U4440" s="335"/>
      <c r="V4440" s="291">
        <f t="shared" ca="1" si="1188"/>
        <v>4</v>
      </c>
      <c r="W4440" s="256">
        <f t="shared" ca="1" si="1209"/>
        <v>2</v>
      </c>
      <c r="X4440" s="256">
        <f t="shared" ca="1" si="1212"/>
        <v>1</v>
      </c>
      <c r="Y4440" s="336"/>
      <c r="Z4440" s="336"/>
    </row>
    <row r="4441" spans="1:29" s="293" customFormat="1" ht="15.75" x14ac:dyDescent="0.2">
      <c r="A4441" s="288"/>
      <c r="B4441" s="311"/>
      <c r="C4441" s="397" t="s">
        <v>801</v>
      </c>
      <c r="D4441" s="1333">
        <v>45170</v>
      </c>
      <c r="E4441" s="1334"/>
      <c r="F4441" s="1335"/>
      <c r="G4441" s="1333">
        <v>45199</v>
      </c>
      <c r="H4441" s="1334"/>
      <c r="I4441" s="1335"/>
      <c r="J4441" s="317">
        <f t="shared" si="1211"/>
        <v>30</v>
      </c>
      <c r="K4441" s="313"/>
      <c r="L4441" s="317"/>
      <c r="M4441" s="315"/>
      <c r="N4441" s="314"/>
      <c r="O4441" s="313"/>
      <c r="P4441" s="318"/>
      <c r="Q4441" s="315"/>
      <c r="R4441" s="319">
        <v>2</v>
      </c>
      <c r="S4441" s="398" t="str">
        <f t="shared" ref="S4441:S4458" si="1214">$S$154</f>
        <v>mês</v>
      </c>
      <c r="T4441" s="320">
        <v>19</v>
      </c>
      <c r="U4441" s="321"/>
      <c r="V4441" s="291">
        <f t="shared" ca="1" si="1188"/>
        <v>4</v>
      </c>
      <c r="W4441" s="256">
        <f t="shared" ca="1" si="1209"/>
        <v>2</v>
      </c>
      <c r="X4441" s="256">
        <f t="shared" ca="1" si="1212"/>
        <v>1</v>
      </c>
      <c r="Y4441" s="256"/>
      <c r="Z4441" s="256"/>
      <c r="AA4441" s="292"/>
      <c r="AB4441" s="292"/>
      <c r="AC4441" s="292"/>
    </row>
    <row r="4442" spans="1:29" s="293" customFormat="1" ht="15.75" x14ac:dyDescent="0.2">
      <c r="A4442" s="288"/>
      <c r="B4442" s="311"/>
      <c r="C4442" s="397" t="s">
        <v>802</v>
      </c>
      <c r="D4442" s="1333">
        <v>45200</v>
      </c>
      <c r="E4442" s="1334"/>
      <c r="F4442" s="1335"/>
      <c r="G4442" s="1333">
        <v>45230</v>
      </c>
      <c r="H4442" s="1334"/>
      <c r="I4442" s="1335"/>
      <c r="J4442" s="317">
        <f t="shared" si="1211"/>
        <v>31</v>
      </c>
      <c r="K4442" s="313"/>
      <c r="L4442" s="317"/>
      <c r="M4442" s="315"/>
      <c r="N4442" s="314"/>
      <c r="O4442" s="313"/>
      <c r="P4442" s="318"/>
      <c r="Q4442" s="315"/>
      <c r="R4442" s="319">
        <v>2</v>
      </c>
      <c r="S4442" s="398" t="str">
        <f t="shared" si="1214"/>
        <v>mês</v>
      </c>
      <c r="T4442" s="320">
        <v>19</v>
      </c>
      <c r="U4442" s="321"/>
      <c r="V4442" s="291">
        <f t="shared" ca="1" si="1188"/>
        <v>4</v>
      </c>
      <c r="W4442" s="256">
        <f t="shared" ca="1" si="1209"/>
        <v>2</v>
      </c>
      <c r="X4442" s="256">
        <f ca="1">IF(COUNTA(OFFSET(#REF!,1,0))-COUNTA(#REF!)=-1,0,1)</f>
        <v>1</v>
      </c>
      <c r="Y4442" s="256"/>
      <c r="Z4442" s="256"/>
      <c r="AA4442" s="292"/>
      <c r="AB4442" s="292"/>
      <c r="AC4442" s="292"/>
    </row>
    <row r="4443" spans="1:29" s="292" customFormat="1" ht="15" x14ac:dyDescent="0.2">
      <c r="A4443" s="399"/>
      <c r="B4443" s="322"/>
      <c r="C4443" s="397" t="s">
        <v>803</v>
      </c>
      <c r="D4443" s="1333">
        <v>45231</v>
      </c>
      <c r="E4443" s="1334"/>
      <c r="F4443" s="1335"/>
      <c r="G4443" s="1333">
        <v>45260</v>
      </c>
      <c r="H4443" s="1334"/>
      <c r="I4443" s="1335"/>
      <c r="J4443" s="317">
        <f t="shared" si="1211"/>
        <v>30</v>
      </c>
      <c r="K4443" s="328"/>
      <c r="L4443" s="328"/>
      <c r="M4443" s="328"/>
      <c r="N4443" s="328"/>
      <c r="O4443" s="334"/>
      <c r="P4443" s="328"/>
      <c r="Q4443" s="334"/>
      <c r="R4443" s="319">
        <v>2</v>
      </c>
      <c r="S4443" s="331" t="str">
        <f t="shared" si="1214"/>
        <v>mês</v>
      </c>
      <c r="T4443" s="320">
        <v>19</v>
      </c>
      <c r="U4443" s="335"/>
      <c r="V4443" s="291">
        <f t="shared" ca="1" si="1188"/>
        <v>4</v>
      </c>
      <c r="W4443" s="256">
        <f t="shared" ca="1" si="1209"/>
        <v>2</v>
      </c>
      <c r="X4443" s="256">
        <f ca="1">IF(COUNTA(OFFSET(A4442,1,0))-COUNTA(A4442)=-1,0,1)</f>
        <v>1</v>
      </c>
      <c r="Y4443" s="256"/>
      <c r="Z4443" s="256"/>
    </row>
    <row r="4444" spans="1:29" s="292" customFormat="1" ht="15" x14ac:dyDescent="0.2">
      <c r="A4444" s="399"/>
      <c r="B4444" s="322"/>
      <c r="C4444" s="397" t="s">
        <v>804</v>
      </c>
      <c r="D4444" s="1333">
        <v>45261</v>
      </c>
      <c r="E4444" s="1334"/>
      <c r="F4444" s="1335"/>
      <c r="G4444" s="1333">
        <v>45291</v>
      </c>
      <c r="H4444" s="1334"/>
      <c r="I4444" s="1335"/>
      <c r="J4444" s="317">
        <f t="shared" si="1211"/>
        <v>31</v>
      </c>
      <c r="K4444" s="328"/>
      <c r="L4444" s="328"/>
      <c r="M4444" s="328"/>
      <c r="N4444" s="328"/>
      <c r="O4444" s="334"/>
      <c r="P4444" s="328"/>
      <c r="Q4444" s="334"/>
      <c r="R4444" s="319">
        <v>3</v>
      </c>
      <c r="S4444" s="331" t="str">
        <f t="shared" si="1214"/>
        <v>mês</v>
      </c>
      <c r="T4444" s="320">
        <v>19</v>
      </c>
      <c r="U4444" s="335"/>
      <c r="V4444" s="291">
        <f t="shared" ca="1" si="1188"/>
        <v>4</v>
      </c>
      <c r="W4444" s="256">
        <f t="shared" ca="1" si="1209"/>
        <v>2</v>
      </c>
      <c r="X4444" s="256">
        <f ca="1">IF(COUNTA(OFFSET(A4443,1,0))-COUNTA(A4443)=-1,0,1)</f>
        <v>1</v>
      </c>
      <c r="Y4444" s="256"/>
      <c r="Z4444" s="256"/>
    </row>
    <row r="4445" spans="1:29" s="337" customFormat="1" ht="15" x14ac:dyDescent="0.2">
      <c r="A4445" s="288"/>
      <c r="B4445" s="322"/>
      <c r="C4445" s="397" t="s">
        <v>805</v>
      </c>
      <c r="D4445" s="1333">
        <v>45292</v>
      </c>
      <c r="E4445" s="1334"/>
      <c r="F4445" s="1335"/>
      <c r="G4445" s="1333">
        <v>45322</v>
      </c>
      <c r="H4445" s="1334"/>
      <c r="I4445" s="1335"/>
      <c r="J4445" s="317">
        <f t="shared" si="1211"/>
        <v>31</v>
      </c>
      <c r="K4445" s="327"/>
      <c r="L4445" s="328"/>
      <c r="M4445" s="329"/>
      <c r="N4445" s="330"/>
      <c r="O4445" s="331"/>
      <c r="P4445" s="328"/>
      <c r="Q4445" s="332"/>
      <c r="R4445" s="319">
        <v>3</v>
      </c>
      <c r="S4445" s="331" t="str">
        <f t="shared" si="1214"/>
        <v>mês</v>
      </c>
      <c r="T4445" s="320">
        <v>19</v>
      </c>
      <c r="U4445" s="335"/>
      <c r="V4445" s="291">
        <f t="shared" ca="1" si="1188"/>
        <v>4</v>
      </c>
      <c r="W4445" s="256">
        <f t="shared" ca="1" si="1209"/>
        <v>2</v>
      </c>
      <c r="X4445" s="256">
        <f ca="1">IF(COUNTA(OFFSET(#REF!,1,0))-COUNTA(#REF!)=-1,0,1)</f>
        <v>1</v>
      </c>
      <c r="Y4445" s="336"/>
      <c r="Z4445" s="336"/>
    </row>
    <row r="4446" spans="1:29" s="337" customFormat="1" ht="15" x14ac:dyDescent="0.2">
      <c r="A4446" s="288"/>
      <c r="B4446" s="322"/>
      <c r="C4446" s="397" t="s">
        <v>806</v>
      </c>
      <c r="D4446" s="1333">
        <v>45323</v>
      </c>
      <c r="E4446" s="1334"/>
      <c r="F4446" s="1335"/>
      <c r="G4446" s="1333">
        <v>45351</v>
      </c>
      <c r="H4446" s="1334"/>
      <c r="I4446" s="1335"/>
      <c r="J4446" s="317">
        <f t="shared" si="1211"/>
        <v>29</v>
      </c>
      <c r="K4446" s="327"/>
      <c r="L4446" s="328"/>
      <c r="M4446" s="329"/>
      <c r="N4446" s="330"/>
      <c r="O4446" s="331"/>
      <c r="P4446" s="328"/>
      <c r="Q4446" s="332"/>
      <c r="R4446" s="319">
        <v>3</v>
      </c>
      <c r="S4446" s="331" t="str">
        <f t="shared" si="1214"/>
        <v>mês</v>
      </c>
      <c r="T4446" s="320">
        <v>19</v>
      </c>
      <c r="U4446" s="335"/>
      <c r="V4446" s="291">
        <f t="shared" ca="1" si="1188"/>
        <v>4</v>
      </c>
      <c r="W4446" s="256">
        <f t="shared" ca="1" si="1209"/>
        <v>2</v>
      </c>
      <c r="X4446" s="256">
        <f ca="1">IF(COUNTA(OFFSET(A4445,1,0))-COUNTA(A4445)=-1,0,1)</f>
        <v>1</v>
      </c>
      <c r="Y4446" s="336"/>
      <c r="Z4446" s="336"/>
    </row>
    <row r="4447" spans="1:29" s="337" customFormat="1" ht="15" x14ac:dyDescent="0.2">
      <c r="A4447" s="288"/>
      <c r="B4447" s="322"/>
      <c r="C4447" s="397" t="s">
        <v>894</v>
      </c>
      <c r="D4447" s="1333">
        <v>45352</v>
      </c>
      <c r="E4447" s="1334"/>
      <c r="F4447" s="1335"/>
      <c r="G4447" s="1333">
        <v>45382</v>
      </c>
      <c r="H4447" s="1334"/>
      <c r="I4447" s="1335"/>
      <c r="J4447" s="317">
        <f t="shared" si="1211"/>
        <v>31</v>
      </c>
      <c r="K4447" s="327"/>
      <c r="L4447" s="328"/>
      <c r="M4447" s="329"/>
      <c r="N4447" s="330"/>
      <c r="O4447" s="331"/>
      <c r="P4447" s="328"/>
      <c r="Q4447" s="332"/>
      <c r="R4447" s="319">
        <v>3</v>
      </c>
      <c r="S4447" s="331" t="str">
        <f t="shared" si="1214"/>
        <v>mês</v>
      </c>
      <c r="T4447" s="320">
        <v>20</v>
      </c>
      <c r="U4447" s="335"/>
      <c r="V4447" s="291">
        <f t="shared" ca="1" si="1188"/>
        <v>4</v>
      </c>
      <c r="W4447" s="256">
        <f ca="1">IF(LEFT(_xlfn.FORMULATEXT(V4447),3)="=SO",1,IF(COUNTA(A4447:U4447)=0,0,2))</f>
        <v>2</v>
      </c>
      <c r="X4447" s="256">
        <f ca="1">IF(COUNTA(OFFSET(A4446,1,0))-COUNTA(A4446)=-1,0,1)</f>
        <v>1</v>
      </c>
      <c r="Y4447" s="336"/>
      <c r="Z4447" s="336"/>
    </row>
    <row r="4448" spans="1:29" s="337" customFormat="1" ht="15" x14ac:dyDescent="0.2">
      <c r="A4448" s="288"/>
      <c r="B4448" s="322"/>
      <c r="C4448" s="397" t="s">
        <v>930</v>
      </c>
      <c r="D4448" s="1333">
        <v>45383</v>
      </c>
      <c r="E4448" s="1334"/>
      <c r="F4448" s="1335"/>
      <c r="G4448" s="1333">
        <v>45412</v>
      </c>
      <c r="H4448" s="1334"/>
      <c r="I4448" s="1335"/>
      <c r="J4448" s="317">
        <f t="shared" ref="J4448:J4459" si="1215">G4448-D4448+1</f>
        <v>30</v>
      </c>
      <c r="K4448" s="327"/>
      <c r="L4448" s="328"/>
      <c r="M4448" s="329"/>
      <c r="N4448" s="330"/>
      <c r="O4448" s="331"/>
      <c r="P4448" s="328"/>
      <c r="Q4448" s="332"/>
      <c r="R4448" s="319">
        <v>3</v>
      </c>
      <c r="S4448" s="331" t="str">
        <f t="shared" si="1214"/>
        <v>mês</v>
      </c>
      <c r="T4448" s="320">
        <v>21</v>
      </c>
      <c r="U4448" s="335"/>
      <c r="V4448" s="291">
        <f t="shared" ca="1" si="1188"/>
        <v>4</v>
      </c>
      <c r="W4448" s="256">
        <f ca="1">IF(LEFT(_xlfn.FORMULATEXT(V4448),3)="=SO",1,IF(COUNTA(A4448:U4448)=0,0,2))</f>
        <v>2</v>
      </c>
      <c r="X4448" s="256">
        <f ca="1">IF(COUNTA(OFFSET(A4447,1,0))-COUNTA(A4447)=-1,0,1)</f>
        <v>1</v>
      </c>
      <c r="Y4448" s="336"/>
      <c r="Z4448" s="336"/>
    </row>
    <row r="4449" spans="1:26" s="337" customFormat="1" ht="15" x14ac:dyDescent="0.2">
      <c r="A4449" s="288"/>
      <c r="B4449" s="322"/>
      <c r="C4449" s="397" t="s">
        <v>938</v>
      </c>
      <c r="D4449" s="1333">
        <v>45413</v>
      </c>
      <c r="E4449" s="1334"/>
      <c r="F4449" s="1335"/>
      <c r="G4449" s="1333">
        <v>45443</v>
      </c>
      <c r="H4449" s="1334"/>
      <c r="I4449" s="1335"/>
      <c r="J4449" s="317">
        <f t="shared" si="1215"/>
        <v>31</v>
      </c>
      <c r="K4449" s="327"/>
      <c r="L4449" s="328"/>
      <c r="M4449" s="329"/>
      <c r="N4449" s="330"/>
      <c r="O4449" s="331"/>
      <c r="P4449" s="328"/>
      <c r="Q4449" s="332"/>
      <c r="R4449" s="319">
        <v>2</v>
      </c>
      <c r="S4449" s="331" t="str">
        <f t="shared" si="1214"/>
        <v>mês</v>
      </c>
      <c r="T4449" s="320">
        <v>22</v>
      </c>
      <c r="U4449" s="335"/>
      <c r="V4449" s="291">
        <f t="shared" ca="1" si="1188"/>
        <v>4</v>
      </c>
      <c r="W4449" s="256">
        <f ca="1">IF(LEFT(_xlfn.FORMULATEXT(V4449),3)="=SO",1,IF(COUNTA(A4449:U4449)=0,0,2))</f>
        <v>2</v>
      </c>
      <c r="X4449" s="256">
        <f ca="1">IF(COUNTA(OFFSET(A4448,1,0))-COUNTA(A4448)=-1,0,1)</f>
        <v>1</v>
      </c>
      <c r="Y4449" s="336"/>
      <c r="Z4449" s="336"/>
    </row>
    <row r="4450" spans="1:26" s="337" customFormat="1" ht="15" x14ac:dyDescent="0.2">
      <c r="A4450" s="288"/>
      <c r="B4450" s="494"/>
      <c r="C4450" s="397" t="s">
        <v>942</v>
      </c>
      <c r="D4450" s="1333">
        <v>45444</v>
      </c>
      <c r="E4450" s="1334"/>
      <c r="F4450" s="1335"/>
      <c r="G4450" s="1333">
        <v>45473</v>
      </c>
      <c r="H4450" s="1334"/>
      <c r="I4450" s="1335"/>
      <c r="J4450" s="317">
        <f t="shared" si="1215"/>
        <v>30</v>
      </c>
      <c r="K4450" s="759"/>
      <c r="L4450" s="501"/>
      <c r="M4450" s="760"/>
      <c r="N4450" s="761"/>
      <c r="O4450" s="505"/>
      <c r="P4450" s="501"/>
      <c r="Q4450" s="739"/>
      <c r="R4450" s="504">
        <v>2</v>
      </c>
      <c r="S4450" s="331" t="str">
        <f t="shared" si="1214"/>
        <v>mês</v>
      </c>
      <c r="T4450" s="320">
        <v>23</v>
      </c>
      <c r="U4450" s="574"/>
      <c r="V4450" s="291">
        <f t="shared" ca="1" si="1188"/>
        <v>4</v>
      </c>
      <c r="W4450" s="256">
        <f t="shared" ref="W4450:W4454" ca="1" si="1216">IF(LEFT(_xlfn.FORMULATEXT(V4450),3)="=SO",1,IF(COUNTA(A4450:U4450)=0,0,2))</f>
        <v>2</v>
      </c>
      <c r="X4450" s="256">
        <f t="shared" ref="X4450:X4454" ca="1" si="1217">IF(COUNTA(OFFSET(A4449,1,0))-COUNTA(A4449)=-1,0,1)</f>
        <v>1</v>
      </c>
      <c r="Y4450" s="336"/>
      <c r="Z4450" s="336"/>
    </row>
    <row r="4451" spans="1:26" s="337" customFormat="1" ht="15" x14ac:dyDescent="0.2">
      <c r="A4451" s="288"/>
      <c r="B4451" s="322"/>
      <c r="C4451" s="397" t="s">
        <v>946</v>
      </c>
      <c r="D4451" s="1333">
        <v>45474</v>
      </c>
      <c r="E4451" s="1334"/>
      <c r="F4451" s="1335"/>
      <c r="G4451" s="1333">
        <v>45504</v>
      </c>
      <c r="H4451" s="1334"/>
      <c r="I4451" s="1335"/>
      <c r="J4451" s="317">
        <f t="shared" si="1215"/>
        <v>31</v>
      </c>
      <c r="K4451" s="327"/>
      <c r="L4451" s="328"/>
      <c r="M4451" s="329"/>
      <c r="N4451" s="330"/>
      <c r="O4451" s="331"/>
      <c r="P4451" s="328"/>
      <c r="Q4451" s="332"/>
      <c r="R4451" s="333">
        <v>2</v>
      </c>
      <c r="S4451" s="331" t="str">
        <f t="shared" si="1214"/>
        <v>mês</v>
      </c>
      <c r="T4451" s="320">
        <v>24</v>
      </c>
      <c r="U4451" s="335"/>
      <c r="V4451" s="291">
        <f t="shared" ca="1" si="1188"/>
        <v>4</v>
      </c>
      <c r="W4451" s="256">
        <f t="shared" ca="1" si="1216"/>
        <v>2</v>
      </c>
      <c r="X4451" s="256">
        <f t="shared" ca="1" si="1217"/>
        <v>1</v>
      </c>
      <c r="Y4451" s="336"/>
      <c r="Z4451" s="336"/>
    </row>
    <row r="4452" spans="1:26" s="337" customFormat="1" ht="15" x14ac:dyDescent="0.2">
      <c r="A4452" s="288"/>
      <c r="B4452" s="322"/>
      <c r="C4452" s="397" t="s">
        <v>974</v>
      </c>
      <c r="D4452" s="1333">
        <v>45505</v>
      </c>
      <c r="E4452" s="1334"/>
      <c r="F4452" s="1335"/>
      <c r="G4452" s="1333">
        <v>45535</v>
      </c>
      <c r="H4452" s="1334"/>
      <c r="I4452" s="1335"/>
      <c r="J4452" s="317">
        <f t="shared" si="1215"/>
        <v>31</v>
      </c>
      <c r="K4452" s="327"/>
      <c r="L4452" s="328"/>
      <c r="M4452" s="329"/>
      <c r="N4452" s="330"/>
      <c r="O4452" s="331"/>
      <c r="P4452" s="328"/>
      <c r="Q4452" s="332"/>
      <c r="R4452" s="333">
        <v>2</v>
      </c>
      <c r="S4452" s="331" t="str">
        <f t="shared" si="1214"/>
        <v>mês</v>
      </c>
      <c r="T4452" s="320">
        <v>25</v>
      </c>
      <c r="U4452" s="335"/>
      <c r="V4452" s="291">
        <f t="shared" ca="1" si="1188"/>
        <v>4</v>
      </c>
      <c r="W4452" s="256">
        <f t="shared" ca="1" si="1216"/>
        <v>2</v>
      </c>
      <c r="X4452" s="256">
        <f t="shared" ca="1" si="1217"/>
        <v>1</v>
      </c>
      <c r="Y4452" s="336"/>
      <c r="Z4452" s="336"/>
    </row>
    <row r="4453" spans="1:26" s="337" customFormat="1" ht="15" x14ac:dyDescent="0.2">
      <c r="A4453" s="288"/>
      <c r="B4453" s="322"/>
      <c r="C4453" s="397" t="s">
        <v>1008</v>
      </c>
      <c r="D4453" s="1333">
        <v>45536</v>
      </c>
      <c r="E4453" s="1334"/>
      <c r="F4453" s="1335"/>
      <c r="G4453" s="1333">
        <v>45565</v>
      </c>
      <c r="H4453" s="1334"/>
      <c r="I4453" s="1335"/>
      <c r="J4453" s="317">
        <f t="shared" si="1215"/>
        <v>30</v>
      </c>
      <c r="K4453" s="327"/>
      <c r="L4453" s="328"/>
      <c r="M4453" s="329"/>
      <c r="N4453" s="330"/>
      <c r="O4453" s="331"/>
      <c r="P4453" s="328"/>
      <c r="Q4453" s="332"/>
      <c r="R4453" s="333">
        <v>2</v>
      </c>
      <c r="S4453" s="331" t="str">
        <f t="shared" si="1214"/>
        <v>mês</v>
      </c>
      <c r="T4453" s="320">
        <v>26</v>
      </c>
      <c r="U4453" s="335"/>
      <c r="V4453" s="291">
        <f t="shared" ca="1" si="1188"/>
        <v>4</v>
      </c>
      <c r="W4453" s="256">
        <f t="shared" ca="1" si="1216"/>
        <v>2</v>
      </c>
      <c r="X4453" s="256">
        <f t="shared" ca="1" si="1217"/>
        <v>1</v>
      </c>
      <c r="Y4453" s="336"/>
      <c r="Z4453" s="336"/>
    </row>
    <row r="4454" spans="1:26" s="337" customFormat="1" ht="15" x14ac:dyDescent="0.2">
      <c r="A4454" s="288"/>
      <c r="B4454" s="322"/>
      <c r="C4454" s="397" t="s">
        <v>1012</v>
      </c>
      <c r="D4454" s="1333">
        <v>45566</v>
      </c>
      <c r="E4454" s="1334"/>
      <c r="F4454" s="1335"/>
      <c r="G4454" s="1333">
        <v>45596</v>
      </c>
      <c r="H4454" s="1334"/>
      <c r="I4454" s="1335"/>
      <c r="J4454" s="317">
        <f t="shared" si="1215"/>
        <v>31</v>
      </c>
      <c r="K4454" s="327"/>
      <c r="L4454" s="328"/>
      <c r="M4454" s="329"/>
      <c r="N4454" s="330"/>
      <c r="O4454" s="331"/>
      <c r="P4454" s="328"/>
      <c r="Q4454" s="332"/>
      <c r="R4454" s="333">
        <v>2</v>
      </c>
      <c r="S4454" s="331" t="str">
        <f t="shared" si="1214"/>
        <v>mês</v>
      </c>
      <c r="T4454" s="320">
        <v>27</v>
      </c>
      <c r="U4454" s="335"/>
      <c r="V4454" s="291">
        <f t="shared" ca="1" si="1188"/>
        <v>4</v>
      </c>
      <c r="W4454" s="256">
        <f t="shared" ca="1" si="1216"/>
        <v>2</v>
      </c>
      <c r="X4454" s="256">
        <f t="shared" ca="1" si="1217"/>
        <v>1</v>
      </c>
      <c r="Y4454" s="336"/>
      <c r="Z4454" s="336"/>
    </row>
    <row r="4455" spans="1:26" s="337" customFormat="1" ht="15" x14ac:dyDescent="0.2">
      <c r="A4455" s="288"/>
      <c r="B4455" s="322"/>
      <c r="C4455" s="397" t="s">
        <v>1033</v>
      </c>
      <c r="D4455" s="1333">
        <v>45597</v>
      </c>
      <c r="E4455" s="1334"/>
      <c r="F4455" s="1335"/>
      <c r="G4455" s="1333">
        <v>45626</v>
      </c>
      <c r="H4455" s="1334"/>
      <c r="I4455" s="1335"/>
      <c r="J4455" s="317">
        <f t="shared" si="1215"/>
        <v>30</v>
      </c>
      <c r="K4455" s="327"/>
      <c r="L4455" s="328"/>
      <c r="M4455" s="329"/>
      <c r="N4455" s="330"/>
      <c r="O4455" s="331"/>
      <c r="P4455" s="328"/>
      <c r="Q4455" s="332"/>
      <c r="R4455" s="333">
        <v>2</v>
      </c>
      <c r="S4455" s="331" t="str">
        <f t="shared" si="1214"/>
        <v>mês</v>
      </c>
      <c r="T4455" s="320">
        <v>28</v>
      </c>
      <c r="U4455" s="335"/>
      <c r="V4455" s="291">
        <f t="shared" ca="1" si="1188"/>
        <v>4</v>
      </c>
      <c r="W4455" s="256">
        <f t="shared" ref="W4455:W4460" ca="1" si="1218">IF(LEFT(_xlfn.FORMULATEXT(V4455),3)="=SO",1,IF(COUNTA(A4455:U4455)=0,0,2))</f>
        <v>2</v>
      </c>
      <c r="X4455" s="256">
        <f t="shared" ref="X4455:X4460" ca="1" si="1219">IF(COUNTA(OFFSET(A4454,1,0))-COUNTA(A4454)=-1,0,1)</f>
        <v>1</v>
      </c>
      <c r="Y4455" s="336"/>
      <c r="Z4455" s="336"/>
    </row>
    <row r="4456" spans="1:26" s="337" customFormat="1" ht="15" x14ac:dyDescent="0.2">
      <c r="A4456" s="288"/>
      <c r="B4456" s="322"/>
      <c r="C4456" s="397" t="s">
        <v>1042</v>
      </c>
      <c r="D4456" s="1333">
        <v>45627</v>
      </c>
      <c r="E4456" s="1334"/>
      <c r="F4456" s="1335"/>
      <c r="G4456" s="1333">
        <v>45657</v>
      </c>
      <c r="H4456" s="1334"/>
      <c r="I4456" s="1335"/>
      <c r="J4456" s="317">
        <f t="shared" si="1215"/>
        <v>31</v>
      </c>
      <c r="K4456" s="327"/>
      <c r="L4456" s="328"/>
      <c r="M4456" s="329"/>
      <c r="N4456" s="330"/>
      <c r="O4456" s="331"/>
      <c r="P4456" s="328"/>
      <c r="Q4456" s="332"/>
      <c r="R4456" s="333">
        <v>2</v>
      </c>
      <c r="S4456" s="331" t="str">
        <f t="shared" si="1214"/>
        <v>mês</v>
      </c>
      <c r="T4456" s="320">
        <v>29</v>
      </c>
      <c r="U4456" s="335"/>
      <c r="V4456" s="291">
        <f t="shared" ca="1" si="1188"/>
        <v>4</v>
      </c>
      <c r="W4456" s="256">
        <f t="shared" ca="1" si="1218"/>
        <v>2</v>
      </c>
      <c r="X4456" s="256">
        <f t="shared" ca="1" si="1219"/>
        <v>1</v>
      </c>
      <c r="Y4456" s="336"/>
      <c r="Z4456" s="336"/>
    </row>
    <row r="4457" spans="1:26" s="337" customFormat="1" ht="15" x14ac:dyDescent="0.2">
      <c r="A4457" s="288"/>
      <c r="B4457" s="322"/>
      <c r="C4457" s="397" t="s">
        <v>1057</v>
      </c>
      <c r="D4457" s="1333">
        <v>45658</v>
      </c>
      <c r="E4457" s="1334"/>
      <c r="F4457" s="1335"/>
      <c r="G4457" s="1333">
        <v>45688</v>
      </c>
      <c r="H4457" s="1334"/>
      <c r="I4457" s="1335"/>
      <c r="J4457" s="317">
        <f t="shared" si="1215"/>
        <v>31</v>
      </c>
      <c r="K4457" s="327"/>
      <c r="L4457" s="328"/>
      <c r="M4457" s="329"/>
      <c r="N4457" s="330"/>
      <c r="O4457" s="331"/>
      <c r="P4457" s="328"/>
      <c r="Q4457" s="332"/>
      <c r="R4457" s="333">
        <v>2</v>
      </c>
      <c r="S4457" s="331" t="str">
        <f t="shared" si="1214"/>
        <v>mês</v>
      </c>
      <c r="T4457" s="320">
        <v>30</v>
      </c>
      <c r="U4457" s="335"/>
      <c r="V4457" s="291">
        <f t="shared" ca="1" si="1188"/>
        <v>4</v>
      </c>
      <c r="W4457" s="256">
        <f t="shared" ca="1" si="1218"/>
        <v>2</v>
      </c>
      <c r="X4457" s="256">
        <f t="shared" ca="1" si="1219"/>
        <v>1</v>
      </c>
      <c r="Y4457" s="336"/>
      <c r="Z4457" s="336"/>
    </row>
    <row r="4458" spans="1:26" s="337" customFormat="1" ht="15" x14ac:dyDescent="0.2">
      <c r="A4458" s="288"/>
      <c r="B4458" s="494"/>
      <c r="C4458" s="397" t="s">
        <v>1076</v>
      </c>
      <c r="D4458" s="1333">
        <v>45689</v>
      </c>
      <c r="E4458" s="1334"/>
      <c r="F4458" s="1335"/>
      <c r="G4458" s="1333">
        <v>45716</v>
      </c>
      <c r="H4458" s="1334"/>
      <c r="I4458" s="1335"/>
      <c r="J4458" s="317">
        <f t="shared" si="1215"/>
        <v>28</v>
      </c>
      <c r="K4458" s="759"/>
      <c r="L4458" s="501"/>
      <c r="M4458" s="760"/>
      <c r="N4458" s="761"/>
      <c r="O4458" s="505"/>
      <c r="P4458" s="501"/>
      <c r="Q4458" s="739"/>
      <c r="R4458" s="504">
        <v>2</v>
      </c>
      <c r="S4458" s="331" t="str">
        <f t="shared" si="1214"/>
        <v>mês</v>
      </c>
      <c r="T4458" s="320">
        <v>31</v>
      </c>
      <c r="U4458" s="574"/>
      <c r="V4458" s="291">
        <f t="shared" ca="1" si="1188"/>
        <v>4</v>
      </c>
      <c r="W4458" s="256">
        <f t="shared" ca="1" si="1218"/>
        <v>2</v>
      </c>
      <c r="X4458" s="256">
        <f t="shared" ca="1" si="1219"/>
        <v>1</v>
      </c>
      <c r="Y4458" s="336"/>
      <c r="Z4458" s="336"/>
    </row>
    <row r="4459" spans="1:26" s="337" customFormat="1" ht="15" x14ac:dyDescent="0.2">
      <c r="A4459" s="288"/>
      <c r="B4459" s="322"/>
      <c r="C4459" s="397" t="s">
        <v>1080</v>
      </c>
      <c r="D4459" s="1333">
        <v>45717</v>
      </c>
      <c r="E4459" s="1334"/>
      <c r="F4459" s="1335"/>
      <c r="G4459" s="1333">
        <v>45747</v>
      </c>
      <c r="H4459" s="1334"/>
      <c r="I4459" s="1335"/>
      <c r="J4459" s="317">
        <f t="shared" si="1215"/>
        <v>31</v>
      </c>
      <c r="K4459" s="327"/>
      <c r="L4459" s="328"/>
      <c r="M4459" s="329"/>
      <c r="N4459" s="330"/>
      <c r="O4459" s="331"/>
      <c r="P4459" s="328"/>
      <c r="Q4459" s="332"/>
      <c r="R4459" s="333">
        <v>2</v>
      </c>
      <c r="S4459" s="331" t="s">
        <v>313</v>
      </c>
      <c r="T4459" s="320">
        <v>32</v>
      </c>
      <c r="U4459" s="335"/>
      <c r="V4459" s="291">
        <f t="shared" ca="1" si="1188"/>
        <v>4</v>
      </c>
      <c r="W4459" s="256">
        <f t="shared" ca="1" si="1218"/>
        <v>2</v>
      </c>
      <c r="X4459" s="256">
        <f t="shared" ca="1" si="1219"/>
        <v>1</v>
      </c>
      <c r="Y4459" s="336"/>
      <c r="Z4459" s="336"/>
    </row>
    <row r="4460" spans="1:26" s="337" customFormat="1" ht="15" x14ac:dyDescent="0.2">
      <c r="A4460" s="288"/>
      <c r="B4460" s="322"/>
      <c r="C4460" s="397" t="s">
        <v>1090</v>
      </c>
      <c r="D4460" s="1333">
        <v>45748</v>
      </c>
      <c r="E4460" s="1334"/>
      <c r="F4460" s="1335"/>
      <c r="G4460" s="1333">
        <v>45777</v>
      </c>
      <c r="H4460" s="1334"/>
      <c r="I4460" s="1335"/>
      <c r="J4460" s="317">
        <f t="shared" ref="J4460" si="1220">G4460-D4460+1</f>
        <v>30</v>
      </c>
      <c r="K4460" s="327"/>
      <c r="L4460" s="328"/>
      <c r="M4460" s="329"/>
      <c r="N4460" s="330"/>
      <c r="O4460" s="331"/>
      <c r="P4460" s="328"/>
      <c r="Q4460" s="332"/>
      <c r="R4460" s="333">
        <v>2</v>
      </c>
      <c r="S4460" s="331" t="s">
        <v>313</v>
      </c>
      <c r="T4460" s="320">
        <v>33</v>
      </c>
      <c r="U4460" s="335"/>
      <c r="V4460" s="291">
        <f t="shared" ca="1" si="1188"/>
        <v>4</v>
      </c>
      <c r="W4460" s="256">
        <f t="shared" ca="1" si="1218"/>
        <v>2</v>
      </c>
      <c r="X4460" s="256">
        <f t="shared" ca="1" si="1219"/>
        <v>1</v>
      </c>
      <c r="Y4460" s="336"/>
      <c r="Z4460" s="336"/>
    </row>
    <row r="4461" spans="1:26" s="337" customFormat="1" ht="15" x14ac:dyDescent="0.2">
      <c r="A4461" s="288"/>
      <c r="B4461" s="494"/>
      <c r="C4461" s="397" t="s">
        <v>1165</v>
      </c>
      <c r="D4461" s="1333">
        <v>45778</v>
      </c>
      <c r="E4461" s="1334"/>
      <c r="F4461" s="1335"/>
      <c r="G4461" s="1333">
        <v>45808</v>
      </c>
      <c r="H4461" s="1334"/>
      <c r="I4461" s="1335"/>
      <c r="J4461" s="317">
        <f>G4461-D4461+1</f>
        <v>31</v>
      </c>
      <c r="K4461" s="327"/>
      <c r="L4461" s="328"/>
      <c r="M4461" s="329"/>
      <c r="N4461" s="330"/>
      <c r="O4461" s="331"/>
      <c r="P4461" s="328"/>
      <c r="Q4461" s="332"/>
      <c r="R4461" s="333">
        <v>2</v>
      </c>
      <c r="S4461" s="331" t="s">
        <v>313</v>
      </c>
      <c r="T4461" s="320">
        <v>35</v>
      </c>
      <c r="U4461" s="574"/>
      <c r="V4461" s="291">
        <f t="shared" ca="1" si="1188"/>
        <v>4</v>
      </c>
      <c r="W4461" s="256">
        <f t="shared" ref="W4461:W4464" ca="1" si="1221">IF(LEFT(_xlfn.FORMULATEXT(V4461),3)="=SO",1,IF(COUNTA(A4461:U4461)=0,0,2))</f>
        <v>2</v>
      </c>
      <c r="X4461" s="256">
        <f t="shared" ref="X4461:X4464" ca="1" si="1222">IF(COUNTA(OFFSET(A4460,1,0))-COUNTA(A4460)=-1,0,1)</f>
        <v>1</v>
      </c>
      <c r="Y4461" s="336"/>
      <c r="Z4461" s="336"/>
    </row>
    <row r="4462" spans="1:26" s="337" customFormat="1" ht="15" x14ac:dyDescent="0.2">
      <c r="A4462" s="288"/>
      <c r="B4462" s="494"/>
      <c r="C4462" s="397" t="s">
        <v>1166</v>
      </c>
      <c r="D4462" s="1333">
        <v>45809</v>
      </c>
      <c r="E4462" s="1334"/>
      <c r="F4462" s="1335"/>
      <c r="G4462" s="1333">
        <v>45838</v>
      </c>
      <c r="H4462" s="1334"/>
      <c r="I4462" s="1335"/>
      <c r="J4462" s="317">
        <f>G4462-D4462+1</f>
        <v>30</v>
      </c>
      <c r="K4462" s="433"/>
      <c r="L4462" s="328"/>
      <c r="M4462" s="328"/>
      <c r="N4462" s="328"/>
      <c r="O4462" s="334"/>
      <c r="P4462" s="328"/>
      <c r="Q4462" s="334"/>
      <c r="R4462" s="333">
        <v>2</v>
      </c>
      <c r="S4462" s="331" t="s">
        <v>313</v>
      </c>
      <c r="T4462" s="320">
        <v>35</v>
      </c>
      <c r="U4462" s="574"/>
      <c r="V4462" s="291">
        <f t="shared" ca="1" si="1188"/>
        <v>4</v>
      </c>
      <c r="W4462" s="256">
        <f t="shared" ca="1" si="1221"/>
        <v>2</v>
      </c>
      <c r="X4462" s="256">
        <f t="shared" ca="1" si="1222"/>
        <v>1</v>
      </c>
      <c r="Y4462" s="336"/>
      <c r="Z4462" s="336"/>
    </row>
    <row r="4463" spans="1:26" s="337" customFormat="1" ht="15" x14ac:dyDescent="0.2">
      <c r="A4463" s="288"/>
      <c r="B4463" s="494"/>
      <c r="C4463" s="397" t="s">
        <v>1167</v>
      </c>
      <c r="D4463" s="1333">
        <v>45839</v>
      </c>
      <c r="E4463" s="1334"/>
      <c r="F4463" s="1335"/>
      <c r="G4463" s="1333">
        <v>45869</v>
      </c>
      <c r="H4463" s="1334"/>
      <c r="I4463" s="1335"/>
      <c r="J4463" s="317">
        <f>G4463-D4463+1</f>
        <v>31</v>
      </c>
      <c r="K4463" s="433"/>
      <c r="L4463" s="328"/>
      <c r="M4463" s="328"/>
      <c r="N4463" s="328"/>
      <c r="O4463" s="334"/>
      <c r="P4463" s="328"/>
      <c r="Q4463" s="334"/>
      <c r="R4463" s="333">
        <v>2</v>
      </c>
      <c r="S4463" s="331" t="s">
        <v>313</v>
      </c>
      <c r="T4463" s="320">
        <v>35</v>
      </c>
      <c r="U4463" s="574"/>
      <c r="V4463" s="291">
        <f t="shared" ca="1" si="1188"/>
        <v>4</v>
      </c>
      <c r="W4463" s="256">
        <f t="shared" ca="1" si="1221"/>
        <v>2</v>
      </c>
      <c r="X4463" s="256">
        <f t="shared" ca="1" si="1222"/>
        <v>1</v>
      </c>
      <c r="Y4463" s="336"/>
      <c r="Z4463" s="336"/>
    </row>
    <row r="4464" spans="1:26" s="337" customFormat="1" ht="15" x14ac:dyDescent="0.2">
      <c r="A4464" s="288"/>
      <c r="B4464" s="494"/>
      <c r="C4464" s="397" t="s">
        <v>1186</v>
      </c>
      <c r="D4464" s="1333">
        <v>45870</v>
      </c>
      <c r="E4464" s="1334"/>
      <c r="F4464" s="1335"/>
      <c r="G4464" s="1333">
        <v>45900</v>
      </c>
      <c r="H4464" s="1334"/>
      <c r="I4464" s="1335"/>
      <c r="J4464" s="317">
        <f>G4464-D4464+1</f>
        <v>31</v>
      </c>
      <c r="K4464" s="433"/>
      <c r="L4464" s="328"/>
      <c r="M4464" s="328"/>
      <c r="N4464" s="328"/>
      <c r="O4464" s="334"/>
      <c r="P4464" s="328"/>
      <c r="Q4464" s="334"/>
      <c r="R4464" s="333">
        <v>2</v>
      </c>
      <c r="S4464" s="331" t="s">
        <v>313</v>
      </c>
      <c r="T4464" s="320">
        <v>36</v>
      </c>
      <c r="U4464" s="574"/>
      <c r="V4464" s="291">
        <f t="shared" ca="1" si="1188"/>
        <v>4</v>
      </c>
      <c r="W4464" s="256">
        <f t="shared" ca="1" si="1221"/>
        <v>2</v>
      </c>
      <c r="X4464" s="256">
        <f t="shared" ca="1" si="1222"/>
        <v>1</v>
      </c>
      <c r="Y4464" s="336"/>
      <c r="Z4464" s="336"/>
    </row>
    <row r="4465" spans="1:26" s="337" customFormat="1" ht="15" x14ac:dyDescent="0.2">
      <c r="A4465" s="288"/>
      <c r="B4465" s="494"/>
      <c r="C4465" s="397" t="s">
        <v>1217</v>
      </c>
      <c r="D4465" s="1333">
        <v>45901</v>
      </c>
      <c r="E4465" s="1334"/>
      <c r="F4465" s="1335"/>
      <c r="G4465" s="1333">
        <v>45930</v>
      </c>
      <c r="H4465" s="1334"/>
      <c r="I4465" s="1335"/>
      <c r="J4465" s="317">
        <f t="shared" ref="J4465:J4466" si="1223">G4465-D4465+1</f>
        <v>30</v>
      </c>
      <c r="K4465" s="433"/>
      <c r="L4465" s="328"/>
      <c r="M4465" s="328"/>
      <c r="N4465" s="328"/>
      <c r="O4465" s="334"/>
      <c r="P4465" s="328"/>
      <c r="Q4465" s="334"/>
      <c r="R4465" s="333">
        <v>2</v>
      </c>
      <c r="S4465" s="331" t="s">
        <v>313</v>
      </c>
      <c r="T4465" s="320">
        <v>37</v>
      </c>
      <c r="U4465" s="574"/>
      <c r="V4465" s="291">
        <f t="shared" ca="1" si="1188"/>
        <v>4</v>
      </c>
      <c r="W4465" s="256">
        <f t="shared" ref="W4465:W4468" ca="1" si="1224">IF(LEFT(_xlfn.FORMULATEXT(V4465),3)="=SO",1,IF(COUNTA(A4465:U4465)=0,0,2))</f>
        <v>2</v>
      </c>
      <c r="X4465" s="256">
        <f t="shared" ref="X4465:X4468" ca="1" si="1225">IF(COUNTA(OFFSET(A4464,1,0))-COUNTA(A4464)=-1,0,1)</f>
        <v>1</v>
      </c>
      <c r="Y4465" s="336"/>
      <c r="Z4465" s="336"/>
    </row>
    <row r="4466" spans="1:26" s="337" customFormat="1" ht="15" x14ac:dyDescent="0.2">
      <c r="A4466" s="288"/>
      <c r="B4466" s="494"/>
      <c r="C4466" s="397" t="s">
        <v>1220</v>
      </c>
      <c r="D4466" s="1333">
        <v>45901</v>
      </c>
      <c r="E4466" s="1334"/>
      <c r="F4466" s="1335"/>
      <c r="G4466" s="1333">
        <v>45930</v>
      </c>
      <c r="H4466" s="1334"/>
      <c r="I4466" s="1335"/>
      <c r="J4466" s="317">
        <f t="shared" si="1223"/>
        <v>30</v>
      </c>
      <c r="K4466" s="759"/>
      <c r="L4466" s="501"/>
      <c r="M4466" s="760"/>
      <c r="N4466" s="761"/>
      <c r="O4466" s="505"/>
      <c r="P4466" s="501"/>
      <c r="Q4466" s="739"/>
      <c r="R4466" s="504">
        <v>2</v>
      </c>
      <c r="S4466" s="331" t="s">
        <v>313</v>
      </c>
      <c r="T4466" s="506">
        <v>37</v>
      </c>
      <c r="U4466" s="574" t="s">
        <v>1212</v>
      </c>
      <c r="V4466" s="291">
        <f t="shared" ca="1" si="1188"/>
        <v>4</v>
      </c>
      <c r="W4466" s="256">
        <f t="shared" ca="1" si="1224"/>
        <v>2</v>
      </c>
      <c r="X4466" s="256">
        <f t="shared" ca="1" si="1225"/>
        <v>1</v>
      </c>
      <c r="Y4466" s="336"/>
      <c r="Z4466" s="336"/>
    </row>
    <row r="4467" spans="1:26" s="337" customFormat="1" ht="15" x14ac:dyDescent="0.2">
      <c r="A4467" s="288"/>
      <c r="B4467" s="494"/>
      <c r="C4467" s="397" t="s">
        <v>1231</v>
      </c>
      <c r="D4467" s="1333">
        <v>45931</v>
      </c>
      <c r="E4467" s="1334"/>
      <c r="F4467" s="1335"/>
      <c r="G4467" s="1333">
        <v>45961</v>
      </c>
      <c r="H4467" s="1334"/>
      <c r="I4467" s="1335"/>
      <c r="J4467" s="317">
        <f>G4467-D4467+1</f>
        <v>31</v>
      </c>
      <c r="K4467" s="433"/>
      <c r="L4467" s="328"/>
      <c r="M4467" s="328"/>
      <c r="N4467" s="328"/>
      <c r="O4467" s="334"/>
      <c r="P4467" s="328"/>
      <c r="Q4467" s="334"/>
      <c r="R4467" s="333">
        <v>2</v>
      </c>
      <c r="S4467" s="331" t="s">
        <v>313</v>
      </c>
      <c r="T4467" s="320">
        <v>38</v>
      </c>
      <c r="U4467" s="574"/>
      <c r="V4467" s="291">
        <f t="shared" ca="1" si="1188"/>
        <v>4</v>
      </c>
      <c r="W4467" s="256">
        <f t="shared" ca="1" si="1224"/>
        <v>2</v>
      </c>
      <c r="X4467" s="256">
        <f t="shared" ca="1" si="1225"/>
        <v>1</v>
      </c>
      <c r="Y4467" s="336"/>
      <c r="Z4467" s="336"/>
    </row>
    <row r="4468" spans="1:26" s="337" customFormat="1" ht="15" x14ac:dyDescent="0.2">
      <c r="A4468" s="288"/>
      <c r="B4468" s="494"/>
      <c r="C4468" s="397" t="s">
        <v>1232</v>
      </c>
      <c r="D4468" s="1333">
        <v>45931</v>
      </c>
      <c r="E4468" s="1334"/>
      <c r="F4468" s="1335"/>
      <c r="G4468" s="1333">
        <v>45961</v>
      </c>
      <c r="H4468" s="1334"/>
      <c r="I4468" s="1335"/>
      <c r="J4468" s="317">
        <f>G4468-D4468+1</f>
        <v>31</v>
      </c>
      <c r="K4468" s="433"/>
      <c r="L4468" s="328"/>
      <c r="M4468" s="328"/>
      <c r="N4468" s="328"/>
      <c r="O4468" s="334"/>
      <c r="P4468" s="328"/>
      <c r="Q4468" s="334"/>
      <c r="R4468" s="504">
        <v>2</v>
      </c>
      <c r="S4468" s="331" t="s">
        <v>313</v>
      </c>
      <c r="T4468" s="320">
        <v>38</v>
      </c>
      <c r="U4468" s="574"/>
      <c r="V4468" s="291">
        <f t="shared" ca="1" si="1188"/>
        <v>4</v>
      </c>
      <c r="W4468" s="256">
        <f t="shared" ca="1" si="1224"/>
        <v>2</v>
      </c>
      <c r="X4468" s="256">
        <f t="shared" ca="1" si="1225"/>
        <v>1</v>
      </c>
      <c r="Y4468" s="336"/>
      <c r="Z4468" s="336"/>
    </row>
    <row r="4469" spans="1:26" s="337" customFormat="1" ht="15" x14ac:dyDescent="0.2">
      <c r="A4469" s="288"/>
      <c r="B4469" s="494"/>
      <c r="C4469" s="397" t="s">
        <v>1251</v>
      </c>
      <c r="D4469" s="1333">
        <v>45962</v>
      </c>
      <c r="E4469" s="1334"/>
      <c r="F4469" s="1335"/>
      <c r="G4469" s="1333">
        <v>45991</v>
      </c>
      <c r="H4469" s="1334"/>
      <c r="I4469" s="1335"/>
      <c r="J4469" s="317">
        <f t="shared" ref="J4469:J4480" si="1226">G4469-D4469+1</f>
        <v>30</v>
      </c>
      <c r="K4469" s="433"/>
      <c r="L4469" s="328"/>
      <c r="M4469" s="328"/>
      <c r="N4469" s="328"/>
      <c r="O4469" s="334"/>
      <c r="P4469" s="328"/>
      <c r="Q4469" s="334"/>
      <c r="R4469" s="333">
        <v>2</v>
      </c>
      <c r="S4469" s="331" t="s">
        <v>313</v>
      </c>
      <c r="T4469" s="320">
        <v>39</v>
      </c>
      <c r="U4469" s="574"/>
      <c r="V4469" s="291">
        <f t="shared" ca="1" si="1188"/>
        <v>4</v>
      </c>
      <c r="W4469" s="256">
        <f t="shared" ref="W4469:W4472" ca="1" si="1227">IF(LEFT(_xlfn.FORMULATEXT(V4469),3)="=SO",1,IF(COUNTA(A4469:U4469)=0,0,2))</f>
        <v>2</v>
      </c>
      <c r="X4469" s="256">
        <f t="shared" ref="X4469:X4472" ca="1" si="1228">IF(COUNTA(OFFSET(A4468,1,0))-COUNTA(A4468)=-1,0,1)</f>
        <v>1</v>
      </c>
      <c r="Y4469" s="336"/>
      <c r="Z4469" s="336"/>
    </row>
    <row r="4470" spans="1:26" s="337" customFormat="1" ht="15" x14ac:dyDescent="0.2">
      <c r="A4470" s="288"/>
      <c r="B4470" s="494"/>
      <c r="C4470" s="397" t="s">
        <v>1252</v>
      </c>
      <c r="D4470" s="1333">
        <v>45962</v>
      </c>
      <c r="E4470" s="1334"/>
      <c r="F4470" s="1335"/>
      <c r="G4470" s="1333">
        <v>45991</v>
      </c>
      <c r="H4470" s="1334"/>
      <c r="I4470" s="1335"/>
      <c r="J4470" s="317">
        <f t="shared" si="1226"/>
        <v>30</v>
      </c>
      <c r="K4470" s="433"/>
      <c r="L4470" s="328"/>
      <c r="M4470" s="328"/>
      <c r="N4470" s="328"/>
      <c r="O4470" s="334"/>
      <c r="P4470" s="328"/>
      <c r="Q4470" s="334"/>
      <c r="R4470" s="333">
        <v>2</v>
      </c>
      <c r="S4470" s="331" t="s">
        <v>313</v>
      </c>
      <c r="T4470" s="320">
        <v>39</v>
      </c>
      <c r="U4470" s="574"/>
      <c r="V4470" s="291">
        <f t="shared" ca="1" si="1188"/>
        <v>4</v>
      </c>
      <c r="W4470" s="256">
        <f t="shared" ca="1" si="1227"/>
        <v>2</v>
      </c>
      <c r="X4470" s="256">
        <f t="shared" ca="1" si="1228"/>
        <v>1</v>
      </c>
      <c r="Y4470" s="336"/>
      <c r="Z4470" s="336"/>
    </row>
    <row r="4471" spans="1:26" s="337" customFormat="1" ht="15" x14ac:dyDescent="0.2">
      <c r="A4471" s="288"/>
      <c r="B4471" s="494"/>
      <c r="C4471" s="397" t="s">
        <v>1287</v>
      </c>
      <c r="D4471" s="1333">
        <v>45992</v>
      </c>
      <c r="E4471" s="1334"/>
      <c r="F4471" s="1335"/>
      <c r="G4471" s="1333">
        <v>46022</v>
      </c>
      <c r="H4471" s="1334"/>
      <c r="I4471" s="1335"/>
      <c r="J4471" s="317">
        <f t="shared" si="1226"/>
        <v>31</v>
      </c>
      <c r="K4471" s="433"/>
      <c r="L4471" s="328"/>
      <c r="M4471" s="328"/>
      <c r="N4471" s="328"/>
      <c r="O4471" s="334"/>
      <c r="P4471" s="328"/>
      <c r="Q4471" s="334"/>
      <c r="R4471" s="333">
        <v>2</v>
      </c>
      <c r="S4471" s="331" t="s">
        <v>313</v>
      </c>
      <c r="T4471" s="320">
        <v>40</v>
      </c>
      <c r="U4471" s="574"/>
      <c r="V4471" s="291">
        <f t="shared" ca="1" si="1188"/>
        <v>4</v>
      </c>
      <c r="W4471" s="256">
        <f t="shared" ca="1" si="1227"/>
        <v>2</v>
      </c>
      <c r="X4471" s="256">
        <f t="shared" ca="1" si="1228"/>
        <v>1</v>
      </c>
      <c r="Y4471" s="336"/>
      <c r="Z4471" s="336"/>
    </row>
    <row r="4472" spans="1:26" s="337" customFormat="1" ht="15" x14ac:dyDescent="0.2">
      <c r="A4472" s="288"/>
      <c r="B4472" s="494"/>
      <c r="C4472" s="397" t="s">
        <v>1288</v>
      </c>
      <c r="D4472" s="1333">
        <v>45992</v>
      </c>
      <c r="E4472" s="1334"/>
      <c r="F4472" s="1335"/>
      <c r="G4472" s="1333">
        <v>46022</v>
      </c>
      <c r="H4472" s="1334"/>
      <c r="I4472" s="1335"/>
      <c r="J4472" s="317">
        <f t="shared" si="1226"/>
        <v>31</v>
      </c>
      <c r="K4472" s="433"/>
      <c r="L4472" s="328"/>
      <c r="M4472" s="328"/>
      <c r="N4472" s="328"/>
      <c r="O4472" s="334"/>
      <c r="P4472" s="328"/>
      <c r="Q4472" s="334"/>
      <c r="R4472" s="333">
        <v>2</v>
      </c>
      <c r="S4472" s="331" t="s">
        <v>313</v>
      </c>
      <c r="T4472" s="320">
        <v>40</v>
      </c>
      <c r="U4472" s="574"/>
      <c r="V4472" s="291">
        <f t="shared" ca="1" si="1188"/>
        <v>4</v>
      </c>
      <c r="W4472" s="256">
        <f t="shared" ca="1" si="1227"/>
        <v>2</v>
      </c>
      <c r="X4472" s="256">
        <f t="shared" ca="1" si="1228"/>
        <v>1</v>
      </c>
      <c r="Y4472" s="336"/>
      <c r="Z4472" s="336"/>
    </row>
    <row r="4473" spans="1:26" s="337" customFormat="1" ht="15" x14ac:dyDescent="0.2">
      <c r="A4473" s="288"/>
      <c r="B4473" s="494"/>
      <c r="C4473" s="397" t="s">
        <v>1304</v>
      </c>
      <c r="D4473" s="1333">
        <v>46023</v>
      </c>
      <c r="E4473" s="1334"/>
      <c r="F4473" s="1335"/>
      <c r="G4473" s="1333">
        <v>46053</v>
      </c>
      <c r="H4473" s="1334"/>
      <c r="I4473" s="1335"/>
      <c r="J4473" s="317">
        <f t="shared" si="1226"/>
        <v>31</v>
      </c>
      <c r="K4473" s="433"/>
      <c r="L4473" s="328"/>
      <c r="M4473" s="328"/>
      <c r="N4473" s="328"/>
      <c r="O4473" s="334"/>
      <c r="P4473" s="328"/>
      <c r="Q4473" s="334"/>
      <c r="R4473" s="333">
        <v>2</v>
      </c>
      <c r="S4473" s="331" t="s">
        <v>313</v>
      </c>
      <c r="T4473" s="320">
        <v>41</v>
      </c>
      <c r="U4473" s="574"/>
      <c r="V4473" s="291">
        <f t="shared" ca="1" si="1188"/>
        <v>4</v>
      </c>
      <c r="W4473" s="256">
        <f t="shared" ref="W4473:W4474" ca="1" si="1229">IF(LEFT(_xlfn.FORMULATEXT(V4473),3)="=SO",1,IF(COUNTA(A4473:U4473)=0,0,2))</f>
        <v>2</v>
      </c>
      <c r="X4473" s="256">
        <f t="shared" ref="X4473:X4474" ca="1" si="1230">IF(COUNTA(OFFSET(A4472,1,0))-COUNTA(A4472)=-1,0,1)</f>
        <v>1</v>
      </c>
      <c r="Y4473" s="336"/>
      <c r="Z4473" s="336"/>
    </row>
    <row r="4474" spans="1:26" s="337" customFormat="1" ht="15" x14ac:dyDescent="0.2">
      <c r="A4474" s="288"/>
      <c r="B4474" s="494"/>
      <c r="C4474" s="397" t="s">
        <v>1305</v>
      </c>
      <c r="D4474" s="1333">
        <v>46023</v>
      </c>
      <c r="E4474" s="1334"/>
      <c r="F4474" s="1335"/>
      <c r="G4474" s="1333">
        <v>46053</v>
      </c>
      <c r="H4474" s="1334"/>
      <c r="I4474" s="1335"/>
      <c r="J4474" s="317">
        <f t="shared" si="1226"/>
        <v>31</v>
      </c>
      <c r="K4474" s="433"/>
      <c r="L4474" s="328"/>
      <c r="M4474" s="328"/>
      <c r="N4474" s="328"/>
      <c r="O4474" s="334"/>
      <c r="P4474" s="328"/>
      <c r="Q4474" s="334"/>
      <c r="R4474" s="333">
        <v>2</v>
      </c>
      <c r="S4474" s="331" t="s">
        <v>313</v>
      </c>
      <c r="T4474" s="320">
        <v>41</v>
      </c>
      <c r="U4474" s="574"/>
      <c r="V4474" s="291">
        <f t="shared" ca="1" si="1188"/>
        <v>4</v>
      </c>
      <c r="W4474" s="256">
        <f t="shared" ca="1" si="1229"/>
        <v>2</v>
      </c>
      <c r="X4474" s="256">
        <f t="shared" ca="1" si="1230"/>
        <v>1</v>
      </c>
      <c r="Y4474" s="336"/>
      <c r="Z4474" s="336"/>
    </row>
    <row r="4475" spans="1:26" s="337" customFormat="1" ht="15" x14ac:dyDescent="0.2">
      <c r="A4475" s="288"/>
      <c r="B4475" s="494"/>
      <c r="C4475" s="397" t="s">
        <v>1321</v>
      </c>
      <c r="D4475" s="1333">
        <v>46054</v>
      </c>
      <c r="E4475" s="1334"/>
      <c r="F4475" s="1335"/>
      <c r="G4475" s="1333">
        <v>46081</v>
      </c>
      <c r="H4475" s="1334"/>
      <c r="I4475" s="1335"/>
      <c r="J4475" s="317">
        <f t="shared" si="1226"/>
        <v>28</v>
      </c>
      <c r="K4475" s="433"/>
      <c r="L4475" s="328"/>
      <c r="M4475" s="328"/>
      <c r="N4475" s="328"/>
      <c r="O4475" s="334"/>
      <c r="P4475" s="328"/>
      <c r="Q4475" s="334"/>
      <c r="R4475" s="333">
        <v>2</v>
      </c>
      <c r="S4475" s="331" t="s">
        <v>313</v>
      </c>
      <c r="T4475" s="320">
        <v>42</v>
      </c>
      <c r="U4475" s="574"/>
      <c r="V4475" s="291">
        <f t="shared" ca="1" si="1188"/>
        <v>4</v>
      </c>
      <c r="W4475" s="256">
        <f t="shared" ref="W4475:W4485" ca="1" si="1231">IF(LEFT(_xlfn.FORMULATEXT(V4475),3)="=SO",1,IF(COUNTA(A4475:U4475)=0,0,2))</f>
        <v>2</v>
      </c>
      <c r="X4475" s="256">
        <f t="shared" ref="X4475:X4485" ca="1" si="1232">IF(COUNTA(OFFSET(A4474,1,0))-COUNTA(A4474)=-1,0,1)</f>
        <v>1</v>
      </c>
      <c r="Y4475" s="336"/>
      <c r="Z4475" s="336"/>
    </row>
    <row r="4476" spans="1:26" s="337" customFormat="1" ht="15" x14ac:dyDescent="0.2">
      <c r="A4476" s="288"/>
      <c r="B4476" s="494"/>
      <c r="C4476" s="397" t="s">
        <v>1322</v>
      </c>
      <c r="D4476" s="1333">
        <v>46054</v>
      </c>
      <c r="E4476" s="1334"/>
      <c r="F4476" s="1335"/>
      <c r="G4476" s="1333">
        <v>46081</v>
      </c>
      <c r="H4476" s="1334"/>
      <c r="I4476" s="1335"/>
      <c r="J4476" s="317">
        <f t="shared" si="1226"/>
        <v>28</v>
      </c>
      <c r="K4476" s="433"/>
      <c r="L4476" s="328"/>
      <c r="M4476" s="328"/>
      <c r="N4476" s="328"/>
      <c r="O4476" s="334"/>
      <c r="P4476" s="328"/>
      <c r="Q4476" s="334"/>
      <c r="R4476" s="333">
        <v>2</v>
      </c>
      <c r="S4476" s="331" t="s">
        <v>313</v>
      </c>
      <c r="T4476" s="320">
        <v>42</v>
      </c>
      <c r="U4476" s="574"/>
      <c r="V4476" s="291">
        <f t="shared" ca="1" si="1188"/>
        <v>4</v>
      </c>
      <c r="W4476" s="256">
        <f t="shared" ca="1" si="1231"/>
        <v>2</v>
      </c>
      <c r="X4476" s="256">
        <f t="shared" ca="1" si="1232"/>
        <v>1</v>
      </c>
      <c r="Y4476" s="336"/>
      <c r="Z4476" s="336"/>
    </row>
    <row r="4477" spans="1:26" s="337" customFormat="1" ht="15" x14ac:dyDescent="0.2">
      <c r="A4477" s="288"/>
      <c r="B4477" s="494"/>
      <c r="C4477" s="397" t="s">
        <v>1331</v>
      </c>
      <c r="D4477" s="1333">
        <v>46082</v>
      </c>
      <c r="E4477" s="1334"/>
      <c r="F4477" s="1335"/>
      <c r="G4477" s="1333">
        <v>46112</v>
      </c>
      <c r="H4477" s="1334"/>
      <c r="I4477" s="1335"/>
      <c r="J4477" s="317">
        <f t="shared" si="1226"/>
        <v>31</v>
      </c>
      <c r="K4477" s="433"/>
      <c r="L4477" s="328"/>
      <c r="M4477" s="328"/>
      <c r="N4477" s="328"/>
      <c r="O4477" s="334"/>
      <c r="P4477" s="328"/>
      <c r="Q4477" s="334"/>
      <c r="R4477" s="333">
        <v>2</v>
      </c>
      <c r="S4477" s="331" t="s">
        <v>313</v>
      </c>
      <c r="T4477" s="320">
        <v>43</v>
      </c>
      <c r="U4477" s="574"/>
      <c r="V4477" s="291">
        <f t="shared" ca="1" si="1188"/>
        <v>4</v>
      </c>
      <c r="W4477" s="256">
        <f t="shared" ref="W4477:W4482" ca="1" si="1233">IF(LEFT(_xlfn.FORMULATEXT(V4477),3)="=SO",1,IF(COUNTA(A4477:U4477)=0,0,2))</f>
        <v>2</v>
      </c>
      <c r="X4477" s="256">
        <f t="shared" ref="X4477:X4482" ca="1" si="1234">IF(COUNTA(OFFSET(A4476,1,0))-COUNTA(A4476)=-1,0,1)</f>
        <v>1</v>
      </c>
      <c r="Y4477" s="336"/>
      <c r="Z4477" s="336"/>
    </row>
    <row r="4478" spans="1:26" s="337" customFormat="1" ht="15" x14ac:dyDescent="0.2">
      <c r="A4478" s="288"/>
      <c r="B4478" s="494"/>
      <c r="C4478" s="397" t="s">
        <v>1332</v>
      </c>
      <c r="D4478" s="1333">
        <v>46082</v>
      </c>
      <c r="E4478" s="1334"/>
      <c r="F4478" s="1335"/>
      <c r="G4478" s="1333">
        <v>46112</v>
      </c>
      <c r="H4478" s="1334"/>
      <c r="I4478" s="1335"/>
      <c r="J4478" s="317">
        <f t="shared" si="1226"/>
        <v>31</v>
      </c>
      <c r="K4478" s="433"/>
      <c r="L4478" s="328"/>
      <c r="M4478" s="328"/>
      <c r="N4478" s="328"/>
      <c r="O4478" s="334"/>
      <c r="P4478" s="328"/>
      <c r="Q4478" s="334"/>
      <c r="R4478" s="333">
        <v>2</v>
      </c>
      <c r="S4478" s="331" t="s">
        <v>313</v>
      </c>
      <c r="T4478" s="320">
        <v>43</v>
      </c>
      <c r="U4478" s="574"/>
      <c r="V4478" s="291">
        <f t="shared" ca="1" si="1188"/>
        <v>4</v>
      </c>
      <c r="W4478" s="256">
        <f t="shared" ca="1" si="1233"/>
        <v>2</v>
      </c>
      <c r="X4478" s="256">
        <f t="shared" ca="1" si="1234"/>
        <v>1</v>
      </c>
      <c r="Y4478" s="336"/>
      <c r="Z4478" s="336"/>
    </row>
    <row r="4479" spans="1:26" s="337" customFormat="1" ht="15" x14ac:dyDescent="0.2">
      <c r="A4479" s="288"/>
      <c r="B4479" s="494"/>
      <c r="C4479" s="397" t="s">
        <v>1369</v>
      </c>
      <c r="D4479" s="1333">
        <v>46113</v>
      </c>
      <c r="E4479" s="1334"/>
      <c r="F4479" s="1335"/>
      <c r="G4479" s="1333">
        <v>46142</v>
      </c>
      <c r="H4479" s="1334"/>
      <c r="I4479" s="1335"/>
      <c r="J4479" s="317">
        <f t="shared" si="1226"/>
        <v>30</v>
      </c>
      <c r="K4479" s="433"/>
      <c r="L4479" s="328"/>
      <c r="M4479" s="328"/>
      <c r="N4479" s="328"/>
      <c r="O4479" s="334"/>
      <c r="P4479" s="328"/>
      <c r="Q4479" s="334"/>
      <c r="R4479" s="333">
        <v>2</v>
      </c>
      <c r="S4479" s="331" t="s">
        <v>313</v>
      </c>
      <c r="T4479" s="320">
        <v>44</v>
      </c>
      <c r="U4479" s="574"/>
      <c r="V4479" s="291">
        <f t="shared" ca="1" si="1188"/>
        <v>4</v>
      </c>
      <c r="W4479" s="256">
        <f t="shared" ca="1" si="1233"/>
        <v>2</v>
      </c>
      <c r="X4479" s="256">
        <f t="shared" ca="1" si="1234"/>
        <v>1</v>
      </c>
      <c r="Y4479" s="336"/>
      <c r="Z4479" s="336"/>
    </row>
    <row r="4480" spans="1:26" s="337" customFormat="1" ht="15" x14ac:dyDescent="0.2">
      <c r="A4480" s="288"/>
      <c r="B4480" s="494"/>
      <c r="C4480" s="397" t="s">
        <v>1370</v>
      </c>
      <c r="D4480" s="1333">
        <v>46113</v>
      </c>
      <c r="E4480" s="1334"/>
      <c r="F4480" s="1335"/>
      <c r="G4480" s="1333">
        <v>46142</v>
      </c>
      <c r="H4480" s="1334"/>
      <c r="I4480" s="1335"/>
      <c r="J4480" s="317">
        <f t="shared" si="1226"/>
        <v>30</v>
      </c>
      <c r="K4480" s="433"/>
      <c r="L4480" s="328"/>
      <c r="M4480" s="328"/>
      <c r="N4480" s="328"/>
      <c r="O4480" s="334"/>
      <c r="P4480" s="328"/>
      <c r="Q4480" s="334"/>
      <c r="R4480" s="333">
        <v>2</v>
      </c>
      <c r="S4480" s="331" t="s">
        <v>313</v>
      </c>
      <c r="T4480" s="320">
        <v>44</v>
      </c>
      <c r="U4480" s="574"/>
      <c r="V4480" s="291">
        <f t="shared" ca="1" si="1188"/>
        <v>4</v>
      </c>
      <c r="W4480" s="256">
        <f t="shared" ca="1" si="1233"/>
        <v>2</v>
      </c>
      <c r="X4480" s="256">
        <f t="shared" ca="1" si="1234"/>
        <v>1</v>
      </c>
      <c r="Y4480" s="336"/>
      <c r="Z4480" s="336"/>
    </row>
    <row r="4481" spans="1:29" s="337" customFormat="1" ht="15" x14ac:dyDescent="0.2">
      <c r="A4481" s="288"/>
      <c r="B4481" s="494"/>
      <c r="C4481" s="755"/>
      <c r="D4481" s="756"/>
      <c r="E4481" s="757"/>
      <c r="F4481" s="758"/>
      <c r="G4481" s="756"/>
      <c r="H4481" s="757"/>
      <c r="I4481" s="758"/>
      <c r="J4481" s="560"/>
      <c r="K4481" s="759"/>
      <c r="L4481" s="501"/>
      <c r="M4481" s="760"/>
      <c r="N4481" s="761"/>
      <c r="O4481" s="505"/>
      <c r="P4481" s="501"/>
      <c r="Q4481" s="739"/>
      <c r="R4481" s="504"/>
      <c r="S4481" s="505"/>
      <c r="T4481" s="506"/>
      <c r="U4481" s="574"/>
      <c r="V4481" s="291">
        <f t="shared" ca="1" si="1188"/>
        <v>4</v>
      </c>
      <c r="W4481" s="256">
        <f t="shared" ca="1" si="1233"/>
        <v>0</v>
      </c>
      <c r="X4481" s="256">
        <f t="shared" ca="1" si="1234"/>
        <v>1</v>
      </c>
      <c r="Y4481" s="336"/>
      <c r="Z4481" s="336"/>
    </row>
    <row r="4482" spans="1:29" s="111" customFormat="1" ht="15" x14ac:dyDescent="0.2">
      <c r="A4482" s="288"/>
      <c r="B4482" s="338"/>
      <c r="C4482" s="339"/>
      <c r="D4482" s="1348"/>
      <c r="E4482" s="1349"/>
      <c r="F4482" s="1350"/>
      <c r="G4482" s="1351"/>
      <c r="H4482" s="1352"/>
      <c r="I4482" s="1353"/>
      <c r="J4482" s="343"/>
      <c r="K4482" s="344"/>
      <c r="L4482" s="345"/>
      <c r="M4482" s="346"/>
      <c r="N4482" s="347"/>
      <c r="O4482" s="348"/>
      <c r="P4482" s="345"/>
      <c r="Q4482" s="349"/>
      <c r="R4482" s="350"/>
      <c r="S4482" s="351"/>
      <c r="T4482" s="352"/>
      <c r="U4482" s="353"/>
      <c r="V4482" s="291">
        <f t="shared" ca="1" si="1188"/>
        <v>4</v>
      </c>
      <c r="W4482" s="256">
        <f t="shared" ca="1" si="1233"/>
        <v>0</v>
      </c>
      <c r="X4482" s="256">
        <f t="shared" ca="1" si="1234"/>
        <v>1</v>
      </c>
      <c r="Y4482" s="250"/>
      <c r="Z4482" s="250"/>
    </row>
    <row r="4483" spans="1:29" s="111" customFormat="1" ht="15.75" x14ac:dyDescent="0.2">
      <c r="A4483" s="288"/>
      <c r="B4483" s="354"/>
      <c r="C4483" s="355"/>
      <c r="D4483" s="1354" t="s">
        <v>492</v>
      </c>
      <c r="E4483" s="1355"/>
      <c r="F4483" s="1355"/>
      <c r="G4483" s="1355"/>
      <c r="H4483" s="1355"/>
      <c r="I4483" s="1356"/>
      <c r="J4483" s="1357">
        <f>VLOOKUP(A4485,'11 - FINANCEIRO'!_xlnm.Print_Area,6,FALSE)</f>
        <v>131</v>
      </c>
      <c r="K4483" s="1358"/>
      <c r="L4483" s="356" t="str">
        <f>VLOOKUP(A4485,'11 - FINANCEIRO'!_xlnm.Print_Area,4,FALSE)</f>
        <v>mês</v>
      </c>
      <c r="M4483" s="1359" t="s">
        <v>493</v>
      </c>
      <c r="N4483" s="1360"/>
      <c r="O4483" s="1360"/>
      <c r="P4483" s="1360"/>
      <c r="Q4483" s="1361"/>
      <c r="R4483" s="357">
        <f>TRUNC(SUM(R4428:R4482),3)</f>
        <v>111</v>
      </c>
      <c r="S4483" s="358" t="str">
        <f>L4483</f>
        <v>mês</v>
      </c>
      <c r="T4483" s="359"/>
      <c r="U4483" s="360"/>
      <c r="V4483" s="291">
        <f t="shared" ca="1" si="1188"/>
        <v>4</v>
      </c>
      <c r="W4483" s="256">
        <f t="shared" ca="1" si="1231"/>
        <v>2</v>
      </c>
      <c r="X4483" s="256">
        <f t="shared" ca="1" si="1232"/>
        <v>1</v>
      </c>
      <c r="Y4483" s="250"/>
      <c r="Z4483" s="250"/>
    </row>
    <row r="4484" spans="1:29" s="111" customFormat="1" ht="15.75" x14ac:dyDescent="0.2">
      <c r="A4484" s="288"/>
      <c r="B4484" s="354"/>
      <c r="C4484" s="361"/>
      <c r="D4484" s="1362" t="s">
        <v>494</v>
      </c>
      <c r="E4484" s="1363"/>
      <c r="F4484" s="1363"/>
      <c r="G4484" s="1363"/>
      <c r="H4484" s="1363"/>
      <c r="I4484" s="1364"/>
      <c r="J4484" s="1365">
        <f>IF(R4483&gt;J4483,1,R4483/J4483)</f>
        <v>0.84732824427480913</v>
      </c>
      <c r="K4484" s="1366"/>
      <c r="L4484" s="1369"/>
      <c r="M4484" s="1371" t="s">
        <v>495</v>
      </c>
      <c r="N4484" s="1372"/>
      <c r="O4484" s="1372"/>
      <c r="P4484" s="1372"/>
      <c r="Q4484" s="1373"/>
      <c r="R4484" s="362">
        <f>VLOOKUP(A4485,'11 - FINANCEIRO'!_xlnm.Print_Area,8,FALSE)</f>
        <v>107</v>
      </c>
      <c r="S4484" s="363" t="str">
        <f>L4483</f>
        <v>mês</v>
      </c>
      <c r="T4484" s="359"/>
      <c r="U4484" s="829"/>
      <c r="V4484" s="291">
        <f t="shared" ca="1" si="1188"/>
        <v>4</v>
      </c>
      <c r="W4484" s="256">
        <f t="shared" ca="1" si="1231"/>
        <v>2</v>
      </c>
      <c r="X4484" s="256">
        <f t="shared" ca="1" si="1232"/>
        <v>1</v>
      </c>
      <c r="Y4484" s="250"/>
      <c r="Z4484" s="250"/>
    </row>
    <row r="4485" spans="1:29" s="293" customFormat="1" ht="15.75" x14ac:dyDescent="0.2">
      <c r="A4485" s="288" t="s">
        <v>733</v>
      </c>
      <c r="B4485" s="364"/>
      <c r="C4485" s="365"/>
      <c r="D4485" s="1354"/>
      <c r="E4485" s="1355"/>
      <c r="F4485" s="1355"/>
      <c r="G4485" s="1355"/>
      <c r="H4485" s="1355"/>
      <c r="I4485" s="1356"/>
      <c r="J4485" s="1367"/>
      <c r="K4485" s="1368"/>
      <c r="L4485" s="1370"/>
      <c r="M4485" s="1371" t="s">
        <v>496</v>
      </c>
      <c r="N4485" s="1372"/>
      <c r="O4485" s="1372"/>
      <c r="P4485" s="1372"/>
      <c r="Q4485" s="1373"/>
      <c r="R4485" s="362">
        <f>R4483-R4484</f>
        <v>4</v>
      </c>
      <c r="S4485" s="363" t="str">
        <f>L4483</f>
        <v>mês</v>
      </c>
      <c r="T4485" s="366"/>
      <c r="U4485" s="367"/>
      <c r="V4485" s="291">
        <f t="shared" ca="1" si="1188"/>
        <v>4</v>
      </c>
      <c r="W4485" s="256">
        <f t="shared" ca="1" si="1231"/>
        <v>2</v>
      </c>
      <c r="X4485" s="256">
        <f t="shared" ca="1" si="1232"/>
        <v>1</v>
      </c>
      <c r="Y4485" s="256"/>
      <c r="Z4485" s="256"/>
      <c r="AA4485" s="292"/>
      <c r="AB4485" s="292"/>
      <c r="AC4485" s="292"/>
    </row>
    <row r="4486" spans="1:29" s="111" customFormat="1" ht="15.75" x14ac:dyDescent="0.2">
      <c r="A4486" s="288"/>
      <c r="B4486" s="368"/>
      <c r="C4486" s="365"/>
      <c r="D4486" s="369"/>
      <c r="E4486" s="370"/>
      <c r="F4486" s="369"/>
      <c r="G4486" s="369"/>
      <c r="H4486" s="369"/>
      <c r="I4486" s="369"/>
      <c r="J4486" s="371"/>
      <c r="K4486" s="372"/>
      <c r="L4486" s="373"/>
      <c r="M4486" s="374"/>
      <c r="N4486" s="374"/>
      <c r="O4486" s="374"/>
      <c r="P4486" s="374"/>
      <c r="Q4486" s="374"/>
      <c r="R4486" s="375"/>
      <c r="S4486" s="376"/>
      <c r="T4486" s="377"/>
      <c r="U4486" s="378"/>
      <c r="V4486" s="379">
        <f ca="1">SUM(V4426:V4485)</f>
        <v>240</v>
      </c>
      <c r="W4486" s="256">
        <f t="shared" ref="W4486:W4507" ca="1" si="1235">IF(LEFT(_xlfn.FORMULATEXT(V4486),3)="=SO",1,IF(COUNTA(A4486:U4486)=0,0,2))</f>
        <v>1</v>
      </c>
      <c r="X4486" s="256">
        <f t="shared" ref="X4486:X4489" ca="1" si="1236">IF(COUNTA(OFFSET(A4485,1,0))-COUNTA(A4485)=-1,0,1)</f>
        <v>0</v>
      </c>
      <c r="Y4486" s="250"/>
      <c r="Z4486" s="250"/>
    </row>
    <row r="4487" spans="1:29" s="293" customFormat="1" ht="33" customHeight="1" x14ac:dyDescent="0.2">
      <c r="A4487" s="288"/>
      <c r="B4487" s="1374" t="str">
        <f>VLOOKUP(A4538,'11 - FINANCEIRO'!_xlnm.Print_Area,1,FALSE)</f>
        <v>6.1.12</v>
      </c>
      <c r="C4487" s="1376" t="str">
        <f>VLOOKUP(A4538,'11 - FINANCEIRO'!_xlnm.Print_Area,3,FALSE)</f>
        <v>Serviço de revolvimento mecanico de material do bota espera</v>
      </c>
      <c r="D4487" s="1378" t="s">
        <v>500</v>
      </c>
      <c r="E4487" s="1379"/>
      <c r="F4487" s="1379"/>
      <c r="G4487" s="1379"/>
      <c r="H4487" s="1379"/>
      <c r="I4487" s="1380"/>
      <c r="J4487" s="1338" t="s">
        <v>478</v>
      </c>
      <c r="K4487" s="1338" t="s">
        <v>479</v>
      </c>
      <c r="L4487" s="1338" t="s">
        <v>480</v>
      </c>
      <c r="M4487" s="1338" t="s">
        <v>481</v>
      </c>
      <c r="N4487" s="1338" t="s">
        <v>482</v>
      </c>
      <c r="O4487" s="1338" t="s">
        <v>483</v>
      </c>
      <c r="P4487" s="1338" t="s">
        <v>484</v>
      </c>
      <c r="Q4487" s="1338" t="s">
        <v>296</v>
      </c>
      <c r="R4487" s="1336" t="s">
        <v>296</v>
      </c>
      <c r="S4487" s="1338" t="s">
        <v>486</v>
      </c>
      <c r="T4487" s="1338" t="s">
        <v>487</v>
      </c>
      <c r="U4487" s="1340" t="s">
        <v>488</v>
      </c>
      <c r="V4487" s="291">
        <f t="shared" ca="1" si="1188"/>
        <v>1</v>
      </c>
      <c r="W4487" s="256">
        <f t="shared" ca="1" si="1235"/>
        <v>2</v>
      </c>
      <c r="X4487" s="256">
        <f t="shared" ca="1" si="1236"/>
        <v>1</v>
      </c>
      <c r="Y4487" s="256"/>
      <c r="Z4487" s="256"/>
      <c r="AA4487" s="292"/>
      <c r="AB4487" s="292"/>
      <c r="AC4487" s="292"/>
    </row>
    <row r="4488" spans="1:29" s="293" customFormat="1" ht="33" customHeight="1" x14ac:dyDescent="0.2">
      <c r="A4488" s="288"/>
      <c r="B4488" s="1375"/>
      <c r="C4488" s="1377"/>
      <c r="D4488" s="1342" t="s">
        <v>489</v>
      </c>
      <c r="E4488" s="1343"/>
      <c r="F4488" s="1344"/>
      <c r="G4488" s="1345" t="s">
        <v>490</v>
      </c>
      <c r="H4488" s="1346"/>
      <c r="I4488" s="1347"/>
      <c r="J4488" s="1339"/>
      <c r="K4488" s="1339"/>
      <c r="L4488" s="1339"/>
      <c r="M4488" s="1339"/>
      <c r="N4488" s="1339"/>
      <c r="O4488" s="1339"/>
      <c r="P4488" s="1339" t="s">
        <v>491</v>
      </c>
      <c r="Q4488" s="1339"/>
      <c r="R4488" s="1337"/>
      <c r="S4488" s="1339"/>
      <c r="T4488" s="1339"/>
      <c r="U4488" s="1341"/>
      <c r="V4488" s="291">
        <f t="shared" ca="1" si="1188"/>
        <v>1</v>
      </c>
      <c r="W4488" s="256">
        <f t="shared" ca="1" si="1235"/>
        <v>2</v>
      </c>
      <c r="X4488" s="256">
        <f t="shared" ca="1" si="1236"/>
        <v>1</v>
      </c>
      <c r="Y4488" s="256"/>
      <c r="Z4488" s="256"/>
      <c r="AA4488" s="292"/>
      <c r="AB4488" s="292"/>
      <c r="AC4488" s="292"/>
    </row>
    <row r="4489" spans="1:29" s="293" customFormat="1" ht="15.75" x14ac:dyDescent="0.2">
      <c r="A4489" s="288"/>
      <c r="B4489" s="296"/>
      <c r="C4489" s="297" t="s">
        <v>789</v>
      </c>
      <c r="D4489" s="1381">
        <v>44776</v>
      </c>
      <c r="E4489" s="1382"/>
      <c r="F4489" s="1383"/>
      <c r="G4489" s="1381">
        <v>44804</v>
      </c>
      <c r="H4489" s="1382"/>
      <c r="I4489" s="1383"/>
      <c r="J4489" s="304">
        <f t="shared" ref="J4489:J4507" si="1237">G4489-D4489+1</f>
        <v>29</v>
      </c>
      <c r="K4489" s="304"/>
      <c r="L4489" s="304"/>
      <c r="M4489" s="304"/>
      <c r="N4489" s="304"/>
      <c r="O4489" s="304"/>
      <c r="P4489" s="306"/>
      <c r="Q4489" s="304"/>
      <c r="R4489" s="307">
        <v>1</v>
      </c>
      <c r="S4489" s="308" t="str">
        <f>S4536</f>
        <v>mês</v>
      </c>
      <c r="T4489" s="309">
        <v>19</v>
      </c>
      <c r="U4489" s="310"/>
      <c r="V4489" s="291">
        <f t="shared" ca="1" si="1188"/>
        <v>1</v>
      </c>
      <c r="W4489" s="256">
        <f t="shared" ca="1" si="1235"/>
        <v>2</v>
      </c>
      <c r="X4489" s="256">
        <f t="shared" ca="1" si="1236"/>
        <v>1</v>
      </c>
      <c r="Y4489" s="256"/>
      <c r="Z4489" s="256"/>
      <c r="AA4489" s="292"/>
      <c r="AB4489" s="292"/>
      <c r="AC4489" s="292"/>
    </row>
    <row r="4490" spans="1:29" s="337" customFormat="1" ht="15.75" x14ac:dyDescent="0.2">
      <c r="A4490" s="288"/>
      <c r="B4490" s="311"/>
      <c r="C4490" s="312" t="s">
        <v>790</v>
      </c>
      <c r="D4490" s="1333">
        <v>44805</v>
      </c>
      <c r="E4490" s="1334"/>
      <c r="F4490" s="1335"/>
      <c r="G4490" s="1333">
        <v>44836</v>
      </c>
      <c r="H4490" s="1334"/>
      <c r="I4490" s="1335"/>
      <c r="J4490" s="317">
        <f t="shared" si="1237"/>
        <v>32</v>
      </c>
      <c r="K4490" s="313"/>
      <c r="L4490" s="317"/>
      <c r="M4490" s="315"/>
      <c r="N4490" s="314"/>
      <c r="O4490" s="313"/>
      <c r="P4490" s="318"/>
      <c r="Q4490" s="315"/>
      <c r="R4490" s="319">
        <v>1</v>
      </c>
      <c r="S4490" s="331" t="s">
        <v>313</v>
      </c>
      <c r="T4490" s="320">
        <v>19</v>
      </c>
      <c r="U4490" s="321"/>
      <c r="V4490" s="291">
        <f t="shared" ca="1" si="1188"/>
        <v>1</v>
      </c>
      <c r="W4490" s="256">
        <f t="shared" ca="1" si="1235"/>
        <v>2</v>
      </c>
      <c r="X4490" s="256">
        <f ca="1">IF(COUNTA(OFFSET(#REF!,1,0))-COUNTA(#REF!)=-1,0,1)</f>
        <v>1</v>
      </c>
      <c r="Y4490" s="336"/>
      <c r="Z4490" s="336"/>
    </row>
    <row r="4491" spans="1:29" s="337" customFormat="1" ht="15.75" x14ac:dyDescent="0.2">
      <c r="A4491" s="288"/>
      <c r="B4491" s="311"/>
      <c r="C4491" s="312" t="s">
        <v>788</v>
      </c>
      <c r="D4491" s="1333">
        <v>44837</v>
      </c>
      <c r="E4491" s="1334"/>
      <c r="F4491" s="1335"/>
      <c r="G4491" s="1333">
        <v>44865</v>
      </c>
      <c r="H4491" s="1334"/>
      <c r="I4491" s="1335"/>
      <c r="J4491" s="317">
        <f t="shared" si="1237"/>
        <v>29</v>
      </c>
      <c r="K4491" s="313"/>
      <c r="L4491" s="317"/>
      <c r="M4491" s="315"/>
      <c r="N4491" s="314"/>
      <c r="O4491" s="313"/>
      <c r="P4491" s="318"/>
      <c r="Q4491" s="315"/>
      <c r="R4491" s="319">
        <v>1</v>
      </c>
      <c r="S4491" s="331" t="s">
        <v>313</v>
      </c>
      <c r="T4491" s="320">
        <v>19</v>
      </c>
      <c r="U4491" s="321"/>
      <c r="V4491" s="291">
        <f t="shared" ca="1" si="1188"/>
        <v>1</v>
      </c>
      <c r="W4491" s="256">
        <f t="shared" ca="1" si="1235"/>
        <v>2</v>
      </c>
      <c r="X4491" s="256">
        <f t="shared" ref="X4491:X4502" ca="1" si="1238">IF(COUNTA(OFFSET(A4490,1,0))-COUNTA(A4490)=-1,0,1)</f>
        <v>1</v>
      </c>
      <c r="Y4491" s="336"/>
      <c r="Z4491" s="336"/>
    </row>
    <row r="4492" spans="1:29" s="405" customFormat="1" ht="15" x14ac:dyDescent="0.2">
      <c r="A4492" s="403"/>
      <c r="B4492" s="322"/>
      <c r="C4492" s="397" t="s">
        <v>791</v>
      </c>
      <c r="D4492" s="1333">
        <v>44866</v>
      </c>
      <c r="E4492" s="1334"/>
      <c r="F4492" s="1335"/>
      <c r="G4492" s="1333">
        <v>44890</v>
      </c>
      <c r="H4492" s="1334"/>
      <c r="I4492" s="1335"/>
      <c r="J4492" s="317">
        <f t="shared" si="1237"/>
        <v>25</v>
      </c>
      <c r="K4492" s="328"/>
      <c r="L4492" s="328"/>
      <c r="M4492" s="328"/>
      <c r="N4492" s="328"/>
      <c r="O4492" s="334"/>
      <c r="P4492" s="328"/>
      <c r="Q4492" s="334"/>
      <c r="R4492" s="319">
        <v>1</v>
      </c>
      <c r="S4492" s="331" t="s">
        <v>313</v>
      </c>
      <c r="T4492" s="320">
        <v>19</v>
      </c>
      <c r="U4492" s="335"/>
      <c r="V4492" s="291">
        <f t="shared" ca="1" si="1188"/>
        <v>1</v>
      </c>
      <c r="W4492" s="256">
        <f t="shared" ca="1" si="1235"/>
        <v>2</v>
      </c>
      <c r="X4492" s="256">
        <f t="shared" ca="1" si="1238"/>
        <v>1</v>
      </c>
      <c r="Y4492" s="404"/>
      <c r="Z4492" s="404"/>
    </row>
    <row r="4493" spans="1:29" s="405" customFormat="1" ht="15" x14ac:dyDescent="0.2">
      <c r="A4493" s="403"/>
      <c r="B4493" s="322"/>
      <c r="C4493" s="397" t="s">
        <v>792</v>
      </c>
      <c r="D4493" s="1333">
        <f>G4492+1</f>
        <v>44891</v>
      </c>
      <c r="E4493" s="1334"/>
      <c r="F4493" s="1335"/>
      <c r="G4493" s="1333">
        <v>44926</v>
      </c>
      <c r="H4493" s="1334"/>
      <c r="I4493" s="1335"/>
      <c r="J4493" s="317">
        <f t="shared" si="1237"/>
        <v>36</v>
      </c>
      <c r="K4493" s="328"/>
      <c r="L4493" s="328"/>
      <c r="M4493" s="328"/>
      <c r="N4493" s="328"/>
      <c r="O4493" s="334"/>
      <c r="P4493" s="328"/>
      <c r="Q4493" s="334"/>
      <c r="R4493" s="319">
        <v>1</v>
      </c>
      <c r="S4493" s="331" t="s">
        <v>313</v>
      </c>
      <c r="T4493" s="320">
        <v>19</v>
      </c>
      <c r="U4493" s="335"/>
      <c r="V4493" s="291">
        <f t="shared" ca="1" si="1188"/>
        <v>1</v>
      </c>
      <c r="W4493" s="256">
        <f t="shared" ca="1" si="1235"/>
        <v>2</v>
      </c>
      <c r="X4493" s="256">
        <f t="shared" ca="1" si="1238"/>
        <v>1</v>
      </c>
      <c r="Y4493" s="404"/>
      <c r="Z4493" s="404"/>
    </row>
    <row r="4494" spans="1:29" s="337" customFormat="1" ht="15" x14ac:dyDescent="0.2">
      <c r="A4494" s="288"/>
      <c r="B4494" s="322"/>
      <c r="C4494" s="397" t="s">
        <v>793</v>
      </c>
      <c r="D4494" s="1333">
        <v>44927</v>
      </c>
      <c r="E4494" s="1334"/>
      <c r="F4494" s="1335"/>
      <c r="G4494" s="1333">
        <v>44957</v>
      </c>
      <c r="H4494" s="1334"/>
      <c r="I4494" s="1335"/>
      <c r="J4494" s="317">
        <f t="shared" si="1237"/>
        <v>31</v>
      </c>
      <c r="K4494" s="327"/>
      <c r="L4494" s="328"/>
      <c r="M4494" s="329"/>
      <c r="N4494" s="330"/>
      <c r="O4494" s="331"/>
      <c r="P4494" s="328"/>
      <c r="Q4494" s="332"/>
      <c r="R4494" s="319">
        <v>1</v>
      </c>
      <c r="S4494" s="331" t="s">
        <v>313</v>
      </c>
      <c r="T4494" s="320">
        <v>19</v>
      </c>
      <c r="U4494" s="335"/>
      <c r="V4494" s="291">
        <f t="shared" ca="1" si="1188"/>
        <v>1</v>
      </c>
      <c r="W4494" s="256">
        <f t="shared" ca="1" si="1235"/>
        <v>2</v>
      </c>
      <c r="X4494" s="256">
        <f t="shared" ca="1" si="1238"/>
        <v>1</v>
      </c>
      <c r="Y4494" s="336"/>
      <c r="Z4494" s="336"/>
    </row>
    <row r="4495" spans="1:29" s="337" customFormat="1" ht="15" x14ac:dyDescent="0.2">
      <c r="A4495" s="288"/>
      <c r="B4495" s="322"/>
      <c r="C4495" s="397" t="s">
        <v>794</v>
      </c>
      <c r="D4495" s="1333">
        <v>44958</v>
      </c>
      <c r="E4495" s="1334"/>
      <c r="F4495" s="1335"/>
      <c r="G4495" s="1333">
        <v>44985</v>
      </c>
      <c r="H4495" s="1334"/>
      <c r="I4495" s="1335"/>
      <c r="J4495" s="317">
        <f t="shared" si="1237"/>
        <v>28</v>
      </c>
      <c r="K4495" s="327"/>
      <c r="L4495" s="328"/>
      <c r="M4495" s="329"/>
      <c r="N4495" s="330"/>
      <c r="O4495" s="331"/>
      <c r="P4495" s="328"/>
      <c r="Q4495" s="332"/>
      <c r="R4495" s="319">
        <v>1</v>
      </c>
      <c r="S4495" s="331" t="str">
        <f t="shared" ref="S4495:S4501" si="1239">$S$154</f>
        <v>mês</v>
      </c>
      <c r="T4495" s="320">
        <v>19</v>
      </c>
      <c r="U4495" s="335"/>
      <c r="V4495" s="291">
        <f t="shared" ca="1" si="1188"/>
        <v>1</v>
      </c>
      <c r="W4495" s="256">
        <f t="shared" ca="1" si="1235"/>
        <v>2</v>
      </c>
      <c r="X4495" s="256">
        <f t="shared" ca="1" si="1238"/>
        <v>1</v>
      </c>
      <c r="Y4495" s="336"/>
      <c r="Z4495" s="336"/>
    </row>
    <row r="4496" spans="1:29" s="337" customFormat="1" ht="15" x14ac:dyDescent="0.2">
      <c r="A4496" s="288"/>
      <c r="B4496" s="322"/>
      <c r="C4496" s="397" t="s">
        <v>795</v>
      </c>
      <c r="D4496" s="1333">
        <v>44986</v>
      </c>
      <c r="E4496" s="1334"/>
      <c r="F4496" s="1335"/>
      <c r="G4496" s="1333">
        <v>45016</v>
      </c>
      <c r="H4496" s="1334"/>
      <c r="I4496" s="1335"/>
      <c r="J4496" s="317">
        <f t="shared" si="1237"/>
        <v>31</v>
      </c>
      <c r="K4496" s="327"/>
      <c r="L4496" s="328"/>
      <c r="M4496" s="329"/>
      <c r="N4496" s="330"/>
      <c r="O4496" s="331"/>
      <c r="P4496" s="328"/>
      <c r="Q4496" s="332"/>
      <c r="R4496" s="319">
        <v>1</v>
      </c>
      <c r="S4496" s="331" t="str">
        <f t="shared" si="1239"/>
        <v>mês</v>
      </c>
      <c r="T4496" s="320">
        <v>19</v>
      </c>
      <c r="U4496" s="335"/>
      <c r="V4496" s="291">
        <f t="shared" ca="1" si="1188"/>
        <v>1</v>
      </c>
      <c r="W4496" s="256">
        <f t="shared" ca="1" si="1235"/>
        <v>2</v>
      </c>
      <c r="X4496" s="256">
        <f t="shared" ca="1" si="1238"/>
        <v>1</v>
      </c>
      <c r="Y4496" s="336"/>
      <c r="Z4496" s="336"/>
    </row>
    <row r="4497" spans="1:29" s="337" customFormat="1" ht="15" x14ac:dyDescent="0.2">
      <c r="A4497" s="288"/>
      <c r="B4497" s="322"/>
      <c r="C4497" s="397" t="s">
        <v>796</v>
      </c>
      <c r="D4497" s="1333">
        <v>45017</v>
      </c>
      <c r="E4497" s="1334"/>
      <c r="F4497" s="1335"/>
      <c r="G4497" s="1333">
        <v>45046</v>
      </c>
      <c r="H4497" s="1334"/>
      <c r="I4497" s="1335"/>
      <c r="J4497" s="317">
        <f t="shared" si="1237"/>
        <v>30</v>
      </c>
      <c r="K4497" s="327"/>
      <c r="L4497" s="328"/>
      <c r="M4497" s="329"/>
      <c r="N4497" s="330"/>
      <c r="O4497" s="331"/>
      <c r="P4497" s="328"/>
      <c r="Q4497" s="332"/>
      <c r="R4497" s="319">
        <v>1</v>
      </c>
      <c r="S4497" s="331" t="str">
        <f t="shared" si="1239"/>
        <v>mês</v>
      </c>
      <c r="T4497" s="320">
        <v>19</v>
      </c>
      <c r="U4497" s="335"/>
      <c r="V4497" s="291">
        <f t="shared" ref="V4497:V4538" ca="1" si="1240">IF(OFFSET(V4497,1,1)=1,OFFSET(V4497,0,-4),OFFSET(V4497,1,0))</f>
        <v>1</v>
      </c>
      <c r="W4497" s="256">
        <f t="shared" ca="1" si="1235"/>
        <v>2</v>
      </c>
      <c r="X4497" s="256">
        <f t="shared" ca="1" si="1238"/>
        <v>1</v>
      </c>
      <c r="Y4497" s="336"/>
      <c r="Z4497" s="336"/>
    </row>
    <row r="4498" spans="1:29" s="337" customFormat="1" ht="15" x14ac:dyDescent="0.2">
      <c r="A4498" s="288"/>
      <c r="B4498" s="322"/>
      <c r="C4498" s="397" t="s">
        <v>797</v>
      </c>
      <c r="D4498" s="1333">
        <v>45047</v>
      </c>
      <c r="E4498" s="1334"/>
      <c r="F4498" s="1335"/>
      <c r="G4498" s="1333">
        <v>45077</v>
      </c>
      <c r="H4498" s="1334"/>
      <c r="I4498" s="1335"/>
      <c r="J4498" s="317">
        <f t="shared" si="1237"/>
        <v>31</v>
      </c>
      <c r="K4498" s="327"/>
      <c r="L4498" s="328"/>
      <c r="M4498" s="329"/>
      <c r="N4498" s="330"/>
      <c r="O4498" s="331"/>
      <c r="P4498" s="328"/>
      <c r="Q4498" s="332"/>
      <c r="R4498" s="319">
        <v>1</v>
      </c>
      <c r="S4498" s="331" t="str">
        <f t="shared" si="1239"/>
        <v>mês</v>
      </c>
      <c r="T4498" s="320">
        <v>19</v>
      </c>
      <c r="U4498" s="335"/>
      <c r="V4498" s="291">
        <f t="shared" ca="1" si="1240"/>
        <v>1</v>
      </c>
      <c r="W4498" s="256">
        <f t="shared" ca="1" si="1235"/>
        <v>2</v>
      </c>
      <c r="X4498" s="256">
        <f t="shared" ca="1" si="1238"/>
        <v>1</v>
      </c>
      <c r="Y4498" s="336"/>
      <c r="Z4498" s="336"/>
    </row>
    <row r="4499" spans="1:29" s="337" customFormat="1" ht="15" x14ac:dyDescent="0.2">
      <c r="A4499" s="288"/>
      <c r="B4499" s="322"/>
      <c r="C4499" s="397" t="s">
        <v>798</v>
      </c>
      <c r="D4499" s="1333">
        <v>45078</v>
      </c>
      <c r="E4499" s="1334"/>
      <c r="F4499" s="1335"/>
      <c r="G4499" s="1333">
        <v>45107</v>
      </c>
      <c r="H4499" s="1334"/>
      <c r="I4499" s="1335"/>
      <c r="J4499" s="317">
        <f t="shared" si="1237"/>
        <v>30</v>
      </c>
      <c r="K4499" s="327"/>
      <c r="L4499" s="328"/>
      <c r="M4499" s="329"/>
      <c r="N4499" s="330"/>
      <c r="O4499" s="331"/>
      <c r="P4499" s="328"/>
      <c r="Q4499" s="332"/>
      <c r="R4499" s="319">
        <v>1</v>
      </c>
      <c r="S4499" s="331" t="str">
        <f t="shared" si="1239"/>
        <v>mês</v>
      </c>
      <c r="T4499" s="320">
        <v>19</v>
      </c>
      <c r="U4499" s="335"/>
      <c r="V4499" s="291">
        <f t="shared" ca="1" si="1240"/>
        <v>1</v>
      </c>
      <c r="W4499" s="256">
        <f t="shared" ca="1" si="1235"/>
        <v>2</v>
      </c>
      <c r="X4499" s="256">
        <f t="shared" ca="1" si="1238"/>
        <v>1</v>
      </c>
      <c r="Y4499" s="336"/>
      <c r="Z4499" s="336"/>
    </row>
    <row r="4500" spans="1:29" s="337" customFormat="1" ht="15" x14ac:dyDescent="0.2">
      <c r="A4500" s="288"/>
      <c r="B4500" s="322"/>
      <c r="C4500" s="397" t="s">
        <v>799</v>
      </c>
      <c r="D4500" s="1333">
        <v>45108</v>
      </c>
      <c r="E4500" s="1334"/>
      <c r="F4500" s="1335"/>
      <c r="G4500" s="1333">
        <v>45138</v>
      </c>
      <c r="H4500" s="1334"/>
      <c r="I4500" s="1335"/>
      <c r="J4500" s="317">
        <f t="shared" si="1237"/>
        <v>31</v>
      </c>
      <c r="K4500" s="327"/>
      <c r="L4500" s="328"/>
      <c r="M4500" s="329"/>
      <c r="N4500" s="330"/>
      <c r="O4500" s="331"/>
      <c r="P4500" s="328"/>
      <c r="Q4500" s="332"/>
      <c r="R4500" s="319">
        <v>1</v>
      </c>
      <c r="S4500" s="331" t="str">
        <f t="shared" si="1239"/>
        <v>mês</v>
      </c>
      <c r="T4500" s="320">
        <v>19</v>
      </c>
      <c r="U4500" s="335"/>
      <c r="V4500" s="291">
        <f t="shared" ca="1" si="1240"/>
        <v>1</v>
      </c>
      <c r="W4500" s="256">
        <f t="shared" ca="1" si="1235"/>
        <v>2</v>
      </c>
      <c r="X4500" s="256">
        <f t="shared" ca="1" si="1238"/>
        <v>1</v>
      </c>
      <c r="Y4500" s="336"/>
      <c r="Z4500" s="336"/>
    </row>
    <row r="4501" spans="1:29" s="337" customFormat="1" ht="15" x14ac:dyDescent="0.2">
      <c r="A4501" s="288"/>
      <c r="B4501" s="322"/>
      <c r="C4501" s="397" t="s">
        <v>800</v>
      </c>
      <c r="D4501" s="1333">
        <v>45139</v>
      </c>
      <c r="E4501" s="1334"/>
      <c r="F4501" s="1335"/>
      <c r="G4501" s="1333">
        <v>45169</v>
      </c>
      <c r="H4501" s="1334"/>
      <c r="I4501" s="1335"/>
      <c r="J4501" s="317">
        <f t="shared" si="1237"/>
        <v>31</v>
      </c>
      <c r="K4501" s="327"/>
      <c r="L4501" s="328"/>
      <c r="M4501" s="329"/>
      <c r="N4501" s="330"/>
      <c r="O4501" s="331"/>
      <c r="P4501" s="328"/>
      <c r="Q4501" s="332"/>
      <c r="R4501" s="319">
        <v>1</v>
      </c>
      <c r="S4501" s="331" t="str">
        <f t="shared" si="1239"/>
        <v>mês</v>
      </c>
      <c r="T4501" s="320">
        <v>19</v>
      </c>
      <c r="U4501" s="335"/>
      <c r="V4501" s="291">
        <f t="shared" ca="1" si="1240"/>
        <v>1</v>
      </c>
      <c r="W4501" s="256">
        <f t="shared" ca="1" si="1235"/>
        <v>2</v>
      </c>
      <c r="X4501" s="256">
        <f t="shared" ca="1" si="1238"/>
        <v>1</v>
      </c>
      <c r="Y4501" s="336"/>
      <c r="Z4501" s="336"/>
    </row>
    <row r="4502" spans="1:29" s="293" customFormat="1" ht="15.75" x14ac:dyDescent="0.2">
      <c r="A4502" s="288"/>
      <c r="B4502" s="311"/>
      <c r="C4502" s="397" t="s">
        <v>801</v>
      </c>
      <c r="D4502" s="1333">
        <v>45170</v>
      </c>
      <c r="E4502" s="1334"/>
      <c r="F4502" s="1335"/>
      <c r="G4502" s="1333">
        <v>45199</v>
      </c>
      <c r="H4502" s="1334"/>
      <c r="I4502" s="1335"/>
      <c r="J4502" s="317">
        <f t="shared" si="1237"/>
        <v>30</v>
      </c>
      <c r="K4502" s="313"/>
      <c r="L4502" s="317"/>
      <c r="M4502" s="315"/>
      <c r="N4502" s="314"/>
      <c r="O4502" s="313"/>
      <c r="P4502" s="318"/>
      <c r="Q4502" s="315"/>
      <c r="R4502" s="319">
        <v>1</v>
      </c>
      <c r="S4502" s="398" t="str">
        <f t="shared" ref="S4502:S4519" si="1241">$S$154</f>
        <v>mês</v>
      </c>
      <c r="T4502" s="320">
        <v>19</v>
      </c>
      <c r="U4502" s="321"/>
      <c r="V4502" s="291">
        <f t="shared" ca="1" si="1240"/>
        <v>1</v>
      </c>
      <c r="W4502" s="256">
        <f t="shared" ca="1" si="1235"/>
        <v>2</v>
      </c>
      <c r="X4502" s="256">
        <f t="shared" ca="1" si="1238"/>
        <v>1</v>
      </c>
      <c r="Y4502" s="256"/>
      <c r="Z4502" s="256"/>
      <c r="AA4502" s="292"/>
      <c r="AB4502" s="292"/>
      <c r="AC4502" s="292"/>
    </row>
    <row r="4503" spans="1:29" s="293" customFormat="1" ht="15.75" x14ac:dyDescent="0.2">
      <c r="A4503" s="288"/>
      <c r="B4503" s="311"/>
      <c r="C4503" s="397" t="s">
        <v>802</v>
      </c>
      <c r="D4503" s="1333">
        <v>45200</v>
      </c>
      <c r="E4503" s="1334"/>
      <c r="F4503" s="1335"/>
      <c r="G4503" s="1333">
        <v>45230</v>
      </c>
      <c r="H4503" s="1334"/>
      <c r="I4503" s="1335"/>
      <c r="J4503" s="317">
        <f t="shared" si="1237"/>
        <v>31</v>
      </c>
      <c r="K4503" s="313"/>
      <c r="L4503" s="317"/>
      <c r="M4503" s="315"/>
      <c r="N4503" s="314"/>
      <c r="O4503" s="313"/>
      <c r="P4503" s="318"/>
      <c r="Q4503" s="315"/>
      <c r="R4503" s="319">
        <v>1</v>
      </c>
      <c r="S4503" s="398" t="str">
        <f t="shared" si="1241"/>
        <v>mês</v>
      </c>
      <c r="T4503" s="320">
        <v>19</v>
      </c>
      <c r="U4503" s="321"/>
      <c r="V4503" s="291">
        <f t="shared" ca="1" si="1240"/>
        <v>1</v>
      </c>
      <c r="W4503" s="256">
        <f t="shared" ca="1" si="1235"/>
        <v>2</v>
      </c>
      <c r="X4503" s="256">
        <f ca="1">IF(COUNTA(OFFSET(#REF!,1,0))-COUNTA(#REF!)=-1,0,1)</f>
        <v>1</v>
      </c>
      <c r="Y4503" s="256"/>
      <c r="Z4503" s="256"/>
      <c r="AA4503" s="292"/>
      <c r="AB4503" s="292"/>
      <c r="AC4503" s="292"/>
    </row>
    <row r="4504" spans="1:29" s="292" customFormat="1" ht="15" x14ac:dyDescent="0.2">
      <c r="A4504" s="399"/>
      <c r="B4504" s="322"/>
      <c r="C4504" s="397" t="s">
        <v>803</v>
      </c>
      <c r="D4504" s="1333">
        <v>45231</v>
      </c>
      <c r="E4504" s="1334"/>
      <c r="F4504" s="1335"/>
      <c r="G4504" s="1333">
        <v>45260</v>
      </c>
      <c r="H4504" s="1334"/>
      <c r="I4504" s="1335"/>
      <c r="J4504" s="317">
        <f t="shared" si="1237"/>
        <v>30</v>
      </c>
      <c r="K4504" s="328"/>
      <c r="L4504" s="328"/>
      <c r="M4504" s="328"/>
      <c r="N4504" s="328"/>
      <c r="O4504" s="334"/>
      <c r="P4504" s="328"/>
      <c r="Q4504" s="334"/>
      <c r="R4504" s="319">
        <v>1</v>
      </c>
      <c r="S4504" s="331" t="str">
        <f t="shared" si="1241"/>
        <v>mês</v>
      </c>
      <c r="T4504" s="320">
        <v>19</v>
      </c>
      <c r="U4504" s="335"/>
      <c r="V4504" s="291">
        <f t="shared" ca="1" si="1240"/>
        <v>1</v>
      </c>
      <c r="W4504" s="256">
        <f t="shared" ca="1" si="1235"/>
        <v>2</v>
      </c>
      <c r="X4504" s="256">
        <f ca="1">IF(COUNTA(OFFSET(A4503,1,0))-COUNTA(A4503)=-1,0,1)</f>
        <v>1</v>
      </c>
      <c r="Y4504" s="256"/>
      <c r="Z4504" s="256"/>
    </row>
    <row r="4505" spans="1:29" s="292" customFormat="1" ht="15" x14ac:dyDescent="0.2">
      <c r="A4505" s="399"/>
      <c r="B4505" s="322"/>
      <c r="C4505" s="397" t="s">
        <v>804</v>
      </c>
      <c r="D4505" s="1333">
        <v>45261</v>
      </c>
      <c r="E4505" s="1334"/>
      <c r="F4505" s="1335"/>
      <c r="G4505" s="1333">
        <v>45291</v>
      </c>
      <c r="H4505" s="1334"/>
      <c r="I4505" s="1335"/>
      <c r="J4505" s="317">
        <f t="shared" si="1237"/>
        <v>31</v>
      </c>
      <c r="K4505" s="328"/>
      <c r="L4505" s="328"/>
      <c r="M4505" s="328"/>
      <c r="N4505" s="328"/>
      <c r="O4505" s="334"/>
      <c r="P4505" s="328"/>
      <c r="Q4505" s="334"/>
      <c r="R4505" s="319">
        <v>1</v>
      </c>
      <c r="S4505" s="331" t="str">
        <f t="shared" si="1241"/>
        <v>mês</v>
      </c>
      <c r="T4505" s="320">
        <v>19</v>
      </c>
      <c r="U4505" s="335"/>
      <c r="V4505" s="291">
        <f t="shared" ca="1" si="1240"/>
        <v>1</v>
      </c>
      <c r="W4505" s="256">
        <f t="shared" ca="1" si="1235"/>
        <v>2</v>
      </c>
      <c r="X4505" s="256">
        <f ca="1">IF(COUNTA(OFFSET(A4504,1,0))-COUNTA(A4504)=-1,0,1)</f>
        <v>1</v>
      </c>
      <c r="Y4505" s="256"/>
      <c r="Z4505" s="256"/>
    </row>
    <row r="4506" spans="1:29" s="337" customFormat="1" ht="15" x14ac:dyDescent="0.2">
      <c r="A4506" s="288"/>
      <c r="B4506" s="322"/>
      <c r="C4506" s="397" t="s">
        <v>805</v>
      </c>
      <c r="D4506" s="1333">
        <v>45292</v>
      </c>
      <c r="E4506" s="1334"/>
      <c r="F4506" s="1335"/>
      <c r="G4506" s="1333">
        <v>45322</v>
      </c>
      <c r="H4506" s="1334"/>
      <c r="I4506" s="1335"/>
      <c r="J4506" s="317">
        <f t="shared" si="1237"/>
        <v>31</v>
      </c>
      <c r="K4506" s="327"/>
      <c r="L4506" s="328"/>
      <c r="M4506" s="329"/>
      <c r="N4506" s="330"/>
      <c r="O4506" s="331"/>
      <c r="P4506" s="328"/>
      <c r="Q4506" s="332"/>
      <c r="R4506" s="319">
        <v>1</v>
      </c>
      <c r="S4506" s="331" t="str">
        <f t="shared" si="1241"/>
        <v>mês</v>
      </c>
      <c r="T4506" s="320">
        <v>19</v>
      </c>
      <c r="U4506" s="335"/>
      <c r="V4506" s="291">
        <f t="shared" ca="1" si="1240"/>
        <v>1</v>
      </c>
      <c r="W4506" s="256">
        <f t="shared" ca="1" si="1235"/>
        <v>2</v>
      </c>
      <c r="X4506" s="256">
        <f ca="1">IF(COUNTA(OFFSET(#REF!,1,0))-COUNTA(#REF!)=-1,0,1)</f>
        <v>1</v>
      </c>
      <c r="Y4506" s="336"/>
      <c r="Z4506" s="336"/>
    </row>
    <row r="4507" spans="1:29" s="337" customFormat="1" ht="15" x14ac:dyDescent="0.2">
      <c r="A4507" s="288"/>
      <c r="B4507" s="322"/>
      <c r="C4507" s="397" t="s">
        <v>806</v>
      </c>
      <c r="D4507" s="1333">
        <v>45323</v>
      </c>
      <c r="E4507" s="1334"/>
      <c r="F4507" s="1335"/>
      <c r="G4507" s="1333">
        <v>45351</v>
      </c>
      <c r="H4507" s="1334"/>
      <c r="I4507" s="1335"/>
      <c r="J4507" s="317">
        <f t="shared" si="1237"/>
        <v>29</v>
      </c>
      <c r="K4507" s="327"/>
      <c r="L4507" s="328"/>
      <c r="M4507" s="329"/>
      <c r="N4507" s="330"/>
      <c r="O4507" s="331"/>
      <c r="P4507" s="328"/>
      <c r="Q4507" s="332"/>
      <c r="R4507" s="319">
        <v>1</v>
      </c>
      <c r="S4507" s="331" t="str">
        <f t="shared" si="1241"/>
        <v>mês</v>
      </c>
      <c r="T4507" s="320">
        <v>19</v>
      </c>
      <c r="U4507" s="335"/>
      <c r="V4507" s="291">
        <f t="shared" ca="1" si="1240"/>
        <v>1</v>
      </c>
      <c r="W4507" s="256">
        <f t="shared" ca="1" si="1235"/>
        <v>2</v>
      </c>
      <c r="X4507" s="256">
        <f t="shared" ref="X4507:X4512" ca="1" si="1242">IF(COUNTA(OFFSET(A4506,1,0))-COUNTA(A4506)=-1,0,1)</f>
        <v>1</v>
      </c>
      <c r="Y4507" s="336"/>
      <c r="Z4507" s="336"/>
    </row>
    <row r="4508" spans="1:29" s="337" customFormat="1" ht="15" x14ac:dyDescent="0.2">
      <c r="A4508" s="288"/>
      <c r="B4508" s="322"/>
      <c r="C4508" s="397" t="s">
        <v>894</v>
      </c>
      <c r="D4508" s="1333">
        <v>45352</v>
      </c>
      <c r="E4508" s="1334"/>
      <c r="F4508" s="1335"/>
      <c r="G4508" s="1333">
        <v>45382</v>
      </c>
      <c r="H4508" s="1334"/>
      <c r="I4508" s="1335"/>
      <c r="J4508" s="317">
        <f t="shared" ref="J4508:J4513" si="1243">G4508-D4508+1</f>
        <v>31</v>
      </c>
      <c r="K4508" s="327"/>
      <c r="L4508" s="328"/>
      <c r="M4508" s="329"/>
      <c r="N4508" s="330"/>
      <c r="O4508" s="331"/>
      <c r="P4508" s="328"/>
      <c r="Q4508" s="332"/>
      <c r="R4508" s="319">
        <v>1</v>
      </c>
      <c r="S4508" s="331" t="str">
        <f t="shared" si="1241"/>
        <v>mês</v>
      </c>
      <c r="T4508" s="320">
        <v>20</v>
      </c>
      <c r="U4508" s="335"/>
      <c r="V4508" s="291">
        <f t="shared" ca="1" si="1240"/>
        <v>1</v>
      </c>
      <c r="W4508" s="256">
        <f t="shared" ref="W4508:W4513" ca="1" si="1244">IF(LEFT(_xlfn.FORMULATEXT(V4508),3)="=SO",1,IF(COUNTA(A4508:U4508)=0,0,2))</f>
        <v>2</v>
      </c>
      <c r="X4508" s="256">
        <f t="shared" ca="1" si="1242"/>
        <v>1</v>
      </c>
      <c r="Y4508" s="336"/>
      <c r="Z4508" s="336"/>
    </row>
    <row r="4509" spans="1:29" s="337" customFormat="1" ht="15" x14ac:dyDescent="0.2">
      <c r="A4509" s="288"/>
      <c r="B4509" s="322"/>
      <c r="C4509" s="397" t="s">
        <v>930</v>
      </c>
      <c r="D4509" s="1333">
        <v>45383</v>
      </c>
      <c r="E4509" s="1334"/>
      <c r="F4509" s="1335"/>
      <c r="G4509" s="1333">
        <v>45412</v>
      </c>
      <c r="H4509" s="1334"/>
      <c r="I4509" s="1335"/>
      <c r="J4509" s="317">
        <f t="shared" si="1243"/>
        <v>30</v>
      </c>
      <c r="K4509" s="327"/>
      <c r="L4509" s="328"/>
      <c r="M4509" s="329"/>
      <c r="N4509" s="330"/>
      <c r="O4509" s="331"/>
      <c r="P4509" s="328"/>
      <c r="Q4509" s="332"/>
      <c r="R4509" s="319">
        <v>1</v>
      </c>
      <c r="S4509" s="331" t="str">
        <f t="shared" si="1241"/>
        <v>mês</v>
      </c>
      <c r="T4509" s="320">
        <v>21</v>
      </c>
      <c r="U4509" s="335"/>
      <c r="V4509" s="291">
        <f t="shared" ca="1" si="1240"/>
        <v>1</v>
      </c>
      <c r="W4509" s="256">
        <f t="shared" ca="1" si="1244"/>
        <v>2</v>
      </c>
      <c r="X4509" s="256">
        <f t="shared" ca="1" si="1242"/>
        <v>1</v>
      </c>
      <c r="Y4509" s="336"/>
      <c r="Z4509" s="336"/>
    </row>
    <row r="4510" spans="1:29" s="337" customFormat="1" ht="15" x14ac:dyDescent="0.2">
      <c r="A4510" s="288"/>
      <c r="B4510" s="322"/>
      <c r="C4510" s="397" t="s">
        <v>938</v>
      </c>
      <c r="D4510" s="1333">
        <v>45413</v>
      </c>
      <c r="E4510" s="1334"/>
      <c r="F4510" s="1335"/>
      <c r="G4510" s="1333">
        <v>45443</v>
      </c>
      <c r="H4510" s="1334"/>
      <c r="I4510" s="1335"/>
      <c r="J4510" s="317">
        <f t="shared" si="1243"/>
        <v>31</v>
      </c>
      <c r="K4510" s="327"/>
      <c r="L4510" s="328"/>
      <c r="M4510" s="329"/>
      <c r="N4510" s="330"/>
      <c r="O4510" s="331"/>
      <c r="P4510" s="328"/>
      <c r="Q4510" s="332"/>
      <c r="R4510" s="319">
        <v>1</v>
      </c>
      <c r="S4510" s="331" t="str">
        <f t="shared" si="1241"/>
        <v>mês</v>
      </c>
      <c r="T4510" s="320">
        <v>22</v>
      </c>
      <c r="U4510" s="335"/>
      <c r="V4510" s="291">
        <f t="shared" ca="1" si="1240"/>
        <v>1</v>
      </c>
      <c r="W4510" s="256">
        <f t="shared" ca="1" si="1244"/>
        <v>2</v>
      </c>
      <c r="X4510" s="256">
        <f t="shared" ca="1" si="1242"/>
        <v>1</v>
      </c>
      <c r="Y4510" s="336"/>
      <c r="Z4510" s="336"/>
    </row>
    <row r="4511" spans="1:29" s="337" customFormat="1" ht="15" x14ac:dyDescent="0.2">
      <c r="A4511" s="288"/>
      <c r="B4511" s="322"/>
      <c r="C4511" s="397" t="s">
        <v>942</v>
      </c>
      <c r="D4511" s="1333">
        <v>45444</v>
      </c>
      <c r="E4511" s="1334"/>
      <c r="F4511" s="1335"/>
      <c r="G4511" s="1333">
        <v>45473</v>
      </c>
      <c r="H4511" s="1334"/>
      <c r="I4511" s="1335"/>
      <c r="J4511" s="317">
        <f t="shared" si="1243"/>
        <v>30</v>
      </c>
      <c r="K4511" s="327"/>
      <c r="L4511" s="328"/>
      <c r="M4511" s="329"/>
      <c r="N4511" s="330"/>
      <c r="O4511" s="331"/>
      <c r="P4511" s="328"/>
      <c r="Q4511" s="332"/>
      <c r="R4511" s="319">
        <v>1</v>
      </c>
      <c r="S4511" s="331" t="str">
        <f t="shared" si="1241"/>
        <v>mês</v>
      </c>
      <c r="T4511" s="320">
        <v>23</v>
      </c>
      <c r="U4511" s="335"/>
      <c r="V4511" s="291">
        <f t="shared" ca="1" si="1240"/>
        <v>1</v>
      </c>
      <c r="W4511" s="256">
        <f t="shared" ca="1" si="1244"/>
        <v>2</v>
      </c>
      <c r="X4511" s="256">
        <f t="shared" ca="1" si="1242"/>
        <v>1</v>
      </c>
      <c r="Y4511" s="336"/>
      <c r="Z4511" s="336"/>
    </row>
    <row r="4512" spans="1:29" s="337" customFormat="1" ht="15" x14ac:dyDescent="0.2">
      <c r="A4512" s="288"/>
      <c r="B4512" s="322"/>
      <c r="C4512" s="397" t="s">
        <v>946</v>
      </c>
      <c r="D4512" s="1333">
        <v>45474</v>
      </c>
      <c r="E4512" s="1334"/>
      <c r="F4512" s="1335"/>
      <c r="G4512" s="1333">
        <v>45504</v>
      </c>
      <c r="H4512" s="1334"/>
      <c r="I4512" s="1335"/>
      <c r="J4512" s="317">
        <f t="shared" si="1243"/>
        <v>31</v>
      </c>
      <c r="K4512" s="327"/>
      <c r="L4512" s="328"/>
      <c r="M4512" s="329"/>
      <c r="N4512" s="330"/>
      <c r="O4512" s="331"/>
      <c r="P4512" s="328"/>
      <c r="Q4512" s="332"/>
      <c r="R4512" s="333">
        <v>1</v>
      </c>
      <c r="S4512" s="331" t="str">
        <f t="shared" si="1241"/>
        <v>mês</v>
      </c>
      <c r="T4512" s="320">
        <v>24</v>
      </c>
      <c r="U4512" s="335"/>
      <c r="V4512" s="291">
        <f t="shared" ca="1" si="1240"/>
        <v>1</v>
      </c>
      <c r="W4512" s="256">
        <f t="shared" ca="1" si="1244"/>
        <v>2</v>
      </c>
      <c r="X4512" s="256">
        <f t="shared" ca="1" si="1242"/>
        <v>1</v>
      </c>
      <c r="Y4512" s="336"/>
      <c r="Z4512" s="336"/>
    </row>
    <row r="4513" spans="1:26" s="337" customFormat="1" ht="15" x14ac:dyDescent="0.2">
      <c r="A4513" s="288"/>
      <c r="B4513" s="322"/>
      <c r="C4513" s="397" t="s">
        <v>974</v>
      </c>
      <c r="D4513" s="1333">
        <v>45505</v>
      </c>
      <c r="E4513" s="1334"/>
      <c r="F4513" s="1335"/>
      <c r="G4513" s="1333">
        <v>45535</v>
      </c>
      <c r="H4513" s="1334"/>
      <c r="I4513" s="1335"/>
      <c r="J4513" s="317">
        <f t="shared" si="1243"/>
        <v>31</v>
      </c>
      <c r="K4513" s="327"/>
      <c r="L4513" s="328"/>
      <c r="M4513" s="329"/>
      <c r="N4513" s="330"/>
      <c r="O4513" s="331"/>
      <c r="P4513" s="328"/>
      <c r="Q4513" s="332"/>
      <c r="R4513" s="333">
        <v>1</v>
      </c>
      <c r="S4513" s="331" t="str">
        <f t="shared" si="1241"/>
        <v>mês</v>
      </c>
      <c r="T4513" s="320">
        <v>25</v>
      </c>
      <c r="U4513" s="335"/>
      <c r="V4513" s="291">
        <f t="shared" ca="1" si="1240"/>
        <v>1</v>
      </c>
      <c r="W4513" s="256">
        <f t="shared" ca="1" si="1244"/>
        <v>2</v>
      </c>
      <c r="X4513" s="256">
        <f t="shared" ref="X4513:X4518" ca="1" si="1245">IF(COUNTA(OFFSET(A4512,1,0))-COUNTA(A4512)=-1,0,1)</f>
        <v>1</v>
      </c>
      <c r="Y4513" s="336"/>
      <c r="Z4513" s="336"/>
    </row>
    <row r="4514" spans="1:26" s="337" customFormat="1" ht="15" x14ac:dyDescent="0.2">
      <c r="A4514" s="288"/>
      <c r="B4514" s="322"/>
      <c r="C4514" s="397" t="s">
        <v>1008</v>
      </c>
      <c r="D4514" s="1333">
        <v>45536</v>
      </c>
      <c r="E4514" s="1334"/>
      <c r="F4514" s="1335"/>
      <c r="G4514" s="1333">
        <v>45565</v>
      </c>
      <c r="H4514" s="1334"/>
      <c r="I4514" s="1335"/>
      <c r="J4514" s="317">
        <f>G4514-D4514+1</f>
        <v>30</v>
      </c>
      <c r="K4514" s="327"/>
      <c r="L4514" s="328"/>
      <c r="M4514" s="329"/>
      <c r="N4514" s="330"/>
      <c r="O4514" s="331"/>
      <c r="P4514" s="328"/>
      <c r="Q4514" s="332"/>
      <c r="R4514" s="333">
        <v>1</v>
      </c>
      <c r="S4514" s="331" t="str">
        <f t="shared" si="1241"/>
        <v>mês</v>
      </c>
      <c r="T4514" s="320">
        <v>26</v>
      </c>
      <c r="U4514" s="335"/>
      <c r="V4514" s="291">
        <f t="shared" ca="1" si="1240"/>
        <v>1</v>
      </c>
      <c r="W4514" s="256">
        <f ca="1">IF(LEFT(_xlfn.FORMULATEXT(V4514),3)="=SO",1,IF(COUNTA(A4514:U4514)=0,0,2))</f>
        <v>2</v>
      </c>
      <c r="X4514" s="256">
        <f t="shared" ca="1" si="1245"/>
        <v>1</v>
      </c>
      <c r="Y4514" s="336"/>
      <c r="Z4514" s="336"/>
    </row>
    <row r="4515" spans="1:26" s="337" customFormat="1" ht="15" x14ac:dyDescent="0.2">
      <c r="A4515" s="288"/>
      <c r="B4515" s="322"/>
      <c r="C4515" s="397" t="s">
        <v>1012</v>
      </c>
      <c r="D4515" s="1333">
        <v>45566</v>
      </c>
      <c r="E4515" s="1334"/>
      <c r="F4515" s="1335"/>
      <c r="G4515" s="1333">
        <v>45596</v>
      </c>
      <c r="H4515" s="1334"/>
      <c r="I4515" s="1335"/>
      <c r="J4515" s="317">
        <f>G4515-D4515+1</f>
        <v>31</v>
      </c>
      <c r="K4515" s="327"/>
      <c r="L4515" s="328"/>
      <c r="M4515" s="329"/>
      <c r="N4515" s="330"/>
      <c r="O4515" s="331"/>
      <c r="P4515" s="328"/>
      <c r="Q4515" s="332"/>
      <c r="R4515" s="333">
        <v>1</v>
      </c>
      <c r="S4515" s="331" t="str">
        <f t="shared" si="1241"/>
        <v>mês</v>
      </c>
      <c r="T4515" s="320">
        <v>27</v>
      </c>
      <c r="U4515" s="335"/>
      <c r="V4515" s="291">
        <f t="shared" ca="1" si="1240"/>
        <v>1</v>
      </c>
      <c r="W4515" s="256">
        <f ca="1">IF(LEFT(_xlfn.FORMULATEXT(V4515),3)="=SO",1,IF(COUNTA(A4515:U4515)=0,0,2))</f>
        <v>2</v>
      </c>
      <c r="X4515" s="256">
        <f t="shared" ca="1" si="1245"/>
        <v>1</v>
      </c>
      <c r="Y4515" s="336"/>
      <c r="Z4515" s="336"/>
    </row>
    <row r="4516" spans="1:26" s="337" customFormat="1" ht="15" x14ac:dyDescent="0.2">
      <c r="A4516" s="288"/>
      <c r="B4516" s="322"/>
      <c r="C4516" s="397" t="s">
        <v>1033</v>
      </c>
      <c r="D4516" s="1333">
        <v>45597</v>
      </c>
      <c r="E4516" s="1334"/>
      <c r="F4516" s="1335"/>
      <c r="G4516" s="1333">
        <v>45626</v>
      </c>
      <c r="H4516" s="1334"/>
      <c r="I4516" s="1335"/>
      <c r="J4516" s="317">
        <f>G4516-D4516+1</f>
        <v>30</v>
      </c>
      <c r="K4516" s="327"/>
      <c r="L4516" s="328"/>
      <c r="M4516" s="329"/>
      <c r="N4516" s="330"/>
      <c r="O4516" s="331"/>
      <c r="P4516" s="328"/>
      <c r="Q4516" s="332"/>
      <c r="R4516" s="333">
        <v>1</v>
      </c>
      <c r="S4516" s="331" t="str">
        <f t="shared" si="1241"/>
        <v>mês</v>
      </c>
      <c r="T4516" s="320">
        <v>28</v>
      </c>
      <c r="U4516" s="335"/>
      <c r="V4516" s="291">
        <f t="shared" ca="1" si="1240"/>
        <v>1</v>
      </c>
      <c r="W4516" s="256">
        <f ca="1">IF(LEFT(_xlfn.FORMULATEXT(V4516),3)="=SO",1,IF(COUNTA(A4516:U4516)=0,0,2))</f>
        <v>2</v>
      </c>
      <c r="X4516" s="256">
        <f t="shared" ca="1" si="1245"/>
        <v>1</v>
      </c>
      <c r="Y4516" s="336"/>
      <c r="Z4516" s="336"/>
    </row>
    <row r="4517" spans="1:26" s="337" customFormat="1" ht="15" x14ac:dyDescent="0.2">
      <c r="A4517" s="288"/>
      <c r="B4517" s="322"/>
      <c r="C4517" s="397" t="s">
        <v>1042</v>
      </c>
      <c r="D4517" s="1333">
        <v>45627</v>
      </c>
      <c r="E4517" s="1334"/>
      <c r="F4517" s="1335"/>
      <c r="G4517" s="1333">
        <v>45657</v>
      </c>
      <c r="H4517" s="1334"/>
      <c r="I4517" s="1335"/>
      <c r="J4517" s="317">
        <f>G4517-D4517+1</f>
        <v>31</v>
      </c>
      <c r="K4517" s="327"/>
      <c r="L4517" s="328"/>
      <c r="M4517" s="329"/>
      <c r="N4517" s="330"/>
      <c r="O4517" s="331"/>
      <c r="P4517" s="328"/>
      <c r="Q4517" s="332"/>
      <c r="R4517" s="333">
        <v>1</v>
      </c>
      <c r="S4517" s="331" t="str">
        <f t="shared" si="1241"/>
        <v>mês</v>
      </c>
      <c r="T4517" s="320">
        <v>29</v>
      </c>
      <c r="U4517" s="335"/>
      <c r="V4517" s="291">
        <f t="shared" ca="1" si="1240"/>
        <v>1</v>
      </c>
      <c r="W4517" s="256">
        <f ca="1">IF(LEFT(_xlfn.FORMULATEXT(V4517),3)="=SO",1,IF(COUNTA(A4517:U4517)=0,0,2))</f>
        <v>2</v>
      </c>
      <c r="X4517" s="256">
        <f t="shared" ca="1" si="1245"/>
        <v>1</v>
      </c>
      <c r="Y4517" s="336"/>
      <c r="Z4517" s="336"/>
    </row>
    <row r="4518" spans="1:26" s="337" customFormat="1" ht="15" x14ac:dyDescent="0.2">
      <c r="A4518" s="288"/>
      <c r="B4518" s="322"/>
      <c r="C4518" s="397" t="s">
        <v>1057</v>
      </c>
      <c r="D4518" s="1333">
        <v>45658</v>
      </c>
      <c r="E4518" s="1334"/>
      <c r="F4518" s="1335"/>
      <c r="G4518" s="1333">
        <v>45688</v>
      </c>
      <c r="H4518" s="1334"/>
      <c r="I4518" s="1335"/>
      <c r="J4518" s="317">
        <f t="shared" ref="J4518:J4520" si="1246">G4518-D4518+1</f>
        <v>31</v>
      </c>
      <c r="K4518" s="327"/>
      <c r="L4518" s="328"/>
      <c r="M4518" s="329"/>
      <c r="N4518" s="330"/>
      <c r="O4518" s="331"/>
      <c r="P4518" s="328"/>
      <c r="Q4518" s="332"/>
      <c r="R4518" s="333">
        <v>1</v>
      </c>
      <c r="S4518" s="331" t="str">
        <f t="shared" si="1241"/>
        <v>mês</v>
      </c>
      <c r="T4518" s="320">
        <v>30</v>
      </c>
      <c r="U4518" s="335"/>
      <c r="V4518" s="291">
        <f t="shared" ca="1" si="1240"/>
        <v>1</v>
      </c>
      <c r="W4518" s="256">
        <f t="shared" ref="W4518" ca="1" si="1247">IF(LEFT(_xlfn.FORMULATEXT(V4518),3)="=SO",1,IF(COUNTA(A4518:U4518)=0,0,2))</f>
        <v>2</v>
      </c>
      <c r="X4518" s="256">
        <f t="shared" ca="1" si="1245"/>
        <v>1</v>
      </c>
      <c r="Y4518" s="336"/>
      <c r="Z4518" s="336"/>
    </row>
    <row r="4519" spans="1:26" s="337" customFormat="1" ht="15" x14ac:dyDescent="0.2">
      <c r="A4519" s="288"/>
      <c r="B4519" s="494"/>
      <c r="C4519" s="397" t="s">
        <v>1076</v>
      </c>
      <c r="D4519" s="1333">
        <v>45689</v>
      </c>
      <c r="E4519" s="1334"/>
      <c r="F4519" s="1335"/>
      <c r="G4519" s="1333">
        <v>45716</v>
      </c>
      <c r="H4519" s="1334"/>
      <c r="I4519" s="1335"/>
      <c r="J4519" s="317">
        <f t="shared" si="1246"/>
        <v>28</v>
      </c>
      <c r="K4519" s="759"/>
      <c r="L4519" s="501"/>
      <c r="M4519" s="760"/>
      <c r="N4519" s="761"/>
      <c r="O4519" s="505"/>
      <c r="P4519" s="501"/>
      <c r="Q4519" s="739"/>
      <c r="R4519" s="504">
        <v>1</v>
      </c>
      <c r="S4519" s="331" t="str">
        <f t="shared" si="1241"/>
        <v>mês</v>
      </c>
      <c r="T4519" s="320">
        <v>31</v>
      </c>
      <c r="U4519" s="574"/>
      <c r="V4519" s="291">
        <f t="shared" ca="1" si="1240"/>
        <v>1</v>
      </c>
      <c r="W4519" s="256">
        <f t="shared" ref="W4519:W4520" ca="1" si="1248">IF(LEFT(_xlfn.FORMULATEXT(V4519),3)="=SO",1,IF(COUNTA(A4519:U4519)=0,0,2))</f>
        <v>2</v>
      </c>
      <c r="X4519" s="256">
        <f t="shared" ref="X4519:X4520" ca="1" si="1249">IF(COUNTA(OFFSET(A4518,1,0))-COUNTA(A4518)=-1,0,1)</f>
        <v>1</v>
      </c>
      <c r="Y4519" s="336"/>
      <c r="Z4519" s="336"/>
    </row>
    <row r="4520" spans="1:26" s="337" customFormat="1" ht="15" x14ac:dyDescent="0.2">
      <c r="A4520" s="288"/>
      <c r="B4520" s="322"/>
      <c r="C4520" s="397" t="s">
        <v>1080</v>
      </c>
      <c r="D4520" s="1333">
        <v>45717</v>
      </c>
      <c r="E4520" s="1334"/>
      <c r="F4520" s="1335"/>
      <c r="G4520" s="1333">
        <v>45747</v>
      </c>
      <c r="H4520" s="1334"/>
      <c r="I4520" s="1335"/>
      <c r="J4520" s="317">
        <f t="shared" si="1246"/>
        <v>31</v>
      </c>
      <c r="K4520" s="327"/>
      <c r="L4520" s="328"/>
      <c r="M4520" s="329"/>
      <c r="N4520" s="330"/>
      <c r="O4520" s="331"/>
      <c r="P4520" s="328"/>
      <c r="Q4520" s="332"/>
      <c r="R4520" s="333">
        <v>1</v>
      </c>
      <c r="S4520" s="331" t="s">
        <v>313</v>
      </c>
      <c r="T4520" s="320">
        <v>32</v>
      </c>
      <c r="U4520" s="335"/>
      <c r="V4520" s="291">
        <f t="shared" ca="1" si="1240"/>
        <v>1</v>
      </c>
      <c r="W4520" s="256">
        <f t="shared" ca="1" si="1248"/>
        <v>2</v>
      </c>
      <c r="X4520" s="256">
        <f t="shared" ca="1" si="1249"/>
        <v>1</v>
      </c>
      <c r="Y4520" s="336"/>
      <c r="Z4520" s="336"/>
    </row>
    <row r="4521" spans="1:26" s="337" customFormat="1" ht="15" x14ac:dyDescent="0.2">
      <c r="A4521" s="288"/>
      <c r="B4521" s="322"/>
      <c r="C4521" s="397" t="s">
        <v>1090</v>
      </c>
      <c r="D4521" s="1333">
        <v>45748</v>
      </c>
      <c r="E4521" s="1334"/>
      <c r="F4521" s="1335"/>
      <c r="G4521" s="1333">
        <v>45777</v>
      </c>
      <c r="H4521" s="1334"/>
      <c r="I4521" s="1335"/>
      <c r="J4521" s="317">
        <f t="shared" ref="J4521:J4524" si="1250">G4521-D4521+1</f>
        <v>30</v>
      </c>
      <c r="K4521" s="327"/>
      <c r="L4521" s="328"/>
      <c r="M4521" s="329"/>
      <c r="N4521" s="330"/>
      <c r="O4521" s="331"/>
      <c r="P4521" s="328"/>
      <c r="Q4521" s="332"/>
      <c r="R4521" s="333">
        <v>1</v>
      </c>
      <c r="S4521" s="331" t="s">
        <v>313</v>
      </c>
      <c r="T4521" s="320">
        <v>33</v>
      </c>
      <c r="U4521" s="335"/>
      <c r="V4521" s="291">
        <f t="shared" ref="V4521:V4535" ca="1" si="1251">IF(OFFSET(V4521,1,1)=1,OFFSET(V4521,0,-4),OFFSET(V4521,1,0))</f>
        <v>1</v>
      </c>
      <c r="W4521" s="256">
        <f t="shared" ref="W4521" ca="1" si="1252">IF(LEFT(_xlfn.FORMULATEXT(V4521),3)="=SO",1,IF(COUNTA(A4521:U4521)=0,0,2))</f>
        <v>2</v>
      </c>
      <c r="X4521" s="256">
        <f t="shared" ref="X4521" ca="1" si="1253">IF(COUNTA(OFFSET(A4520,1,0))-COUNTA(A4520)=-1,0,1)</f>
        <v>1</v>
      </c>
      <c r="Y4521" s="336"/>
      <c r="Z4521" s="336"/>
    </row>
    <row r="4522" spans="1:26" s="337" customFormat="1" ht="15" x14ac:dyDescent="0.2">
      <c r="A4522" s="288"/>
      <c r="B4522" s="494"/>
      <c r="C4522" s="397" t="s">
        <v>1165</v>
      </c>
      <c r="D4522" s="1333">
        <v>45778</v>
      </c>
      <c r="E4522" s="1334"/>
      <c r="F4522" s="1335"/>
      <c r="G4522" s="1333">
        <v>45808</v>
      </c>
      <c r="H4522" s="1334"/>
      <c r="I4522" s="1335"/>
      <c r="J4522" s="317">
        <f t="shared" si="1250"/>
        <v>31</v>
      </c>
      <c r="K4522" s="327"/>
      <c r="L4522" s="328"/>
      <c r="M4522" s="329"/>
      <c r="N4522" s="330"/>
      <c r="O4522" s="331"/>
      <c r="P4522" s="328"/>
      <c r="Q4522" s="332"/>
      <c r="R4522" s="333">
        <v>1</v>
      </c>
      <c r="S4522" s="331" t="s">
        <v>313</v>
      </c>
      <c r="T4522" s="320">
        <v>35</v>
      </c>
      <c r="U4522" s="574"/>
      <c r="V4522" s="291">
        <f t="shared" ca="1" si="1251"/>
        <v>1</v>
      </c>
      <c r="W4522" s="256">
        <f t="shared" ref="W4522:W4527" ca="1" si="1254">IF(LEFT(_xlfn.FORMULATEXT(V4522),3)="=SO",1,IF(COUNTA(A4522:U4522)=0,0,2))</f>
        <v>2</v>
      </c>
      <c r="X4522" s="256">
        <f t="shared" ref="X4522:X4527" ca="1" si="1255">IF(COUNTA(OFFSET(A4521,1,0))-COUNTA(A4521)=-1,0,1)</f>
        <v>1</v>
      </c>
      <c r="Y4522" s="336"/>
      <c r="Z4522" s="336"/>
    </row>
    <row r="4523" spans="1:26" s="337" customFormat="1" ht="15" x14ac:dyDescent="0.2">
      <c r="A4523" s="288"/>
      <c r="B4523" s="494"/>
      <c r="C4523" s="397" t="s">
        <v>1166</v>
      </c>
      <c r="D4523" s="1333">
        <v>45809</v>
      </c>
      <c r="E4523" s="1334"/>
      <c r="F4523" s="1335"/>
      <c r="G4523" s="1333">
        <v>45838</v>
      </c>
      <c r="H4523" s="1334"/>
      <c r="I4523" s="1335"/>
      <c r="J4523" s="317">
        <f t="shared" si="1250"/>
        <v>30</v>
      </c>
      <c r="K4523" s="327"/>
      <c r="L4523" s="328"/>
      <c r="M4523" s="329"/>
      <c r="N4523" s="330"/>
      <c r="O4523" s="331"/>
      <c r="P4523" s="328"/>
      <c r="Q4523" s="332"/>
      <c r="R4523" s="333">
        <v>1</v>
      </c>
      <c r="S4523" s="331" t="s">
        <v>313</v>
      </c>
      <c r="T4523" s="320">
        <v>35</v>
      </c>
      <c r="U4523" s="574"/>
      <c r="V4523" s="291">
        <f t="shared" ca="1" si="1251"/>
        <v>1</v>
      </c>
      <c r="W4523" s="256">
        <f t="shared" ca="1" si="1254"/>
        <v>2</v>
      </c>
      <c r="X4523" s="256">
        <f t="shared" ca="1" si="1255"/>
        <v>1</v>
      </c>
      <c r="Y4523" s="336"/>
      <c r="Z4523" s="336"/>
    </row>
    <row r="4524" spans="1:26" s="337" customFormat="1" ht="15" x14ac:dyDescent="0.2">
      <c r="A4524" s="288"/>
      <c r="B4524" s="494"/>
      <c r="C4524" s="397" t="s">
        <v>1167</v>
      </c>
      <c r="D4524" s="1333">
        <v>45839</v>
      </c>
      <c r="E4524" s="1334"/>
      <c r="F4524" s="1335"/>
      <c r="G4524" s="1333">
        <v>45869</v>
      </c>
      <c r="H4524" s="1334"/>
      <c r="I4524" s="1335"/>
      <c r="J4524" s="317">
        <f t="shared" si="1250"/>
        <v>31</v>
      </c>
      <c r="K4524" s="327"/>
      <c r="L4524" s="328"/>
      <c r="M4524" s="329"/>
      <c r="N4524" s="330"/>
      <c r="O4524" s="331"/>
      <c r="P4524" s="328"/>
      <c r="Q4524" s="332"/>
      <c r="R4524" s="333">
        <v>1</v>
      </c>
      <c r="S4524" s="331" t="s">
        <v>313</v>
      </c>
      <c r="T4524" s="320">
        <v>35</v>
      </c>
      <c r="U4524" s="574"/>
      <c r="V4524" s="291">
        <f t="shared" ca="1" si="1251"/>
        <v>1</v>
      </c>
      <c r="W4524" s="256">
        <f t="shared" ca="1" si="1254"/>
        <v>2</v>
      </c>
      <c r="X4524" s="256">
        <f t="shared" ca="1" si="1255"/>
        <v>1</v>
      </c>
      <c r="Y4524" s="336"/>
      <c r="Z4524" s="336"/>
    </row>
    <row r="4525" spans="1:26" s="337" customFormat="1" ht="15" x14ac:dyDescent="0.2">
      <c r="A4525" s="288"/>
      <c r="B4525" s="494"/>
      <c r="C4525" s="397" t="s">
        <v>1186</v>
      </c>
      <c r="D4525" s="1333">
        <v>45870</v>
      </c>
      <c r="E4525" s="1334"/>
      <c r="F4525" s="1335"/>
      <c r="G4525" s="1333">
        <v>45900</v>
      </c>
      <c r="H4525" s="1334"/>
      <c r="I4525" s="1335"/>
      <c r="J4525" s="317">
        <f>G4525-D4525+1</f>
        <v>31</v>
      </c>
      <c r="K4525" s="433"/>
      <c r="L4525" s="328"/>
      <c r="M4525" s="328"/>
      <c r="N4525" s="328"/>
      <c r="O4525" s="334"/>
      <c r="P4525" s="328"/>
      <c r="Q4525" s="334"/>
      <c r="R4525" s="333">
        <v>1</v>
      </c>
      <c r="S4525" s="331" t="s">
        <v>313</v>
      </c>
      <c r="T4525" s="320">
        <v>36</v>
      </c>
      <c r="U4525" s="574"/>
      <c r="V4525" s="291">
        <f t="shared" ca="1" si="1251"/>
        <v>1</v>
      </c>
      <c r="W4525" s="256">
        <f t="shared" ca="1" si="1254"/>
        <v>2</v>
      </c>
      <c r="X4525" s="256">
        <f t="shared" ca="1" si="1255"/>
        <v>1</v>
      </c>
      <c r="Y4525" s="336"/>
      <c r="Z4525" s="336"/>
    </row>
    <row r="4526" spans="1:26" s="337" customFormat="1" ht="15" x14ac:dyDescent="0.2">
      <c r="A4526" s="288"/>
      <c r="B4526" s="494"/>
      <c r="C4526" s="397" t="s">
        <v>1217</v>
      </c>
      <c r="D4526" s="1333">
        <v>45901</v>
      </c>
      <c r="E4526" s="1334"/>
      <c r="F4526" s="1335"/>
      <c r="G4526" s="1333">
        <v>45930</v>
      </c>
      <c r="H4526" s="1334"/>
      <c r="I4526" s="1335"/>
      <c r="J4526" s="317">
        <f>G4526-D4526+1</f>
        <v>30</v>
      </c>
      <c r="K4526" s="433"/>
      <c r="L4526" s="328"/>
      <c r="M4526" s="328"/>
      <c r="N4526" s="328"/>
      <c r="O4526" s="334"/>
      <c r="P4526" s="328"/>
      <c r="Q4526" s="334"/>
      <c r="R4526" s="333">
        <v>1</v>
      </c>
      <c r="S4526" s="331" t="s">
        <v>313</v>
      </c>
      <c r="T4526" s="320">
        <v>37</v>
      </c>
      <c r="U4526" s="574"/>
      <c r="V4526" s="291">
        <f t="shared" ca="1" si="1251"/>
        <v>1</v>
      </c>
      <c r="W4526" s="256">
        <f t="shared" ca="1" si="1254"/>
        <v>2</v>
      </c>
      <c r="X4526" s="256">
        <f t="shared" ca="1" si="1255"/>
        <v>1</v>
      </c>
      <c r="Y4526" s="336"/>
      <c r="Z4526" s="336"/>
    </row>
    <row r="4527" spans="1:26" s="337" customFormat="1" ht="15" x14ac:dyDescent="0.2">
      <c r="A4527" s="288"/>
      <c r="B4527" s="494"/>
      <c r="C4527" s="397" t="s">
        <v>1230</v>
      </c>
      <c r="D4527" s="1333">
        <v>45931</v>
      </c>
      <c r="E4527" s="1334"/>
      <c r="F4527" s="1335"/>
      <c r="G4527" s="1333">
        <v>45961</v>
      </c>
      <c r="H4527" s="1334"/>
      <c r="I4527" s="1335"/>
      <c r="J4527" s="317">
        <f>G4527-D4527+1</f>
        <v>31</v>
      </c>
      <c r="K4527" s="327"/>
      <c r="L4527" s="328"/>
      <c r="M4527" s="329"/>
      <c r="N4527" s="330"/>
      <c r="O4527" s="331"/>
      <c r="P4527" s="328"/>
      <c r="Q4527" s="332"/>
      <c r="R4527" s="333">
        <v>1</v>
      </c>
      <c r="S4527" s="331" t="s">
        <v>313</v>
      </c>
      <c r="T4527" s="320">
        <v>38</v>
      </c>
      <c r="U4527" s="574"/>
      <c r="V4527" s="291">
        <f t="shared" ca="1" si="1251"/>
        <v>1</v>
      </c>
      <c r="W4527" s="256">
        <f t="shared" ca="1" si="1254"/>
        <v>2</v>
      </c>
      <c r="X4527" s="256">
        <f t="shared" ca="1" si="1255"/>
        <v>1</v>
      </c>
      <c r="Y4527" s="336"/>
      <c r="Z4527" s="336"/>
    </row>
    <row r="4528" spans="1:26" s="337" customFormat="1" ht="15" x14ac:dyDescent="0.2">
      <c r="A4528" s="288"/>
      <c r="B4528" s="494"/>
      <c r="C4528" s="397" t="s">
        <v>1251</v>
      </c>
      <c r="D4528" s="1333">
        <v>45962</v>
      </c>
      <c r="E4528" s="1334"/>
      <c r="F4528" s="1335"/>
      <c r="G4528" s="1333">
        <v>45991</v>
      </c>
      <c r="H4528" s="1334"/>
      <c r="I4528" s="1335"/>
      <c r="J4528" s="317">
        <f t="shared" ref="J4528:J4533" si="1256">G4528-D4528+1</f>
        <v>30</v>
      </c>
      <c r="K4528" s="433"/>
      <c r="L4528" s="328"/>
      <c r="M4528" s="328"/>
      <c r="N4528" s="328"/>
      <c r="O4528" s="334"/>
      <c r="P4528" s="328"/>
      <c r="Q4528" s="334"/>
      <c r="R4528" s="333">
        <v>1</v>
      </c>
      <c r="S4528" s="331" t="s">
        <v>313</v>
      </c>
      <c r="T4528" s="320">
        <v>39</v>
      </c>
      <c r="U4528" s="574"/>
      <c r="V4528" s="291">
        <f t="shared" ca="1" si="1251"/>
        <v>1</v>
      </c>
      <c r="W4528" s="256">
        <f t="shared" ref="W4528:W4529" ca="1" si="1257">IF(LEFT(_xlfn.FORMULATEXT(V4528),3)="=SO",1,IF(COUNTA(A4528:U4528)=0,0,2))</f>
        <v>2</v>
      </c>
      <c r="X4528" s="256">
        <f t="shared" ref="X4528:X4529" ca="1" si="1258">IF(COUNTA(OFFSET(A4527,1,0))-COUNTA(A4527)=-1,0,1)</f>
        <v>1</v>
      </c>
      <c r="Y4528" s="336"/>
      <c r="Z4528" s="336"/>
    </row>
    <row r="4529" spans="1:29" s="337" customFormat="1" ht="15" x14ac:dyDescent="0.2">
      <c r="A4529" s="288"/>
      <c r="B4529" s="494"/>
      <c r="C4529" s="397" t="s">
        <v>1287</v>
      </c>
      <c r="D4529" s="1333">
        <v>45992</v>
      </c>
      <c r="E4529" s="1334"/>
      <c r="F4529" s="1335"/>
      <c r="G4529" s="1333">
        <v>46022</v>
      </c>
      <c r="H4529" s="1334"/>
      <c r="I4529" s="1335"/>
      <c r="J4529" s="317">
        <f t="shared" si="1256"/>
        <v>31</v>
      </c>
      <c r="K4529" s="433"/>
      <c r="L4529" s="328"/>
      <c r="M4529" s="328"/>
      <c r="N4529" s="328"/>
      <c r="O4529" s="334"/>
      <c r="P4529" s="328"/>
      <c r="Q4529" s="334"/>
      <c r="R4529" s="333">
        <v>1</v>
      </c>
      <c r="S4529" s="331" t="s">
        <v>313</v>
      </c>
      <c r="T4529" s="320">
        <v>40</v>
      </c>
      <c r="U4529" s="574"/>
      <c r="V4529" s="291">
        <f t="shared" ca="1" si="1251"/>
        <v>1</v>
      </c>
      <c r="W4529" s="256">
        <f t="shared" ca="1" si="1257"/>
        <v>2</v>
      </c>
      <c r="X4529" s="256">
        <f t="shared" ca="1" si="1258"/>
        <v>1</v>
      </c>
      <c r="Y4529" s="336"/>
      <c r="Z4529" s="336"/>
    </row>
    <row r="4530" spans="1:29" s="337" customFormat="1" ht="15" x14ac:dyDescent="0.2">
      <c r="A4530" s="288"/>
      <c r="B4530" s="494"/>
      <c r="C4530" s="397" t="s">
        <v>1304</v>
      </c>
      <c r="D4530" s="1333">
        <v>46023</v>
      </c>
      <c r="E4530" s="1334"/>
      <c r="F4530" s="1335"/>
      <c r="G4530" s="1333">
        <v>46053</v>
      </c>
      <c r="H4530" s="1334"/>
      <c r="I4530" s="1335"/>
      <c r="J4530" s="317">
        <f t="shared" si="1256"/>
        <v>31</v>
      </c>
      <c r="K4530" s="433"/>
      <c r="L4530" s="328"/>
      <c r="M4530" s="328"/>
      <c r="N4530" s="328"/>
      <c r="O4530" s="334"/>
      <c r="P4530" s="328"/>
      <c r="Q4530" s="334"/>
      <c r="R4530" s="333">
        <v>1</v>
      </c>
      <c r="S4530" s="331" t="s">
        <v>313</v>
      </c>
      <c r="T4530" s="320">
        <v>41</v>
      </c>
      <c r="U4530" s="574"/>
      <c r="V4530" s="291">
        <f t="shared" ca="1" si="1251"/>
        <v>1</v>
      </c>
      <c r="W4530" s="256">
        <f t="shared" ref="W4530" ca="1" si="1259">IF(LEFT(_xlfn.FORMULATEXT(V4530),3)="=SO",1,IF(COUNTA(A4530:U4530)=0,0,2))</f>
        <v>2</v>
      </c>
      <c r="X4530" s="256">
        <f t="shared" ref="X4530" ca="1" si="1260">IF(COUNTA(OFFSET(A4529,1,0))-COUNTA(A4529)=-1,0,1)</f>
        <v>1</v>
      </c>
      <c r="Y4530" s="336"/>
      <c r="Z4530" s="336"/>
    </row>
    <row r="4531" spans="1:29" s="337" customFormat="1" ht="15" x14ac:dyDescent="0.2">
      <c r="A4531" s="288"/>
      <c r="B4531" s="494"/>
      <c r="C4531" s="397" t="s">
        <v>1321</v>
      </c>
      <c r="D4531" s="1333">
        <v>46054</v>
      </c>
      <c r="E4531" s="1334"/>
      <c r="F4531" s="1335"/>
      <c r="G4531" s="1333">
        <v>46081</v>
      </c>
      <c r="H4531" s="1334"/>
      <c r="I4531" s="1335"/>
      <c r="J4531" s="317">
        <f t="shared" si="1256"/>
        <v>28</v>
      </c>
      <c r="K4531" s="433"/>
      <c r="L4531" s="328"/>
      <c r="M4531" s="328"/>
      <c r="N4531" s="328"/>
      <c r="O4531" s="334"/>
      <c r="P4531" s="328"/>
      <c r="Q4531" s="334"/>
      <c r="R4531" s="333">
        <v>1</v>
      </c>
      <c r="S4531" s="331" t="s">
        <v>313</v>
      </c>
      <c r="T4531" s="320">
        <v>42</v>
      </c>
      <c r="U4531" s="574"/>
      <c r="V4531" s="291">
        <f t="shared" ca="1" si="1251"/>
        <v>1</v>
      </c>
      <c r="W4531" s="256">
        <f t="shared" ref="W4531" ca="1" si="1261">IF(LEFT(_xlfn.FORMULATEXT(V4531),3)="=SO",1,IF(COUNTA(A4531:U4531)=0,0,2))</f>
        <v>2</v>
      </c>
      <c r="X4531" s="256">
        <f t="shared" ref="X4531" ca="1" si="1262">IF(COUNTA(OFFSET(A4530,1,0))-COUNTA(A4530)=-1,0,1)</f>
        <v>1</v>
      </c>
      <c r="Y4531" s="336"/>
      <c r="Z4531" s="336"/>
    </row>
    <row r="4532" spans="1:29" s="337" customFormat="1" ht="15" x14ac:dyDescent="0.2">
      <c r="A4532" s="288"/>
      <c r="B4532" s="494"/>
      <c r="C4532" s="397" t="s">
        <v>1331</v>
      </c>
      <c r="D4532" s="1333">
        <v>46082</v>
      </c>
      <c r="E4532" s="1334"/>
      <c r="F4532" s="1335"/>
      <c r="G4532" s="1333">
        <v>46112</v>
      </c>
      <c r="H4532" s="1334"/>
      <c r="I4532" s="1335"/>
      <c r="J4532" s="317">
        <f t="shared" si="1256"/>
        <v>31</v>
      </c>
      <c r="K4532" s="433"/>
      <c r="L4532" s="328"/>
      <c r="M4532" s="328"/>
      <c r="N4532" s="328"/>
      <c r="O4532" s="334"/>
      <c r="P4532" s="328"/>
      <c r="Q4532" s="334"/>
      <c r="R4532" s="333">
        <v>1</v>
      </c>
      <c r="S4532" s="331" t="s">
        <v>313</v>
      </c>
      <c r="T4532" s="320">
        <v>43</v>
      </c>
      <c r="U4532" s="574"/>
      <c r="V4532" s="291">
        <f t="shared" ca="1" si="1251"/>
        <v>1</v>
      </c>
      <c r="W4532" s="256">
        <f t="shared" ref="W4532:W4535" ca="1" si="1263">IF(LEFT(_xlfn.FORMULATEXT(V4532),3)="=SO",1,IF(COUNTA(A4532:U4532)=0,0,2))</f>
        <v>2</v>
      </c>
      <c r="X4532" s="256">
        <f t="shared" ref="X4532:X4535" ca="1" si="1264">IF(COUNTA(OFFSET(A4531,1,0))-COUNTA(A4531)=-1,0,1)</f>
        <v>1</v>
      </c>
      <c r="Y4532" s="336"/>
      <c r="Z4532" s="336"/>
    </row>
    <row r="4533" spans="1:29" s="337" customFormat="1" ht="15" x14ac:dyDescent="0.2">
      <c r="A4533" s="288"/>
      <c r="B4533" s="494"/>
      <c r="C4533" s="397" t="s">
        <v>1369</v>
      </c>
      <c r="D4533" s="1333">
        <v>46082</v>
      </c>
      <c r="E4533" s="1334"/>
      <c r="F4533" s="1335"/>
      <c r="G4533" s="1333">
        <v>46112</v>
      </c>
      <c r="H4533" s="1334"/>
      <c r="I4533" s="1335"/>
      <c r="J4533" s="317">
        <f t="shared" si="1256"/>
        <v>31</v>
      </c>
      <c r="K4533" s="433"/>
      <c r="L4533" s="328"/>
      <c r="M4533" s="328"/>
      <c r="N4533" s="328"/>
      <c r="O4533" s="334"/>
      <c r="P4533" s="328"/>
      <c r="Q4533" s="334"/>
      <c r="R4533" s="333">
        <v>1</v>
      </c>
      <c r="S4533" s="331" t="s">
        <v>313</v>
      </c>
      <c r="T4533" s="320">
        <v>44</v>
      </c>
      <c r="U4533" s="574"/>
      <c r="V4533" s="291">
        <f t="shared" ca="1" si="1251"/>
        <v>1</v>
      </c>
      <c r="W4533" s="256">
        <f t="shared" ca="1" si="1263"/>
        <v>2</v>
      </c>
      <c r="X4533" s="256">
        <f t="shared" ca="1" si="1264"/>
        <v>1</v>
      </c>
      <c r="Y4533" s="336"/>
      <c r="Z4533" s="336"/>
    </row>
    <row r="4534" spans="1:29" s="337" customFormat="1" ht="15" x14ac:dyDescent="0.2">
      <c r="A4534" s="288"/>
      <c r="B4534" s="494"/>
      <c r="C4534" s="755"/>
      <c r="D4534" s="756"/>
      <c r="E4534" s="757"/>
      <c r="F4534" s="758"/>
      <c r="G4534" s="756"/>
      <c r="H4534" s="757"/>
      <c r="I4534" s="758"/>
      <c r="J4534" s="1109"/>
      <c r="K4534" s="500"/>
      <c r="L4534" s="501"/>
      <c r="M4534" s="760"/>
      <c r="N4534" s="761"/>
      <c r="O4534" s="505"/>
      <c r="P4534" s="501"/>
      <c r="Q4534" s="739"/>
      <c r="R4534" s="1111"/>
      <c r="S4534" s="505"/>
      <c r="T4534" s="506"/>
      <c r="U4534" s="574"/>
      <c r="V4534" s="291">
        <f t="shared" ca="1" si="1251"/>
        <v>1</v>
      </c>
      <c r="W4534" s="256">
        <f t="shared" ca="1" si="1263"/>
        <v>0</v>
      </c>
      <c r="X4534" s="256">
        <f t="shared" ca="1" si="1264"/>
        <v>1</v>
      </c>
      <c r="Y4534" s="336"/>
      <c r="Z4534" s="336"/>
    </row>
    <row r="4535" spans="1:29" s="111" customFormat="1" ht="15" x14ac:dyDescent="0.2">
      <c r="A4535" s="288"/>
      <c r="B4535" s="338"/>
      <c r="C4535" s="339"/>
      <c r="D4535" s="1348"/>
      <c r="E4535" s="1349"/>
      <c r="F4535" s="1350"/>
      <c r="G4535" s="1351"/>
      <c r="H4535" s="1352"/>
      <c r="I4535" s="1353"/>
      <c r="J4535" s="343"/>
      <c r="K4535" s="344"/>
      <c r="L4535" s="345"/>
      <c r="M4535" s="346"/>
      <c r="N4535" s="347"/>
      <c r="O4535" s="348"/>
      <c r="P4535" s="345"/>
      <c r="Q4535" s="349"/>
      <c r="R4535" s="350"/>
      <c r="S4535" s="351"/>
      <c r="T4535" s="352"/>
      <c r="U4535" s="353"/>
      <c r="V4535" s="291">
        <f t="shared" ca="1" si="1251"/>
        <v>1</v>
      </c>
      <c r="W4535" s="256">
        <f t="shared" ca="1" si="1263"/>
        <v>0</v>
      </c>
      <c r="X4535" s="256">
        <f t="shared" ca="1" si="1264"/>
        <v>1</v>
      </c>
      <c r="Y4535" s="250"/>
      <c r="Z4535" s="250"/>
    </row>
    <row r="4536" spans="1:29" s="111" customFormat="1" ht="15.75" x14ac:dyDescent="0.2">
      <c r="A4536" s="288"/>
      <c r="B4536" s="354"/>
      <c r="C4536" s="355"/>
      <c r="D4536" s="1354" t="s">
        <v>492</v>
      </c>
      <c r="E4536" s="1355"/>
      <c r="F4536" s="1355"/>
      <c r="G4536" s="1355"/>
      <c r="H4536" s="1355"/>
      <c r="I4536" s="1356"/>
      <c r="J4536" s="1357">
        <f>VLOOKUP(A4538,'11 - FINANCEIRO'!_xlnm.Print_Area,6,FALSE)</f>
        <v>47</v>
      </c>
      <c r="K4536" s="1358"/>
      <c r="L4536" s="356" t="str">
        <f>VLOOKUP(A4538,'11 - FINANCEIRO'!_xlnm.Print_Area,4,FALSE)</f>
        <v>mês</v>
      </c>
      <c r="M4536" s="1359" t="s">
        <v>493</v>
      </c>
      <c r="N4536" s="1360"/>
      <c r="O4536" s="1360"/>
      <c r="P4536" s="1360"/>
      <c r="Q4536" s="1361"/>
      <c r="R4536" s="357">
        <f>TRUNC(SUM(R4489:R4535),3)</f>
        <v>45</v>
      </c>
      <c r="S4536" s="358" t="str">
        <f>L4536</f>
        <v>mês</v>
      </c>
      <c r="T4536" s="359"/>
      <c r="U4536" s="360"/>
      <c r="V4536" s="291">
        <f t="shared" ca="1" si="1240"/>
        <v>1</v>
      </c>
      <c r="W4536" s="256">
        <f t="shared" ref="W4536:W4543" ca="1" si="1265">IF(LEFT(_xlfn.FORMULATEXT(V4536),3)="=SO",1,IF(COUNTA(A4536:U4536)=0,0,2))</f>
        <v>2</v>
      </c>
      <c r="X4536" s="256">
        <f t="shared" ref="X4536:X4542" ca="1" si="1266">IF(COUNTA(OFFSET(A4535,1,0))-COUNTA(A4535)=-1,0,1)</f>
        <v>1</v>
      </c>
      <c r="Y4536" s="250"/>
      <c r="Z4536" s="250"/>
    </row>
    <row r="4537" spans="1:29" s="111" customFormat="1" ht="15.75" x14ac:dyDescent="0.2">
      <c r="A4537" s="288"/>
      <c r="B4537" s="354"/>
      <c r="C4537" s="361"/>
      <c r="D4537" s="1362" t="s">
        <v>494</v>
      </c>
      <c r="E4537" s="1363"/>
      <c r="F4537" s="1363"/>
      <c r="G4537" s="1363"/>
      <c r="H4537" s="1363"/>
      <c r="I4537" s="1364"/>
      <c r="J4537" s="1365">
        <f>IF(R4536&gt;J4536,1,R4536/J4536)</f>
        <v>0.95744680851063835</v>
      </c>
      <c r="K4537" s="1366"/>
      <c r="L4537" s="1369"/>
      <c r="M4537" s="1371" t="s">
        <v>495</v>
      </c>
      <c r="N4537" s="1372"/>
      <c r="O4537" s="1372"/>
      <c r="P4537" s="1372"/>
      <c r="Q4537" s="1373"/>
      <c r="R4537" s="362">
        <f>VLOOKUP(A4538,'11 - FINANCEIRO'!_xlnm.Print_Area,8,FALSE)</f>
        <v>44</v>
      </c>
      <c r="S4537" s="363" t="str">
        <f>L4536</f>
        <v>mês</v>
      </c>
      <c r="T4537" s="359"/>
      <c r="U4537" s="829"/>
      <c r="V4537" s="291">
        <f t="shared" ca="1" si="1240"/>
        <v>1</v>
      </c>
      <c r="W4537" s="256">
        <f t="shared" ca="1" si="1265"/>
        <v>2</v>
      </c>
      <c r="X4537" s="256">
        <f t="shared" ca="1" si="1266"/>
        <v>1</v>
      </c>
      <c r="Y4537" s="250"/>
      <c r="Z4537" s="250"/>
    </row>
    <row r="4538" spans="1:29" s="293" customFormat="1" ht="15.75" x14ac:dyDescent="0.2">
      <c r="A4538" s="288" t="s">
        <v>735</v>
      </c>
      <c r="B4538" s="364"/>
      <c r="C4538" s="365"/>
      <c r="D4538" s="1354"/>
      <c r="E4538" s="1355"/>
      <c r="F4538" s="1355"/>
      <c r="G4538" s="1355"/>
      <c r="H4538" s="1355"/>
      <c r="I4538" s="1356"/>
      <c r="J4538" s="1367"/>
      <c r="K4538" s="1368"/>
      <c r="L4538" s="1370"/>
      <c r="M4538" s="1371" t="s">
        <v>496</v>
      </c>
      <c r="N4538" s="1372"/>
      <c r="O4538" s="1372"/>
      <c r="P4538" s="1372"/>
      <c r="Q4538" s="1373"/>
      <c r="R4538" s="362">
        <f>R4536-R4537</f>
        <v>1</v>
      </c>
      <c r="S4538" s="363" t="str">
        <f>L4536</f>
        <v>mês</v>
      </c>
      <c r="T4538" s="366"/>
      <c r="U4538" s="367"/>
      <c r="V4538" s="291">
        <f t="shared" ca="1" si="1240"/>
        <v>1</v>
      </c>
      <c r="W4538" s="256">
        <f t="shared" ca="1" si="1265"/>
        <v>2</v>
      </c>
      <c r="X4538" s="256">
        <f t="shared" ca="1" si="1266"/>
        <v>1</v>
      </c>
      <c r="Y4538" s="256"/>
      <c r="Z4538" s="256"/>
      <c r="AA4538" s="292"/>
      <c r="AB4538" s="292"/>
      <c r="AC4538" s="292"/>
    </row>
    <row r="4539" spans="1:29" s="111" customFormat="1" ht="15.75" x14ac:dyDescent="0.2">
      <c r="A4539" s="288"/>
      <c r="B4539" s="368"/>
      <c r="C4539" s="365"/>
      <c r="D4539" s="369"/>
      <c r="E4539" s="370"/>
      <c r="F4539" s="369"/>
      <c r="G4539" s="369"/>
      <c r="H4539" s="369"/>
      <c r="I4539" s="369"/>
      <c r="J4539" s="371"/>
      <c r="K4539" s="372"/>
      <c r="L4539" s="373"/>
      <c r="M4539" s="374"/>
      <c r="N4539" s="374"/>
      <c r="O4539" s="374"/>
      <c r="P4539" s="374"/>
      <c r="Q4539" s="374"/>
      <c r="R4539" s="375"/>
      <c r="S4539" s="376"/>
      <c r="T4539" s="377"/>
      <c r="U4539" s="378"/>
      <c r="V4539" s="379">
        <f ca="1">SUM(V4487:V4538)</f>
        <v>52</v>
      </c>
      <c r="W4539" s="256">
        <f t="shared" ca="1" si="1265"/>
        <v>1</v>
      </c>
      <c r="X4539" s="256">
        <f t="shared" ca="1" si="1266"/>
        <v>0</v>
      </c>
      <c r="Y4539" s="250"/>
      <c r="Z4539" s="250"/>
    </row>
    <row r="4540" spans="1:29" s="293" customFormat="1" ht="33" customHeight="1" x14ac:dyDescent="0.2">
      <c r="A4540" s="288"/>
      <c r="B4540" s="1374" t="str">
        <f>VLOOKUP(A4553,'11 - FINANCEIRO'!_xlnm.Print_Area,1,FALSE)</f>
        <v>6.1.13</v>
      </c>
      <c r="C4540" s="1376" t="str">
        <f>VLOOKUP(A4553,'11 - FINANCEIRO'!_xlnm.Print_Area,3,FALSE)</f>
        <v>Escoramento para corpo de bueiros celulares - utilização de 3 vezes - confecção, instalação e retirada</v>
      </c>
      <c r="D4540" s="1378" t="s">
        <v>500</v>
      </c>
      <c r="E4540" s="1379"/>
      <c r="F4540" s="1379"/>
      <c r="G4540" s="1379"/>
      <c r="H4540" s="1379"/>
      <c r="I4540" s="1380"/>
      <c r="J4540" s="1338" t="s">
        <v>478</v>
      </c>
      <c r="K4540" s="1338" t="s">
        <v>479</v>
      </c>
      <c r="L4540" s="1338" t="s">
        <v>480</v>
      </c>
      <c r="M4540" s="1338" t="s">
        <v>481</v>
      </c>
      <c r="N4540" s="1338" t="s">
        <v>482</v>
      </c>
      <c r="O4540" s="1338" t="s">
        <v>483</v>
      </c>
      <c r="P4540" s="1338" t="s">
        <v>484</v>
      </c>
      <c r="Q4540" s="1338" t="s">
        <v>296</v>
      </c>
      <c r="R4540" s="1336" t="s">
        <v>296</v>
      </c>
      <c r="S4540" s="1338" t="s">
        <v>486</v>
      </c>
      <c r="T4540" s="1338" t="s">
        <v>487</v>
      </c>
      <c r="U4540" s="1340" t="s">
        <v>488</v>
      </c>
      <c r="V4540" s="291">
        <f t="shared" ref="V4540:V4601" ca="1" si="1267">IF(OFFSET(V4540,1,1)=1,OFFSET(V4540,0,-4),OFFSET(V4540,1,0))</f>
        <v>151.79999999999995</v>
      </c>
      <c r="W4540" s="256">
        <f t="shared" ca="1" si="1265"/>
        <v>2</v>
      </c>
      <c r="X4540" s="256">
        <f t="shared" ca="1" si="1266"/>
        <v>1</v>
      </c>
      <c r="Y4540" s="256"/>
      <c r="Z4540" s="256"/>
      <c r="AA4540" s="292"/>
      <c r="AB4540" s="292"/>
      <c r="AC4540" s="292"/>
    </row>
    <row r="4541" spans="1:29" s="293" customFormat="1" ht="33" customHeight="1" x14ac:dyDescent="0.2">
      <c r="A4541" s="288"/>
      <c r="B4541" s="1375"/>
      <c r="C4541" s="1377"/>
      <c r="D4541" s="1342" t="s">
        <v>489</v>
      </c>
      <c r="E4541" s="1343"/>
      <c r="F4541" s="1344"/>
      <c r="G4541" s="1345" t="s">
        <v>490</v>
      </c>
      <c r="H4541" s="1346"/>
      <c r="I4541" s="1347"/>
      <c r="J4541" s="1339"/>
      <c r="K4541" s="1339"/>
      <c r="L4541" s="1339"/>
      <c r="M4541" s="1339"/>
      <c r="N4541" s="1339"/>
      <c r="O4541" s="1339"/>
      <c r="P4541" s="1339" t="s">
        <v>491</v>
      </c>
      <c r="Q4541" s="1339"/>
      <c r="R4541" s="1337"/>
      <c r="S4541" s="1339"/>
      <c r="T4541" s="1339"/>
      <c r="U4541" s="1341"/>
      <c r="V4541" s="291">
        <f t="shared" ca="1" si="1267"/>
        <v>151.79999999999995</v>
      </c>
      <c r="W4541" s="256">
        <f t="shared" ca="1" si="1265"/>
        <v>2</v>
      </c>
      <c r="X4541" s="256">
        <f t="shared" ca="1" si="1266"/>
        <v>1</v>
      </c>
      <c r="Y4541" s="256"/>
      <c r="Z4541" s="256"/>
      <c r="AA4541" s="292"/>
      <c r="AB4541" s="292"/>
      <c r="AC4541" s="292"/>
    </row>
    <row r="4542" spans="1:29" s="293" customFormat="1" ht="15.75" x14ac:dyDescent="0.2">
      <c r="A4542" s="288"/>
      <c r="B4542" s="296"/>
      <c r="C4542" s="297" t="s">
        <v>751</v>
      </c>
      <c r="D4542" s="417">
        <v>5</v>
      </c>
      <c r="E4542" s="314" t="s">
        <v>518</v>
      </c>
      <c r="F4542" s="418">
        <v>14.9</v>
      </c>
      <c r="G4542" s="419">
        <v>6</v>
      </c>
      <c r="H4542" s="316" t="s">
        <v>518</v>
      </c>
      <c r="I4542" s="420">
        <v>10</v>
      </c>
      <c r="J4542" s="304"/>
      <c r="K4542" s="416">
        <f>ABS((G4542*20+I4542)-(D4542*20+F4542))</f>
        <v>15.099999999999994</v>
      </c>
      <c r="L4542" s="416">
        <v>5.5</v>
      </c>
      <c r="M4542" s="416">
        <v>2.2999999999999998</v>
      </c>
      <c r="N4542" s="304"/>
      <c r="O4542" s="304"/>
      <c r="P4542" s="306"/>
      <c r="Q4542" s="304"/>
      <c r="R4542" s="307">
        <f>K4542*L4542*M4542</f>
        <v>191.0149999999999</v>
      </c>
      <c r="S4542" s="331" t="str">
        <f>$L$4551</f>
        <v>m³</v>
      </c>
      <c r="T4542" s="309">
        <v>19</v>
      </c>
      <c r="U4542" s="310"/>
      <c r="V4542" s="291">
        <f t="shared" ca="1" si="1267"/>
        <v>151.79999999999995</v>
      </c>
      <c r="W4542" s="256">
        <f t="shared" ca="1" si="1265"/>
        <v>2</v>
      </c>
      <c r="X4542" s="256">
        <f t="shared" ca="1" si="1266"/>
        <v>1</v>
      </c>
      <c r="Y4542" s="256"/>
      <c r="Z4542" s="256"/>
      <c r="AA4542" s="292"/>
      <c r="AB4542" s="292"/>
      <c r="AC4542" s="292"/>
    </row>
    <row r="4543" spans="1:29" s="337" customFormat="1" ht="15.75" x14ac:dyDescent="0.2">
      <c r="A4543" s="288"/>
      <c r="B4543" s="311"/>
      <c r="C4543" s="312" t="s">
        <v>751</v>
      </c>
      <c r="D4543" s="417">
        <v>4</v>
      </c>
      <c r="E4543" s="314" t="s">
        <v>518</v>
      </c>
      <c r="F4543" s="418">
        <v>10</v>
      </c>
      <c r="G4543" s="417">
        <v>5</v>
      </c>
      <c r="H4543" s="314" t="s">
        <v>518</v>
      </c>
      <c r="I4543" s="418">
        <v>14.9</v>
      </c>
      <c r="J4543" s="317"/>
      <c r="K4543" s="433">
        <f>ABS((G4543*20+I4543)-(D4543*20+F4543))</f>
        <v>24.900000000000006</v>
      </c>
      <c r="L4543" s="433">
        <v>5.5</v>
      </c>
      <c r="M4543" s="433">
        <v>2.2999999999999998</v>
      </c>
      <c r="N4543" s="317"/>
      <c r="O4543" s="317"/>
      <c r="P4543" s="318"/>
      <c r="Q4543" s="317"/>
      <c r="R4543" s="319">
        <f>K4543*L4543*M4543</f>
        <v>314.98500000000007</v>
      </c>
      <c r="S4543" s="331" t="str">
        <f t="shared" ref="S4543:S4545" si="1268">$L$4551</f>
        <v>m³</v>
      </c>
      <c r="T4543" s="320">
        <v>39</v>
      </c>
      <c r="U4543" s="321"/>
      <c r="V4543" s="291">
        <f t="shared" ca="1" si="1267"/>
        <v>151.79999999999995</v>
      </c>
      <c r="W4543" s="256">
        <f t="shared" ca="1" si="1265"/>
        <v>2</v>
      </c>
      <c r="X4543" s="256">
        <f ca="1">IF(COUNTA(OFFSET(#REF!,1,0))-COUNTA(#REF!)=-1,0,1)</f>
        <v>1</v>
      </c>
      <c r="Y4543" s="336"/>
      <c r="Z4543" s="336"/>
    </row>
    <row r="4544" spans="1:29" s="337" customFormat="1" ht="15.75" x14ac:dyDescent="0.2">
      <c r="A4544" s="288"/>
      <c r="B4544" s="562"/>
      <c r="C4544" s="312" t="s">
        <v>751</v>
      </c>
      <c r="D4544" s="417">
        <v>3</v>
      </c>
      <c r="E4544" s="314" t="s">
        <v>518</v>
      </c>
      <c r="F4544" s="418">
        <v>15</v>
      </c>
      <c r="G4544" s="417">
        <v>4</v>
      </c>
      <c r="H4544" s="314" t="s">
        <v>518</v>
      </c>
      <c r="I4544" s="418">
        <v>10</v>
      </c>
      <c r="J4544" s="317"/>
      <c r="K4544" s="433">
        <f>ABS((G4544*20+I4544)-(D4544*20+F4544))</f>
        <v>15</v>
      </c>
      <c r="L4544" s="433">
        <v>5.5</v>
      </c>
      <c r="M4544" s="433">
        <v>2.2999999999999998</v>
      </c>
      <c r="N4544" s="317"/>
      <c r="O4544" s="317"/>
      <c r="P4544" s="318"/>
      <c r="Q4544" s="317"/>
      <c r="R4544" s="319">
        <f>K4544*L4544*M4544</f>
        <v>189.74999999999997</v>
      </c>
      <c r="S4544" s="331" t="str">
        <f t="shared" si="1268"/>
        <v>m³</v>
      </c>
      <c r="T4544" s="320">
        <v>40</v>
      </c>
      <c r="U4544" s="568"/>
      <c r="V4544" s="291">
        <f t="shared" ca="1" si="1267"/>
        <v>151.79999999999995</v>
      </c>
      <c r="W4544" s="256">
        <f t="shared" ref="W4544:W4545" ca="1" si="1269">IF(LEFT(_xlfn.FORMULATEXT(V4544),3)="=SO",1,IF(COUNTA(A4544:U4544)=0,0,2))</f>
        <v>2</v>
      </c>
      <c r="X4544" s="256">
        <f ca="1">IF(COUNTA(OFFSET(#REF!,1,0))-COUNTA(#REF!)=-1,0,1)</f>
        <v>1</v>
      </c>
      <c r="Y4544" s="336"/>
      <c r="Z4544" s="336"/>
    </row>
    <row r="4545" spans="1:29" s="337" customFormat="1" ht="15.75" x14ac:dyDescent="0.2">
      <c r="A4545" s="288"/>
      <c r="B4545" s="562"/>
      <c r="C4545" s="312" t="s">
        <v>751</v>
      </c>
      <c r="D4545" s="417">
        <v>2</v>
      </c>
      <c r="E4545" s="314" t="s">
        <v>518</v>
      </c>
      <c r="F4545" s="418">
        <v>6</v>
      </c>
      <c r="G4545" s="417">
        <v>3</v>
      </c>
      <c r="H4545" s="314" t="s">
        <v>518</v>
      </c>
      <c r="I4545" s="418">
        <v>15</v>
      </c>
      <c r="J4545" s="317"/>
      <c r="K4545" s="433">
        <f>ABS((G4545*20+I4545)-(D4545*20+F4545))</f>
        <v>29</v>
      </c>
      <c r="L4545" s="433">
        <v>5.5</v>
      </c>
      <c r="M4545" s="433">
        <v>2.2999999999999998</v>
      </c>
      <c r="N4545" s="317"/>
      <c r="O4545" s="317"/>
      <c r="P4545" s="318"/>
      <c r="Q4545" s="317"/>
      <c r="R4545" s="319">
        <f>K4545*L4545*M4545</f>
        <v>366.84999999999997</v>
      </c>
      <c r="S4545" s="331" t="str">
        <f t="shared" si="1268"/>
        <v>m³</v>
      </c>
      <c r="T4545" s="320">
        <v>41</v>
      </c>
      <c r="U4545" s="568"/>
      <c r="V4545" s="291">
        <f t="shared" ca="1" si="1267"/>
        <v>151.79999999999995</v>
      </c>
      <c r="W4545" s="256">
        <f t="shared" ca="1" si="1269"/>
        <v>2</v>
      </c>
      <c r="X4545" s="256">
        <f ca="1">IF(COUNTA(OFFSET(#REF!,1,0))-COUNTA(#REF!)=-1,0,1)</f>
        <v>1</v>
      </c>
      <c r="Y4545" s="336"/>
      <c r="Z4545" s="336"/>
    </row>
    <row r="4546" spans="1:29" s="337" customFormat="1" ht="15.75" x14ac:dyDescent="0.2">
      <c r="A4546" s="288"/>
      <c r="B4546" s="562"/>
      <c r="C4546" s="312" t="s">
        <v>751</v>
      </c>
      <c r="D4546" s="417">
        <v>2</v>
      </c>
      <c r="E4546" s="314" t="s">
        <v>518</v>
      </c>
      <c r="F4546" s="418">
        <v>0</v>
      </c>
      <c r="G4546" s="417">
        <v>2</v>
      </c>
      <c r="H4546" s="314" t="s">
        <v>518</v>
      </c>
      <c r="I4546" s="418">
        <v>6</v>
      </c>
      <c r="J4546" s="317"/>
      <c r="K4546" s="433">
        <f>ABS((G4546*20+I4546)-(D4546*20+F4546))</f>
        <v>6</v>
      </c>
      <c r="L4546" s="433">
        <v>5.5</v>
      </c>
      <c r="M4546" s="433">
        <v>2.2999999999999998</v>
      </c>
      <c r="N4546" s="317"/>
      <c r="O4546" s="317"/>
      <c r="P4546" s="318"/>
      <c r="Q4546" s="317"/>
      <c r="R4546" s="319">
        <f>K4546*L4546*M4546</f>
        <v>75.899999999999991</v>
      </c>
      <c r="S4546" s="398" t="s">
        <v>323</v>
      </c>
      <c r="T4546" s="320">
        <v>42</v>
      </c>
      <c r="U4546" s="568"/>
      <c r="V4546" s="291">
        <f t="shared" ca="1" si="1267"/>
        <v>151.79999999999995</v>
      </c>
      <c r="W4546" s="256">
        <f t="shared" ref="W4546:W4552" ca="1" si="1270">IF(LEFT(_xlfn.FORMULATEXT(V4546),3)="=SO",1,IF(COUNTA(A4546:U4546)=0,0,2))</f>
        <v>2</v>
      </c>
      <c r="X4546" s="256">
        <f ca="1">IF(COUNTA(OFFSET(#REF!,1,0))-COUNTA(#REF!)=-1,0,1)</f>
        <v>1</v>
      </c>
      <c r="Y4546" s="336"/>
      <c r="Z4546" s="336"/>
    </row>
    <row r="4547" spans="1:29" s="337" customFormat="1" ht="15.75" x14ac:dyDescent="0.2">
      <c r="A4547" s="288"/>
      <c r="B4547" s="562"/>
      <c r="C4547" s="312" t="s">
        <v>751</v>
      </c>
      <c r="D4547" s="417">
        <v>1</v>
      </c>
      <c r="E4547" s="314" t="s">
        <v>518</v>
      </c>
      <c r="F4547" s="418">
        <v>8</v>
      </c>
      <c r="G4547" s="417">
        <v>2</v>
      </c>
      <c r="H4547" s="314" t="s">
        <v>518</v>
      </c>
      <c r="I4547" s="418">
        <v>0</v>
      </c>
      <c r="J4547" s="317"/>
      <c r="K4547" s="433">
        <f t="shared" ref="K4547:K4548" si="1271">ABS((G4547*20+I4547)-(D4547*20+F4547))</f>
        <v>12</v>
      </c>
      <c r="L4547" s="433">
        <v>5.5</v>
      </c>
      <c r="M4547" s="433">
        <v>2.2999999999999998</v>
      </c>
      <c r="N4547" s="317"/>
      <c r="O4547" s="317"/>
      <c r="P4547" s="318"/>
      <c r="Q4547" s="317"/>
      <c r="R4547" s="319">
        <f t="shared" ref="R4547:R4548" si="1272">K4547*L4547*M4547</f>
        <v>151.79999999999998</v>
      </c>
      <c r="S4547" s="398" t="s">
        <v>323</v>
      </c>
      <c r="T4547" s="320">
        <v>43</v>
      </c>
      <c r="U4547" s="568"/>
      <c r="V4547" s="291">
        <f t="shared" ca="1" si="1267"/>
        <v>151.79999999999995</v>
      </c>
      <c r="W4547" s="256">
        <f t="shared" ca="1" si="1270"/>
        <v>2</v>
      </c>
      <c r="X4547" s="256">
        <f ca="1">IF(COUNTA(OFFSET(#REF!,1,0))-COUNTA(#REF!)=-1,0,1)</f>
        <v>1</v>
      </c>
      <c r="Y4547" s="336"/>
      <c r="Z4547" s="336"/>
    </row>
    <row r="4548" spans="1:29" s="337" customFormat="1" ht="15.75" x14ac:dyDescent="0.2">
      <c r="A4548" s="288"/>
      <c r="B4548" s="562"/>
      <c r="C4548" s="312" t="s">
        <v>751</v>
      </c>
      <c r="D4548" s="417">
        <v>0</v>
      </c>
      <c r="E4548" s="314" t="s">
        <v>518</v>
      </c>
      <c r="F4548" s="418">
        <v>16</v>
      </c>
      <c r="G4548" s="417">
        <v>1</v>
      </c>
      <c r="H4548" s="314" t="s">
        <v>518</v>
      </c>
      <c r="I4548" s="418">
        <v>8</v>
      </c>
      <c r="J4548" s="317"/>
      <c r="K4548" s="433">
        <f t="shared" si="1271"/>
        <v>12</v>
      </c>
      <c r="L4548" s="433">
        <v>5.5</v>
      </c>
      <c r="M4548" s="433">
        <v>2.2999999999999998</v>
      </c>
      <c r="N4548" s="317"/>
      <c r="O4548" s="317"/>
      <c r="P4548" s="318"/>
      <c r="Q4548" s="317"/>
      <c r="R4548" s="319">
        <f t="shared" si="1272"/>
        <v>151.79999999999998</v>
      </c>
      <c r="S4548" s="398" t="s">
        <v>323</v>
      </c>
      <c r="T4548" s="320">
        <v>44</v>
      </c>
      <c r="U4548" s="568"/>
      <c r="V4548" s="291">
        <f t="shared" ca="1" si="1267"/>
        <v>151.79999999999995</v>
      </c>
      <c r="W4548" s="256">
        <f t="shared" ca="1" si="1270"/>
        <v>2</v>
      </c>
      <c r="X4548" s="256">
        <f ca="1">IF(COUNTA(OFFSET(#REF!,1,0))-COUNTA(#REF!)=-1,0,1)</f>
        <v>1</v>
      </c>
      <c r="Y4548" s="336"/>
      <c r="Z4548" s="336"/>
    </row>
    <row r="4549" spans="1:29" s="337" customFormat="1" ht="15.75" x14ac:dyDescent="0.2">
      <c r="A4549" s="288"/>
      <c r="B4549" s="562"/>
      <c r="C4549" s="495"/>
      <c r="D4549" s="551"/>
      <c r="E4549" s="552"/>
      <c r="F4549" s="553"/>
      <c r="G4549" s="551"/>
      <c r="H4549" s="552"/>
      <c r="I4549" s="553"/>
      <c r="J4549" s="1109"/>
      <c r="K4549" s="500"/>
      <c r="L4549" s="508"/>
      <c r="M4549" s="553"/>
      <c r="N4549" s="552"/>
      <c r="O4549" s="738"/>
      <c r="P4549" s="565"/>
      <c r="Q4549" s="752"/>
      <c r="R4549" s="558"/>
      <c r="S4549" s="554"/>
      <c r="T4549" s="506"/>
      <c r="U4549" s="568"/>
      <c r="V4549" s="291">
        <f t="shared" ca="1" si="1267"/>
        <v>151.79999999999995</v>
      </c>
      <c r="W4549" s="256">
        <f t="shared" ca="1" si="1270"/>
        <v>0</v>
      </c>
      <c r="X4549" s="256">
        <f ca="1">IF(COUNTA(OFFSET(#REF!,1,0))-COUNTA(#REF!)=-1,0,1)</f>
        <v>1</v>
      </c>
      <c r="Y4549" s="336"/>
      <c r="Z4549" s="336"/>
    </row>
    <row r="4550" spans="1:29" s="111" customFormat="1" ht="15" x14ac:dyDescent="0.2">
      <c r="A4550" s="288"/>
      <c r="B4550" s="338"/>
      <c r="C4550" s="339"/>
      <c r="D4550" s="1348"/>
      <c r="E4550" s="1349"/>
      <c r="F4550" s="1350"/>
      <c r="G4550" s="1351"/>
      <c r="H4550" s="1352"/>
      <c r="I4550" s="1353"/>
      <c r="J4550" s="343"/>
      <c r="K4550" s="344"/>
      <c r="L4550" s="345"/>
      <c r="M4550" s="346"/>
      <c r="N4550" s="347"/>
      <c r="O4550" s="348"/>
      <c r="P4550" s="345"/>
      <c r="Q4550" s="349"/>
      <c r="R4550" s="350"/>
      <c r="S4550" s="351"/>
      <c r="T4550" s="352"/>
      <c r="U4550" s="353"/>
      <c r="V4550" s="291">
        <f t="shared" ca="1" si="1267"/>
        <v>151.79999999999995</v>
      </c>
      <c r="W4550" s="256">
        <f t="shared" ca="1" si="1270"/>
        <v>0</v>
      </c>
      <c r="X4550" s="256">
        <f ca="1">IF(COUNTA(OFFSET(#REF!,1,0))-COUNTA(#REF!)=-1,0,1)</f>
        <v>1</v>
      </c>
      <c r="Y4550" s="250"/>
      <c r="Z4550" s="250"/>
    </row>
    <row r="4551" spans="1:29" s="111" customFormat="1" ht="15.75" x14ac:dyDescent="0.2">
      <c r="A4551" s="288"/>
      <c r="B4551" s="354"/>
      <c r="C4551" s="355"/>
      <c r="D4551" s="1354" t="s">
        <v>492</v>
      </c>
      <c r="E4551" s="1355"/>
      <c r="F4551" s="1355"/>
      <c r="G4551" s="1355"/>
      <c r="H4551" s="1355"/>
      <c r="I4551" s="1356"/>
      <c r="J4551" s="1357">
        <f>VLOOKUP(A4553,'11 - FINANCEIRO'!_xlnm.Print_Area,6,FALSE)</f>
        <v>1581.2499999999998</v>
      </c>
      <c r="K4551" s="1358"/>
      <c r="L4551" s="356" t="str">
        <f>VLOOKUP(A4553,'11 - FINANCEIRO'!_xlnm.Print_Area,4,FALSE)</f>
        <v>m³</v>
      </c>
      <c r="M4551" s="1359" t="s">
        <v>493</v>
      </c>
      <c r="N4551" s="1360"/>
      <c r="O4551" s="1360"/>
      <c r="P4551" s="1360"/>
      <c r="Q4551" s="1361"/>
      <c r="R4551" s="357">
        <f>TRUNC(SUM(R4542:R4550),3)</f>
        <v>1442.1</v>
      </c>
      <c r="S4551" s="358" t="str">
        <f>L4551</f>
        <v>m³</v>
      </c>
      <c r="T4551" s="359"/>
      <c r="U4551" s="360"/>
      <c r="V4551" s="291">
        <f t="shared" ca="1" si="1267"/>
        <v>151.79999999999995</v>
      </c>
      <c r="W4551" s="256">
        <f t="shared" ca="1" si="1270"/>
        <v>2</v>
      </c>
      <c r="X4551" s="256">
        <f ca="1">IF(COUNTA(OFFSET(#REF!,1,0))-COUNTA(#REF!)=-1,0,1)</f>
        <v>1</v>
      </c>
      <c r="Y4551" s="250"/>
      <c r="Z4551" s="250"/>
    </row>
    <row r="4552" spans="1:29" s="111" customFormat="1" ht="15.75" x14ac:dyDescent="0.2">
      <c r="A4552" s="288"/>
      <c r="B4552" s="354"/>
      <c r="C4552" s="361"/>
      <c r="D4552" s="1362" t="s">
        <v>494</v>
      </c>
      <c r="E4552" s="1363"/>
      <c r="F4552" s="1363"/>
      <c r="G4552" s="1363"/>
      <c r="H4552" s="1363"/>
      <c r="I4552" s="1364"/>
      <c r="J4552" s="1365">
        <f>R4551/J4551</f>
        <v>0.91200000000000003</v>
      </c>
      <c r="K4552" s="1366"/>
      <c r="L4552" s="1369"/>
      <c r="M4552" s="1371" t="s">
        <v>495</v>
      </c>
      <c r="N4552" s="1372"/>
      <c r="O4552" s="1372"/>
      <c r="P4552" s="1372"/>
      <c r="Q4552" s="1373"/>
      <c r="R4552" s="362">
        <f>VLOOKUP(A4553,'11 - FINANCEIRO'!_xlnm.Print_Area,8,FALSE)</f>
        <v>1290.3</v>
      </c>
      <c r="S4552" s="363" t="str">
        <f>L4551</f>
        <v>m³</v>
      </c>
      <c r="T4552" s="359"/>
      <c r="U4552" s="360"/>
      <c r="V4552" s="291">
        <f t="shared" ca="1" si="1267"/>
        <v>151.79999999999995</v>
      </c>
      <c r="W4552" s="256">
        <f t="shared" ca="1" si="1270"/>
        <v>2</v>
      </c>
      <c r="X4552" s="256">
        <f ca="1">IF(COUNTA(OFFSET(#REF!,1,0))-COUNTA(#REF!)=-1,0,1)</f>
        <v>1</v>
      </c>
      <c r="Y4552" s="250"/>
      <c r="Z4552" s="250"/>
    </row>
    <row r="4553" spans="1:29" s="293" customFormat="1" ht="15.75" x14ac:dyDescent="0.2">
      <c r="A4553" s="288" t="s">
        <v>737</v>
      </c>
      <c r="B4553" s="364"/>
      <c r="C4553" s="365"/>
      <c r="D4553" s="1354"/>
      <c r="E4553" s="1355"/>
      <c r="F4553" s="1355"/>
      <c r="G4553" s="1355"/>
      <c r="H4553" s="1355"/>
      <c r="I4553" s="1356"/>
      <c r="J4553" s="1367"/>
      <c r="K4553" s="1368"/>
      <c r="L4553" s="1370"/>
      <c r="M4553" s="1371" t="s">
        <v>496</v>
      </c>
      <c r="N4553" s="1372"/>
      <c r="O4553" s="1372"/>
      <c r="P4553" s="1372"/>
      <c r="Q4553" s="1373"/>
      <c r="R4553" s="362">
        <f>R4551-R4552</f>
        <v>151.79999999999995</v>
      </c>
      <c r="S4553" s="363" t="str">
        <f>L4551</f>
        <v>m³</v>
      </c>
      <c r="T4553" s="366"/>
      <c r="U4553" s="367"/>
      <c r="V4553" s="291">
        <f t="shared" ca="1" si="1267"/>
        <v>151.79999999999995</v>
      </c>
      <c r="W4553" s="256">
        <f t="shared" ref="W4553:W4558" ca="1" si="1273">IF(LEFT(_xlfn.FORMULATEXT(V4553),3)="=SO",1,IF(COUNTA(A4553:U4553)=0,0,2))</f>
        <v>2</v>
      </c>
      <c r="X4553" s="256">
        <f t="shared" ref="X4553:X4557" ca="1" si="1274">IF(COUNTA(OFFSET(A4552,1,0))-COUNTA(A4552)=-1,0,1)</f>
        <v>1</v>
      </c>
      <c r="Y4553" s="256"/>
      <c r="Z4553" s="256"/>
      <c r="AA4553" s="292"/>
      <c r="AB4553" s="292"/>
      <c r="AC4553" s="292"/>
    </row>
    <row r="4554" spans="1:29" s="111" customFormat="1" ht="15.75" x14ac:dyDescent="0.2">
      <c r="A4554" s="288"/>
      <c r="B4554" s="368"/>
      <c r="C4554" s="365"/>
      <c r="D4554" s="369"/>
      <c r="E4554" s="370"/>
      <c r="F4554" s="369"/>
      <c r="G4554" s="369"/>
      <c r="H4554" s="369"/>
      <c r="I4554" s="369"/>
      <c r="J4554" s="371"/>
      <c r="K4554" s="372"/>
      <c r="L4554" s="373"/>
      <c r="M4554" s="374"/>
      <c r="N4554" s="374"/>
      <c r="O4554" s="374"/>
      <c r="P4554" s="374"/>
      <c r="Q4554" s="374"/>
      <c r="R4554" s="375"/>
      <c r="S4554" s="376"/>
      <c r="T4554" s="377"/>
      <c r="U4554" s="378"/>
      <c r="V4554" s="379">
        <f ca="1">SUM(V4540:V4553)</f>
        <v>2125.1999999999994</v>
      </c>
      <c r="W4554" s="256">
        <f t="shared" ca="1" si="1273"/>
        <v>1</v>
      </c>
      <c r="X4554" s="256">
        <f t="shared" ca="1" si="1274"/>
        <v>0</v>
      </c>
      <c r="Y4554" s="250"/>
      <c r="Z4554" s="250"/>
    </row>
    <row r="4555" spans="1:29" s="293" customFormat="1" ht="33" customHeight="1" x14ac:dyDescent="0.2">
      <c r="A4555" s="288"/>
      <c r="B4555" s="1374" t="str">
        <f>VLOOKUP(A4589,'11 - FINANCEIRO'!_xlnm.Print_Area,1,FALSE)</f>
        <v>6.1.14</v>
      </c>
      <c r="C4555" s="1376" t="str">
        <f>VLOOKUP(A4589,'11 - FINANCEIRO'!_xlnm.Print_Area,3,FALSE)</f>
        <v>TRANSPORTE, CARGA E DESCARGA LOCAL COM DMT ATÉ 3,0 KM (Caminhão basculante)</v>
      </c>
      <c r="D4555" s="1378" t="s">
        <v>500</v>
      </c>
      <c r="E4555" s="1379"/>
      <c r="F4555" s="1379"/>
      <c r="G4555" s="1379"/>
      <c r="H4555" s="1379"/>
      <c r="I4555" s="1380"/>
      <c r="J4555" s="1338" t="s">
        <v>478</v>
      </c>
      <c r="K4555" s="1338" t="s">
        <v>479</v>
      </c>
      <c r="L4555" s="1338" t="s">
        <v>480</v>
      </c>
      <c r="M4555" s="1338" t="s">
        <v>481</v>
      </c>
      <c r="N4555" s="1338" t="s">
        <v>482</v>
      </c>
      <c r="O4555" s="1338" t="s">
        <v>483</v>
      </c>
      <c r="P4555" s="1338" t="s">
        <v>484</v>
      </c>
      <c r="Q4555" s="1338" t="s">
        <v>586</v>
      </c>
      <c r="R4555" s="1336" t="s">
        <v>296</v>
      </c>
      <c r="S4555" s="1338" t="s">
        <v>486</v>
      </c>
      <c r="T4555" s="1338" t="s">
        <v>487</v>
      </c>
      <c r="U4555" s="1340" t="s">
        <v>488</v>
      </c>
      <c r="V4555" s="291">
        <f t="shared" ca="1" si="1267"/>
        <v>16609.370999999985</v>
      </c>
      <c r="W4555" s="256">
        <f t="shared" ca="1" si="1273"/>
        <v>2</v>
      </c>
      <c r="X4555" s="256">
        <f t="shared" ca="1" si="1274"/>
        <v>1</v>
      </c>
      <c r="Y4555" s="256"/>
      <c r="Z4555" s="256"/>
      <c r="AA4555" s="292"/>
      <c r="AB4555" s="292"/>
      <c r="AC4555" s="292"/>
    </row>
    <row r="4556" spans="1:29" s="293" customFormat="1" ht="33" customHeight="1" x14ac:dyDescent="0.2">
      <c r="A4556" s="288"/>
      <c r="B4556" s="1375"/>
      <c r="C4556" s="1377"/>
      <c r="D4556" s="1342" t="s">
        <v>489</v>
      </c>
      <c r="E4556" s="1343"/>
      <c r="F4556" s="1344"/>
      <c r="G4556" s="1345" t="s">
        <v>490</v>
      </c>
      <c r="H4556" s="1346"/>
      <c r="I4556" s="1347"/>
      <c r="J4556" s="1339"/>
      <c r="K4556" s="1339"/>
      <c r="L4556" s="1339"/>
      <c r="M4556" s="1339"/>
      <c r="N4556" s="1339"/>
      <c r="O4556" s="1339"/>
      <c r="P4556" s="1339" t="s">
        <v>491</v>
      </c>
      <c r="Q4556" s="1339"/>
      <c r="R4556" s="1337"/>
      <c r="S4556" s="1339"/>
      <c r="T4556" s="1339"/>
      <c r="U4556" s="1341"/>
      <c r="V4556" s="291">
        <f t="shared" ca="1" si="1267"/>
        <v>16609.370999999985</v>
      </c>
      <c r="W4556" s="256">
        <f t="shared" ca="1" si="1273"/>
        <v>2</v>
      </c>
      <c r="X4556" s="256">
        <f t="shared" ca="1" si="1274"/>
        <v>1</v>
      </c>
      <c r="Y4556" s="256"/>
      <c r="Z4556" s="256"/>
      <c r="AA4556" s="292"/>
      <c r="AB4556" s="292"/>
      <c r="AC4556" s="292"/>
    </row>
    <row r="4557" spans="1:29" s="293" customFormat="1" ht="15.75" x14ac:dyDescent="0.2">
      <c r="A4557" s="288"/>
      <c r="B4557" s="296"/>
      <c r="C4557" s="297" t="s">
        <v>751</v>
      </c>
      <c r="D4557" s="417">
        <v>5</v>
      </c>
      <c r="E4557" s="314" t="s">
        <v>518</v>
      </c>
      <c r="F4557" s="418">
        <v>14.9</v>
      </c>
      <c r="G4557" s="419">
        <v>6</v>
      </c>
      <c r="H4557" s="316" t="s">
        <v>518</v>
      </c>
      <c r="I4557" s="420">
        <v>10</v>
      </c>
      <c r="J4557" s="589"/>
      <c r="K4557" s="747">
        <f t="shared" ref="K4557:K4562" si="1275">ABS((G4557*20+I4557)-(D4557*20+F4557))</f>
        <v>15.099999999999994</v>
      </c>
      <c r="L4557" s="304"/>
      <c r="M4557" s="304"/>
      <c r="N4557" s="304"/>
      <c r="O4557" s="304">
        <v>438.40100000000001</v>
      </c>
      <c r="P4557" s="306">
        <v>1.8859999999999999</v>
      </c>
      <c r="Q4557" s="304">
        <f>2380/1000</f>
        <v>2.38</v>
      </c>
      <c r="R4557" s="307">
        <f t="shared" ref="R4557:R4562" si="1276">O4557*P4557*Q4557</f>
        <v>1967.84180068</v>
      </c>
      <c r="S4557" s="308" t="str">
        <f>S4587</f>
        <v>TXKM</v>
      </c>
      <c r="T4557" s="309">
        <v>19</v>
      </c>
      <c r="U4557" s="310" t="s">
        <v>840</v>
      </c>
      <c r="V4557" s="291">
        <f t="shared" ca="1" si="1267"/>
        <v>16609.370999999985</v>
      </c>
      <c r="W4557" s="256">
        <f t="shared" ca="1" si="1273"/>
        <v>2</v>
      </c>
      <c r="X4557" s="256">
        <f t="shared" ca="1" si="1274"/>
        <v>1</v>
      </c>
      <c r="Y4557" s="256"/>
      <c r="Z4557" s="256"/>
      <c r="AA4557" s="292"/>
      <c r="AB4557" s="292"/>
      <c r="AC4557" s="292"/>
    </row>
    <row r="4558" spans="1:29" s="337" customFormat="1" ht="15.75" x14ac:dyDescent="0.2">
      <c r="A4558" s="288"/>
      <c r="B4558" s="311"/>
      <c r="C4558" s="426" t="s">
        <v>752</v>
      </c>
      <c r="D4558" s="417">
        <v>6</v>
      </c>
      <c r="E4558" s="314" t="s">
        <v>518</v>
      </c>
      <c r="F4558" s="418">
        <v>10</v>
      </c>
      <c r="G4558" s="417">
        <v>12</v>
      </c>
      <c r="H4558" s="314" t="s">
        <v>518</v>
      </c>
      <c r="I4558" s="418">
        <v>6.42</v>
      </c>
      <c r="J4558" s="317"/>
      <c r="K4558" s="433">
        <f t="shared" si="1275"/>
        <v>116.41999999999999</v>
      </c>
      <c r="L4558" s="317"/>
      <c r="M4558" s="315"/>
      <c r="N4558" s="314"/>
      <c r="O4558" s="313">
        <v>2884.5160000000001</v>
      </c>
      <c r="P4558" s="318">
        <v>1.8859999999999999</v>
      </c>
      <c r="Q4558" s="315">
        <f>2260/1000</f>
        <v>2.2599999999999998</v>
      </c>
      <c r="R4558" s="319">
        <f t="shared" si="1276"/>
        <v>12294.845617759998</v>
      </c>
      <c r="S4558" s="331" t="str">
        <f>S4588</f>
        <v>TXKM</v>
      </c>
      <c r="T4558" s="320">
        <v>19</v>
      </c>
      <c r="U4558" s="321" t="s">
        <v>840</v>
      </c>
      <c r="V4558" s="291">
        <f t="shared" ca="1" si="1267"/>
        <v>16609.370999999985</v>
      </c>
      <c r="W4558" s="256">
        <f t="shared" ca="1" si="1273"/>
        <v>2</v>
      </c>
      <c r="X4558" s="256">
        <f ca="1">IF(COUNTA(OFFSET(#REF!,1,0))-COUNTA(#REF!)=-1,0,1)</f>
        <v>1</v>
      </c>
      <c r="Y4558" s="336"/>
      <c r="Z4558" s="336"/>
    </row>
    <row r="4559" spans="1:29" s="337" customFormat="1" ht="15.75" x14ac:dyDescent="0.2">
      <c r="A4559" s="288"/>
      <c r="B4559" s="311"/>
      <c r="C4559" s="312" t="s">
        <v>753</v>
      </c>
      <c r="D4559" s="417">
        <v>12</v>
      </c>
      <c r="E4559" s="314" t="s">
        <v>518</v>
      </c>
      <c r="F4559" s="418">
        <v>6.42</v>
      </c>
      <c r="G4559" s="417">
        <v>17</v>
      </c>
      <c r="H4559" s="314" t="s">
        <v>518</v>
      </c>
      <c r="I4559" s="418">
        <v>4.42</v>
      </c>
      <c r="J4559" s="317"/>
      <c r="K4559" s="421">
        <f t="shared" si="1275"/>
        <v>98.000000000000028</v>
      </c>
      <c r="L4559" s="317"/>
      <c r="M4559" s="315"/>
      <c r="N4559" s="314"/>
      <c r="O4559" s="313">
        <v>2839.3890000000001</v>
      </c>
      <c r="P4559" s="318">
        <v>1.8859999999999999</v>
      </c>
      <c r="Q4559" s="315">
        <f>2200/1000</f>
        <v>2.2000000000000002</v>
      </c>
      <c r="R4559" s="319">
        <f t="shared" si="1276"/>
        <v>11781.192838800001</v>
      </c>
      <c r="S4559" s="331" t="str">
        <f>S4589</f>
        <v>TXKM</v>
      </c>
      <c r="T4559" s="320">
        <v>19</v>
      </c>
      <c r="U4559" s="321" t="s">
        <v>840</v>
      </c>
      <c r="V4559" s="291">
        <f t="shared" ca="1" si="1267"/>
        <v>16609.370999999985</v>
      </c>
      <c r="W4559" s="256">
        <f t="shared" ref="W4559:W4568" ca="1" si="1277">IF(LEFT(_xlfn.FORMULATEXT(V4559),3)="=SO",1,IF(COUNTA(A4559:U4559)=0,0,2))</f>
        <v>2</v>
      </c>
      <c r="X4559" s="256">
        <f ca="1">IF(COUNTA(OFFSET(#REF!,1,0))-COUNTA(#REF!)=-1,0,1)</f>
        <v>1</v>
      </c>
      <c r="Y4559" s="336"/>
      <c r="Z4559" s="336"/>
    </row>
    <row r="4560" spans="1:29" s="337" customFormat="1" ht="15.75" x14ac:dyDescent="0.2">
      <c r="A4560" s="288"/>
      <c r="B4560" s="311"/>
      <c r="C4560" s="312" t="s">
        <v>754</v>
      </c>
      <c r="D4560" s="417">
        <v>17</v>
      </c>
      <c r="E4560" s="314" t="s">
        <v>518</v>
      </c>
      <c r="F4560" s="418">
        <v>4.42</v>
      </c>
      <c r="G4560" s="417">
        <v>25</v>
      </c>
      <c r="H4560" s="314" t="s">
        <v>518</v>
      </c>
      <c r="I4560" s="418">
        <v>4.42</v>
      </c>
      <c r="J4560" s="317"/>
      <c r="K4560" s="421">
        <f t="shared" si="1275"/>
        <v>160</v>
      </c>
      <c r="L4560" s="317"/>
      <c r="M4560" s="315"/>
      <c r="N4560" s="314"/>
      <c r="O4560" s="313">
        <v>5180.2190000000001</v>
      </c>
      <c r="P4560" s="318">
        <v>1.8859999999999999</v>
      </c>
      <c r="Q4560" s="315">
        <f>2000/1000</f>
        <v>2</v>
      </c>
      <c r="R4560" s="319">
        <f t="shared" si="1276"/>
        <v>19539.786067999998</v>
      </c>
      <c r="S4560" s="331" t="s">
        <v>704</v>
      </c>
      <c r="T4560" s="320">
        <v>19</v>
      </c>
      <c r="U4560" s="321" t="s">
        <v>840</v>
      </c>
      <c r="V4560" s="291">
        <f t="shared" ca="1" si="1267"/>
        <v>16609.370999999985</v>
      </c>
      <c r="W4560" s="256">
        <f t="shared" ca="1" si="1277"/>
        <v>2</v>
      </c>
      <c r="X4560" s="256">
        <f ca="1">IF(COUNTA(OFFSET(#REF!,1,0))-COUNTA(#REF!)=-1,0,1)</f>
        <v>1</v>
      </c>
      <c r="Y4560" s="336"/>
      <c r="Z4560" s="336"/>
    </row>
    <row r="4561" spans="1:26" s="337" customFormat="1" ht="15.75" x14ac:dyDescent="0.2">
      <c r="A4561" s="288"/>
      <c r="B4561" s="311"/>
      <c r="C4561" s="312" t="s">
        <v>755</v>
      </c>
      <c r="D4561" s="417">
        <v>25</v>
      </c>
      <c r="E4561" s="314" t="s">
        <v>518</v>
      </c>
      <c r="F4561" s="418">
        <v>4.42</v>
      </c>
      <c r="G4561" s="419">
        <v>31</v>
      </c>
      <c r="H4561" s="316" t="s">
        <v>518</v>
      </c>
      <c r="I4561" s="420">
        <v>10</v>
      </c>
      <c r="J4561" s="317"/>
      <c r="K4561" s="421">
        <f t="shared" si="1275"/>
        <v>125.57999999999998</v>
      </c>
      <c r="L4561" s="317"/>
      <c r="M4561" s="315"/>
      <c r="N4561" s="314"/>
      <c r="O4561" s="313">
        <v>4845.5810000000001</v>
      </c>
      <c r="P4561" s="318">
        <v>1.8859999999999999</v>
      </c>
      <c r="Q4561" s="315">
        <f>1880/1000</f>
        <v>1.88</v>
      </c>
      <c r="R4561" s="319">
        <f t="shared" si="1276"/>
        <v>17180.879640079998</v>
      </c>
      <c r="S4561" s="331" t="s">
        <v>704</v>
      </c>
      <c r="T4561" s="320">
        <v>19</v>
      </c>
      <c r="U4561" s="321" t="s">
        <v>840</v>
      </c>
      <c r="V4561" s="291">
        <f t="shared" ca="1" si="1267"/>
        <v>16609.370999999985</v>
      </c>
      <c r="W4561" s="256">
        <f t="shared" ca="1" si="1277"/>
        <v>2</v>
      </c>
      <c r="X4561" s="256">
        <f ca="1">IF(COUNTA(OFFSET(#REF!,1,0))-COUNTA(#REF!)=-1,0,1)</f>
        <v>1</v>
      </c>
      <c r="Y4561" s="336"/>
      <c r="Z4561" s="336"/>
    </row>
    <row r="4562" spans="1:26" s="595" customFormat="1" ht="15.75" x14ac:dyDescent="0.2">
      <c r="A4562" s="288"/>
      <c r="B4562" s="494"/>
      <c r="C4562" s="755" t="s">
        <v>755</v>
      </c>
      <c r="D4562" s="417">
        <v>100</v>
      </c>
      <c r="E4562" s="314" t="s">
        <v>518</v>
      </c>
      <c r="F4562" s="418">
        <v>0</v>
      </c>
      <c r="G4562" s="419">
        <v>70</v>
      </c>
      <c r="H4562" s="316" t="s">
        <v>518</v>
      </c>
      <c r="I4562" s="420">
        <v>0</v>
      </c>
      <c r="J4562" s="560"/>
      <c r="K4562" s="421">
        <f t="shared" si="1275"/>
        <v>600</v>
      </c>
      <c r="L4562" s="501"/>
      <c r="M4562" s="760"/>
      <c r="N4562" s="761"/>
      <c r="O4562" s="826">
        <v>4710</v>
      </c>
      <c r="P4562" s="318">
        <v>1.8859999999999999</v>
      </c>
      <c r="Q4562" s="315">
        <v>1</v>
      </c>
      <c r="R4562" s="504">
        <f t="shared" si="1276"/>
        <v>8883.06</v>
      </c>
      <c r="S4562" s="331" t="s">
        <v>704</v>
      </c>
      <c r="T4562" s="506">
        <v>20</v>
      </c>
      <c r="U4562" s="321" t="s">
        <v>840</v>
      </c>
      <c r="V4562" s="291">
        <f t="shared" ca="1" si="1267"/>
        <v>16609.370999999985</v>
      </c>
      <c r="W4562" s="256">
        <f t="shared" ca="1" si="1277"/>
        <v>2</v>
      </c>
      <c r="X4562" s="256">
        <f ca="1">IF(COUNTA(OFFSET(#REF!,1,0))-COUNTA(#REF!)=-1,0,1)</f>
        <v>1</v>
      </c>
      <c r="Y4562" s="249"/>
      <c r="Z4562" s="249"/>
    </row>
    <row r="4563" spans="1:26" s="595" customFormat="1" ht="15.75" x14ac:dyDescent="0.2">
      <c r="A4563" s="288"/>
      <c r="B4563" s="494"/>
      <c r="C4563" s="755" t="s">
        <v>755</v>
      </c>
      <c r="D4563" s="417">
        <v>100</v>
      </c>
      <c r="E4563" s="314" t="s">
        <v>518</v>
      </c>
      <c r="F4563" s="418">
        <v>0</v>
      </c>
      <c r="G4563" s="419">
        <v>70</v>
      </c>
      <c r="H4563" s="316" t="s">
        <v>518</v>
      </c>
      <c r="I4563" s="420">
        <v>0</v>
      </c>
      <c r="J4563" s="560"/>
      <c r="K4563" s="421">
        <f t="shared" ref="K4563:K4583" si="1278">ABS((G4563*20+I4563)-(D4563*20+F4563))</f>
        <v>600</v>
      </c>
      <c r="L4563" s="501"/>
      <c r="M4563" s="760"/>
      <c r="N4563" s="761"/>
      <c r="O4563" s="826">
        <f>1671+1789.08+1869.93+1090.17+2091.35+1463.55</f>
        <v>9975.08</v>
      </c>
      <c r="P4563" s="318">
        <v>1.8859999999999999</v>
      </c>
      <c r="Q4563" s="315">
        <v>1.84</v>
      </c>
      <c r="R4563" s="504">
        <f t="shared" ref="R4563:R4583" si="1279">O4563*P4563*Q4563</f>
        <v>34615.921619200002</v>
      </c>
      <c r="S4563" s="331" t="s">
        <v>704</v>
      </c>
      <c r="T4563" s="506">
        <v>27</v>
      </c>
      <c r="U4563" s="321" t="s">
        <v>840</v>
      </c>
      <c r="V4563" s="291">
        <f t="shared" ca="1" si="1267"/>
        <v>16609.370999999985</v>
      </c>
      <c r="W4563" s="256">
        <f t="shared" ca="1" si="1277"/>
        <v>2</v>
      </c>
      <c r="X4563" s="256">
        <f ca="1">IF(COUNTA(OFFSET(#REF!,1,0))-COUNTA(#REF!)=-1,0,1)</f>
        <v>1</v>
      </c>
      <c r="Y4563" s="249"/>
      <c r="Z4563" s="249"/>
    </row>
    <row r="4564" spans="1:26" s="595" customFormat="1" ht="15.75" x14ac:dyDescent="0.2">
      <c r="A4564" s="288"/>
      <c r="B4564" s="494"/>
      <c r="C4564" s="755" t="s">
        <v>755</v>
      </c>
      <c r="D4564" s="417">
        <v>100</v>
      </c>
      <c r="E4564" s="314" t="s">
        <v>518</v>
      </c>
      <c r="F4564" s="418">
        <v>0</v>
      </c>
      <c r="G4564" s="419">
        <v>80</v>
      </c>
      <c r="H4564" s="316" t="s">
        <v>518</v>
      </c>
      <c r="I4564" s="420">
        <v>0</v>
      </c>
      <c r="J4564" s="560"/>
      <c r="K4564" s="421">
        <f t="shared" si="1278"/>
        <v>400</v>
      </c>
      <c r="L4564" s="501"/>
      <c r="M4564" s="760"/>
      <c r="N4564" s="761"/>
      <c r="O4564" s="826">
        <v>521.76</v>
      </c>
      <c r="P4564" s="318">
        <v>1.8859999999999999</v>
      </c>
      <c r="Q4564" s="315">
        <v>1.84</v>
      </c>
      <c r="R4564" s="504">
        <f t="shared" si="1279"/>
        <v>1810.6324223999998</v>
      </c>
      <c r="S4564" s="331" t="s">
        <v>704</v>
      </c>
      <c r="T4564" s="506">
        <v>28</v>
      </c>
      <c r="U4564" s="321" t="s">
        <v>840</v>
      </c>
      <c r="V4564" s="291">
        <f t="shared" ca="1" si="1267"/>
        <v>16609.370999999985</v>
      </c>
      <c r="W4564" s="256">
        <f t="shared" ca="1" si="1277"/>
        <v>2</v>
      </c>
      <c r="X4564" s="256">
        <f ca="1">IF(COUNTA(OFFSET(#REF!,1,0))-COUNTA(#REF!)=-1,0,1)</f>
        <v>1</v>
      </c>
      <c r="Y4564" s="249"/>
      <c r="Z4564" s="249"/>
    </row>
    <row r="4565" spans="1:26" s="595" customFormat="1" ht="15.75" x14ac:dyDescent="0.2">
      <c r="A4565" s="288"/>
      <c r="B4565" s="494"/>
      <c r="C4565" s="755" t="s">
        <v>755</v>
      </c>
      <c r="D4565" s="417">
        <v>80</v>
      </c>
      <c r="E4565" s="314" t="s">
        <v>518</v>
      </c>
      <c r="F4565" s="418">
        <v>0</v>
      </c>
      <c r="G4565" s="419">
        <v>70</v>
      </c>
      <c r="H4565" s="316" t="s">
        <v>518</v>
      </c>
      <c r="I4565" s="420">
        <v>0</v>
      </c>
      <c r="J4565" s="560"/>
      <c r="K4565" s="421">
        <f t="shared" si="1278"/>
        <v>200</v>
      </c>
      <c r="L4565" s="501"/>
      <c r="M4565" s="760"/>
      <c r="N4565" s="761"/>
      <c r="O4565" s="826">
        <v>520.65</v>
      </c>
      <c r="P4565" s="318">
        <v>1.8859999999999999</v>
      </c>
      <c r="Q4565" s="315">
        <v>1.84</v>
      </c>
      <c r="R4565" s="504">
        <f t="shared" si="1279"/>
        <v>1806.780456</v>
      </c>
      <c r="S4565" s="331" t="s">
        <v>704</v>
      </c>
      <c r="T4565" s="506">
        <v>29</v>
      </c>
      <c r="U4565" s="321" t="s">
        <v>840</v>
      </c>
      <c r="V4565" s="291">
        <f t="shared" ca="1" si="1267"/>
        <v>16609.370999999985</v>
      </c>
      <c r="W4565" s="256">
        <f t="shared" ca="1" si="1277"/>
        <v>2</v>
      </c>
      <c r="X4565" s="256">
        <f ca="1">IF(COUNTA(OFFSET(#REF!,1,0))-COUNTA(#REF!)=-1,0,1)</f>
        <v>1</v>
      </c>
      <c r="Y4565" s="249"/>
      <c r="Z4565" s="249"/>
    </row>
    <row r="4566" spans="1:26" s="595" customFormat="1" ht="15.75" x14ac:dyDescent="0.2">
      <c r="A4566" s="288"/>
      <c r="B4566" s="494"/>
      <c r="C4566" s="755" t="s">
        <v>755</v>
      </c>
      <c r="D4566" s="417">
        <v>80</v>
      </c>
      <c r="E4566" s="314" t="s">
        <v>518</v>
      </c>
      <c r="F4566" s="418">
        <v>0</v>
      </c>
      <c r="G4566" s="419">
        <v>70</v>
      </c>
      <c r="H4566" s="316" t="s">
        <v>518</v>
      </c>
      <c r="I4566" s="420">
        <v>0</v>
      </c>
      <c r="J4566" s="560"/>
      <c r="K4566" s="421">
        <f t="shared" si="1278"/>
        <v>200</v>
      </c>
      <c r="L4566" s="501"/>
      <c r="M4566" s="760"/>
      <c r="N4566" s="761"/>
      <c r="O4566" s="826">
        <v>436.60599999999999</v>
      </c>
      <c r="P4566" s="318">
        <v>1.8859999999999999</v>
      </c>
      <c r="Q4566" s="315">
        <v>1.84</v>
      </c>
      <c r="R4566" s="504">
        <f t="shared" si="1279"/>
        <v>1515.12760544</v>
      </c>
      <c r="S4566" s="331" t="s">
        <v>704</v>
      </c>
      <c r="T4566" s="506">
        <v>30</v>
      </c>
      <c r="U4566" s="321" t="s">
        <v>840</v>
      </c>
      <c r="V4566" s="291">
        <f t="shared" ca="1" si="1267"/>
        <v>16609.370999999985</v>
      </c>
      <c r="W4566" s="256">
        <f t="shared" ca="1" si="1277"/>
        <v>2</v>
      </c>
      <c r="X4566" s="256">
        <f ca="1">IF(COUNTA(OFFSET(#REF!,1,0))-COUNTA(#REF!)=-1,0,1)</f>
        <v>1</v>
      </c>
      <c r="Y4566" s="249"/>
      <c r="Z4566" s="249"/>
    </row>
    <row r="4567" spans="1:26" s="595" customFormat="1" ht="15.75" x14ac:dyDescent="0.2">
      <c r="A4567" s="288"/>
      <c r="B4567" s="494"/>
      <c r="C4567" s="755" t="s">
        <v>755</v>
      </c>
      <c r="D4567" s="417">
        <v>80</v>
      </c>
      <c r="E4567" s="314" t="s">
        <v>518</v>
      </c>
      <c r="F4567" s="418">
        <v>0</v>
      </c>
      <c r="G4567" s="419">
        <v>70</v>
      </c>
      <c r="H4567" s="316" t="s">
        <v>518</v>
      </c>
      <c r="I4567" s="420">
        <v>0</v>
      </c>
      <c r="J4567" s="560"/>
      <c r="K4567" s="421">
        <f t="shared" si="1278"/>
        <v>200</v>
      </c>
      <c r="L4567" s="501"/>
      <c r="M4567" s="760"/>
      <c r="N4567" s="761"/>
      <c r="O4567" s="826">
        <v>700</v>
      </c>
      <c r="P4567" s="318">
        <v>1.8859999999999999</v>
      </c>
      <c r="Q4567" s="315">
        <v>1.84</v>
      </c>
      <c r="R4567" s="504">
        <f t="shared" si="1279"/>
        <v>2429.1679999999997</v>
      </c>
      <c r="S4567" s="331" t="s">
        <v>704</v>
      </c>
      <c r="T4567" s="506">
        <v>31</v>
      </c>
      <c r="U4567" s="321" t="s">
        <v>840</v>
      </c>
      <c r="V4567" s="291">
        <f t="shared" ca="1" si="1267"/>
        <v>16609.370999999985</v>
      </c>
      <c r="W4567" s="256">
        <f t="shared" ca="1" si="1277"/>
        <v>2</v>
      </c>
      <c r="X4567" s="256">
        <f ca="1">IF(COUNTA(OFFSET(#REF!,1,0))-COUNTA(#REF!)=-1,0,1)</f>
        <v>1</v>
      </c>
      <c r="Y4567" s="249"/>
      <c r="Z4567" s="249"/>
    </row>
    <row r="4568" spans="1:26" s="595" customFormat="1" ht="15.75" x14ac:dyDescent="0.2">
      <c r="A4568" s="288"/>
      <c r="B4568" s="494"/>
      <c r="C4568" s="755" t="s">
        <v>755</v>
      </c>
      <c r="D4568" s="417">
        <v>68</v>
      </c>
      <c r="E4568" s="314" t="s">
        <v>518</v>
      </c>
      <c r="F4568" s="418">
        <v>0</v>
      </c>
      <c r="G4568" s="419">
        <v>70</v>
      </c>
      <c r="H4568" s="316" t="s">
        <v>518</v>
      </c>
      <c r="I4568" s="420">
        <v>0</v>
      </c>
      <c r="J4568" s="560"/>
      <c r="K4568" s="421">
        <f t="shared" si="1278"/>
        <v>40</v>
      </c>
      <c r="L4568" s="501"/>
      <c r="M4568" s="760"/>
      <c r="N4568" s="761"/>
      <c r="O4568" s="826">
        <v>700</v>
      </c>
      <c r="P4568" s="318">
        <v>1.8859999999999999</v>
      </c>
      <c r="Q4568" s="315">
        <v>1.84</v>
      </c>
      <c r="R4568" s="504">
        <f t="shared" si="1279"/>
        <v>2429.1679999999997</v>
      </c>
      <c r="S4568" s="331" t="s">
        <v>704</v>
      </c>
      <c r="T4568" s="506">
        <v>33</v>
      </c>
      <c r="U4568" s="321" t="s">
        <v>840</v>
      </c>
      <c r="V4568" s="291">
        <f t="shared" ca="1" si="1267"/>
        <v>16609.370999999985</v>
      </c>
      <c r="W4568" s="256">
        <f t="shared" ca="1" si="1277"/>
        <v>2</v>
      </c>
      <c r="X4568" s="256">
        <f ca="1">IF(COUNTA(OFFSET(#REF!,1,0))-COUNTA(#REF!)=-1,0,1)</f>
        <v>1</v>
      </c>
      <c r="Y4568" s="249"/>
      <c r="Z4568" s="249"/>
    </row>
    <row r="4569" spans="1:26" s="595" customFormat="1" ht="30" customHeight="1" x14ac:dyDescent="0.2">
      <c r="A4569" s="288"/>
      <c r="B4569" s="494"/>
      <c r="C4569" s="1156" t="s">
        <v>1294</v>
      </c>
      <c r="D4569" s="1092">
        <v>70</v>
      </c>
      <c r="E4569" s="964" t="s">
        <v>518</v>
      </c>
      <c r="F4569" s="970">
        <v>0</v>
      </c>
      <c r="G4569" s="1092">
        <v>83</v>
      </c>
      <c r="H4569" s="964" t="s">
        <v>518</v>
      </c>
      <c r="I4569" s="970">
        <v>10</v>
      </c>
      <c r="J4569" s="936"/>
      <c r="K4569" s="1157">
        <f t="shared" si="1278"/>
        <v>270</v>
      </c>
      <c r="L4569" s="501"/>
      <c r="M4569" s="760"/>
      <c r="N4569" s="761"/>
      <c r="O4569" s="1158">
        <v>1637.7159999999999</v>
      </c>
      <c r="P4569" s="949">
        <v>1.8859999999999999</v>
      </c>
      <c r="Q4569" s="947">
        <v>1.84</v>
      </c>
      <c r="R4569" s="1159">
        <f t="shared" si="1279"/>
        <v>5683.2675718399996</v>
      </c>
      <c r="S4569" s="327" t="s">
        <v>704</v>
      </c>
      <c r="T4569" s="937">
        <v>40</v>
      </c>
      <c r="U4569" s="1160" t="s">
        <v>840</v>
      </c>
      <c r="V4569" s="291">
        <f t="shared" ca="1" si="1267"/>
        <v>16609.370999999985</v>
      </c>
      <c r="W4569" s="256">
        <f t="shared" ref="W4569:W4570" ca="1" si="1280">IF(LEFT(_xlfn.FORMULATEXT(V4569),3)="=SO",1,IF(COUNTA(A4569:U4569)=0,0,2))</f>
        <v>2</v>
      </c>
      <c r="X4569" s="256">
        <f ca="1">IF(COUNTA(OFFSET(#REF!,1,0))-COUNTA(#REF!)=-1,0,1)</f>
        <v>1</v>
      </c>
      <c r="Y4569" s="249"/>
      <c r="Z4569" s="249"/>
    </row>
    <row r="4570" spans="1:26" s="595" customFormat="1" ht="15.75" x14ac:dyDescent="0.2">
      <c r="A4570" s="288"/>
      <c r="B4570" s="494"/>
      <c r="C4570" s="755" t="s">
        <v>755</v>
      </c>
      <c r="D4570" s="417">
        <v>62</v>
      </c>
      <c r="E4570" s="314" t="s">
        <v>518</v>
      </c>
      <c r="F4570" s="418">
        <v>0</v>
      </c>
      <c r="G4570" s="419">
        <v>70</v>
      </c>
      <c r="H4570" s="316" t="s">
        <v>518</v>
      </c>
      <c r="I4570" s="420">
        <v>0</v>
      </c>
      <c r="J4570" s="560"/>
      <c r="K4570" s="421">
        <f t="shared" si="1278"/>
        <v>160</v>
      </c>
      <c r="L4570" s="501"/>
      <c r="M4570" s="760"/>
      <c r="N4570" s="761"/>
      <c r="O4570" s="826">
        <v>10341.77</v>
      </c>
      <c r="P4570" s="318">
        <v>1.8859999999999999</v>
      </c>
      <c r="Q4570" s="315">
        <v>1.84</v>
      </c>
      <c r="R4570" s="504">
        <f t="shared" si="1279"/>
        <v>35888.423924800001</v>
      </c>
      <c r="S4570" s="331" t="s">
        <v>704</v>
      </c>
      <c r="T4570" s="506">
        <v>35</v>
      </c>
      <c r="U4570" s="321" t="s">
        <v>840</v>
      </c>
      <c r="V4570" s="291">
        <f t="shared" ca="1" si="1267"/>
        <v>16609.370999999985</v>
      </c>
      <c r="W4570" s="256">
        <f t="shared" ca="1" si="1280"/>
        <v>2</v>
      </c>
      <c r="X4570" s="256">
        <f ca="1">IF(COUNTA(OFFSET(#REF!,1,0))-COUNTA(#REF!)=-1,0,1)</f>
        <v>1</v>
      </c>
      <c r="Y4570" s="249"/>
      <c r="Z4570" s="249"/>
    </row>
    <row r="4571" spans="1:26" s="595" customFormat="1" ht="15.75" x14ac:dyDescent="0.2">
      <c r="A4571" s="288"/>
      <c r="B4571" s="494"/>
      <c r="C4571" s="755" t="s">
        <v>755</v>
      </c>
      <c r="D4571" s="417">
        <v>60</v>
      </c>
      <c r="E4571" s="314" t="s">
        <v>518</v>
      </c>
      <c r="F4571" s="418">
        <v>0</v>
      </c>
      <c r="G4571" s="417">
        <v>62</v>
      </c>
      <c r="H4571" s="314" t="s">
        <v>518</v>
      </c>
      <c r="I4571" s="418">
        <v>0</v>
      </c>
      <c r="J4571" s="560"/>
      <c r="K4571" s="421">
        <f t="shared" si="1278"/>
        <v>40</v>
      </c>
      <c r="L4571" s="501"/>
      <c r="M4571" s="760"/>
      <c r="N4571" s="761"/>
      <c r="O4571" s="839">
        <v>3498.48</v>
      </c>
      <c r="P4571" s="318">
        <v>1.8859999999999999</v>
      </c>
      <c r="Q4571" s="315">
        <v>1.84</v>
      </c>
      <c r="R4571" s="504">
        <f t="shared" si="1279"/>
        <v>12140.5652352</v>
      </c>
      <c r="S4571" s="331" t="s">
        <v>704</v>
      </c>
      <c r="T4571" s="506">
        <v>36</v>
      </c>
      <c r="U4571" s="321" t="s">
        <v>840</v>
      </c>
      <c r="V4571" s="291">
        <f t="shared" ca="1" si="1267"/>
        <v>16609.370999999985</v>
      </c>
      <c r="W4571" s="256">
        <f t="shared" ref="W4571:W4573" ca="1" si="1281">IF(LEFT(_xlfn.FORMULATEXT(V4571),3)="=SO",1,IF(COUNTA(A4571:U4571)=0,0,2))</f>
        <v>2</v>
      </c>
      <c r="X4571" s="256">
        <f ca="1">IF(COUNTA(OFFSET(#REF!,1,0))-COUNTA(#REF!)=-1,0,1)</f>
        <v>1</v>
      </c>
      <c r="Y4571" s="249"/>
      <c r="Z4571" s="249"/>
    </row>
    <row r="4572" spans="1:26" s="595" customFormat="1" ht="15.75" x14ac:dyDescent="0.2">
      <c r="A4572" s="288"/>
      <c r="B4572" s="494"/>
      <c r="C4572" s="755" t="s">
        <v>1221</v>
      </c>
      <c r="D4572" s="551">
        <v>57</v>
      </c>
      <c r="E4572" s="552" t="s">
        <v>518</v>
      </c>
      <c r="F4572" s="553">
        <v>17</v>
      </c>
      <c r="G4572" s="496">
        <v>60</v>
      </c>
      <c r="H4572" s="497" t="s">
        <v>518</v>
      </c>
      <c r="I4572" s="498">
        <v>0</v>
      </c>
      <c r="J4572" s="560"/>
      <c r="K4572" s="500">
        <f t="shared" si="1278"/>
        <v>43</v>
      </c>
      <c r="L4572" s="501"/>
      <c r="M4572" s="760"/>
      <c r="N4572" s="761"/>
      <c r="O4572" s="1044">
        <v>4531.53</v>
      </c>
      <c r="P4572" s="318">
        <v>1.8859999999999999</v>
      </c>
      <c r="Q4572" s="315">
        <v>1.84</v>
      </c>
      <c r="R4572" s="504">
        <f t="shared" si="1279"/>
        <v>15725.496667199997</v>
      </c>
      <c r="S4572" s="331" t="s">
        <v>704</v>
      </c>
      <c r="T4572" s="506">
        <v>37</v>
      </c>
      <c r="U4572" s="321" t="s">
        <v>840</v>
      </c>
      <c r="V4572" s="291">
        <f t="shared" ca="1" si="1267"/>
        <v>16609.370999999985</v>
      </c>
      <c r="W4572" s="256">
        <f t="shared" ca="1" si="1281"/>
        <v>2</v>
      </c>
      <c r="X4572" s="256">
        <f ca="1">IF(COUNTA(OFFSET(#REF!,1,0))-COUNTA(#REF!)=-1,0,1)</f>
        <v>1</v>
      </c>
      <c r="Y4572" s="249"/>
      <c r="Z4572" s="249"/>
    </row>
    <row r="4573" spans="1:26" s="595" customFormat="1" ht="15.75" x14ac:dyDescent="0.2">
      <c r="A4573" s="288"/>
      <c r="B4573" s="494"/>
      <c r="C4573" s="755" t="s">
        <v>1221</v>
      </c>
      <c r="D4573" s="551">
        <v>55</v>
      </c>
      <c r="E4573" s="552" t="s">
        <v>518</v>
      </c>
      <c r="F4573" s="553">
        <v>10</v>
      </c>
      <c r="G4573" s="551">
        <v>57</v>
      </c>
      <c r="H4573" s="552" t="s">
        <v>518</v>
      </c>
      <c r="I4573" s="553">
        <v>17</v>
      </c>
      <c r="J4573" s="560"/>
      <c r="K4573" s="500">
        <f t="shared" si="1278"/>
        <v>47</v>
      </c>
      <c r="L4573" s="501"/>
      <c r="M4573" s="760"/>
      <c r="N4573" s="761"/>
      <c r="O4573" s="1044">
        <v>4804.55</v>
      </c>
      <c r="P4573" s="318">
        <v>1.8859999999999999</v>
      </c>
      <c r="Q4573" s="315">
        <v>1.84</v>
      </c>
      <c r="R4573" s="504">
        <f t="shared" si="1279"/>
        <v>16672.941591999999</v>
      </c>
      <c r="S4573" s="331" t="s">
        <v>704</v>
      </c>
      <c r="T4573" s="506">
        <v>38</v>
      </c>
      <c r="U4573" s="321" t="s">
        <v>840</v>
      </c>
      <c r="V4573" s="291">
        <f t="shared" ca="1" si="1267"/>
        <v>16609.370999999985</v>
      </c>
      <c r="W4573" s="256">
        <f t="shared" ca="1" si="1281"/>
        <v>2</v>
      </c>
      <c r="X4573" s="256">
        <f ca="1">IF(COUNTA(OFFSET(#REF!,1,0))-COUNTA(#REF!)=-1,0,1)</f>
        <v>1</v>
      </c>
      <c r="Y4573" s="249"/>
      <c r="Z4573" s="249"/>
    </row>
    <row r="4574" spans="1:26" s="595" customFormat="1" ht="15.75" x14ac:dyDescent="0.2">
      <c r="A4574" s="288"/>
      <c r="B4574" s="494"/>
      <c r="C4574" s="755" t="s">
        <v>1221</v>
      </c>
      <c r="D4574" s="551">
        <v>53</v>
      </c>
      <c r="E4574" s="552" t="s">
        <v>518</v>
      </c>
      <c r="F4574" s="553">
        <v>10</v>
      </c>
      <c r="G4574" s="551">
        <v>55</v>
      </c>
      <c r="H4574" s="552" t="s">
        <v>518</v>
      </c>
      <c r="I4574" s="553">
        <v>10</v>
      </c>
      <c r="J4574" s="1102"/>
      <c r="K4574" s="500">
        <f t="shared" si="1278"/>
        <v>40</v>
      </c>
      <c r="L4574" s="501"/>
      <c r="M4574" s="760"/>
      <c r="N4574" s="761"/>
      <c r="O4574" s="1044">
        <v>2739.47</v>
      </c>
      <c r="P4574" s="318">
        <v>1.8859999999999999</v>
      </c>
      <c r="Q4574" s="947">
        <v>1.84</v>
      </c>
      <c r="R4574" s="1104">
        <f t="shared" si="1279"/>
        <v>9506.6183727999996</v>
      </c>
      <c r="S4574" s="331" t="s">
        <v>704</v>
      </c>
      <c r="T4574" s="506">
        <v>39</v>
      </c>
      <c r="U4574" s="321" t="s">
        <v>840</v>
      </c>
      <c r="V4574" s="291">
        <f t="shared" ca="1" si="1267"/>
        <v>16609.370999999985</v>
      </c>
      <c r="W4574" s="256">
        <f t="shared" ref="W4574:W4583" ca="1" si="1282">IF(LEFT(_xlfn.FORMULATEXT(V4574),3)="=SO",1,IF(COUNTA(A4574:U4574)=0,0,2))</f>
        <v>2</v>
      </c>
      <c r="X4574" s="256">
        <f ca="1">IF(COUNTA(OFFSET(#REF!,1,0))-COUNTA(#REF!)=-1,0,1)</f>
        <v>1</v>
      </c>
      <c r="Y4574" s="249"/>
      <c r="Z4574" s="249"/>
    </row>
    <row r="4575" spans="1:26" s="595" customFormat="1" ht="15.75" x14ac:dyDescent="0.2">
      <c r="A4575" s="288"/>
      <c r="B4575" s="494"/>
      <c r="C4575" s="755" t="s">
        <v>1221</v>
      </c>
      <c r="D4575" s="551">
        <v>51</v>
      </c>
      <c r="E4575" s="552" t="s">
        <v>518</v>
      </c>
      <c r="F4575" s="553">
        <v>8</v>
      </c>
      <c r="G4575" s="551">
        <v>53</v>
      </c>
      <c r="H4575" s="552" t="s">
        <v>518</v>
      </c>
      <c r="I4575" s="553">
        <v>10</v>
      </c>
      <c r="J4575" s="1109"/>
      <c r="K4575" s="500">
        <f t="shared" si="1278"/>
        <v>42</v>
      </c>
      <c r="L4575" s="501"/>
      <c r="M4575" s="760"/>
      <c r="N4575" s="761"/>
      <c r="O4575" s="1044">
        <v>5486.71</v>
      </c>
      <c r="P4575" s="318">
        <v>1.8859999999999999</v>
      </c>
      <c r="Q4575" s="315">
        <v>1.84</v>
      </c>
      <c r="R4575" s="1111">
        <f t="shared" si="1279"/>
        <v>19040.200510400002</v>
      </c>
      <c r="S4575" s="331" t="s">
        <v>704</v>
      </c>
      <c r="T4575" s="506">
        <v>40</v>
      </c>
      <c r="U4575" s="321" t="s">
        <v>840</v>
      </c>
      <c r="V4575" s="291">
        <f t="shared" ca="1" si="1267"/>
        <v>16609.370999999985</v>
      </c>
      <c r="W4575" s="256">
        <f t="shared" ca="1" si="1282"/>
        <v>2</v>
      </c>
      <c r="X4575" s="256">
        <f ca="1">IF(COUNTA(OFFSET(#REF!,1,0))-COUNTA(#REF!)=-1,0,1)</f>
        <v>1</v>
      </c>
      <c r="Y4575" s="249"/>
      <c r="Z4575" s="249"/>
    </row>
    <row r="4576" spans="1:26" s="595" customFormat="1" ht="15.75" x14ac:dyDescent="0.2">
      <c r="A4576" s="288"/>
      <c r="B4576" s="494"/>
      <c r="C4576" s="755" t="s">
        <v>1221</v>
      </c>
      <c r="D4576" s="551">
        <v>49</v>
      </c>
      <c r="E4576" s="552" t="s">
        <v>518</v>
      </c>
      <c r="F4576" s="553">
        <v>13</v>
      </c>
      <c r="G4576" s="551">
        <v>51</v>
      </c>
      <c r="H4576" s="552" t="s">
        <v>518</v>
      </c>
      <c r="I4576" s="553">
        <v>8</v>
      </c>
      <c r="J4576" s="1109"/>
      <c r="K4576" s="500">
        <f t="shared" si="1278"/>
        <v>35</v>
      </c>
      <c r="L4576" s="501"/>
      <c r="M4576" s="760"/>
      <c r="N4576" s="761"/>
      <c r="O4576" s="1044">
        <v>3957.1</v>
      </c>
      <c r="P4576" s="318">
        <v>1.8859999999999999</v>
      </c>
      <c r="Q4576" s="315">
        <v>1.84</v>
      </c>
      <c r="R4576" s="1111">
        <f t="shared" si="1279"/>
        <v>13732.086703999999</v>
      </c>
      <c r="S4576" s="331" t="s">
        <v>704</v>
      </c>
      <c r="T4576" s="506">
        <v>41</v>
      </c>
      <c r="U4576" s="321" t="s">
        <v>840</v>
      </c>
      <c r="V4576" s="291">
        <f t="shared" ca="1" si="1267"/>
        <v>16609.370999999985</v>
      </c>
      <c r="W4576" s="256">
        <f t="shared" ca="1" si="1282"/>
        <v>2</v>
      </c>
      <c r="X4576" s="256">
        <f ca="1">IF(COUNTA(OFFSET(#REF!,1,0))-COUNTA(#REF!)=-1,0,1)</f>
        <v>1</v>
      </c>
      <c r="Y4576" s="249"/>
      <c r="Z4576" s="249"/>
    </row>
    <row r="4577" spans="1:29" s="595" customFormat="1" ht="15.75" x14ac:dyDescent="0.2">
      <c r="A4577" s="288"/>
      <c r="B4577" s="494"/>
      <c r="C4577" s="755" t="s">
        <v>1221</v>
      </c>
      <c r="D4577" s="1172">
        <v>45</v>
      </c>
      <c r="E4577" s="1173" t="s">
        <v>518</v>
      </c>
      <c r="F4577" s="1174">
        <v>6</v>
      </c>
      <c r="G4577" s="551">
        <v>49</v>
      </c>
      <c r="H4577" s="552" t="s">
        <v>518</v>
      </c>
      <c r="I4577" s="553">
        <v>13</v>
      </c>
      <c r="J4577" s="1109"/>
      <c r="K4577" s="500">
        <f t="shared" si="1278"/>
        <v>87</v>
      </c>
      <c r="L4577" s="501"/>
      <c r="M4577" s="760"/>
      <c r="N4577" s="761"/>
      <c r="O4577" s="1044">
        <v>5087.7700000000004</v>
      </c>
      <c r="P4577" s="318">
        <v>1.8859999999999999</v>
      </c>
      <c r="Q4577" s="315">
        <v>1.84</v>
      </c>
      <c r="R4577" s="1111">
        <f t="shared" si="1279"/>
        <v>17655.782964800001</v>
      </c>
      <c r="S4577" s="331" t="s">
        <v>704</v>
      </c>
      <c r="T4577" s="506">
        <v>42</v>
      </c>
      <c r="U4577" s="321" t="s">
        <v>840</v>
      </c>
      <c r="V4577" s="291">
        <f t="shared" ca="1" si="1267"/>
        <v>16609.370999999985</v>
      </c>
      <c r="W4577" s="256">
        <f t="shared" ca="1" si="1282"/>
        <v>2</v>
      </c>
      <c r="X4577" s="256">
        <f ca="1">IF(COUNTA(OFFSET(#REF!,1,0))-COUNTA(#REF!)=-1,0,1)</f>
        <v>1</v>
      </c>
      <c r="Y4577" s="249"/>
      <c r="Z4577" s="249"/>
    </row>
    <row r="4578" spans="1:29" s="595" customFormat="1" ht="15.75" x14ac:dyDescent="0.2">
      <c r="A4578" s="288"/>
      <c r="B4578" s="494"/>
      <c r="C4578" s="755" t="s">
        <v>755</v>
      </c>
      <c r="D4578" s="419">
        <v>39</v>
      </c>
      <c r="E4578" s="316" t="s">
        <v>518</v>
      </c>
      <c r="F4578" s="420">
        <v>2</v>
      </c>
      <c r="G4578" s="419">
        <v>45</v>
      </c>
      <c r="H4578" s="316" t="s">
        <v>518</v>
      </c>
      <c r="I4578" s="420">
        <v>6</v>
      </c>
      <c r="J4578" s="1109"/>
      <c r="K4578" s="500">
        <f t="shared" si="1278"/>
        <v>124</v>
      </c>
      <c r="L4578" s="501"/>
      <c r="M4578" s="760"/>
      <c r="N4578" s="761"/>
      <c r="O4578" s="1044">
        <f>3677.863+446.236</f>
        <v>4124.0990000000002</v>
      </c>
      <c r="P4578" s="318">
        <v>1.8859999999999999</v>
      </c>
      <c r="Q4578" s="315">
        <v>1.84</v>
      </c>
      <c r="R4578" s="1111">
        <f t="shared" si="1279"/>
        <v>14311.613313760001</v>
      </c>
      <c r="S4578" s="331" t="s">
        <v>704</v>
      </c>
      <c r="T4578" s="506">
        <v>44</v>
      </c>
      <c r="U4578" s="321" t="s">
        <v>840</v>
      </c>
      <c r="V4578" s="291">
        <f t="shared" ca="1" si="1267"/>
        <v>16609.370999999985</v>
      </c>
      <c r="W4578" s="256">
        <f t="shared" ca="1" si="1282"/>
        <v>2</v>
      </c>
      <c r="X4578" s="256">
        <f ca="1">IF(COUNTA(OFFSET(#REF!,1,0))-COUNTA(#REF!)=-1,0,1)</f>
        <v>1</v>
      </c>
      <c r="Y4578" s="249"/>
      <c r="Z4578" s="249"/>
    </row>
    <row r="4579" spans="1:29" s="595" customFormat="1" ht="15.75" x14ac:dyDescent="0.2">
      <c r="A4579" s="288"/>
      <c r="B4579" s="494"/>
      <c r="C4579" s="755"/>
      <c r="D4579" s="419"/>
      <c r="E4579" s="316"/>
      <c r="F4579" s="420"/>
      <c r="G4579" s="419"/>
      <c r="H4579" s="316"/>
      <c r="I4579" s="420"/>
      <c r="J4579" s="1109"/>
      <c r="K4579" s="500"/>
      <c r="L4579" s="501"/>
      <c r="M4579" s="760"/>
      <c r="N4579" s="761"/>
      <c r="O4579" s="1044"/>
      <c r="P4579" s="318"/>
      <c r="Q4579" s="315"/>
      <c r="R4579" s="1111"/>
      <c r="S4579" s="331"/>
      <c r="T4579" s="506"/>
      <c r="U4579" s="321"/>
      <c r="V4579" s="291">
        <f t="shared" ca="1" si="1267"/>
        <v>16609.370999999985</v>
      </c>
      <c r="W4579" s="256">
        <f t="shared" ca="1" si="1282"/>
        <v>0</v>
      </c>
      <c r="X4579" s="256">
        <f ca="1">IF(COUNTA(OFFSET(#REF!,1,0))-COUNTA(#REF!)=-1,0,1)</f>
        <v>1</v>
      </c>
      <c r="Y4579" s="249"/>
      <c r="Z4579" s="249"/>
    </row>
    <row r="4580" spans="1:29" s="595" customFormat="1" ht="15.75" x14ac:dyDescent="0.2">
      <c r="A4580" s="288"/>
      <c r="B4580" s="494"/>
      <c r="C4580" s="1170" t="s">
        <v>1294</v>
      </c>
      <c r="D4580" s="417">
        <v>49</v>
      </c>
      <c r="E4580" s="314" t="s">
        <v>518</v>
      </c>
      <c r="F4580" s="418">
        <v>13</v>
      </c>
      <c r="G4580" s="419">
        <v>51</v>
      </c>
      <c r="H4580" s="316" t="s">
        <v>518</v>
      </c>
      <c r="I4580" s="420">
        <v>8</v>
      </c>
      <c r="J4580" s="1109"/>
      <c r="K4580" s="421">
        <f t="shared" si="1278"/>
        <v>35</v>
      </c>
      <c r="L4580" s="501"/>
      <c r="M4580" s="760"/>
      <c r="N4580" s="761"/>
      <c r="O4580" s="826">
        <v>221.44300000000001</v>
      </c>
      <c r="P4580" s="318">
        <v>1.8859999999999999</v>
      </c>
      <c r="Q4580" s="315">
        <v>1.84</v>
      </c>
      <c r="R4580" s="1111">
        <f t="shared" si="1279"/>
        <v>768.46035632000007</v>
      </c>
      <c r="S4580" s="331" t="s">
        <v>704</v>
      </c>
      <c r="T4580" s="506">
        <v>42</v>
      </c>
      <c r="U4580" s="321" t="s">
        <v>840</v>
      </c>
      <c r="V4580" s="291">
        <f t="shared" ca="1" si="1267"/>
        <v>16609.370999999985</v>
      </c>
      <c r="W4580" s="256">
        <f t="shared" ca="1" si="1282"/>
        <v>2</v>
      </c>
      <c r="X4580" s="256">
        <f ca="1">IF(COUNTA(OFFSET(#REF!,1,0))-COUNTA(#REF!)=-1,0,1)</f>
        <v>1</v>
      </c>
      <c r="Y4580" s="249"/>
      <c r="Z4580" s="249"/>
    </row>
    <row r="4581" spans="1:29" s="595" customFormat="1" ht="15.75" x14ac:dyDescent="0.2">
      <c r="A4581" s="288"/>
      <c r="B4581" s="494"/>
      <c r="C4581" s="1170" t="s">
        <v>1294</v>
      </c>
      <c r="D4581" s="417">
        <v>48</v>
      </c>
      <c r="E4581" s="314" t="s">
        <v>518</v>
      </c>
      <c r="F4581" s="418">
        <v>8</v>
      </c>
      <c r="G4581" s="417">
        <v>49</v>
      </c>
      <c r="H4581" s="314" t="s">
        <v>518</v>
      </c>
      <c r="I4581" s="418">
        <v>13</v>
      </c>
      <c r="J4581" s="1109"/>
      <c r="K4581" s="421">
        <f t="shared" si="1278"/>
        <v>25</v>
      </c>
      <c r="L4581" s="501"/>
      <c r="M4581" s="760"/>
      <c r="N4581" s="761"/>
      <c r="O4581" s="826">
        <v>271.70999999999998</v>
      </c>
      <c r="P4581" s="318">
        <v>1.8859999999999999</v>
      </c>
      <c r="Q4581" s="315">
        <v>1.84</v>
      </c>
      <c r="R4581" s="1111">
        <f t="shared" si="1279"/>
        <v>942.89891039999986</v>
      </c>
      <c r="S4581" s="331" t="s">
        <v>704</v>
      </c>
      <c r="T4581" s="506">
        <v>42</v>
      </c>
      <c r="U4581" s="321" t="s">
        <v>840</v>
      </c>
      <c r="V4581" s="291">
        <f t="shared" ca="1" si="1267"/>
        <v>16609.370999999985</v>
      </c>
      <c r="W4581" s="256">
        <f t="shared" ca="1" si="1282"/>
        <v>2</v>
      </c>
      <c r="X4581" s="256">
        <f ca="1">IF(COUNTA(OFFSET(#REF!,1,0))-COUNTA(#REF!)=-1,0,1)</f>
        <v>1</v>
      </c>
      <c r="Y4581" s="249"/>
      <c r="Z4581" s="249"/>
    </row>
    <row r="4582" spans="1:29" s="595" customFormat="1" ht="15.75" x14ac:dyDescent="0.2">
      <c r="A4582" s="288"/>
      <c r="B4582" s="494"/>
      <c r="C4582" s="1170" t="s">
        <v>1294</v>
      </c>
      <c r="D4582" s="417">
        <v>45</v>
      </c>
      <c r="E4582" s="314" t="s">
        <v>518</v>
      </c>
      <c r="F4582" s="418">
        <v>6</v>
      </c>
      <c r="G4582" s="417">
        <v>48</v>
      </c>
      <c r="H4582" s="314" t="s">
        <v>518</v>
      </c>
      <c r="I4582" s="418">
        <v>8</v>
      </c>
      <c r="J4582" s="1109"/>
      <c r="K4582" s="421">
        <f t="shared" si="1278"/>
        <v>62</v>
      </c>
      <c r="L4582" s="501"/>
      <c r="M4582" s="760"/>
      <c r="N4582" s="761"/>
      <c r="O4582" s="1044">
        <v>251.56100000000001</v>
      </c>
      <c r="P4582" s="318">
        <v>1.8859999999999999</v>
      </c>
      <c r="Q4582" s="315">
        <v>1.84</v>
      </c>
      <c r="R4582" s="1111">
        <f t="shared" si="1279"/>
        <v>872.97704464000003</v>
      </c>
      <c r="S4582" s="331" t="s">
        <v>704</v>
      </c>
      <c r="T4582" s="506">
        <v>42</v>
      </c>
      <c r="U4582" s="321" t="s">
        <v>840</v>
      </c>
      <c r="V4582" s="291">
        <f t="shared" ca="1" si="1267"/>
        <v>16609.370999999985</v>
      </c>
      <c r="W4582" s="256">
        <f t="shared" ca="1" si="1282"/>
        <v>2</v>
      </c>
      <c r="X4582" s="256">
        <f ca="1">IF(COUNTA(OFFSET(#REF!,1,0))-COUNTA(#REF!)=-1,0,1)</f>
        <v>1</v>
      </c>
      <c r="Y4582" s="249"/>
      <c r="Z4582" s="249"/>
    </row>
    <row r="4583" spans="1:29" s="595" customFormat="1" ht="15.75" x14ac:dyDescent="0.2">
      <c r="A4583" s="288"/>
      <c r="B4583" s="494"/>
      <c r="C4583" s="1170" t="s">
        <v>1294</v>
      </c>
      <c r="D4583" s="419">
        <v>39</v>
      </c>
      <c r="E4583" s="316" t="s">
        <v>518</v>
      </c>
      <c r="F4583" s="420">
        <v>2</v>
      </c>
      <c r="G4583" s="419">
        <v>45</v>
      </c>
      <c r="H4583" s="316" t="s">
        <v>518</v>
      </c>
      <c r="I4583" s="420">
        <v>6</v>
      </c>
      <c r="J4583" s="1109"/>
      <c r="K4583" s="421">
        <f t="shared" si="1278"/>
        <v>124</v>
      </c>
      <c r="L4583" s="501"/>
      <c r="M4583" s="760"/>
      <c r="N4583" s="761"/>
      <c r="O4583" s="1044">
        <v>662.13199999999995</v>
      </c>
      <c r="P4583" s="565">
        <v>1.8859999999999999</v>
      </c>
      <c r="Q4583" s="752">
        <v>1.84</v>
      </c>
      <c r="R4583" s="1111">
        <f t="shared" si="1279"/>
        <v>2297.7569516799999</v>
      </c>
      <c r="S4583" s="331" t="s">
        <v>704</v>
      </c>
      <c r="T4583" s="506">
        <v>44</v>
      </c>
      <c r="U4583" s="321" t="s">
        <v>840</v>
      </c>
      <c r="V4583" s="291">
        <f t="shared" ca="1" si="1267"/>
        <v>16609.370999999985</v>
      </c>
      <c r="W4583" s="256">
        <f t="shared" ca="1" si="1282"/>
        <v>2</v>
      </c>
      <c r="X4583" s="256">
        <f ca="1">IF(COUNTA(OFFSET(#REF!,1,0))-COUNTA(#REF!)=-1,0,1)</f>
        <v>1</v>
      </c>
      <c r="Y4583" s="249"/>
      <c r="Z4583" s="249"/>
    </row>
    <row r="4584" spans="1:29" s="595" customFormat="1" ht="15.75" x14ac:dyDescent="0.2">
      <c r="A4584" s="288"/>
      <c r="B4584" s="494"/>
      <c r="C4584" s="1170"/>
      <c r="D4584" s="551"/>
      <c r="E4584" s="552"/>
      <c r="F4584" s="553"/>
      <c r="G4584" s="551"/>
      <c r="H4584" s="552"/>
      <c r="I4584" s="553"/>
      <c r="J4584" s="1109"/>
      <c r="K4584" s="500"/>
      <c r="L4584" s="501"/>
      <c r="M4584" s="760"/>
      <c r="N4584" s="761"/>
      <c r="O4584" s="1044"/>
      <c r="P4584" s="565"/>
      <c r="Q4584" s="752"/>
      <c r="R4584" s="1111"/>
      <c r="S4584" s="505"/>
      <c r="T4584" s="506"/>
      <c r="U4584" s="568"/>
      <c r="V4584" s="291">
        <f t="shared" ca="1" si="1267"/>
        <v>16609.370999999985</v>
      </c>
      <c r="W4584" s="256">
        <f t="shared" ref="W4584:W4588" ca="1" si="1283">IF(LEFT(_xlfn.FORMULATEXT(V4584),3)="=SO",1,IF(COUNTA(A4584:U4584)=0,0,2))</f>
        <v>0</v>
      </c>
      <c r="X4584" s="256">
        <f ca="1">IF(COUNTA(OFFSET(#REF!,1,0))-COUNTA(#REF!)=-1,0,1)</f>
        <v>1</v>
      </c>
      <c r="Y4584" s="249"/>
      <c r="Z4584" s="249"/>
    </row>
    <row r="4585" spans="1:29" s="595" customFormat="1" ht="15" x14ac:dyDescent="0.2">
      <c r="A4585" s="288"/>
      <c r="B4585" s="494"/>
      <c r="C4585" s="339"/>
      <c r="D4585" s="1348"/>
      <c r="E4585" s="1349"/>
      <c r="F4585" s="1350"/>
      <c r="G4585" s="1351"/>
      <c r="H4585" s="1352"/>
      <c r="I4585" s="1353"/>
      <c r="J4585" s="343"/>
      <c r="K4585" s="344"/>
      <c r="L4585" s="345"/>
      <c r="M4585" s="346"/>
      <c r="N4585" s="347"/>
      <c r="O4585" s="348"/>
      <c r="P4585" s="345"/>
      <c r="Q4585" s="349"/>
      <c r="R4585" s="350"/>
      <c r="S4585" s="351"/>
      <c r="T4585" s="352"/>
      <c r="U4585" s="353"/>
      <c r="V4585" s="291">
        <f t="shared" ca="1" si="1267"/>
        <v>16609.370999999985</v>
      </c>
      <c r="W4585" s="256">
        <f t="shared" ca="1" si="1283"/>
        <v>0</v>
      </c>
      <c r="X4585" s="256">
        <f ca="1">IF(COUNTA(OFFSET(#REF!,1,0))-COUNTA(#REF!)=-1,0,1)</f>
        <v>1</v>
      </c>
      <c r="Y4585" s="249"/>
      <c r="Z4585" s="249"/>
    </row>
    <row r="4586" spans="1:29" s="111" customFormat="1" ht="15" x14ac:dyDescent="0.2">
      <c r="A4586" s="288"/>
      <c r="B4586" s="338"/>
      <c r="C4586" s="339"/>
      <c r="D4586" s="1348"/>
      <c r="E4586" s="1349"/>
      <c r="F4586" s="1350"/>
      <c r="G4586" s="1351"/>
      <c r="H4586" s="1352"/>
      <c r="I4586" s="1353"/>
      <c r="J4586" s="343"/>
      <c r="K4586" s="344"/>
      <c r="L4586" s="345"/>
      <c r="M4586" s="346"/>
      <c r="N4586" s="347"/>
      <c r="O4586" s="348"/>
      <c r="P4586" s="345"/>
      <c r="Q4586" s="349"/>
      <c r="R4586" s="350"/>
      <c r="S4586" s="351"/>
      <c r="T4586" s="352"/>
      <c r="U4586" s="353"/>
      <c r="V4586" s="291">
        <f t="shared" ca="1" si="1267"/>
        <v>16609.370999999985</v>
      </c>
      <c r="W4586" s="256">
        <f t="shared" ca="1" si="1283"/>
        <v>0</v>
      </c>
      <c r="X4586" s="256">
        <f ca="1">IF(COUNTA(OFFSET(#REF!,1,0))-COUNTA(#REF!)=-1,0,1)</f>
        <v>1</v>
      </c>
      <c r="Y4586" s="250"/>
      <c r="Z4586" s="250"/>
    </row>
    <row r="4587" spans="1:29" s="111" customFormat="1" ht="15.75" x14ac:dyDescent="0.2">
      <c r="A4587" s="288"/>
      <c r="B4587" s="354"/>
      <c r="C4587" s="355"/>
      <c r="D4587" s="1354" t="s">
        <v>492</v>
      </c>
      <c r="E4587" s="1355"/>
      <c r="F4587" s="1355"/>
      <c r="G4587" s="1355"/>
      <c r="H4587" s="1355"/>
      <c r="I4587" s="1356"/>
      <c r="J4587" s="1357">
        <f>VLOOKUP(A4589,'11 - FINANCEIRO'!_xlnm.Print_Area,6,FALSE)</f>
        <v>516479.09</v>
      </c>
      <c r="K4587" s="1358"/>
      <c r="L4587" s="356" t="str">
        <f>VLOOKUP(A4589,'11 - FINANCEIRO'!_xlnm.Print_Area,4,FALSE)</f>
        <v>TXKM</v>
      </c>
      <c r="M4587" s="1359" t="s">
        <v>493</v>
      </c>
      <c r="N4587" s="1360"/>
      <c r="O4587" s="1360"/>
      <c r="P4587" s="1360"/>
      <c r="Q4587" s="1361"/>
      <c r="R4587" s="357">
        <f>TRUNC(SUM(R4557:R4586),3)</f>
        <v>281493.49400000001</v>
      </c>
      <c r="S4587" s="358" t="str">
        <f>L4587</f>
        <v>TXKM</v>
      </c>
      <c r="T4587" s="1384"/>
      <c r="U4587" s="1385"/>
      <c r="V4587" s="291">
        <f t="shared" ca="1" si="1267"/>
        <v>16609.370999999985</v>
      </c>
      <c r="W4587" s="256">
        <f t="shared" ca="1" si="1283"/>
        <v>2</v>
      </c>
      <c r="X4587" s="256">
        <f ca="1">IF(COUNTA(OFFSET(#REF!,1,0))-COUNTA(#REF!)=-1,0,1)</f>
        <v>1</v>
      </c>
      <c r="Y4587" s="250"/>
      <c r="Z4587" s="250"/>
    </row>
    <row r="4588" spans="1:29" s="111" customFormat="1" ht="15.75" x14ac:dyDescent="0.2">
      <c r="A4588" s="288"/>
      <c r="B4588" s="354"/>
      <c r="C4588" s="361"/>
      <c r="D4588" s="1362" t="s">
        <v>494</v>
      </c>
      <c r="E4588" s="1363"/>
      <c r="F4588" s="1363"/>
      <c r="G4588" s="1363"/>
      <c r="H4588" s="1363"/>
      <c r="I4588" s="1364"/>
      <c r="J4588" s="1365">
        <f>IF(R4587&gt;J4587,1,R4587/J4587)</f>
        <v>0.54502398925772577</v>
      </c>
      <c r="K4588" s="1366"/>
      <c r="L4588" s="1369"/>
      <c r="M4588" s="1371" t="s">
        <v>495</v>
      </c>
      <c r="N4588" s="1372"/>
      <c r="O4588" s="1372"/>
      <c r="P4588" s="1372"/>
      <c r="Q4588" s="1373"/>
      <c r="R4588" s="362">
        <f>VLOOKUP(A4589,'11 - FINANCEIRO'!_xlnm.Print_Area,8,FALSE)</f>
        <v>264884.12300000002</v>
      </c>
      <c r="S4588" s="363" t="str">
        <f>L4587</f>
        <v>TXKM</v>
      </c>
      <c r="T4588" s="1386"/>
      <c r="U4588" s="1387"/>
      <c r="V4588" s="291">
        <f t="shared" ca="1" si="1267"/>
        <v>16609.370999999985</v>
      </c>
      <c r="W4588" s="256">
        <f t="shared" ca="1" si="1283"/>
        <v>2</v>
      </c>
      <c r="X4588" s="256">
        <f ca="1">IF(COUNTA(OFFSET(#REF!,1,0))-COUNTA(#REF!)=-1,0,1)</f>
        <v>1</v>
      </c>
      <c r="Y4588" s="250"/>
      <c r="Z4588" s="250"/>
    </row>
    <row r="4589" spans="1:29" s="293" customFormat="1" ht="15.75" x14ac:dyDescent="0.2">
      <c r="A4589" s="288" t="s">
        <v>739</v>
      </c>
      <c r="B4589" s="364"/>
      <c r="C4589" s="365"/>
      <c r="D4589" s="1354"/>
      <c r="E4589" s="1355"/>
      <c r="F4589" s="1355"/>
      <c r="G4589" s="1355"/>
      <c r="H4589" s="1355"/>
      <c r="I4589" s="1356"/>
      <c r="J4589" s="1367"/>
      <c r="K4589" s="1368"/>
      <c r="L4589" s="1370"/>
      <c r="M4589" s="1371" t="s">
        <v>496</v>
      </c>
      <c r="N4589" s="1372"/>
      <c r="O4589" s="1372"/>
      <c r="P4589" s="1372"/>
      <c r="Q4589" s="1373"/>
      <c r="R4589" s="362">
        <f>R4587-R4588</f>
        <v>16609.370999999985</v>
      </c>
      <c r="S4589" s="363" t="str">
        <f>L4587</f>
        <v>TXKM</v>
      </c>
      <c r="T4589" s="1388"/>
      <c r="U4589" s="1389"/>
      <c r="V4589" s="291">
        <f t="shared" ca="1" si="1267"/>
        <v>16609.370999999985</v>
      </c>
      <c r="W4589" s="256">
        <f t="shared" ref="W4589:W4594" ca="1" si="1284">IF(LEFT(_xlfn.FORMULATEXT(V4589),3)="=SO",1,IF(COUNTA(A4589:U4589)=0,0,2))</f>
        <v>2</v>
      </c>
      <c r="X4589" s="256">
        <f t="shared" ref="X4589:X4593" ca="1" si="1285">IF(COUNTA(OFFSET(A4588,1,0))-COUNTA(A4588)=-1,0,1)</f>
        <v>1</v>
      </c>
      <c r="Y4589" s="256"/>
      <c r="Z4589" s="256"/>
      <c r="AA4589" s="292"/>
      <c r="AB4589" s="292"/>
      <c r="AC4589" s="292"/>
    </row>
    <row r="4590" spans="1:29" s="111" customFormat="1" ht="15.75" x14ac:dyDescent="0.2">
      <c r="A4590" s="288"/>
      <c r="B4590" s="368"/>
      <c r="C4590" s="365"/>
      <c r="D4590" s="369"/>
      <c r="E4590" s="370"/>
      <c r="F4590" s="369"/>
      <c r="G4590" s="369"/>
      <c r="H4590" s="369"/>
      <c r="I4590" s="369"/>
      <c r="J4590" s="371"/>
      <c r="K4590" s="372"/>
      <c r="L4590" s="373"/>
      <c r="M4590" s="374"/>
      <c r="N4590" s="374"/>
      <c r="O4590" s="374"/>
      <c r="P4590" s="374"/>
      <c r="Q4590" s="374"/>
      <c r="R4590" s="375"/>
      <c r="S4590" s="376"/>
      <c r="T4590" s="377"/>
      <c r="U4590" s="378"/>
      <c r="V4590" s="379">
        <f ca="1">SUM(V4555:V4589)</f>
        <v>581327.98499999964</v>
      </c>
      <c r="W4590" s="256">
        <f t="shared" ca="1" si="1284"/>
        <v>1</v>
      </c>
      <c r="X4590" s="256">
        <f t="shared" ca="1" si="1285"/>
        <v>0</v>
      </c>
      <c r="Y4590" s="250"/>
      <c r="Z4590" s="250"/>
    </row>
    <row r="4591" spans="1:29" s="293" customFormat="1" ht="33" customHeight="1" x14ac:dyDescent="0.2">
      <c r="A4591" s="288"/>
      <c r="B4591" s="1374" t="str">
        <f>VLOOKUP(A4602,'11 - FINANCEIRO'!_xlnm.Print_Area,1,FALSE)</f>
        <v>6.1.15</v>
      </c>
      <c r="C4591" s="1376" t="str">
        <f>VLOOKUP(A4602,'11 - FINANCEIRO'!_xlnm.Print_Area,3,FALSE)</f>
        <v>Poda em altura de árvore com diâmetro de tronco maior ou igual a 0,60 m.af_05/2018</v>
      </c>
      <c r="D4591" s="1378" t="s">
        <v>500</v>
      </c>
      <c r="E4591" s="1379"/>
      <c r="F4591" s="1379"/>
      <c r="G4591" s="1379"/>
      <c r="H4591" s="1379"/>
      <c r="I4591" s="1380"/>
      <c r="J4591" s="1338" t="s">
        <v>478</v>
      </c>
      <c r="K4591" s="1338" t="s">
        <v>479</v>
      </c>
      <c r="L4591" s="1338" t="s">
        <v>480</v>
      </c>
      <c r="M4591" s="1338" t="s">
        <v>481</v>
      </c>
      <c r="N4591" s="1338" t="s">
        <v>482</v>
      </c>
      <c r="O4591" s="1338" t="s">
        <v>483</v>
      </c>
      <c r="P4591" s="1338" t="s">
        <v>484</v>
      </c>
      <c r="Q4591" s="1338" t="s">
        <v>296</v>
      </c>
      <c r="R4591" s="1336" t="s">
        <v>296</v>
      </c>
      <c r="S4591" s="1338" t="s">
        <v>486</v>
      </c>
      <c r="T4591" s="1338" t="s">
        <v>487</v>
      </c>
      <c r="U4591" s="1340" t="s">
        <v>488</v>
      </c>
      <c r="V4591" s="291">
        <f t="shared" ca="1" si="1267"/>
        <v>68</v>
      </c>
      <c r="W4591" s="256">
        <f t="shared" ca="1" si="1284"/>
        <v>2</v>
      </c>
      <c r="X4591" s="256">
        <f t="shared" ca="1" si="1285"/>
        <v>1</v>
      </c>
      <c r="Y4591" s="256"/>
      <c r="Z4591" s="256"/>
      <c r="AA4591" s="292"/>
      <c r="AB4591" s="292"/>
      <c r="AC4591" s="292"/>
    </row>
    <row r="4592" spans="1:29" s="293" customFormat="1" ht="33" customHeight="1" x14ac:dyDescent="0.2">
      <c r="A4592" s="288"/>
      <c r="B4592" s="1375"/>
      <c r="C4592" s="1377"/>
      <c r="D4592" s="1342" t="s">
        <v>489</v>
      </c>
      <c r="E4592" s="1343"/>
      <c r="F4592" s="1344"/>
      <c r="G4592" s="1345" t="s">
        <v>490</v>
      </c>
      <c r="H4592" s="1346"/>
      <c r="I4592" s="1347"/>
      <c r="J4592" s="1339"/>
      <c r="K4592" s="1339"/>
      <c r="L4592" s="1339"/>
      <c r="M4592" s="1339"/>
      <c r="N4592" s="1339"/>
      <c r="O4592" s="1339"/>
      <c r="P4592" s="1339" t="s">
        <v>491</v>
      </c>
      <c r="Q4592" s="1339"/>
      <c r="R4592" s="1337"/>
      <c r="S4592" s="1339"/>
      <c r="T4592" s="1339"/>
      <c r="U4592" s="1341"/>
      <c r="V4592" s="291">
        <f t="shared" ca="1" si="1267"/>
        <v>68</v>
      </c>
      <c r="W4592" s="256">
        <f t="shared" ca="1" si="1284"/>
        <v>2</v>
      </c>
      <c r="X4592" s="256">
        <f t="shared" ca="1" si="1285"/>
        <v>1</v>
      </c>
      <c r="Y4592" s="256"/>
      <c r="Z4592" s="256"/>
      <c r="AA4592" s="292"/>
      <c r="AB4592" s="292"/>
      <c r="AC4592" s="292"/>
    </row>
    <row r="4593" spans="1:29" s="293" customFormat="1" ht="15.75" x14ac:dyDescent="0.2">
      <c r="A4593" s="288"/>
      <c r="B4593" s="296"/>
      <c r="C4593" s="297" t="s">
        <v>883</v>
      </c>
      <c r="D4593" s="417">
        <v>5</v>
      </c>
      <c r="E4593" s="314" t="s">
        <v>518</v>
      </c>
      <c r="F4593" s="418">
        <v>14.9</v>
      </c>
      <c r="G4593" s="419">
        <v>22</v>
      </c>
      <c r="H4593" s="316" t="s">
        <v>518</v>
      </c>
      <c r="I4593" s="420">
        <v>5</v>
      </c>
      <c r="J4593" s="304"/>
      <c r="K4593" s="747">
        <f>ABS((G4593*20+I4593)-(D4593*20+F4593))</f>
        <v>330.1</v>
      </c>
      <c r="L4593" s="304"/>
      <c r="M4593" s="304"/>
      <c r="N4593" s="304"/>
      <c r="O4593" s="304"/>
      <c r="P4593" s="306"/>
      <c r="Q4593" s="304">
        <v>30</v>
      </c>
      <c r="R4593" s="307">
        <v>30</v>
      </c>
      <c r="S4593" s="308" t="str">
        <f>S4600</f>
        <v>und</v>
      </c>
      <c r="T4593" s="309">
        <v>19</v>
      </c>
      <c r="U4593" s="310"/>
      <c r="V4593" s="291">
        <f t="shared" ca="1" si="1267"/>
        <v>68</v>
      </c>
      <c r="W4593" s="256">
        <f t="shared" ca="1" si="1284"/>
        <v>2</v>
      </c>
      <c r="X4593" s="256">
        <f t="shared" ca="1" si="1285"/>
        <v>1</v>
      </c>
      <c r="Y4593" s="256"/>
      <c r="Z4593" s="256"/>
      <c r="AA4593" s="292"/>
      <c r="AB4593" s="292"/>
      <c r="AC4593" s="292"/>
    </row>
    <row r="4594" spans="1:29" s="337" customFormat="1" ht="15.75" x14ac:dyDescent="0.2">
      <c r="A4594" s="288"/>
      <c r="B4594" s="311"/>
      <c r="C4594" s="312" t="s">
        <v>884</v>
      </c>
      <c r="D4594" s="417">
        <v>22</v>
      </c>
      <c r="E4594" s="314" t="s">
        <v>518</v>
      </c>
      <c r="F4594" s="418">
        <v>5</v>
      </c>
      <c r="G4594" s="417">
        <v>30</v>
      </c>
      <c r="H4594" s="314" t="s">
        <v>518</v>
      </c>
      <c r="I4594" s="418">
        <v>0</v>
      </c>
      <c r="J4594" s="317"/>
      <c r="K4594" s="421">
        <f>ABS((G4594*20+I4594)-(D4594*20+F4594))</f>
        <v>155</v>
      </c>
      <c r="L4594" s="317"/>
      <c r="M4594" s="315"/>
      <c r="N4594" s="314"/>
      <c r="O4594" s="313"/>
      <c r="P4594" s="318"/>
      <c r="Q4594" s="315">
        <v>42</v>
      </c>
      <c r="R4594" s="319">
        <v>42</v>
      </c>
      <c r="S4594" s="331" t="str">
        <f>S4601</f>
        <v>und</v>
      </c>
      <c r="T4594" s="320">
        <v>19</v>
      </c>
      <c r="U4594" s="321"/>
      <c r="V4594" s="291">
        <f t="shared" ca="1" si="1267"/>
        <v>68</v>
      </c>
      <c r="W4594" s="256">
        <f t="shared" ca="1" si="1284"/>
        <v>2</v>
      </c>
      <c r="X4594" s="256">
        <f ca="1">IF(COUNTA(OFFSET(#REF!,1,0))-COUNTA(#REF!)=-1,0,1)</f>
        <v>1</v>
      </c>
      <c r="Y4594" s="336"/>
      <c r="Z4594" s="336"/>
    </row>
    <row r="4595" spans="1:29" s="337" customFormat="1" ht="15.75" x14ac:dyDescent="0.2">
      <c r="A4595" s="288"/>
      <c r="B4595" s="494"/>
      <c r="C4595" s="312" t="s">
        <v>885</v>
      </c>
      <c r="D4595" s="417">
        <v>99</v>
      </c>
      <c r="E4595" s="314" t="s">
        <v>518</v>
      </c>
      <c r="F4595" s="418">
        <v>6.4</v>
      </c>
      <c r="G4595" s="417">
        <v>70</v>
      </c>
      <c r="H4595" s="314" t="s">
        <v>518</v>
      </c>
      <c r="I4595" s="418">
        <v>0</v>
      </c>
      <c r="J4595" s="317"/>
      <c r="K4595" s="421">
        <f>ABS((G4595*20+I4595)-(D4595*20+F4595))</f>
        <v>586.40000000000009</v>
      </c>
      <c r="L4595" s="501"/>
      <c r="M4595" s="760"/>
      <c r="N4595" s="761"/>
      <c r="O4595" s="505"/>
      <c r="P4595" s="501"/>
      <c r="Q4595" s="315">
        <v>44</v>
      </c>
      <c r="R4595" s="504">
        <v>44</v>
      </c>
      <c r="S4595" s="505" t="s">
        <v>486</v>
      </c>
      <c r="T4595" s="506">
        <v>32</v>
      </c>
      <c r="U4595" s="321"/>
      <c r="V4595" s="291">
        <f t="shared" ca="1" si="1267"/>
        <v>68</v>
      </c>
      <c r="W4595" s="256">
        <f t="shared" ref="W4595:W4596" ca="1" si="1286">IF(LEFT(_xlfn.FORMULATEXT(V4595),3)="=SO",1,IF(COUNTA(A4595:U4595)=0,0,2))</f>
        <v>2</v>
      </c>
      <c r="X4595" s="256">
        <f ca="1">IF(COUNTA(OFFSET(#REF!,1,0))-COUNTA(#REF!)=-1,0,1)</f>
        <v>1</v>
      </c>
      <c r="Y4595" s="336"/>
      <c r="Z4595" s="336"/>
    </row>
    <row r="4596" spans="1:29" s="337" customFormat="1" ht="15.75" x14ac:dyDescent="0.2">
      <c r="A4596" s="288"/>
      <c r="B4596" s="494"/>
      <c r="C4596" s="312" t="s">
        <v>1371</v>
      </c>
      <c r="D4596" s="417">
        <v>0</v>
      </c>
      <c r="E4596" s="314" t="s">
        <v>518</v>
      </c>
      <c r="F4596" s="418">
        <v>0</v>
      </c>
      <c r="G4596" s="417">
        <v>5</v>
      </c>
      <c r="H4596" s="314" t="s">
        <v>518</v>
      </c>
      <c r="I4596" s="418">
        <v>14.9</v>
      </c>
      <c r="J4596" s="317"/>
      <c r="K4596" s="421">
        <f>ABS((G4596*20+I4596)-(D4596*20+F4596))</f>
        <v>114.9</v>
      </c>
      <c r="L4596" s="501"/>
      <c r="M4596" s="760"/>
      <c r="N4596" s="761"/>
      <c r="O4596" s="505"/>
      <c r="P4596" s="501"/>
      <c r="Q4596" s="315">
        <v>8</v>
      </c>
      <c r="R4596" s="1111">
        <f t="shared" ref="R4596:R4597" si="1287">Q4596</f>
        <v>8</v>
      </c>
      <c r="S4596" s="331" t="s">
        <v>305</v>
      </c>
      <c r="T4596" s="506">
        <v>44</v>
      </c>
      <c r="U4596" s="568"/>
      <c r="V4596" s="291">
        <f t="shared" ca="1" si="1267"/>
        <v>68</v>
      </c>
      <c r="W4596" s="256">
        <f t="shared" ca="1" si="1286"/>
        <v>2</v>
      </c>
      <c r="X4596" s="256">
        <f ca="1">IF(COUNTA(OFFSET(#REF!,1,0))-COUNTA(#REF!)=-1,0,1)</f>
        <v>1</v>
      </c>
      <c r="Y4596" s="336"/>
      <c r="Z4596" s="336"/>
    </row>
    <row r="4597" spans="1:29" s="337" customFormat="1" ht="15.75" x14ac:dyDescent="0.2">
      <c r="A4597" s="288"/>
      <c r="B4597" s="494"/>
      <c r="C4597" s="312" t="s">
        <v>1371</v>
      </c>
      <c r="D4597" s="417">
        <v>31</v>
      </c>
      <c r="E4597" s="314" t="s">
        <v>518</v>
      </c>
      <c r="F4597" s="418">
        <v>10</v>
      </c>
      <c r="G4597" s="417">
        <v>80</v>
      </c>
      <c r="H4597" s="314" t="s">
        <v>518</v>
      </c>
      <c r="I4597" s="418">
        <v>0</v>
      </c>
      <c r="J4597" s="317"/>
      <c r="K4597" s="421">
        <f>ABS((G4597*20+I4597)-(D4597*20+F4597))</f>
        <v>970</v>
      </c>
      <c r="L4597" s="501"/>
      <c r="M4597" s="760"/>
      <c r="N4597" s="761"/>
      <c r="O4597" s="505"/>
      <c r="P4597" s="501"/>
      <c r="Q4597" s="315">
        <v>60</v>
      </c>
      <c r="R4597" s="1111">
        <f t="shared" si="1287"/>
        <v>60</v>
      </c>
      <c r="S4597" s="331" t="s">
        <v>305</v>
      </c>
      <c r="T4597" s="506">
        <v>44</v>
      </c>
      <c r="U4597" s="568"/>
      <c r="V4597" s="291">
        <f t="shared" ca="1" si="1267"/>
        <v>68</v>
      </c>
      <c r="W4597" s="256">
        <f t="shared" ref="W4597:W4601" ca="1" si="1288">IF(LEFT(_xlfn.FORMULATEXT(V4597),3)="=SO",1,IF(COUNTA(A4597:U4597)=0,0,2))</f>
        <v>2</v>
      </c>
      <c r="X4597" s="256">
        <f ca="1">IF(COUNTA(OFFSET(#REF!,1,0))-COUNTA(#REF!)=-1,0,1)</f>
        <v>1</v>
      </c>
      <c r="Y4597" s="336"/>
      <c r="Z4597" s="336"/>
    </row>
    <row r="4598" spans="1:29" s="337" customFormat="1" ht="15.75" x14ac:dyDescent="0.2">
      <c r="A4598" s="288"/>
      <c r="B4598" s="494"/>
      <c r="C4598" s="495"/>
      <c r="D4598" s="551"/>
      <c r="E4598" s="552"/>
      <c r="F4598" s="553"/>
      <c r="G4598" s="551"/>
      <c r="H4598" s="552"/>
      <c r="I4598" s="553"/>
      <c r="J4598" s="1109"/>
      <c r="K4598" s="500"/>
      <c r="L4598" s="501"/>
      <c r="M4598" s="760"/>
      <c r="N4598" s="761"/>
      <c r="O4598" s="505"/>
      <c r="P4598" s="501"/>
      <c r="Q4598" s="752"/>
      <c r="R4598" s="1111"/>
      <c r="S4598" s="505"/>
      <c r="T4598" s="506"/>
      <c r="U4598" s="568"/>
      <c r="V4598" s="291">
        <f t="shared" ca="1" si="1267"/>
        <v>68</v>
      </c>
      <c r="W4598" s="256">
        <f t="shared" ca="1" si="1288"/>
        <v>0</v>
      </c>
      <c r="X4598" s="256">
        <f ca="1">IF(COUNTA(OFFSET(#REF!,1,0))-COUNTA(#REF!)=-1,0,1)</f>
        <v>1</v>
      </c>
      <c r="Y4598" s="336"/>
      <c r="Z4598" s="336"/>
    </row>
    <row r="4599" spans="1:29" s="111" customFormat="1" ht="15" x14ac:dyDescent="0.2">
      <c r="A4599" s="288"/>
      <c r="B4599" s="338"/>
      <c r="C4599" s="339"/>
      <c r="D4599" s="1348"/>
      <c r="E4599" s="1349"/>
      <c r="F4599" s="1350"/>
      <c r="G4599" s="1351"/>
      <c r="H4599" s="1352"/>
      <c r="I4599" s="1353"/>
      <c r="J4599" s="343"/>
      <c r="K4599" s="344"/>
      <c r="L4599" s="345"/>
      <c r="M4599" s="346"/>
      <c r="N4599" s="347"/>
      <c r="O4599" s="348"/>
      <c r="P4599" s="345"/>
      <c r="Q4599" s="349"/>
      <c r="R4599" s="350"/>
      <c r="S4599" s="351"/>
      <c r="T4599" s="352"/>
      <c r="U4599" s="353"/>
      <c r="V4599" s="291">
        <f t="shared" ca="1" si="1267"/>
        <v>68</v>
      </c>
      <c r="W4599" s="256">
        <f t="shared" ca="1" si="1288"/>
        <v>0</v>
      </c>
      <c r="X4599" s="256">
        <f ca="1">IF(COUNTA(OFFSET(#REF!,1,0))-COUNTA(#REF!)=-1,0,1)</f>
        <v>1</v>
      </c>
      <c r="Y4599" s="250"/>
      <c r="Z4599" s="250"/>
    </row>
    <row r="4600" spans="1:29" s="111" customFormat="1" ht="15.75" x14ac:dyDescent="0.2">
      <c r="A4600" s="288"/>
      <c r="B4600" s="354"/>
      <c r="C4600" s="355"/>
      <c r="D4600" s="1354" t="s">
        <v>492</v>
      </c>
      <c r="E4600" s="1355"/>
      <c r="F4600" s="1355"/>
      <c r="G4600" s="1355"/>
      <c r="H4600" s="1355"/>
      <c r="I4600" s="1356"/>
      <c r="J4600" s="1357">
        <f>VLOOKUP(A4602,'11 - FINANCEIRO'!_xlnm.Print_Area,6,FALSE)</f>
        <v>234</v>
      </c>
      <c r="K4600" s="1358"/>
      <c r="L4600" s="356" t="str">
        <f>VLOOKUP(A4602,'11 - FINANCEIRO'!_xlnm.Print_Area,4,FALSE)</f>
        <v>und</v>
      </c>
      <c r="M4600" s="1359" t="s">
        <v>493</v>
      </c>
      <c r="N4600" s="1360"/>
      <c r="O4600" s="1360"/>
      <c r="P4600" s="1360"/>
      <c r="Q4600" s="1361"/>
      <c r="R4600" s="357">
        <f>TRUNC(SUM(R4593:R4599),3)</f>
        <v>184</v>
      </c>
      <c r="S4600" s="358" t="str">
        <f>L4600</f>
        <v>und</v>
      </c>
      <c r="T4600" s="359"/>
      <c r="U4600" s="360"/>
      <c r="V4600" s="291">
        <f t="shared" ca="1" si="1267"/>
        <v>68</v>
      </c>
      <c r="W4600" s="256">
        <f t="shared" ca="1" si="1288"/>
        <v>2</v>
      </c>
      <c r="X4600" s="256">
        <f ca="1">IF(COUNTA(OFFSET(#REF!,1,0))-COUNTA(#REF!)=-1,0,1)</f>
        <v>1</v>
      </c>
      <c r="Y4600" s="250"/>
      <c r="Z4600" s="250"/>
    </row>
    <row r="4601" spans="1:29" s="111" customFormat="1" ht="15.75" x14ac:dyDescent="0.2">
      <c r="A4601" s="288"/>
      <c r="B4601" s="354"/>
      <c r="C4601" s="361"/>
      <c r="D4601" s="1362" t="s">
        <v>494</v>
      </c>
      <c r="E4601" s="1363"/>
      <c r="F4601" s="1363"/>
      <c r="G4601" s="1363"/>
      <c r="H4601" s="1363"/>
      <c r="I4601" s="1364"/>
      <c r="J4601" s="1365">
        <f>R4600/J4600</f>
        <v>0.78632478632478631</v>
      </c>
      <c r="K4601" s="1366"/>
      <c r="L4601" s="1369"/>
      <c r="M4601" s="1371" t="s">
        <v>495</v>
      </c>
      <c r="N4601" s="1372"/>
      <c r="O4601" s="1372"/>
      <c r="P4601" s="1372"/>
      <c r="Q4601" s="1373"/>
      <c r="R4601" s="362">
        <f>VLOOKUP(A4602,'11 - FINANCEIRO'!_xlnm.Print_Area,8,FALSE)</f>
        <v>116</v>
      </c>
      <c r="S4601" s="363" t="str">
        <f>L4600</f>
        <v>und</v>
      </c>
      <c r="T4601" s="359"/>
      <c r="U4601" s="829"/>
      <c r="V4601" s="291">
        <f t="shared" ca="1" si="1267"/>
        <v>68</v>
      </c>
      <c r="W4601" s="256">
        <f t="shared" ca="1" si="1288"/>
        <v>2</v>
      </c>
      <c r="X4601" s="256">
        <f ca="1">IF(COUNTA(OFFSET(#REF!,1,0))-COUNTA(#REF!)=-1,0,1)</f>
        <v>1</v>
      </c>
      <c r="Y4601" s="250"/>
      <c r="Z4601" s="250"/>
    </row>
    <row r="4602" spans="1:29" s="293" customFormat="1" ht="15.75" x14ac:dyDescent="0.2">
      <c r="A4602" s="288" t="s">
        <v>740</v>
      </c>
      <c r="B4602" s="364"/>
      <c r="C4602" s="365"/>
      <c r="D4602" s="1354"/>
      <c r="E4602" s="1355"/>
      <c r="F4602" s="1355"/>
      <c r="G4602" s="1355"/>
      <c r="H4602" s="1355"/>
      <c r="I4602" s="1356"/>
      <c r="J4602" s="1367"/>
      <c r="K4602" s="1368"/>
      <c r="L4602" s="1370"/>
      <c r="M4602" s="1371" t="s">
        <v>496</v>
      </c>
      <c r="N4602" s="1372"/>
      <c r="O4602" s="1372"/>
      <c r="P4602" s="1372"/>
      <c r="Q4602" s="1373"/>
      <c r="R4602" s="362">
        <f>R4600-R4601</f>
        <v>68</v>
      </c>
      <c r="S4602" s="363" t="str">
        <f>L4600</f>
        <v>und</v>
      </c>
      <c r="T4602" s="366"/>
      <c r="U4602" s="367"/>
      <c r="V4602" s="291">
        <f ca="1">IF(OFFSET(V4602,1,1)=1,OFFSET(V4602,0,-4),OFFSET(V4602,1,0))</f>
        <v>68</v>
      </c>
      <c r="W4602" s="256">
        <f t="shared" ref="W4602:W4606" ca="1" si="1289">IF(LEFT(_xlfn.FORMULATEXT(V4602),3)="=SO",1,IF(COUNTA(A4602:U4602)=0,0,2))</f>
        <v>2</v>
      </c>
      <c r="X4602" s="256">
        <f t="shared" ref="X4602:X4606" ca="1" si="1290">IF(COUNTA(OFFSET(A4601,1,0))-COUNTA(A4601)=-1,0,1)</f>
        <v>1</v>
      </c>
      <c r="Y4602" s="256"/>
      <c r="Z4602" s="256"/>
      <c r="AA4602" s="292"/>
      <c r="AB4602" s="292"/>
      <c r="AC4602" s="292"/>
    </row>
    <row r="4603" spans="1:29" s="111" customFormat="1" ht="15.75" x14ac:dyDescent="0.2">
      <c r="A4603" s="288"/>
      <c r="B4603" s="368"/>
      <c r="C4603" s="365"/>
      <c r="D4603" s="369"/>
      <c r="E4603" s="370"/>
      <c r="F4603" s="369"/>
      <c r="G4603" s="369"/>
      <c r="H4603" s="369"/>
      <c r="I4603" s="369"/>
      <c r="J4603" s="371"/>
      <c r="K4603" s="372"/>
      <c r="L4603" s="373"/>
      <c r="M4603" s="374"/>
      <c r="N4603" s="374"/>
      <c r="O4603" s="374"/>
      <c r="P4603" s="374"/>
      <c r="Q4603" s="374"/>
      <c r="R4603" s="375"/>
      <c r="S4603" s="376"/>
      <c r="T4603" s="377"/>
      <c r="U4603" s="378"/>
      <c r="V4603" s="379">
        <f ca="1">SUM(V4591:V4602)</f>
        <v>816</v>
      </c>
      <c r="W4603" s="256">
        <f t="shared" ca="1" si="1289"/>
        <v>1</v>
      </c>
      <c r="X4603" s="256">
        <f t="shared" ca="1" si="1290"/>
        <v>0</v>
      </c>
      <c r="Y4603" s="250"/>
      <c r="Z4603" s="250"/>
    </row>
    <row r="4604" spans="1:29" s="293" customFormat="1" ht="33" hidden="1" customHeight="1" x14ac:dyDescent="0.2">
      <c r="A4604" s="288"/>
      <c r="B4604" s="1374" t="str">
        <f>VLOOKUP(A4611,'11 - FINANCEIRO'!_xlnm.Print_Area,1,FALSE)</f>
        <v>6.1.16</v>
      </c>
      <c r="C4604" s="1376" t="str">
        <f>VLOOKUP(A4611,'11 - FINANCEIRO'!_xlnm.Print_Area,3,FALSE)</f>
        <v>Padrão Móvel de entrada de energia trifás., inclusive poste de concreto (3 unds) cabo de ligação até frente de serviço, quadro de distrib., disj. e chave de força (quando necessário), cons. 20m entre padrão entrada e QDG, conf. projeto (02 utilizações).</v>
      </c>
      <c r="D4604" s="1378" t="s">
        <v>500</v>
      </c>
      <c r="E4604" s="1379"/>
      <c r="F4604" s="1379"/>
      <c r="G4604" s="1379"/>
      <c r="H4604" s="1379"/>
      <c r="I4604" s="1380"/>
      <c r="J4604" s="1338" t="s">
        <v>478</v>
      </c>
      <c r="K4604" s="1338" t="s">
        <v>479</v>
      </c>
      <c r="L4604" s="1338" t="s">
        <v>480</v>
      </c>
      <c r="M4604" s="1338" t="s">
        <v>481</v>
      </c>
      <c r="N4604" s="1338" t="s">
        <v>482</v>
      </c>
      <c r="O4604" s="1338" t="s">
        <v>483</v>
      </c>
      <c r="P4604" s="1338" t="s">
        <v>484</v>
      </c>
      <c r="Q4604" s="1338" t="s">
        <v>296</v>
      </c>
      <c r="R4604" s="1336" t="s">
        <v>296</v>
      </c>
      <c r="S4604" s="1338" t="s">
        <v>486</v>
      </c>
      <c r="T4604" s="1338" t="s">
        <v>487</v>
      </c>
      <c r="U4604" s="1340" t="s">
        <v>488</v>
      </c>
      <c r="V4604" s="291">
        <f t="shared" ref="V4604:V4776" ca="1" si="1291">IF(OFFSET(V4604,1,1)=1,OFFSET(V4604,0,-4),OFFSET(V4604,1,0))</f>
        <v>0</v>
      </c>
      <c r="W4604" s="256">
        <f t="shared" ca="1" si="1289"/>
        <v>2</v>
      </c>
      <c r="X4604" s="256">
        <f t="shared" ca="1" si="1290"/>
        <v>1</v>
      </c>
      <c r="Y4604" s="256"/>
      <c r="Z4604" s="256"/>
      <c r="AA4604" s="292"/>
      <c r="AB4604" s="292"/>
      <c r="AC4604" s="292"/>
    </row>
    <row r="4605" spans="1:29" s="293" customFormat="1" ht="33" hidden="1" customHeight="1" x14ac:dyDescent="0.2">
      <c r="A4605" s="288"/>
      <c r="B4605" s="1375"/>
      <c r="C4605" s="1377"/>
      <c r="D4605" s="1342" t="s">
        <v>489</v>
      </c>
      <c r="E4605" s="1343"/>
      <c r="F4605" s="1344"/>
      <c r="G4605" s="1345" t="s">
        <v>490</v>
      </c>
      <c r="H4605" s="1346"/>
      <c r="I4605" s="1347"/>
      <c r="J4605" s="1339"/>
      <c r="K4605" s="1339"/>
      <c r="L4605" s="1339"/>
      <c r="M4605" s="1339"/>
      <c r="N4605" s="1339"/>
      <c r="O4605" s="1339"/>
      <c r="P4605" s="1339" t="s">
        <v>491</v>
      </c>
      <c r="Q4605" s="1339"/>
      <c r="R4605" s="1337"/>
      <c r="S4605" s="1339"/>
      <c r="T4605" s="1339"/>
      <c r="U4605" s="1341"/>
      <c r="V4605" s="291">
        <f t="shared" ca="1" si="1291"/>
        <v>0</v>
      </c>
      <c r="W4605" s="256">
        <f t="shared" ca="1" si="1289"/>
        <v>2</v>
      </c>
      <c r="X4605" s="256">
        <f t="shared" ca="1" si="1290"/>
        <v>1</v>
      </c>
      <c r="Y4605" s="256"/>
      <c r="Z4605" s="256"/>
      <c r="AA4605" s="292"/>
      <c r="AB4605" s="292"/>
      <c r="AC4605" s="292"/>
    </row>
    <row r="4606" spans="1:29" s="293" customFormat="1" ht="15.75" hidden="1" x14ac:dyDescent="0.2">
      <c r="A4606" s="288"/>
      <c r="B4606" s="296"/>
      <c r="C4606" s="297" t="s">
        <v>887</v>
      </c>
      <c r="D4606" s="417">
        <v>8</v>
      </c>
      <c r="E4606" s="314" t="s">
        <v>518</v>
      </c>
      <c r="F4606" s="418">
        <v>10</v>
      </c>
      <c r="G4606" s="419">
        <v>33</v>
      </c>
      <c r="H4606" s="316" t="s">
        <v>518</v>
      </c>
      <c r="I4606" s="420">
        <v>0</v>
      </c>
      <c r="J4606" s="304"/>
      <c r="K4606" s="747">
        <f>ABS((G4606*20+I4606)-(D4606*20+F4606))</f>
        <v>490</v>
      </c>
      <c r="L4606" s="304"/>
      <c r="M4606" s="304"/>
      <c r="N4606" s="304"/>
      <c r="O4606" s="304"/>
      <c r="P4606" s="306"/>
      <c r="Q4606" s="304"/>
      <c r="R4606" s="307">
        <v>20</v>
      </c>
      <c r="S4606" s="308" t="str">
        <f>S4609</f>
        <v>m</v>
      </c>
      <c r="T4606" s="309">
        <v>19</v>
      </c>
      <c r="U4606" s="310"/>
      <c r="V4606" s="291">
        <f t="shared" ca="1" si="1291"/>
        <v>0</v>
      </c>
      <c r="W4606" s="256">
        <f t="shared" ca="1" si="1289"/>
        <v>2</v>
      </c>
      <c r="X4606" s="256">
        <f t="shared" ca="1" si="1290"/>
        <v>1</v>
      </c>
      <c r="Y4606" s="256"/>
      <c r="Z4606" s="256"/>
      <c r="AA4606" s="292"/>
      <c r="AB4606" s="292"/>
      <c r="AC4606" s="292"/>
    </row>
    <row r="4607" spans="1:29" s="293" customFormat="1" ht="15.75" hidden="1" x14ac:dyDescent="0.2">
      <c r="A4607" s="288"/>
      <c r="B4607" s="785"/>
      <c r="C4607" s="312" t="s">
        <v>889</v>
      </c>
      <c r="D4607" s="417">
        <v>100</v>
      </c>
      <c r="E4607" s="314" t="s">
        <v>518</v>
      </c>
      <c r="F4607" s="418">
        <v>0</v>
      </c>
      <c r="G4607" s="417">
        <v>80</v>
      </c>
      <c r="H4607" s="314" t="s">
        <v>518</v>
      </c>
      <c r="I4607" s="418">
        <v>0</v>
      </c>
      <c r="J4607" s="317"/>
      <c r="K4607" s="421">
        <f>ABS((G4607*20+I4607)-(D4607*20+F4607))</f>
        <v>400</v>
      </c>
      <c r="L4607" s="774"/>
      <c r="M4607" s="786"/>
      <c r="N4607" s="787"/>
      <c r="O4607" s="788"/>
      <c r="P4607" s="789"/>
      <c r="Q4607" s="786"/>
      <c r="R4607" s="790">
        <v>40</v>
      </c>
      <c r="S4607" s="791" t="s">
        <v>301</v>
      </c>
      <c r="T4607" s="792">
        <v>27</v>
      </c>
      <c r="U4607" s="793"/>
      <c r="V4607" s="291"/>
      <c r="W4607" s="256"/>
      <c r="X4607" s="256"/>
      <c r="Y4607" s="256"/>
      <c r="Z4607" s="256"/>
      <c r="AA4607" s="292"/>
      <c r="AB4607" s="292"/>
      <c r="AC4607" s="292"/>
    </row>
    <row r="4608" spans="1:29" s="111" customFormat="1" ht="15" hidden="1" x14ac:dyDescent="0.2">
      <c r="A4608" s="288"/>
      <c r="B4608" s="338"/>
      <c r="C4608" s="339"/>
      <c r="D4608" s="1348"/>
      <c r="E4608" s="1349"/>
      <c r="F4608" s="1350"/>
      <c r="G4608" s="1351"/>
      <c r="H4608" s="1352"/>
      <c r="I4608" s="1353"/>
      <c r="J4608" s="343"/>
      <c r="K4608" s="344"/>
      <c r="L4608" s="345"/>
      <c r="M4608" s="346"/>
      <c r="N4608" s="347"/>
      <c r="O4608" s="348"/>
      <c r="P4608" s="345"/>
      <c r="Q4608" s="349"/>
      <c r="R4608" s="350"/>
      <c r="S4608" s="351"/>
      <c r="T4608" s="352"/>
      <c r="U4608" s="353"/>
      <c r="V4608" s="291">
        <f t="shared" ca="1" si="1291"/>
        <v>0</v>
      </c>
      <c r="W4608" s="256">
        <f t="shared" ref="W4608:W4613" ca="1" si="1292">IF(LEFT(_xlfn.FORMULATEXT(V4608),3)="=SO",1,IF(COUNTA(A4608:U4608)=0,0,2))</f>
        <v>0</v>
      </c>
      <c r="X4608" s="256">
        <f ca="1">IF(COUNTA(OFFSET(#REF!,1,0))-COUNTA(#REF!)=-1,0,1)</f>
        <v>1</v>
      </c>
      <c r="Y4608" s="250"/>
      <c r="Z4608" s="250"/>
    </row>
    <row r="4609" spans="1:29" s="111" customFormat="1" ht="15.75" hidden="1" x14ac:dyDescent="0.2">
      <c r="A4609" s="288"/>
      <c r="B4609" s="354"/>
      <c r="C4609" s="355"/>
      <c r="D4609" s="1354" t="s">
        <v>492</v>
      </c>
      <c r="E4609" s="1355"/>
      <c r="F4609" s="1355"/>
      <c r="G4609" s="1355"/>
      <c r="H4609" s="1355"/>
      <c r="I4609" s="1356"/>
      <c r="J4609" s="1357">
        <f>VLOOKUP(A4611,'11 - FINANCEIRO'!_xlnm.Print_Area,6,FALSE)</f>
        <v>60</v>
      </c>
      <c r="K4609" s="1358"/>
      <c r="L4609" s="356" t="str">
        <f>VLOOKUP(A4611,'11 - FINANCEIRO'!_xlnm.Print_Area,4,FALSE)</f>
        <v>m</v>
      </c>
      <c r="M4609" s="1359" t="s">
        <v>493</v>
      </c>
      <c r="N4609" s="1360"/>
      <c r="O4609" s="1360"/>
      <c r="P4609" s="1360"/>
      <c r="Q4609" s="1361"/>
      <c r="R4609" s="357">
        <f>TRUNC(SUM(R4606:R4608),3)</f>
        <v>60</v>
      </c>
      <c r="S4609" s="358" t="str">
        <f>L4609</f>
        <v>m</v>
      </c>
      <c r="T4609" s="359"/>
      <c r="U4609" s="360"/>
      <c r="V4609" s="291">
        <f t="shared" ca="1" si="1291"/>
        <v>0</v>
      </c>
      <c r="W4609" s="256">
        <f t="shared" ca="1" si="1292"/>
        <v>2</v>
      </c>
      <c r="X4609" s="256">
        <f t="shared" ref="X4609:X4613" ca="1" si="1293">IF(COUNTA(OFFSET(A4608,1,0))-COUNTA(A4608)=-1,0,1)</f>
        <v>1</v>
      </c>
      <c r="Y4609" s="250"/>
      <c r="Z4609" s="250"/>
    </row>
    <row r="4610" spans="1:29" s="111" customFormat="1" ht="15.75" hidden="1" x14ac:dyDescent="0.2">
      <c r="A4610" s="288"/>
      <c r="B4610" s="354"/>
      <c r="C4610" s="361"/>
      <c r="D4610" s="1362" t="s">
        <v>494</v>
      </c>
      <c r="E4610" s="1363"/>
      <c r="F4610" s="1363"/>
      <c r="G4610" s="1363"/>
      <c r="H4610" s="1363"/>
      <c r="I4610" s="1364"/>
      <c r="J4610" s="1365">
        <f>R4609/J4609</f>
        <v>1</v>
      </c>
      <c r="K4610" s="1366"/>
      <c r="L4610" s="1369"/>
      <c r="M4610" s="1371" t="s">
        <v>495</v>
      </c>
      <c r="N4610" s="1372"/>
      <c r="O4610" s="1372"/>
      <c r="P4610" s="1372"/>
      <c r="Q4610" s="1373"/>
      <c r="R4610" s="362">
        <f>VLOOKUP(A4611,'11 - FINANCEIRO'!_xlnm.Print_Area,8,FALSE)</f>
        <v>60</v>
      </c>
      <c r="S4610" s="363" t="str">
        <f>L4609</f>
        <v>m</v>
      </c>
      <c r="T4610" s="359"/>
      <c r="U4610" s="360"/>
      <c r="V4610" s="291">
        <f t="shared" ca="1" si="1291"/>
        <v>0</v>
      </c>
      <c r="W4610" s="256">
        <f t="shared" ca="1" si="1292"/>
        <v>2</v>
      </c>
      <c r="X4610" s="256">
        <f t="shared" ca="1" si="1293"/>
        <v>1</v>
      </c>
      <c r="Y4610" s="250"/>
      <c r="Z4610" s="250"/>
    </row>
    <row r="4611" spans="1:29" s="293" customFormat="1" ht="15.75" hidden="1" x14ac:dyDescent="0.2">
      <c r="A4611" s="288" t="s">
        <v>741</v>
      </c>
      <c r="B4611" s="364"/>
      <c r="C4611" s="365"/>
      <c r="D4611" s="1354"/>
      <c r="E4611" s="1355"/>
      <c r="F4611" s="1355"/>
      <c r="G4611" s="1355"/>
      <c r="H4611" s="1355"/>
      <c r="I4611" s="1356"/>
      <c r="J4611" s="1367"/>
      <c r="K4611" s="1368"/>
      <c r="L4611" s="1370"/>
      <c r="M4611" s="1371" t="s">
        <v>496</v>
      </c>
      <c r="N4611" s="1372"/>
      <c r="O4611" s="1372"/>
      <c r="P4611" s="1372"/>
      <c r="Q4611" s="1373"/>
      <c r="R4611" s="362">
        <f>R4609-R4610</f>
        <v>0</v>
      </c>
      <c r="S4611" s="363" t="str">
        <f>L4609</f>
        <v>m</v>
      </c>
      <c r="T4611" s="366"/>
      <c r="U4611" s="367"/>
      <c r="V4611" s="291">
        <f t="shared" ca="1" si="1291"/>
        <v>0</v>
      </c>
      <c r="W4611" s="256">
        <f t="shared" ca="1" si="1292"/>
        <v>2</v>
      </c>
      <c r="X4611" s="256">
        <f t="shared" ca="1" si="1293"/>
        <v>1</v>
      </c>
      <c r="Y4611" s="256"/>
      <c r="Z4611" s="256"/>
      <c r="AA4611" s="292"/>
      <c r="AB4611" s="292"/>
      <c r="AC4611" s="292"/>
    </row>
    <row r="4612" spans="1:29" s="111" customFormat="1" ht="15.75" hidden="1" x14ac:dyDescent="0.2">
      <c r="A4612" s="288"/>
      <c r="B4612" s="368"/>
      <c r="C4612" s="365"/>
      <c r="D4612" s="369"/>
      <c r="E4612" s="370"/>
      <c r="F4612" s="369"/>
      <c r="G4612" s="369"/>
      <c r="H4612" s="369"/>
      <c r="I4612" s="369"/>
      <c r="J4612" s="371"/>
      <c r="K4612" s="372"/>
      <c r="L4612" s="373"/>
      <c r="M4612" s="374"/>
      <c r="N4612" s="374"/>
      <c r="O4612" s="374"/>
      <c r="P4612" s="374"/>
      <c r="Q4612" s="374"/>
      <c r="R4612" s="375"/>
      <c r="S4612" s="376"/>
      <c r="T4612" s="377"/>
      <c r="U4612" s="378"/>
      <c r="V4612" s="379">
        <f ca="1">SUM(V4604:V4611)</f>
        <v>0</v>
      </c>
      <c r="W4612" s="256">
        <f t="shared" ca="1" si="1292"/>
        <v>1</v>
      </c>
      <c r="X4612" s="256">
        <f t="shared" ca="1" si="1293"/>
        <v>0</v>
      </c>
      <c r="Y4612" s="250"/>
      <c r="Z4612" s="250"/>
    </row>
    <row r="4613" spans="1:29" s="293" customFormat="1" ht="33" customHeight="1" x14ac:dyDescent="0.2">
      <c r="A4613" s="288"/>
      <c r="B4613" s="1374" t="str">
        <f>VLOOKUP(A4652,'11 - FINANCEIRO'!_xlnm.Print_Area,1,FALSE)</f>
        <v>6.1.17</v>
      </c>
      <c r="C4613" s="1376" t="str">
        <f>VLOOKUP(A4652,'11 - FINANCEIRO'!_xlnm.Print_Area,3,FALSE)</f>
        <v>Enrocamento de pedra espalhada - pedra de mão comercial - fornecimento e assentamento</v>
      </c>
      <c r="D4613" s="1378" t="s">
        <v>500</v>
      </c>
      <c r="E4613" s="1379"/>
      <c r="F4613" s="1379"/>
      <c r="G4613" s="1379"/>
      <c r="H4613" s="1379"/>
      <c r="I4613" s="1380"/>
      <c r="J4613" s="1338" t="s">
        <v>478</v>
      </c>
      <c r="K4613" s="1338" t="s">
        <v>479</v>
      </c>
      <c r="L4613" s="1338" t="s">
        <v>480</v>
      </c>
      <c r="M4613" s="1338" t="s">
        <v>481</v>
      </c>
      <c r="N4613" s="1338" t="s">
        <v>482</v>
      </c>
      <c r="O4613" s="1338" t="s">
        <v>483</v>
      </c>
      <c r="P4613" s="1338" t="s">
        <v>484</v>
      </c>
      <c r="Q4613" s="1338" t="s">
        <v>296</v>
      </c>
      <c r="R4613" s="1336" t="s">
        <v>296</v>
      </c>
      <c r="S4613" s="1338" t="s">
        <v>486</v>
      </c>
      <c r="T4613" s="1338" t="s">
        <v>487</v>
      </c>
      <c r="U4613" s="1340" t="s">
        <v>488</v>
      </c>
      <c r="V4613" s="291">
        <f t="shared" ca="1" si="1291"/>
        <v>1890.7870000000003</v>
      </c>
      <c r="W4613" s="256">
        <f t="shared" ca="1" si="1292"/>
        <v>2</v>
      </c>
      <c r="X4613" s="256">
        <f t="shared" ca="1" si="1293"/>
        <v>1</v>
      </c>
      <c r="Y4613" s="256"/>
      <c r="Z4613" s="256"/>
      <c r="AA4613" s="292"/>
      <c r="AB4613" s="292"/>
      <c r="AC4613" s="292"/>
    </row>
    <row r="4614" spans="1:29" s="293" customFormat="1" ht="33" customHeight="1" x14ac:dyDescent="0.2">
      <c r="A4614" s="288"/>
      <c r="B4614" s="1375"/>
      <c r="C4614" s="1377"/>
      <c r="D4614" s="1342" t="s">
        <v>489</v>
      </c>
      <c r="E4614" s="1343"/>
      <c r="F4614" s="1344"/>
      <c r="G4614" s="1345" t="s">
        <v>490</v>
      </c>
      <c r="H4614" s="1346"/>
      <c r="I4614" s="1347"/>
      <c r="J4614" s="1339"/>
      <c r="K4614" s="1339"/>
      <c r="L4614" s="1339"/>
      <c r="M4614" s="1339"/>
      <c r="N4614" s="1339"/>
      <c r="O4614" s="1339"/>
      <c r="P4614" s="1339" t="s">
        <v>491</v>
      </c>
      <c r="Q4614" s="1339"/>
      <c r="R4614" s="1337"/>
      <c r="S4614" s="1339"/>
      <c r="T4614" s="1339"/>
      <c r="U4614" s="1341"/>
      <c r="V4614" s="291">
        <f t="shared" ca="1" si="1291"/>
        <v>1890.7870000000003</v>
      </c>
      <c r="W4614" s="256">
        <f t="shared" ref="W4614:W4637" ca="1" si="1294">IF(LEFT(_xlfn.FORMULATEXT(V4614),3)="=SO",1,IF(COUNTA(A4614:U4614)=0,0,2))</f>
        <v>2</v>
      </c>
      <c r="X4614" s="256">
        <f t="shared" ref="X4614:X4637" ca="1" si="1295">IF(COUNTA(OFFSET(A4613,1,0))-COUNTA(A4613)=-1,0,1)</f>
        <v>1</v>
      </c>
      <c r="Y4614" s="256"/>
      <c r="Z4614" s="256"/>
      <c r="AA4614" s="292"/>
      <c r="AB4614" s="292"/>
      <c r="AC4614" s="292"/>
    </row>
    <row r="4615" spans="1:29" s="293" customFormat="1" ht="15.75" x14ac:dyDescent="0.2">
      <c r="A4615" s="288"/>
      <c r="B4615" s="842"/>
      <c r="C4615" s="312"/>
      <c r="D4615" s="417"/>
      <c r="E4615" s="314"/>
      <c r="F4615" s="418"/>
      <c r="G4615" s="417"/>
      <c r="H4615" s="314"/>
      <c r="I4615" s="418"/>
      <c r="J4615" s="317"/>
      <c r="K4615" s="421"/>
      <c r="L4615" s="774"/>
      <c r="M4615" s="786"/>
      <c r="N4615" s="787"/>
      <c r="O4615" s="788"/>
      <c r="P4615" s="789"/>
      <c r="Q4615" s="786"/>
      <c r="R4615" s="790"/>
      <c r="S4615" s="791"/>
      <c r="T4615" s="792"/>
      <c r="U4615" s="793"/>
      <c r="V4615" s="291">
        <f t="shared" ca="1" si="1291"/>
        <v>1890.7870000000003</v>
      </c>
      <c r="W4615" s="256">
        <f t="shared" ca="1" si="1294"/>
        <v>0</v>
      </c>
      <c r="X4615" s="256">
        <f t="shared" ca="1" si="1295"/>
        <v>1</v>
      </c>
      <c r="Y4615" s="256"/>
      <c r="Z4615" s="256"/>
      <c r="AA4615" s="292"/>
      <c r="AB4615" s="292"/>
      <c r="AC4615" s="292"/>
    </row>
    <row r="4616" spans="1:29" s="111" customFormat="1" ht="15" x14ac:dyDescent="0.2">
      <c r="A4616" s="399"/>
      <c r="B4616" s="844"/>
      <c r="C4616" s="312" t="s">
        <v>581</v>
      </c>
      <c r="D4616" s="417">
        <v>95</v>
      </c>
      <c r="E4616" s="314" t="s">
        <v>518</v>
      </c>
      <c r="F4616" s="418">
        <v>10</v>
      </c>
      <c r="G4616" s="417">
        <v>99</v>
      </c>
      <c r="H4616" s="314" t="s">
        <v>518</v>
      </c>
      <c r="I4616" s="418">
        <v>6.4</v>
      </c>
      <c r="J4616" s="317"/>
      <c r="K4616" s="421">
        <f t="shared" ref="K4616:K4627" si="1296">ABS((G4616*20+I4616)-(D4616*20+F4616))</f>
        <v>76.400000000000091</v>
      </c>
      <c r="L4616" s="1041">
        <v>14.8</v>
      </c>
      <c r="M4616" s="1002">
        <f>3.1-0.3</f>
        <v>2.8000000000000003</v>
      </c>
      <c r="N4616" s="787"/>
      <c r="O4616" s="788"/>
      <c r="P4616" s="789"/>
      <c r="Q4616" s="786"/>
      <c r="R4616" s="790">
        <f>PRODUCT(J4616:Q4616)</f>
        <v>3166.0160000000042</v>
      </c>
      <c r="S4616" s="791" t="str">
        <f>$L$4650</f>
        <v>m³</v>
      </c>
      <c r="T4616" s="792" t="s">
        <v>1001</v>
      </c>
      <c r="U4616" s="1175" t="s">
        <v>1000</v>
      </c>
      <c r="V4616" s="291">
        <f t="shared" ca="1" si="1291"/>
        <v>1890.7870000000003</v>
      </c>
      <c r="W4616" s="256">
        <f t="shared" ca="1" si="1294"/>
        <v>2</v>
      </c>
      <c r="X4616" s="256">
        <f t="shared" ca="1" si="1295"/>
        <v>1</v>
      </c>
      <c r="Y4616" s="250"/>
      <c r="Z4616" s="250"/>
    </row>
    <row r="4617" spans="1:29" s="111" customFormat="1" ht="15" x14ac:dyDescent="0.2">
      <c r="A4617" s="399"/>
      <c r="B4617" s="844"/>
      <c r="C4617" s="312" t="s">
        <v>581</v>
      </c>
      <c r="D4617" s="417">
        <v>92</v>
      </c>
      <c r="E4617" s="314" t="s">
        <v>518</v>
      </c>
      <c r="F4617" s="418">
        <v>10</v>
      </c>
      <c r="G4617" s="417">
        <v>95</v>
      </c>
      <c r="H4617" s="314" t="s">
        <v>518</v>
      </c>
      <c r="I4617" s="418">
        <v>10</v>
      </c>
      <c r="J4617" s="317"/>
      <c r="K4617" s="421">
        <f t="shared" si="1296"/>
        <v>60</v>
      </c>
      <c r="L4617" s="1041">
        <v>13</v>
      </c>
      <c r="M4617" s="1002">
        <v>2.0699999999999998</v>
      </c>
      <c r="N4617" s="787"/>
      <c r="O4617" s="788"/>
      <c r="P4617" s="789"/>
      <c r="Q4617" s="786"/>
      <c r="R4617" s="790">
        <f>690/1.7/1.15</f>
        <v>352.94117647058823</v>
      </c>
      <c r="S4617" s="791" t="str">
        <f t="shared" ref="S4617:S4647" si="1297">$L$4650</f>
        <v>m³</v>
      </c>
      <c r="T4617" s="792">
        <v>25</v>
      </c>
      <c r="U4617" s="1175" t="s">
        <v>1002</v>
      </c>
      <c r="V4617" s="291">
        <f t="shared" ca="1" si="1291"/>
        <v>1890.7870000000003</v>
      </c>
      <c r="W4617" s="256">
        <f t="shared" ca="1" si="1294"/>
        <v>2</v>
      </c>
      <c r="X4617" s="256">
        <f t="shared" ca="1" si="1295"/>
        <v>1</v>
      </c>
      <c r="Y4617" s="250"/>
      <c r="Z4617" s="250"/>
    </row>
    <row r="4618" spans="1:29" s="111" customFormat="1" ht="15" x14ac:dyDescent="0.2">
      <c r="A4618" s="399"/>
      <c r="B4618" s="844"/>
      <c r="C4618" s="312" t="s">
        <v>581</v>
      </c>
      <c r="D4618" s="417">
        <v>89</v>
      </c>
      <c r="E4618" s="314" t="s">
        <v>518</v>
      </c>
      <c r="F4618" s="418">
        <v>10</v>
      </c>
      <c r="G4618" s="417">
        <v>92</v>
      </c>
      <c r="H4618" s="314" t="s">
        <v>518</v>
      </c>
      <c r="I4618" s="418">
        <v>10</v>
      </c>
      <c r="J4618" s="317"/>
      <c r="K4618" s="421">
        <f t="shared" si="1296"/>
        <v>60</v>
      </c>
      <c r="L4618" s="1041">
        <v>13</v>
      </c>
      <c r="M4618" s="1002">
        <v>1.97</v>
      </c>
      <c r="N4618" s="787"/>
      <c r="O4618" s="788"/>
      <c r="P4618" s="789"/>
      <c r="Q4618" s="786"/>
      <c r="R4618" s="790">
        <f>1808.8/1.7/1.15</f>
        <v>925.21739130434787</v>
      </c>
      <c r="S4618" s="791" t="str">
        <f t="shared" si="1297"/>
        <v>m³</v>
      </c>
      <c r="T4618" s="792">
        <v>25</v>
      </c>
      <c r="U4618" s="1175" t="s">
        <v>1003</v>
      </c>
      <c r="V4618" s="291">
        <f t="shared" ca="1" si="1291"/>
        <v>1890.7870000000003</v>
      </c>
      <c r="W4618" s="256">
        <f t="shared" ca="1" si="1294"/>
        <v>2</v>
      </c>
      <c r="X4618" s="256">
        <f t="shared" ca="1" si="1295"/>
        <v>1</v>
      </c>
      <c r="Y4618" s="250"/>
      <c r="Z4618" s="250"/>
    </row>
    <row r="4619" spans="1:29" s="111" customFormat="1" ht="15" x14ac:dyDescent="0.2">
      <c r="A4619" s="399"/>
      <c r="B4619" s="844"/>
      <c r="C4619" s="312" t="s">
        <v>581</v>
      </c>
      <c r="D4619" s="417">
        <v>86</v>
      </c>
      <c r="E4619" s="314" t="s">
        <v>518</v>
      </c>
      <c r="F4619" s="418">
        <v>10</v>
      </c>
      <c r="G4619" s="417">
        <v>89</v>
      </c>
      <c r="H4619" s="314" t="s">
        <v>518</v>
      </c>
      <c r="I4619" s="418">
        <v>10</v>
      </c>
      <c r="J4619" s="317"/>
      <c r="K4619" s="421">
        <f t="shared" si="1296"/>
        <v>60</v>
      </c>
      <c r="L4619" s="1041">
        <v>13</v>
      </c>
      <c r="M4619" s="1002">
        <v>1.76</v>
      </c>
      <c r="N4619" s="787"/>
      <c r="O4619" s="788"/>
      <c r="P4619" s="789"/>
      <c r="Q4619" s="786"/>
      <c r="R4619" s="790">
        <f>1190/1.7/1.15</f>
        <v>608.69565217391312</v>
      </c>
      <c r="S4619" s="791" t="str">
        <f t="shared" si="1297"/>
        <v>m³</v>
      </c>
      <c r="T4619" s="792">
        <v>25</v>
      </c>
      <c r="U4619" s="1175" t="s">
        <v>1004</v>
      </c>
      <c r="V4619" s="291">
        <f t="shared" ca="1" si="1291"/>
        <v>1890.7870000000003</v>
      </c>
      <c r="W4619" s="256">
        <f t="shared" ca="1" si="1294"/>
        <v>2</v>
      </c>
      <c r="X4619" s="256">
        <f t="shared" ca="1" si="1295"/>
        <v>1</v>
      </c>
      <c r="Y4619" s="250"/>
      <c r="Z4619" s="250"/>
    </row>
    <row r="4620" spans="1:29" s="111" customFormat="1" ht="15" x14ac:dyDescent="0.2">
      <c r="A4620" s="399"/>
      <c r="B4620" s="844"/>
      <c r="C4620" s="312" t="s">
        <v>581</v>
      </c>
      <c r="D4620" s="417">
        <v>86</v>
      </c>
      <c r="E4620" s="314" t="s">
        <v>518</v>
      </c>
      <c r="F4620" s="418">
        <v>10</v>
      </c>
      <c r="G4620" s="417">
        <v>89</v>
      </c>
      <c r="H4620" s="314" t="s">
        <v>518</v>
      </c>
      <c r="I4620" s="418">
        <v>10</v>
      </c>
      <c r="J4620" s="317"/>
      <c r="K4620" s="421">
        <f t="shared" si="1296"/>
        <v>60</v>
      </c>
      <c r="L4620" s="1041">
        <v>13</v>
      </c>
      <c r="M4620" s="1002">
        <v>1.76</v>
      </c>
      <c r="N4620" s="787"/>
      <c r="O4620" s="788"/>
      <c r="P4620" s="789"/>
      <c r="Q4620" s="786"/>
      <c r="R4620" s="790">
        <f>1142.4/1.7/1.15</f>
        <v>584.34782608695662</v>
      </c>
      <c r="S4620" s="791" t="str">
        <f t="shared" si="1297"/>
        <v>m³</v>
      </c>
      <c r="T4620" s="792">
        <v>25</v>
      </c>
      <c r="U4620" s="1175" t="s">
        <v>1005</v>
      </c>
      <c r="V4620" s="291">
        <f t="shared" ca="1" si="1291"/>
        <v>1890.7870000000003</v>
      </c>
      <c r="W4620" s="256">
        <f t="shared" ca="1" si="1294"/>
        <v>2</v>
      </c>
      <c r="X4620" s="256">
        <f t="shared" ca="1" si="1295"/>
        <v>1</v>
      </c>
      <c r="Y4620" s="250"/>
      <c r="Z4620" s="250"/>
    </row>
    <row r="4621" spans="1:29" s="111" customFormat="1" ht="15" x14ac:dyDescent="0.2">
      <c r="A4621" s="399"/>
      <c r="B4621" s="844"/>
      <c r="C4621" s="312" t="s">
        <v>581</v>
      </c>
      <c r="D4621" s="417">
        <v>83</v>
      </c>
      <c r="E4621" s="314" t="s">
        <v>518</v>
      </c>
      <c r="F4621" s="418">
        <v>10</v>
      </c>
      <c r="G4621" s="417">
        <v>86</v>
      </c>
      <c r="H4621" s="314" t="s">
        <v>518</v>
      </c>
      <c r="I4621" s="418">
        <v>10</v>
      </c>
      <c r="J4621" s="317"/>
      <c r="K4621" s="421">
        <f t="shared" si="1296"/>
        <v>60</v>
      </c>
      <c r="L4621" s="1041">
        <v>13</v>
      </c>
      <c r="M4621" s="1002">
        <v>2.48</v>
      </c>
      <c r="N4621" s="787"/>
      <c r="O4621" s="788"/>
      <c r="P4621" s="789"/>
      <c r="Q4621" s="786"/>
      <c r="R4621" s="790">
        <f t="shared" ref="R4621:R4638" si="1298">(K4621*L4621*M4621)/1.15</f>
        <v>1682.0869565217392</v>
      </c>
      <c r="S4621" s="791" t="str">
        <f t="shared" si="1297"/>
        <v>m³</v>
      </c>
      <c r="T4621" s="792">
        <v>26</v>
      </c>
      <c r="U4621" s="1175" t="s">
        <v>1007</v>
      </c>
      <c r="V4621" s="291">
        <f t="shared" ca="1" si="1291"/>
        <v>1890.7870000000003</v>
      </c>
      <c r="W4621" s="256">
        <f t="shared" ca="1" si="1294"/>
        <v>2</v>
      </c>
      <c r="X4621" s="256">
        <f t="shared" ca="1" si="1295"/>
        <v>1</v>
      </c>
      <c r="Y4621" s="250"/>
      <c r="Z4621" s="250"/>
    </row>
    <row r="4622" spans="1:29" s="111" customFormat="1" ht="15" x14ac:dyDescent="0.2">
      <c r="A4622" s="399"/>
      <c r="B4622" s="844"/>
      <c r="C4622" s="312" t="s">
        <v>581</v>
      </c>
      <c r="D4622" s="417">
        <v>82</v>
      </c>
      <c r="E4622" s="314" t="s">
        <v>518</v>
      </c>
      <c r="F4622" s="418">
        <v>0</v>
      </c>
      <c r="G4622" s="417">
        <v>83</v>
      </c>
      <c r="H4622" s="314" t="s">
        <v>518</v>
      </c>
      <c r="I4622" s="418">
        <v>10</v>
      </c>
      <c r="J4622" s="317"/>
      <c r="K4622" s="421">
        <f t="shared" si="1296"/>
        <v>30</v>
      </c>
      <c r="L4622" s="1041">
        <v>13</v>
      </c>
      <c r="M4622" s="1002">
        <v>1.95</v>
      </c>
      <c r="N4622" s="787"/>
      <c r="O4622" s="788"/>
      <c r="P4622" s="789"/>
      <c r="Q4622" s="786"/>
      <c r="R4622" s="790">
        <f t="shared" si="1298"/>
        <v>661.304347826087</v>
      </c>
      <c r="S4622" s="791" t="str">
        <f t="shared" si="1297"/>
        <v>m³</v>
      </c>
      <c r="T4622" s="792">
        <v>27</v>
      </c>
      <c r="U4622" s="1175" t="s">
        <v>1013</v>
      </c>
      <c r="V4622" s="291">
        <f t="shared" ca="1" si="1291"/>
        <v>1890.7870000000003</v>
      </c>
      <c r="W4622" s="256">
        <f t="shared" ca="1" si="1294"/>
        <v>2</v>
      </c>
      <c r="X4622" s="256">
        <f t="shared" ca="1" si="1295"/>
        <v>1</v>
      </c>
      <c r="Y4622" s="250"/>
      <c r="Z4622" s="250"/>
    </row>
    <row r="4623" spans="1:29" s="111" customFormat="1" ht="15" x14ac:dyDescent="0.2">
      <c r="A4623" s="399"/>
      <c r="B4623" s="844"/>
      <c r="C4623" s="312" t="s">
        <v>581</v>
      </c>
      <c r="D4623" s="417">
        <v>80</v>
      </c>
      <c r="E4623" s="314" t="s">
        <v>518</v>
      </c>
      <c r="F4623" s="418">
        <v>8</v>
      </c>
      <c r="G4623" s="417">
        <v>82</v>
      </c>
      <c r="H4623" s="314" t="s">
        <v>518</v>
      </c>
      <c r="I4623" s="418">
        <v>0</v>
      </c>
      <c r="J4623" s="317"/>
      <c r="K4623" s="421">
        <f t="shared" si="1296"/>
        <v>32</v>
      </c>
      <c r="L4623" s="1041">
        <v>13</v>
      </c>
      <c r="M4623" s="1002">
        <v>1.7</v>
      </c>
      <c r="N4623" s="787"/>
      <c r="O4623" s="788"/>
      <c r="P4623" s="789"/>
      <c r="Q4623" s="786"/>
      <c r="R4623" s="790">
        <f t="shared" si="1298"/>
        <v>614.95652173913038</v>
      </c>
      <c r="S4623" s="791" t="str">
        <f t="shared" si="1297"/>
        <v>m³</v>
      </c>
      <c r="T4623" s="792">
        <v>28</v>
      </c>
      <c r="U4623" s="1175" t="s">
        <v>1043</v>
      </c>
      <c r="V4623" s="291">
        <f t="shared" ca="1" si="1291"/>
        <v>1890.7870000000003</v>
      </c>
      <c r="W4623" s="256">
        <f t="shared" ca="1" si="1294"/>
        <v>2</v>
      </c>
      <c r="X4623" s="256">
        <f t="shared" ca="1" si="1295"/>
        <v>1</v>
      </c>
      <c r="Y4623" s="250"/>
      <c r="Z4623" s="250"/>
    </row>
    <row r="4624" spans="1:29" s="111" customFormat="1" ht="15" x14ac:dyDescent="0.2">
      <c r="A4624" s="399"/>
      <c r="B4624" s="844"/>
      <c r="C4624" s="312" t="s">
        <v>581</v>
      </c>
      <c r="D4624" s="417">
        <v>77</v>
      </c>
      <c r="E4624" s="314" t="s">
        <v>518</v>
      </c>
      <c r="F4624" s="418">
        <v>0</v>
      </c>
      <c r="G4624" s="417">
        <v>79</v>
      </c>
      <c r="H4624" s="314" t="s">
        <v>518</v>
      </c>
      <c r="I4624" s="418">
        <v>16</v>
      </c>
      <c r="J4624" s="317"/>
      <c r="K4624" s="421">
        <f t="shared" si="1296"/>
        <v>56</v>
      </c>
      <c r="L4624" s="1041">
        <v>13</v>
      </c>
      <c r="M4624" s="1002">
        <v>1.1000000000000001</v>
      </c>
      <c r="N4624" s="787"/>
      <c r="O4624" s="788"/>
      <c r="P4624" s="789"/>
      <c r="Q4624" s="786"/>
      <c r="R4624" s="790">
        <f t="shared" si="1298"/>
        <v>696.34782608695662</v>
      </c>
      <c r="S4624" s="791" t="str">
        <f t="shared" si="1297"/>
        <v>m³</v>
      </c>
      <c r="T4624" s="792">
        <v>29</v>
      </c>
      <c r="U4624" s="1175" t="s">
        <v>1044</v>
      </c>
      <c r="V4624" s="291">
        <f t="shared" ca="1" si="1291"/>
        <v>1890.7870000000003</v>
      </c>
      <c r="W4624" s="256">
        <f t="shared" ca="1" si="1294"/>
        <v>2</v>
      </c>
      <c r="X4624" s="256">
        <f t="shared" ca="1" si="1295"/>
        <v>1</v>
      </c>
      <c r="Y4624" s="250"/>
      <c r="Z4624" s="250"/>
    </row>
    <row r="4625" spans="1:26" s="111" customFormat="1" ht="15" x14ac:dyDescent="0.2">
      <c r="A4625" s="399"/>
      <c r="B4625" s="844"/>
      <c r="C4625" s="312" t="s">
        <v>581</v>
      </c>
      <c r="D4625" s="417">
        <v>73</v>
      </c>
      <c r="E4625" s="314" t="s">
        <v>518</v>
      </c>
      <c r="F4625" s="418">
        <v>0</v>
      </c>
      <c r="G4625" s="417">
        <v>77</v>
      </c>
      <c r="H4625" s="314" t="s">
        <v>518</v>
      </c>
      <c r="I4625" s="418">
        <v>0</v>
      </c>
      <c r="J4625" s="317"/>
      <c r="K4625" s="421">
        <f t="shared" si="1296"/>
        <v>80</v>
      </c>
      <c r="L4625" s="1041">
        <v>13</v>
      </c>
      <c r="M4625" s="1002">
        <v>1.1000000000000001</v>
      </c>
      <c r="N4625" s="787"/>
      <c r="O4625" s="788"/>
      <c r="P4625" s="789"/>
      <c r="Q4625" s="786"/>
      <c r="R4625" s="790">
        <f t="shared" si="1298"/>
        <v>994.78260869565224</v>
      </c>
      <c r="S4625" s="791" t="str">
        <f t="shared" si="1297"/>
        <v>m³</v>
      </c>
      <c r="T4625" s="792">
        <v>30</v>
      </c>
      <c r="U4625" s="1175" t="s">
        <v>1078</v>
      </c>
      <c r="V4625" s="291">
        <f t="shared" ca="1" si="1291"/>
        <v>1890.7870000000003</v>
      </c>
      <c r="W4625" s="256">
        <f t="shared" ca="1" si="1294"/>
        <v>2</v>
      </c>
      <c r="X4625" s="256">
        <f t="shared" ca="1" si="1295"/>
        <v>1</v>
      </c>
      <c r="Y4625" s="250"/>
      <c r="Z4625" s="250"/>
    </row>
    <row r="4626" spans="1:26" s="111" customFormat="1" ht="15" x14ac:dyDescent="0.2">
      <c r="A4626" s="399"/>
      <c r="B4626" s="844"/>
      <c r="C4626" s="312" t="s">
        <v>581</v>
      </c>
      <c r="D4626" s="417">
        <v>71</v>
      </c>
      <c r="E4626" s="314" t="s">
        <v>518</v>
      </c>
      <c r="F4626" s="418">
        <v>0</v>
      </c>
      <c r="G4626" s="417">
        <v>73</v>
      </c>
      <c r="H4626" s="314" t="s">
        <v>518</v>
      </c>
      <c r="I4626" s="418">
        <v>0</v>
      </c>
      <c r="J4626" s="317"/>
      <c r="K4626" s="421">
        <f t="shared" si="1296"/>
        <v>40</v>
      </c>
      <c r="L4626" s="1041">
        <v>13</v>
      </c>
      <c r="M4626" s="1002">
        <v>1.1000000000000001</v>
      </c>
      <c r="N4626" s="787"/>
      <c r="O4626" s="788"/>
      <c r="P4626" s="789"/>
      <c r="Q4626" s="786"/>
      <c r="R4626" s="790">
        <f t="shared" si="1298"/>
        <v>497.39130434782612</v>
      </c>
      <c r="S4626" s="791" t="str">
        <f t="shared" si="1297"/>
        <v>m³</v>
      </c>
      <c r="T4626" s="792">
        <v>31</v>
      </c>
      <c r="U4626" s="1175" t="s">
        <v>1092</v>
      </c>
      <c r="V4626" s="291">
        <f t="shared" ca="1" si="1291"/>
        <v>1890.7870000000003</v>
      </c>
      <c r="W4626" s="256">
        <f t="shared" ca="1" si="1294"/>
        <v>2</v>
      </c>
      <c r="X4626" s="256">
        <f t="shared" ca="1" si="1295"/>
        <v>1</v>
      </c>
      <c r="Y4626" s="250"/>
      <c r="Z4626" s="250"/>
    </row>
    <row r="4627" spans="1:26" s="111" customFormat="1" ht="15" x14ac:dyDescent="0.2">
      <c r="A4627" s="399"/>
      <c r="B4627" s="844"/>
      <c r="C4627" s="312" t="s">
        <v>581</v>
      </c>
      <c r="D4627" s="417">
        <v>70</v>
      </c>
      <c r="E4627" s="314" t="s">
        <v>518</v>
      </c>
      <c r="F4627" s="418">
        <v>0</v>
      </c>
      <c r="G4627" s="417">
        <v>71</v>
      </c>
      <c r="H4627" s="314" t="s">
        <v>518</v>
      </c>
      <c r="I4627" s="418">
        <v>0</v>
      </c>
      <c r="J4627" s="317"/>
      <c r="K4627" s="421">
        <f t="shared" si="1296"/>
        <v>20</v>
      </c>
      <c r="L4627" s="1041">
        <v>13</v>
      </c>
      <c r="M4627" s="1002">
        <v>1.1000000000000001</v>
      </c>
      <c r="N4627" s="787"/>
      <c r="O4627" s="788"/>
      <c r="P4627" s="789"/>
      <c r="Q4627" s="786"/>
      <c r="R4627" s="790">
        <f>(K4627*L4627*M4627)/1.15</f>
        <v>248.69565217391306</v>
      </c>
      <c r="S4627" s="791" t="str">
        <f t="shared" si="1297"/>
        <v>m³</v>
      </c>
      <c r="T4627" s="792">
        <v>32</v>
      </c>
      <c r="U4627" s="1175" t="s">
        <v>1093</v>
      </c>
      <c r="V4627" s="291">
        <f t="shared" ca="1" si="1291"/>
        <v>1890.7870000000003</v>
      </c>
      <c r="W4627" s="256">
        <f t="shared" ca="1" si="1294"/>
        <v>2</v>
      </c>
      <c r="X4627" s="256">
        <f t="shared" ca="1" si="1295"/>
        <v>1</v>
      </c>
      <c r="Y4627" s="250"/>
      <c r="Z4627" s="250"/>
    </row>
    <row r="4628" spans="1:26" s="111" customFormat="1" ht="15" x14ac:dyDescent="0.2">
      <c r="A4628" s="399"/>
      <c r="B4628" s="844"/>
      <c r="C4628" s="312" t="s">
        <v>581</v>
      </c>
      <c r="D4628" s="417">
        <v>68</v>
      </c>
      <c r="E4628" s="314" t="s">
        <v>518</v>
      </c>
      <c r="F4628" s="418">
        <v>0</v>
      </c>
      <c r="G4628" s="417">
        <v>71</v>
      </c>
      <c r="H4628" s="314" t="s">
        <v>518</v>
      </c>
      <c r="I4628" s="418">
        <v>0</v>
      </c>
      <c r="J4628" s="317"/>
      <c r="K4628" s="421">
        <f>ABS((G4628*20+I4628)-(D4628*20+F4628))</f>
        <v>60</v>
      </c>
      <c r="L4628" s="1041">
        <v>13</v>
      </c>
      <c r="M4628" s="1002">
        <v>1.1000000000000001</v>
      </c>
      <c r="N4628" s="787"/>
      <c r="O4628" s="788"/>
      <c r="P4628" s="789"/>
      <c r="Q4628" s="786"/>
      <c r="R4628" s="790">
        <f t="shared" si="1298"/>
        <v>746.08695652173924</v>
      </c>
      <c r="S4628" s="791" t="str">
        <f t="shared" si="1297"/>
        <v>m³</v>
      </c>
      <c r="T4628" s="792">
        <v>33</v>
      </c>
      <c r="U4628" s="1175" t="s">
        <v>1094</v>
      </c>
      <c r="V4628" s="291">
        <f t="shared" ca="1" si="1291"/>
        <v>1890.7870000000003</v>
      </c>
      <c r="W4628" s="256">
        <f t="shared" ca="1" si="1294"/>
        <v>2</v>
      </c>
      <c r="X4628" s="256">
        <f t="shared" ca="1" si="1295"/>
        <v>1</v>
      </c>
      <c r="Y4628" s="250"/>
      <c r="Z4628" s="250"/>
    </row>
    <row r="4629" spans="1:26" s="111" customFormat="1" ht="15" x14ac:dyDescent="0.2">
      <c r="A4629" s="399"/>
      <c r="B4629" s="999"/>
      <c r="C4629" s="312" t="s">
        <v>581</v>
      </c>
      <c r="D4629" s="417">
        <v>66</v>
      </c>
      <c r="E4629" s="314" t="s">
        <v>518</v>
      </c>
      <c r="F4629" s="418">
        <v>10</v>
      </c>
      <c r="G4629" s="417">
        <v>68</v>
      </c>
      <c r="H4629" s="314" t="s">
        <v>518</v>
      </c>
      <c r="I4629" s="418">
        <v>0</v>
      </c>
      <c r="J4629" s="317"/>
      <c r="K4629" s="421">
        <f>ABS((G4629*20+I4629)-(D4629*20+F4629))</f>
        <v>30</v>
      </c>
      <c r="L4629" s="1041">
        <v>13</v>
      </c>
      <c r="M4629" s="1002">
        <v>1.1000000000000001</v>
      </c>
      <c r="N4629" s="787"/>
      <c r="O4629" s="788"/>
      <c r="P4629" s="789"/>
      <c r="Q4629" s="786"/>
      <c r="R4629" s="790">
        <f t="shared" si="1298"/>
        <v>373.04347826086962</v>
      </c>
      <c r="S4629" s="791" t="str">
        <f t="shared" si="1297"/>
        <v>m³</v>
      </c>
      <c r="T4629" s="792">
        <v>35</v>
      </c>
      <c r="U4629" s="1175" t="s">
        <v>1002</v>
      </c>
      <c r="V4629" s="291">
        <f t="shared" ca="1" si="1291"/>
        <v>1890.7870000000003</v>
      </c>
      <c r="W4629" s="256">
        <f t="shared" ca="1" si="1294"/>
        <v>2</v>
      </c>
      <c r="X4629" s="256">
        <f t="shared" ca="1" si="1295"/>
        <v>1</v>
      </c>
      <c r="Y4629" s="250"/>
      <c r="Z4629" s="250"/>
    </row>
    <row r="4630" spans="1:26" s="111" customFormat="1" ht="15" x14ac:dyDescent="0.2">
      <c r="A4630" s="399"/>
      <c r="B4630" s="999"/>
      <c r="C4630" s="312" t="s">
        <v>581</v>
      </c>
      <c r="D4630" s="417">
        <v>63</v>
      </c>
      <c r="E4630" s="314" t="s">
        <v>518</v>
      </c>
      <c r="F4630" s="418">
        <v>10</v>
      </c>
      <c r="G4630" s="417">
        <v>66</v>
      </c>
      <c r="H4630" s="314" t="s">
        <v>518</v>
      </c>
      <c r="I4630" s="418">
        <v>10</v>
      </c>
      <c r="J4630" s="317"/>
      <c r="K4630" s="421">
        <f>ABS((G4630*20+I4630)-(D4630*20+F4630))</f>
        <v>60</v>
      </c>
      <c r="L4630" s="1041">
        <v>13</v>
      </c>
      <c r="M4630" s="1002">
        <v>1.1000000000000001</v>
      </c>
      <c r="N4630" s="787"/>
      <c r="O4630" s="788"/>
      <c r="P4630" s="789"/>
      <c r="Q4630" s="786"/>
      <c r="R4630" s="790">
        <f t="shared" si="1298"/>
        <v>746.08695652173924</v>
      </c>
      <c r="S4630" s="791" t="str">
        <f t="shared" si="1297"/>
        <v>m³</v>
      </c>
      <c r="T4630" s="792">
        <v>35</v>
      </c>
      <c r="U4630" s="1175" t="s">
        <v>1003</v>
      </c>
      <c r="V4630" s="291">
        <f t="shared" ca="1" si="1291"/>
        <v>1890.7870000000003</v>
      </c>
      <c r="W4630" s="256">
        <f t="shared" ca="1" si="1294"/>
        <v>2</v>
      </c>
      <c r="X4630" s="256">
        <f t="shared" ca="1" si="1295"/>
        <v>1</v>
      </c>
      <c r="Y4630" s="250"/>
      <c r="Z4630" s="250"/>
    </row>
    <row r="4631" spans="1:26" s="111" customFormat="1" ht="15" x14ac:dyDescent="0.2">
      <c r="A4631" s="399"/>
      <c r="B4631" s="999"/>
      <c r="C4631" s="312" t="s">
        <v>581</v>
      </c>
      <c r="D4631" s="417">
        <v>62</v>
      </c>
      <c r="E4631" s="314" t="s">
        <v>518</v>
      </c>
      <c r="F4631" s="418">
        <v>0</v>
      </c>
      <c r="G4631" s="417">
        <v>63</v>
      </c>
      <c r="H4631" s="314" t="s">
        <v>518</v>
      </c>
      <c r="I4631" s="418">
        <v>10</v>
      </c>
      <c r="J4631" s="317"/>
      <c r="K4631" s="421">
        <f>ABS((G4631*20+I4631)-(D4631*20+F4631))</f>
        <v>30</v>
      </c>
      <c r="L4631" s="1041">
        <v>13</v>
      </c>
      <c r="M4631" s="1002">
        <v>1.65</v>
      </c>
      <c r="N4631" s="787"/>
      <c r="O4631" s="788"/>
      <c r="P4631" s="789"/>
      <c r="Q4631" s="786"/>
      <c r="R4631" s="790">
        <f t="shared" si="1298"/>
        <v>559.56521739130437</v>
      </c>
      <c r="S4631" s="791" t="str">
        <f t="shared" si="1297"/>
        <v>m³</v>
      </c>
      <c r="T4631" s="792">
        <v>35</v>
      </c>
      <c r="U4631" s="1175" t="s">
        <v>1004</v>
      </c>
      <c r="V4631" s="291">
        <f t="shared" ca="1" si="1291"/>
        <v>1890.7870000000003</v>
      </c>
      <c r="W4631" s="256">
        <f t="shared" ca="1" si="1294"/>
        <v>2</v>
      </c>
      <c r="X4631" s="256">
        <f t="shared" ca="1" si="1295"/>
        <v>1</v>
      </c>
      <c r="Y4631" s="250"/>
      <c r="Z4631" s="250"/>
    </row>
    <row r="4632" spans="1:26" s="111" customFormat="1" ht="15" x14ac:dyDescent="0.2">
      <c r="A4632" s="399"/>
      <c r="B4632" s="999"/>
      <c r="C4632" s="312" t="s">
        <v>581</v>
      </c>
      <c r="D4632" s="417">
        <v>60</v>
      </c>
      <c r="E4632" s="314" t="s">
        <v>518</v>
      </c>
      <c r="F4632" s="418">
        <v>0</v>
      </c>
      <c r="G4632" s="417">
        <v>62</v>
      </c>
      <c r="H4632" s="314" t="s">
        <v>518</v>
      </c>
      <c r="I4632" s="418">
        <v>0</v>
      </c>
      <c r="J4632" s="317"/>
      <c r="K4632" s="421">
        <f>ABS((G4632*20+I4632)-(D4632*20+F4632))</f>
        <v>40</v>
      </c>
      <c r="L4632" s="1041">
        <v>13</v>
      </c>
      <c r="M4632" s="1002">
        <v>1.28</v>
      </c>
      <c r="N4632" s="787"/>
      <c r="O4632" s="788"/>
      <c r="P4632" s="789"/>
      <c r="Q4632" s="786"/>
      <c r="R4632" s="790">
        <f t="shared" si="1298"/>
        <v>578.78260869565224</v>
      </c>
      <c r="S4632" s="791" t="str">
        <f t="shared" si="1297"/>
        <v>m³</v>
      </c>
      <c r="T4632" s="792">
        <v>36</v>
      </c>
      <c r="U4632" s="1175" t="s">
        <v>1005</v>
      </c>
      <c r="V4632" s="291">
        <f t="shared" ca="1" si="1291"/>
        <v>1890.7870000000003</v>
      </c>
      <c r="W4632" s="256">
        <f t="shared" ca="1" si="1294"/>
        <v>2</v>
      </c>
      <c r="X4632" s="256">
        <f t="shared" ca="1" si="1295"/>
        <v>1</v>
      </c>
      <c r="Y4632" s="250"/>
      <c r="Z4632" s="250"/>
    </row>
    <row r="4633" spans="1:26" s="111" customFormat="1" ht="15" x14ac:dyDescent="0.2">
      <c r="A4633" s="399"/>
      <c r="B4633" s="999"/>
      <c r="C4633" s="312" t="s">
        <v>581</v>
      </c>
      <c r="D4633" s="417">
        <v>50</v>
      </c>
      <c r="E4633" s="314" t="s">
        <v>518</v>
      </c>
      <c r="F4633" s="418">
        <v>0</v>
      </c>
      <c r="G4633" s="417">
        <v>60</v>
      </c>
      <c r="H4633" s="314" t="s">
        <v>518</v>
      </c>
      <c r="I4633" s="418">
        <v>0</v>
      </c>
      <c r="J4633" s="317"/>
      <c r="K4633" s="421">
        <f t="shared" ref="K4633:K4639" si="1299">ABS((G4633*20+I4633)-(D4633*20+F4633))</f>
        <v>200</v>
      </c>
      <c r="L4633" s="1041">
        <v>13</v>
      </c>
      <c r="M4633" s="1002">
        <v>1.28</v>
      </c>
      <c r="N4633" s="787"/>
      <c r="O4633" s="788"/>
      <c r="P4633" s="789"/>
      <c r="Q4633" s="786"/>
      <c r="R4633" s="790">
        <f t="shared" si="1298"/>
        <v>2893.913043478261</v>
      </c>
      <c r="S4633" s="791" t="str">
        <f t="shared" si="1297"/>
        <v>m³</v>
      </c>
      <c r="T4633" s="792">
        <v>37</v>
      </c>
      <c r="U4633" s="1175"/>
      <c r="V4633" s="291">
        <f t="shared" ca="1" si="1291"/>
        <v>1890.7870000000003</v>
      </c>
      <c r="W4633" s="256">
        <f t="shared" ca="1" si="1294"/>
        <v>2</v>
      </c>
      <c r="X4633" s="256">
        <f t="shared" ca="1" si="1295"/>
        <v>1</v>
      </c>
      <c r="Y4633" s="250"/>
      <c r="Z4633" s="250"/>
    </row>
    <row r="4634" spans="1:26" s="111" customFormat="1" ht="15" x14ac:dyDescent="0.2">
      <c r="A4634" s="399"/>
      <c r="B4634" s="999"/>
      <c r="C4634" s="312" t="s">
        <v>581</v>
      </c>
      <c r="D4634" s="417">
        <v>49</v>
      </c>
      <c r="E4634" s="314" t="s">
        <v>518</v>
      </c>
      <c r="F4634" s="418">
        <v>13</v>
      </c>
      <c r="G4634" s="417">
        <v>50</v>
      </c>
      <c r="H4634" s="314" t="s">
        <v>518</v>
      </c>
      <c r="I4634" s="418">
        <v>0</v>
      </c>
      <c r="J4634" s="317"/>
      <c r="K4634" s="421">
        <f t="shared" si="1299"/>
        <v>7</v>
      </c>
      <c r="L4634" s="1041">
        <v>13</v>
      </c>
      <c r="M4634" s="1002">
        <v>1.1000000000000001</v>
      </c>
      <c r="N4634" s="787"/>
      <c r="O4634" s="788"/>
      <c r="P4634" s="789"/>
      <c r="Q4634" s="786"/>
      <c r="R4634" s="790">
        <f t="shared" si="1298"/>
        <v>87.043478260869577</v>
      </c>
      <c r="S4634" s="791" t="str">
        <f t="shared" si="1297"/>
        <v>m³</v>
      </c>
      <c r="T4634" s="792">
        <v>40</v>
      </c>
      <c r="U4634" s="1175" t="s">
        <v>1044</v>
      </c>
      <c r="V4634" s="291">
        <f t="shared" ca="1" si="1291"/>
        <v>1890.7870000000003</v>
      </c>
      <c r="W4634" s="256">
        <f t="shared" ca="1" si="1294"/>
        <v>2</v>
      </c>
      <c r="X4634" s="256">
        <f t="shared" ca="1" si="1295"/>
        <v>1</v>
      </c>
      <c r="Y4634" s="250"/>
      <c r="Z4634" s="250"/>
    </row>
    <row r="4635" spans="1:26" s="111" customFormat="1" ht="15" x14ac:dyDescent="0.2">
      <c r="A4635" s="399"/>
      <c r="B4635" s="999"/>
      <c r="C4635" s="312" t="s">
        <v>581</v>
      </c>
      <c r="D4635" s="417">
        <v>48</v>
      </c>
      <c r="E4635" s="314" t="s">
        <v>518</v>
      </c>
      <c r="F4635" s="418">
        <v>8</v>
      </c>
      <c r="G4635" s="417">
        <v>49</v>
      </c>
      <c r="H4635" s="314" t="s">
        <v>518</v>
      </c>
      <c r="I4635" s="418">
        <v>13</v>
      </c>
      <c r="J4635" s="317"/>
      <c r="K4635" s="421">
        <f t="shared" si="1299"/>
        <v>25</v>
      </c>
      <c r="L4635" s="1041">
        <v>13</v>
      </c>
      <c r="M4635" s="1002">
        <v>1.1000000000000001</v>
      </c>
      <c r="N4635" s="787"/>
      <c r="O4635" s="788"/>
      <c r="P4635" s="789"/>
      <c r="Q4635" s="786"/>
      <c r="R4635" s="790">
        <f t="shared" si="1298"/>
        <v>310.86956521739137</v>
      </c>
      <c r="S4635" s="791" t="str">
        <f t="shared" si="1297"/>
        <v>m³</v>
      </c>
      <c r="T4635" s="792">
        <v>41</v>
      </c>
      <c r="U4635" s="1175" t="s">
        <v>1078</v>
      </c>
      <c r="V4635" s="291">
        <f t="shared" ca="1" si="1291"/>
        <v>1890.7870000000003</v>
      </c>
      <c r="W4635" s="256">
        <f t="shared" ca="1" si="1294"/>
        <v>2</v>
      </c>
      <c r="X4635" s="256">
        <f t="shared" ca="1" si="1295"/>
        <v>1</v>
      </c>
      <c r="Y4635" s="250"/>
      <c r="Z4635" s="250"/>
    </row>
    <row r="4636" spans="1:26" s="111" customFormat="1" ht="15" x14ac:dyDescent="0.2">
      <c r="A4636" s="399"/>
      <c r="B4636" s="999"/>
      <c r="C4636" s="312" t="s">
        <v>581</v>
      </c>
      <c r="D4636" s="417">
        <v>45</v>
      </c>
      <c r="E4636" s="314" t="s">
        <v>518</v>
      </c>
      <c r="F4636" s="418">
        <v>6</v>
      </c>
      <c r="G4636" s="417">
        <v>48</v>
      </c>
      <c r="H4636" s="314" t="s">
        <v>518</v>
      </c>
      <c r="I4636" s="418">
        <v>8</v>
      </c>
      <c r="J4636" s="317"/>
      <c r="K4636" s="421">
        <f t="shared" si="1299"/>
        <v>62</v>
      </c>
      <c r="L4636" s="1041">
        <v>13</v>
      </c>
      <c r="M4636" s="1002">
        <v>1.1000000000000001</v>
      </c>
      <c r="N4636" s="787"/>
      <c r="O4636" s="788"/>
      <c r="P4636" s="789"/>
      <c r="Q4636" s="786"/>
      <c r="R4636" s="790">
        <f t="shared" si="1298"/>
        <v>770.95652173913049</v>
      </c>
      <c r="S4636" s="791" t="str">
        <f t="shared" si="1297"/>
        <v>m³</v>
      </c>
      <c r="T4636" s="792">
        <v>42</v>
      </c>
      <c r="U4636" s="1175" t="s">
        <v>1092</v>
      </c>
      <c r="V4636" s="291">
        <f t="shared" ca="1" si="1291"/>
        <v>1890.7870000000003</v>
      </c>
      <c r="W4636" s="256">
        <f t="shared" ca="1" si="1294"/>
        <v>2</v>
      </c>
      <c r="X4636" s="256">
        <f t="shared" ca="1" si="1295"/>
        <v>1</v>
      </c>
      <c r="Y4636" s="250"/>
      <c r="Z4636" s="250"/>
    </row>
    <row r="4637" spans="1:26" s="111" customFormat="1" ht="15" x14ac:dyDescent="0.2">
      <c r="A4637" s="399"/>
      <c r="B4637" s="999"/>
      <c r="C4637" s="312" t="s">
        <v>581</v>
      </c>
      <c r="D4637" s="417">
        <v>42</v>
      </c>
      <c r="E4637" s="314" t="s">
        <v>518</v>
      </c>
      <c r="F4637" s="418">
        <v>3</v>
      </c>
      <c r="G4637" s="417">
        <v>45</v>
      </c>
      <c r="H4637" s="314" t="s">
        <v>518</v>
      </c>
      <c r="I4637" s="418">
        <v>6</v>
      </c>
      <c r="J4637" s="317"/>
      <c r="K4637" s="421">
        <f t="shared" si="1299"/>
        <v>63</v>
      </c>
      <c r="L4637" s="1041">
        <v>13</v>
      </c>
      <c r="M4637" s="1002">
        <v>1.1000000000000001</v>
      </c>
      <c r="N4637" s="787"/>
      <c r="O4637" s="788"/>
      <c r="P4637" s="789"/>
      <c r="Q4637" s="786"/>
      <c r="R4637" s="790">
        <f t="shared" si="1298"/>
        <v>783.39130434782624</v>
      </c>
      <c r="S4637" s="791" t="str">
        <f t="shared" si="1297"/>
        <v>m³</v>
      </c>
      <c r="T4637" s="792">
        <v>43</v>
      </c>
      <c r="U4637" s="1175" t="s">
        <v>1093</v>
      </c>
      <c r="V4637" s="291">
        <f t="shared" ca="1" si="1291"/>
        <v>1890.7870000000003</v>
      </c>
      <c r="W4637" s="256">
        <f t="shared" ca="1" si="1294"/>
        <v>2</v>
      </c>
      <c r="X4637" s="256">
        <f t="shared" ca="1" si="1295"/>
        <v>1</v>
      </c>
      <c r="Y4637" s="250"/>
      <c r="Z4637" s="250"/>
    </row>
    <row r="4638" spans="1:26" s="111" customFormat="1" ht="15" x14ac:dyDescent="0.2">
      <c r="A4638" s="399"/>
      <c r="B4638" s="999"/>
      <c r="C4638" s="312" t="s">
        <v>581</v>
      </c>
      <c r="D4638" s="419">
        <v>39</v>
      </c>
      <c r="E4638" s="849" t="s">
        <v>518</v>
      </c>
      <c r="F4638" s="420">
        <v>2</v>
      </c>
      <c r="G4638" s="419">
        <v>42</v>
      </c>
      <c r="H4638" s="849" t="s">
        <v>518</v>
      </c>
      <c r="I4638" s="420">
        <v>3</v>
      </c>
      <c r="J4638" s="317"/>
      <c r="K4638" s="422">
        <f t="shared" si="1299"/>
        <v>61</v>
      </c>
      <c r="L4638" s="422">
        <v>13</v>
      </c>
      <c r="M4638" s="422">
        <v>1.1000000000000001</v>
      </c>
      <c r="N4638" s="422"/>
      <c r="O4638" s="537"/>
      <c r="P4638" s="422"/>
      <c r="Q4638" s="537"/>
      <c r="R4638" s="1208">
        <f t="shared" si="1298"/>
        <v>758.52173913043487</v>
      </c>
      <c r="S4638" s="791" t="str">
        <f t="shared" si="1297"/>
        <v>m³</v>
      </c>
      <c r="T4638" s="1223">
        <v>44</v>
      </c>
      <c r="U4638" s="1175" t="s">
        <v>1094</v>
      </c>
      <c r="V4638" s="291">
        <f t="shared" ca="1" si="1291"/>
        <v>1890.7870000000003</v>
      </c>
      <c r="W4638" s="256">
        <f t="shared" ref="W4638:W4652" ca="1" si="1300">IF(LEFT(_xlfn.FORMULATEXT(V4638),3)="=SO",1,IF(COUNTA(A4638:U4638)=0,0,2))</f>
        <v>2</v>
      </c>
      <c r="X4638" s="256">
        <f t="shared" ref="X4638:X4652" ca="1" si="1301">IF(COUNTA(OFFSET(A4637,1,0))-COUNTA(A4637)=-1,0,1)</f>
        <v>1</v>
      </c>
      <c r="Y4638" s="250"/>
      <c r="Z4638" s="250"/>
    </row>
    <row r="4639" spans="1:26" s="111" customFormat="1" ht="15" x14ac:dyDescent="0.2">
      <c r="A4639" s="399"/>
      <c r="B4639" s="999"/>
      <c r="C4639" s="382" t="s">
        <v>1398</v>
      </c>
      <c r="D4639" s="419">
        <v>39</v>
      </c>
      <c r="E4639" s="849" t="s">
        <v>518</v>
      </c>
      <c r="F4639" s="420">
        <v>2</v>
      </c>
      <c r="G4639" s="419">
        <v>42</v>
      </c>
      <c r="H4639" s="849" t="s">
        <v>518</v>
      </c>
      <c r="I4639" s="420">
        <v>3</v>
      </c>
      <c r="J4639" s="317"/>
      <c r="K4639" s="422">
        <f t="shared" si="1299"/>
        <v>61</v>
      </c>
      <c r="L4639" s="422">
        <v>4</v>
      </c>
      <c r="M4639" s="422">
        <v>4.3</v>
      </c>
      <c r="N4639" s="422">
        <v>2</v>
      </c>
      <c r="O4639" s="537">
        <v>2</v>
      </c>
      <c r="P4639" s="422">
        <f>(((M4639+N4639)*L4639)/O4639)</f>
        <v>12.6</v>
      </c>
      <c r="Q4639" s="537"/>
      <c r="R4639" s="1208">
        <f>K4639*P4639</f>
        <v>768.6</v>
      </c>
      <c r="S4639" s="791" t="str">
        <f t="shared" si="1297"/>
        <v>m³</v>
      </c>
      <c r="T4639" s="1223">
        <v>44</v>
      </c>
      <c r="U4639" s="1221" t="s">
        <v>1094</v>
      </c>
      <c r="V4639" s="291">
        <f t="shared" ca="1" si="1291"/>
        <v>1890.7870000000003</v>
      </c>
      <c r="W4639" s="256">
        <f t="shared" ca="1" si="1300"/>
        <v>2</v>
      </c>
      <c r="X4639" s="256">
        <f t="shared" ca="1" si="1301"/>
        <v>1</v>
      </c>
      <c r="Y4639" s="250"/>
      <c r="Z4639" s="250"/>
    </row>
    <row r="4640" spans="1:26" s="111" customFormat="1" ht="15" x14ac:dyDescent="0.2">
      <c r="A4640" s="399"/>
      <c r="B4640" s="999"/>
      <c r="C4640" s="312"/>
      <c r="D4640" s="417"/>
      <c r="E4640" s="314"/>
      <c r="F4640" s="418"/>
      <c r="G4640" s="417"/>
      <c r="H4640" s="314"/>
      <c r="I4640" s="418"/>
      <c r="J4640" s="317"/>
      <c r="K4640" s="421"/>
      <c r="L4640" s="1195"/>
      <c r="M4640" s="1002"/>
      <c r="N4640" s="787"/>
      <c r="O4640" s="1147"/>
      <c r="P4640" s="1207"/>
      <c r="Q4640" s="786"/>
      <c r="R4640" s="1208"/>
      <c r="S4640" s="1201"/>
      <c r="T4640" s="1202"/>
      <c r="U4640" s="1221"/>
      <c r="V4640" s="291">
        <f t="shared" ca="1" si="1291"/>
        <v>1890.7870000000003</v>
      </c>
      <c r="W4640" s="256">
        <f t="shared" ca="1" si="1300"/>
        <v>0</v>
      </c>
      <c r="X4640" s="256">
        <f t="shared" ca="1" si="1301"/>
        <v>1</v>
      </c>
      <c r="Y4640" s="250"/>
      <c r="Z4640" s="250"/>
    </row>
    <row r="4641" spans="1:29" s="111" customFormat="1" ht="15" x14ac:dyDescent="0.2">
      <c r="A4641" s="399"/>
      <c r="B4641" s="999"/>
      <c r="C4641" s="1222" t="s">
        <v>1323</v>
      </c>
      <c r="D4641" s="419">
        <v>5</v>
      </c>
      <c r="E4641" s="849" t="s">
        <v>518</v>
      </c>
      <c r="F4641" s="420">
        <v>0</v>
      </c>
      <c r="G4641" s="419">
        <v>5</v>
      </c>
      <c r="H4641" s="849" t="s">
        <v>518</v>
      </c>
      <c r="I4641" s="420">
        <v>14.9</v>
      </c>
      <c r="J4641" s="317"/>
      <c r="K4641" s="422">
        <f t="shared" ref="K4641:K4642" si="1302">ABS((G4641*20+I4641)-(D4641*20+F4641))</f>
        <v>14.900000000000006</v>
      </c>
      <c r="L4641" s="422">
        <v>7</v>
      </c>
      <c r="M4641" s="422">
        <v>1.05</v>
      </c>
      <c r="N4641" s="422"/>
      <c r="O4641" s="537"/>
      <c r="P4641" s="422"/>
      <c r="Q4641" s="537"/>
      <c r="R4641" s="790">
        <f t="shared" ref="R4641:R4642" si="1303">(K4641*L4641*M4641)/1.15</f>
        <v>95.230434782608739</v>
      </c>
      <c r="S4641" s="791" t="str">
        <f t="shared" si="1297"/>
        <v>m³</v>
      </c>
      <c r="T4641" s="1223">
        <v>44</v>
      </c>
      <c r="U4641" s="1221" t="s">
        <v>1399</v>
      </c>
      <c r="V4641" s="291">
        <f t="shared" ca="1" si="1291"/>
        <v>1890.7870000000003</v>
      </c>
      <c r="W4641" s="256">
        <f t="shared" ca="1" si="1300"/>
        <v>2</v>
      </c>
      <c r="X4641" s="256">
        <f t="shared" ca="1" si="1301"/>
        <v>1</v>
      </c>
      <c r="Y4641" s="250"/>
      <c r="Z4641" s="250"/>
    </row>
    <row r="4642" spans="1:29" s="111" customFormat="1" ht="15" x14ac:dyDescent="0.2">
      <c r="A4642" s="399"/>
      <c r="B4642" s="999"/>
      <c r="C4642" s="1222" t="s">
        <v>1323</v>
      </c>
      <c r="D4642" s="419">
        <v>4</v>
      </c>
      <c r="E4642" s="849" t="s">
        <v>518</v>
      </c>
      <c r="F4642" s="420">
        <v>0</v>
      </c>
      <c r="G4642" s="419">
        <v>5</v>
      </c>
      <c r="H4642" s="849" t="s">
        <v>518</v>
      </c>
      <c r="I4642" s="420">
        <v>0</v>
      </c>
      <c r="J4642" s="317"/>
      <c r="K4642" s="422">
        <f t="shared" si="1302"/>
        <v>20</v>
      </c>
      <c r="L4642" s="422">
        <v>7</v>
      </c>
      <c r="M4642" s="422">
        <v>1.05</v>
      </c>
      <c r="N4642" s="422"/>
      <c r="O4642" s="537"/>
      <c r="P4642" s="422"/>
      <c r="Q4642" s="537"/>
      <c r="R4642" s="790">
        <f t="shared" si="1303"/>
        <v>127.82608695652175</v>
      </c>
      <c r="S4642" s="791" t="str">
        <f t="shared" si="1297"/>
        <v>m³</v>
      </c>
      <c r="T4642" s="1223">
        <v>44</v>
      </c>
      <c r="U4642" s="1221" t="s">
        <v>1399</v>
      </c>
      <c r="V4642" s="291">
        <f t="shared" ca="1" si="1291"/>
        <v>1890.7870000000003</v>
      </c>
      <c r="W4642" s="256">
        <f t="shared" ca="1" si="1300"/>
        <v>2</v>
      </c>
      <c r="X4642" s="256">
        <f t="shared" ca="1" si="1301"/>
        <v>1</v>
      </c>
      <c r="Y4642" s="250"/>
      <c r="Z4642" s="250"/>
    </row>
    <row r="4643" spans="1:29" s="111" customFormat="1" ht="15" x14ac:dyDescent="0.2">
      <c r="A4643" s="399"/>
      <c r="B4643" s="999"/>
      <c r="C4643" s="312" t="s">
        <v>1397</v>
      </c>
      <c r="D4643" s="417">
        <v>3</v>
      </c>
      <c r="E4643" s="314" t="s">
        <v>518</v>
      </c>
      <c r="F4643" s="418">
        <v>4</v>
      </c>
      <c r="G4643" s="417">
        <v>4</v>
      </c>
      <c r="H4643" s="314" t="s">
        <v>518</v>
      </c>
      <c r="I4643" s="418">
        <v>0</v>
      </c>
      <c r="J4643" s="317"/>
      <c r="K4643" s="421">
        <f t="shared" ref="K4643:K4647" si="1304">ABS((G4643*20+I4643)-(D4643*20+F4643))</f>
        <v>16</v>
      </c>
      <c r="L4643" s="1041">
        <v>7</v>
      </c>
      <c r="M4643" s="1002">
        <v>1.05</v>
      </c>
      <c r="N4643" s="787"/>
      <c r="O4643" s="788"/>
      <c r="P4643" s="789"/>
      <c r="Q4643" s="786"/>
      <c r="R4643" s="790">
        <f t="shared" ref="R4643:R4647" si="1305">(K4643*L4643*M4643)/1.15</f>
        <v>102.2608695652174</v>
      </c>
      <c r="S4643" s="791" t="str">
        <f t="shared" si="1297"/>
        <v>m³</v>
      </c>
      <c r="T4643" s="792">
        <v>40</v>
      </c>
      <c r="U4643" s="1175" t="s">
        <v>1044</v>
      </c>
      <c r="V4643" s="291">
        <f t="shared" ca="1" si="1291"/>
        <v>1890.7870000000003</v>
      </c>
      <c r="W4643" s="256">
        <f t="shared" ca="1" si="1300"/>
        <v>2</v>
      </c>
      <c r="X4643" s="256">
        <f t="shared" ca="1" si="1301"/>
        <v>1</v>
      </c>
      <c r="Y4643" s="250"/>
      <c r="Z4643" s="250"/>
    </row>
    <row r="4644" spans="1:29" s="111" customFormat="1" ht="15" x14ac:dyDescent="0.2">
      <c r="A4644" s="399"/>
      <c r="B4644" s="999"/>
      <c r="C4644" s="312" t="s">
        <v>1397</v>
      </c>
      <c r="D4644" s="417">
        <v>2</v>
      </c>
      <c r="E4644" s="314" t="s">
        <v>518</v>
      </c>
      <c r="F4644" s="418">
        <v>6</v>
      </c>
      <c r="G4644" s="417">
        <v>3</v>
      </c>
      <c r="H4644" s="314" t="s">
        <v>518</v>
      </c>
      <c r="I4644" s="418">
        <v>4</v>
      </c>
      <c r="J4644" s="317"/>
      <c r="K4644" s="421">
        <f t="shared" si="1304"/>
        <v>18</v>
      </c>
      <c r="L4644" s="1041">
        <v>7</v>
      </c>
      <c r="M4644" s="1002">
        <v>1.05</v>
      </c>
      <c r="N4644" s="787"/>
      <c r="O4644" s="788"/>
      <c r="P4644" s="789"/>
      <c r="Q4644" s="786"/>
      <c r="R4644" s="790">
        <f t="shared" si="1305"/>
        <v>115.04347826086958</v>
      </c>
      <c r="S4644" s="791" t="str">
        <f t="shared" si="1297"/>
        <v>m³</v>
      </c>
      <c r="T4644" s="792">
        <v>41</v>
      </c>
      <c r="U4644" s="1175" t="s">
        <v>1078</v>
      </c>
      <c r="V4644" s="291">
        <f t="shared" ca="1" si="1291"/>
        <v>1890.7870000000003</v>
      </c>
      <c r="W4644" s="256">
        <f t="shared" ca="1" si="1300"/>
        <v>2</v>
      </c>
      <c r="X4644" s="256">
        <f t="shared" ca="1" si="1301"/>
        <v>1</v>
      </c>
      <c r="Y4644" s="250"/>
      <c r="Z4644" s="250"/>
    </row>
    <row r="4645" spans="1:29" s="111" customFormat="1" ht="15" x14ac:dyDescent="0.2">
      <c r="A4645" s="399"/>
      <c r="B4645" s="999"/>
      <c r="C4645" s="312" t="s">
        <v>1397</v>
      </c>
      <c r="D4645" s="417">
        <v>2</v>
      </c>
      <c r="E4645" s="314" t="s">
        <v>518</v>
      </c>
      <c r="F4645" s="418">
        <v>0</v>
      </c>
      <c r="G4645" s="417">
        <v>2</v>
      </c>
      <c r="H4645" s="314" t="s">
        <v>518</v>
      </c>
      <c r="I4645" s="418">
        <v>6</v>
      </c>
      <c r="J4645" s="317"/>
      <c r="K4645" s="421">
        <f t="shared" si="1304"/>
        <v>6</v>
      </c>
      <c r="L4645" s="1041">
        <v>7</v>
      </c>
      <c r="M4645" s="1002">
        <v>1.05</v>
      </c>
      <c r="N4645" s="787"/>
      <c r="O4645" s="788"/>
      <c r="P4645" s="789"/>
      <c r="Q4645" s="786"/>
      <c r="R4645" s="790">
        <f t="shared" si="1305"/>
        <v>38.347826086956523</v>
      </c>
      <c r="S4645" s="791" t="str">
        <f t="shared" si="1297"/>
        <v>m³</v>
      </c>
      <c r="T4645" s="792">
        <v>42</v>
      </c>
      <c r="U4645" s="1175" t="s">
        <v>1092</v>
      </c>
      <c r="V4645" s="291">
        <f t="shared" ca="1" si="1291"/>
        <v>1890.7870000000003</v>
      </c>
      <c r="W4645" s="256">
        <f t="shared" ca="1" si="1300"/>
        <v>2</v>
      </c>
      <c r="X4645" s="256">
        <f t="shared" ca="1" si="1301"/>
        <v>1</v>
      </c>
      <c r="Y4645" s="250"/>
      <c r="Z4645" s="250"/>
    </row>
    <row r="4646" spans="1:29" s="111" customFormat="1" ht="15" x14ac:dyDescent="0.2">
      <c r="A4646" s="399"/>
      <c r="B4646" s="999"/>
      <c r="C4646" s="312" t="s">
        <v>1397</v>
      </c>
      <c r="D4646" s="417">
        <v>1</v>
      </c>
      <c r="E4646" s="314" t="s">
        <v>518</v>
      </c>
      <c r="F4646" s="418">
        <v>8</v>
      </c>
      <c r="G4646" s="417">
        <v>2</v>
      </c>
      <c r="H4646" s="314" t="s">
        <v>518</v>
      </c>
      <c r="I4646" s="418">
        <v>0</v>
      </c>
      <c r="J4646" s="317"/>
      <c r="K4646" s="421">
        <f t="shared" si="1304"/>
        <v>12</v>
      </c>
      <c r="L4646" s="1041">
        <v>7</v>
      </c>
      <c r="M4646" s="1002">
        <v>1.05</v>
      </c>
      <c r="N4646" s="787"/>
      <c r="O4646" s="788"/>
      <c r="P4646" s="789"/>
      <c r="Q4646" s="786"/>
      <c r="R4646" s="790">
        <f t="shared" si="1305"/>
        <v>76.695652173913047</v>
      </c>
      <c r="S4646" s="791" t="str">
        <f t="shared" si="1297"/>
        <v>m³</v>
      </c>
      <c r="T4646" s="792">
        <v>43</v>
      </c>
      <c r="U4646" s="1175" t="s">
        <v>1093</v>
      </c>
      <c r="V4646" s="291">
        <f t="shared" ca="1" si="1291"/>
        <v>1890.7870000000003</v>
      </c>
      <c r="W4646" s="256">
        <f t="shared" ca="1" si="1300"/>
        <v>2</v>
      </c>
      <c r="X4646" s="256">
        <f t="shared" ca="1" si="1301"/>
        <v>1</v>
      </c>
      <c r="Y4646" s="250"/>
      <c r="Z4646" s="250"/>
    </row>
    <row r="4647" spans="1:29" s="111" customFormat="1" ht="15" x14ac:dyDescent="0.2">
      <c r="A4647" s="399"/>
      <c r="B4647" s="999"/>
      <c r="C4647" s="312" t="s">
        <v>1397</v>
      </c>
      <c r="D4647" s="419">
        <v>0</v>
      </c>
      <c r="E4647" s="849" t="s">
        <v>518</v>
      </c>
      <c r="F4647" s="420">
        <v>6</v>
      </c>
      <c r="G4647" s="419">
        <v>1</v>
      </c>
      <c r="H4647" s="849" t="s">
        <v>518</v>
      </c>
      <c r="I4647" s="420">
        <v>8</v>
      </c>
      <c r="J4647" s="317"/>
      <c r="K4647" s="422">
        <f t="shared" si="1304"/>
        <v>22</v>
      </c>
      <c r="L4647" s="422">
        <v>7</v>
      </c>
      <c r="M4647" s="422">
        <v>1.05</v>
      </c>
      <c r="N4647" s="422"/>
      <c r="O4647" s="537"/>
      <c r="P4647" s="422"/>
      <c r="Q4647" s="537"/>
      <c r="R4647" s="790">
        <f t="shared" si="1305"/>
        <v>140.60869565217394</v>
      </c>
      <c r="S4647" s="791" t="str">
        <f t="shared" si="1297"/>
        <v>m³</v>
      </c>
      <c r="T4647" s="1223">
        <v>44</v>
      </c>
      <c r="U4647" s="1221"/>
      <c r="V4647" s="291">
        <f t="shared" ca="1" si="1291"/>
        <v>1890.7870000000003</v>
      </c>
      <c r="W4647" s="256">
        <f t="shared" ca="1" si="1300"/>
        <v>2</v>
      </c>
      <c r="X4647" s="256">
        <f t="shared" ca="1" si="1301"/>
        <v>1</v>
      </c>
      <c r="Y4647" s="250"/>
      <c r="Z4647" s="250"/>
    </row>
    <row r="4648" spans="1:29" s="111" customFormat="1" ht="15" x14ac:dyDescent="0.2">
      <c r="A4648" s="399"/>
      <c r="B4648" s="999"/>
      <c r="C4648" s="312"/>
      <c r="D4648" s="417"/>
      <c r="E4648" s="314"/>
      <c r="F4648" s="418"/>
      <c r="G4648" s="417"/>
      <c r="H4648" s="314"/>
      <c r="I4648" s="418"/>
      <c r="J4648" s="317"/>
      <c r="K4648" s="421"/>
      <c r="L4648" s="1195"/>
      <c r="M4648" s="1002"/>
      <c r="N4648" s="787"/>
      <c r="O4648" s="1147"/>
      <c r="P4648" s="1207"/>
      <c r="Q4648" s="786"/>
      <c r="R4648" s="1208"/>
      <c r="S4648" s="1201"/>
      <c r="T4648" s="1202"/>
      <c r="U4648" s="1221"/>
      <c r="V4648" s="291">
        <f t="shared" ca="1" si="1291"/>
        <v>1890.7870000000003</v>
      </c>
      <c r="W4648" s="256">
        <f t="shared" ca="1" si="1300"/>
        <v>0</v>
      </c>
      <c r="X4648" s="256">
        <f t="shared" ca="1" si="1301"/>
        <v>1</v>
      </c>
      <c r="Y4648" s="250"/>
      <c r="Z4648" s="250"/>
    </row>
    <row r="4649" spans="1:29" s="111" customFormat="1" ht="15.75" x14ac:dyDescent="0.2">
      <c r="A4649" s="288"/>
      <c r="B4649" s="845"/>
      <c r="C4649" s="312"/>
      <c r="D4649" s="417"/>
      <c r="E4649" s="314"/>
      <c r="F4649" s="418"/>
      <c r="G4649" s="417"/>
      <c r="H4649" s="314"/>
      <c r="I4649" s="418"/>
      <c r="J4649" s="317"/>
      <c r="K4649" s="421"/>
      <c r="L4649" s="774"/>
      <c r="M4649" s="786"/>
      <c r="N4649" s="787"/>
      <c r="O4649" s="788"/>
      <c r="P4649" s="789"/>
      <c r="Q4649" s="786"/>
      <c r="R4649" s="790"/>
      <c r="S4649" s="791"/>
      <c r="T4649" s="792"/>
      <c r="U4649" s="793"/>
      <c r="V4649" s="291">
        <f t="shared" ca="1" si="1291"/>
        <v>1890.7870000000003</v>
      </c>
      <c r="W4649" s="256">
        <f t="shared" ca="1" si="1300"/>
        <v>0</v>
      </c>
      <c r="X4649" s="256">
        <f ca="1">IF(COUNTA(OFFSET(#REF!,1,0))-COUNTA(#REF!)=-1,0,1)</f>
        <v>1</v>
      </c>
      <c r="Y4649" s="250"/>
      <c r="Z4649" s="250"/>
    </row>
    <row r="4650" spans="1:29" s="111" customFormat="1" ht="15.75" x14ac:dyDescent="0.2">
      <c r="A4650" s="288"/>
      <c r="B4650" s="354"/>
      <c r="C4650" s="355"/>
      <c r="D4650" s="1354" t="s">
        <v>492</v>
      </c>
      <c r="E4650" s="1355"/>
      <c r="F4650" s="1355"/>
      <c r="G4650" s="1355"/>
      <c r="H4650" s="1355"/>
      <c r="I4650" s="1356"/>
      <c r="J4650" s="1357">
        <f>VLOOKUP(A4652,'11 - FINANCEIRO'!_xlnm.Print_Area,6,FALSE)</f>
        <v>27645.58</v>
      </c>
      <c r="K4650" s="1358"/>
      <c r="L4650" s="356" t="str">
        <f>VLOOKUP(A4652,'11 - FINANCEIRO'!_xlnm.Print_Area,4,FALSE)</f>
        <v>m³</v>
      </c>
      <c r="M4650" s="1359" t="s">
        <v>493</v>
      </c>
      <c r="N4650" s="1360"/>
      <c r="O4650" s="1360"/>
      <c r="P4650" s="1360"/>
      <c r="Q4650" s="1361"/>
      <c r="R4650" s="357">
        <f>TRUNC(SUM(R4616:R4649),3)</f>
        <v>21105.656999999999</v>
      </c>
      <c r="S4650" s="358" t="str">
        <f>L4650</f>
        <v>m³</v>
      </c>
      <c r="T4650" s="1384"/>
      <c r="U4650" s="1385"/>
      <c r="V4650" s="291">
        <f t="shared" ca="1" si="1291"/>
        <v>1890.7870000000003</v>
      </c>
      <c r="W4650" s="256">
        <f t="shared" ca="1" si="1300"/>
        <v>2</v>
      </c>
      <c r="X4650" s="256">
        <f t="shared" ca="1" si="1301"/>
        <v>1</v>
      </c>
      <c r="Y4650" s="250"/>
      <c r="Z4650" s="250"/>
    </row>
    <row r="4651" spans="1:29" s="111" customFormat="1" ht="15.75" x14ac:dyDescent="0.2">
      <c r="A4651" s="288"/>
      <c r="B4651" s="354"/>
      <c r="C4651" s="361"/>
      <c r="D4651" s="1362" t="s">
        <v>494</v>
      </c>
      <c r="E4651" s="1363"/>
      <c r="F4651" s="1363"/>
      <c r="G4651" s="1363"/>
      <c r="H4651" s="1363"/>
      <c r="I4651" s="1364"/>
      <c r="J4651" s="1365">
        <f>IF(R4650&gt;J4650,1,R4650/J4650)</f>
        <v>0.76343694000994</v>
      </c>
      <c r="K4651" s="1366"/>
      <c r="L4651" s="1369"/>
      <c r="M4651" s="1371" t="s">
        <v>495</v>
      </c>
      <c r="N4651" s="1372"/>
      <c r="O4651" s="1372"/>
      <c r="P4651" s="1372"/>
      <c r="Q4651" s="1373"/>
      <c r="R4651" s="362">
        <f>VLOOKUP(A4652,'11 - FINANCEIRO'!_xlnm.Print_Area,8,FALSE)</f>
        <v>19214.87</v>
      </c>
      <c r="S4651" s="363" t="str">
        <f>L4650</f>
        <v>m³</v>
      </c>
      <c r="T4651" s="1386"/>
      <c r="U4651" s="1387"/>
      <c r="V4651" s="291">
        <f t="shared" ca="1" si="1291"/>
        <v>1890.7870000000003</v>
      </c>
      <c r="W4651" s="256">
        <f t="shared" ca="1" si="1300"/>
        <v>2</v>
      </c>
      <c r="X4651" s="256">
        <f t="shared" ca="1" si="1301"/>
        <v>1</v>
      </c>
      <c r="Y4651" s="250"/>
      <c r="Z4651" s="250"/>
    </row>
    <row r="4652" spans="1:29" s="293" customFormat="1" ht="15.75" x14ac:dyDescent="0.2">
      <c r="A4652" s="288" t="s">
        <v>957</v>
      </c>
      <c r="B4652" s="364"/>
      <c r="C4652" s="365"/>
      <c r="D4652" s="1354"/>
      <c r="E4652" s="1355"/>
      <c r="F4652" s="1355"/>
      <c r="G4652" s="1355"/>
      <c r="H4652" s="1355"/>
      <c r="I4652" s="1356"/>
      <c r="J4652" s="1367"/>
      <c r="K4652" s="1368"/>
      <c r="L4652" s="1370"/>
      <c r="M4652" s="1371" t="s">
        <v>496</v>
      </c>
      <c r="N4652" s="1372"/>
      <c r="O4652" s="1372"/>
      <c r="P4652" s="1372"/>
      <c r="Q4652" s="1373"/>
      <c r="R4652" s="362">
        <f>R4650-R4651</f>
        <v>1890.7870000000003</v>
      </c>
      <c r="S4652" s="363" t="str">
        <f>L4650</f>
        <v>m³</v>
      </c>
      <c r="T4652" s="1388"/>
      <c r="U4652" s="1389"/>
      <c r="V4652" s="291">
        <f t="shared" ca="1" si="1291"/>
        <v>1890.7870000000003</v>
      </c>
      <c r="W4652" s="256">
        <f t="shared" ca="1" si="1300"/>
        <v>2</v>
      </c>
      <c r="X4652" s="256">
        <f t="shared" ca="1" si="1301"/>
        <v>1</v>
      </c>
      <c r="Y4652" s="256"/>
      <c r="Z4652" s="256"/>
      <c r="AA4652" s="292"/>
      <c r="AB4652" s="292"/>
      <c r="AC4652" s="292"/>
    </row>
    <row r="4653" spans="1:29" s="111" customFormat="1" ht="15.75" x14ac:dyDescent="0.2">
      <c r="A4653" s="288"/>
      <c r="B4653" s="368"/>
      <c r="C4653" s="365"/>
      <c r="D4653" s="369"/>
      <c r="E4653" s="370"/>
      <c r="F4653" s="369"/>
      <c r="G4653" s="369"/>
      <c r="H4653" s="369"/>
      <c r="I4653" s="369"/>
      <c r="J4653" s="371"/>
      <c r="K4653" s="372"/>
      <c r="L4653" s="373"/>
      <c r="M4653" s="374"/>
      <c r="N4653" s="374"/>
      <c r="O4653" s="374"/>
      <c r="P4653" s="374"/>
      <c r="Q4653" s="374"/>
      <c r="R4653" s="375"/>
      <c r="S4653" s="376"/>
      <c r="T4653" s="377"/>
      <c r="U4653" s="378"/>
      <c r="V4653" s="379">
        <f ca="1">SUM(V4613:V4652)</f>
        <v>75631.479999999938</v>
      </c>
      <c r="W4653" s="256">
        <f t="shared" ref="W4653" ca="1" si="1306">IF(LEFT(_xlfn.FORMULATEXT(V4653),3)="=SO",1,IF(COUNTA(A4653:U4653)=0,0,2))</f>
        <v>1</v>
      </c>
      <c r="X4653" s="256">
        <f t="shared" ref="X4653:X4656" ca="1" si="1307">IF(COUNTA(OFFSET(A4652,1,0))-COUNTA(A4652)=-1,0,1)</f>
        <v>0</v>
      </c>
      <c r="Y4653" s="250"/>
      <c r="Z4653" s="250"/>
    </row>
    <row r="4654" spans="1:29" s="293" customFormat="1" ht="33" customHeight="1" x14ac:dyDescent="0.2">
      <c r="A4654" s="288"/>
      <c r="B4654" s="1374" t="str">
        <f>VLOOKUP(A4692,'11 - FINANCEIRO'!_xlnm.Print_Area,1,FALSE)</f>
        <v>6.1.18</v>
      </c>
      <c r="C4654" s="1376" t="str">
        <f>VLOOKUP(A4692,'11 - FINANCEIRO'!_xlnm.Print_Area,3,FALSE)</f>
        <v>Enrocamento rachão  espalhado  - rachão reciclado comercial - fornecimento e assentamento</v>
      </c>
      <c r="D4654" s="1378" t="s">
        <v>500</v>
      </c>
      <c r="E4654" s="1379"/>
      <c r="F4654" s="1379"/>
      <c r="G4654" s="1379"/>
      <c r="H4654" s="1379"/>
      <c r="I4654" s="1380"/>
      <c r="J4654" s="1338" t="s">
        <v>478</v>
      </c>
      <c r="K4654" s="1338" t="s">
        <v>479</v>
      </c>
      <c r="L4654" s="1338" t="s">
        <v>480</v>
      </c>
      <c r="M4654" s="1338" t="s">
        <v>481</v>
      </c>
      <c r="N4654" s="1338" t="s">
        <v>482</v>
      </c>
      <c r="O4654" s="1338" t="s">
        <v>483</v>
      </c>
      <c r="P4654" s="1338" t="s">
        <v>484</v>
      </c>
      <c r="Q4654" s="1338" t="s">
        <v>296</v>
      </c>
      <c r="R4654" s="1336" t="s">
        <v>296</v>
      </c>
      <c r="S4654" s="1338" t="s">
        <v>486</v>
      </c>
      <c r="T4654" s="1338" t="s">
        <v>487</v>
      </c>
      <c r="U4654" s="1340" t="s">
        <v>488</v>
      </c>
      <c r="V4654" s="291">
        <f t="shared" ca="1" si="1291"/>
        <v>1981.3039999999992</v>
      </c>
      <c r="W4654" s="256">
        <f ca="1">IF(LEFT(_xlfn.FORMULATEXT(V4654),3)="=SO",1,IF(COUNTA(A4654:U4654)=0,0,2))</f>
        <v>2</v>
      </c>
      <c r="X4654" s="256">
        <f t="shared" ca="1" si="1307"/>
        <v>1</v>
      </c>
      <c r="Y4654" s="256"/>
      <c r="Z4654" s="256"/>
      <c r="AA4654" s="292"/>
      <c r="AB4654" s="292"/>
      <c r="AC4654" s="292"/>
    </row>
    <row r="4655" spans="1:29" s="293" customFormat="1" ht="33" customHeight="1" x14ac:dyDescent="0.2">
      <c r="A4655" s="288"/>
      <c r="B4655" s="1375"/>
      <c r="C4655" s="1377"/>
      <c r="D4655" s="1342" t="s">
        <v>489</v>
      </c>
      <c r="E4655" s="1343"/>
      <c r="F4655" s="1344"/>
      <c r="G4655" s="1345" t="s">
        <v>490</v>
      </c>
      <c r="H4655" s="1346"/>
      <c r="I4655" s="1347"/>
      <c r="J4655" s="1339"/>
      <c r="K4655" s="1339"/>
      <c r="L4655" s="1339"/>
      <c r="M4655" s="1339"/>
      <c r="N4655" s="1339"/>
      <c r="O4655" s="1339"/>
      <c r="P4655" s="1339" t="s">
        <v>491</v>
      </c>
      <c r="Q4655" s="1339"/>
      <c r="R4655" s="1337"/>
      <c r="S4655" s="1339"/>
      <c r="T4655" s="1339"/>
      <c r="U4655" s="1341"/>
      <c r="V4655" s="291">
        <f t="shared" ca="1" si="1291"/>
        <v>1981.3039999999992</v>
      </c>
      <c r="W4655" s="256">
        <f ca="1">IF(LEFT(_xlfn.FORMULATEXT(V4655),3)="=SO",1,IF(COUNTA(A4655:U4655)=0,0,2))</f>
        <v>2</v>
      </c>
      <c r="X4655" s="256">
        <f t="shared" ca="1" si="1307"/>
        <v>1</v>
      </c>
      <c r="Y4655" s="256"/>
      <c r="Z4655" s="256"/>
      <c r="AA4655" s="292"/>
      <c r="AB4655" s="292"/>
      <c r="AC4655" s="292">
        <f>3094+1142+1190+1808+690</f>
        <v>7924</v>
      </c>
    </row>
    <row r="4656" spans="1:29" s="293" customFormat="1" ht="15.75" x14ac:dyDescent="0.2">
      <c r="A4656" s="288"/>
      <c r="B4656" s="296"/>
      <c r="C4656" s="396"/>
      <c r="D4656" s="412"/>
      <c r="E4656" s="843"/>
      <c r="F4656" s="413"/>
      <c r="G4656" s="414"/>
      <c r="H4656" s="843"/>
      <c r="I4656" s="415"/>
      <c r="J4656" s="304"/>
      <c r="K4656" s="747"/>
      <c r="L4656" s="304"/>
      <c r="M4656" s="304"/>
      <c r="N4656" s="304"/>
      <c r="O4656" s="304"/>
      <c r="P4656" s="306"/>
      <c r="Q4656" s="304"/>
      <c r="R4656" s="307"/>
      <c r="S4656" s="308"/>
      <c r="T4656" s="309"/>
      <c r="U4656" s="902"/>
      <c r="V4656" s="291">
        <f t="shared" ca="1" si="1291"/>
        <v>1981.3039999999992</v>
      </c>
      <c r="W4656" s="256">
        <f ca="1">IF(LEFT(_xlfn.FORMULATEXT(V4656),3)="=SO",1,IF(COUNTA(A4656:U4656)=0,0,2))</f>
        <v>0</v>
      </c>
      <c r="X4656" s="256">
        <f t="shared" ca="1" si="1307"/>
        <v>1</v>
      </c>
      <c r="Y4656" s="256"/>
      <c r="Z4656" s="256"/>
      <c r="AA4656" s="292"/>
      <c r="AB4656" s="292"/>
      <c r="AC4656" s="292">
        <f>AC4655/1.5</f>
        <v>5282.666666666667</v>
      </c>
    </row>
    <row r="4657" spans="1:29" s="111" customFormat="1" ht="15" x14ac:dyDescent="0.2">
      <c r="A4657" s="399"/>
      <c r="B4657" s="494"/>
      <c r="C4657" s="900" t="s">
        <v>581</v>
      </c>
      <c r="D4657" s="419">
        <v>92</v>
      </c>
      <c r="E4657" s="849" t="s">
        <v>518</v>
      </c>
      <c r="F4657" s="420">
        <v>10</v>
      </c>
      <c r="G4657" s="419">
        <v>95</v>
      </c>
      <c r="H4657" s="849" t="s">
        <v>518</v>
      </c>
      <c r="I4657" s="420">
        <v>10</v>
      </c>
      <c r="J4657" s="560"/>
      <c r="K4657" s="555">
        <f t="shared" ref="K4657:K4668" si="1308">ABS((G4657*20+I4657)-(D4657*20+F4657))</f>
        <v>60</v>
      </c>
      <c r="L4657" s="555">
        <v>13</v>
      </c>
      <c r="M4657" s="555">
        <v>0.73</v>
      </c>
      <c r="N4657" s="555"/>
      <c r="O4657" s="741"/>
      <c r="P4657" s="555"/>
      <c r="Q4657" s="741"/>
      <c r="R4657" s="742">
        <f t="shared" ref="R4657:R4668" si="1309">PRODUCT(J4657:Q4657)</f>
        <v>569.4</v>
      </c>
      <c r="S4657" s="503" t="str">
        <f t="shared" ref="S4657:S4672" si="1310">$L$4690</f>
        <v>m³</v>
      </c>
      <c r="T4657" s="506">
        <v>25</v>
      </c>
      <c r="U4657" s="823"/>
      <c r="V4657" s="815">
        <f t="shared" ref="V4657:V4692" ca="1" si="1311">IF(OFFSET(V4657,1,1)=1,OFFSET(V4657,0,-4),OFFSET(V4657,1,0))</f>
        <v>1981.3039999999992</v>
      </c>
      <c r="W4657" s="250">
        <f t="shared" ref="W4657:W4693" ca="1" si="1312">IF(LEFT(_xlfn.FORMULATEXT(V4657),3)="=SO",1,IF(COUNTA(A4657:U4657)=0,0,2))</f>
        <v>2</v>
      </c>
      <c r="X4657" s="250">
        <f ca="1">IF(COUNTA(OFFSET(A4652,1,0))-COUNTA(A4652)=-1,0,1)</f>
        <v>0</v>
      </c>
      <c r="Y4657" s="250"/>
      <c r="Z4657" s="250"/>
      <c r="AC4657" s="111">
        <v>1219</v>
      </c>
    </row>
    <row r="4658" spans="1:29" s="111" customFormat="1" ht="15" x14ac:dyDescent="0.2">
      <c r="A4658" s="399"/>
      <c r="B4658" s="494"/>
      <c r="C4658" s="900" t="s">
        <v>581</v>
      </c>
      <c r="D4658" s="419">
        <v>89</v>
      </c>
      <c r="E4658" s="849" t="s">
        <v>518</v>
      </c>
      <c r="F4658" s="420">
        <v>10</v>
      </c>
      <c r="G4658" s="419">
        <v>92</v>
      </c>
      <c r="H4658" s="849" t="s">
        <v>518</v>
      </c>
      <c r="I4658" s="420">
        <v>10</v>
      </c>
      <c r="J4658" s="560"/>
      <c r="K4658" s="555">
        <f t="shared" si="1308"/>
        <v>60</v>
      </c>
      <c r="L4658" s="555">
        <v>13</v>
      </c>
      <c r="M4658" s="555">
        <v>0.88</v>
      </c>
      <c r="N4658" s="555"/>
      <c r="O4658" s="741"/>
      <c r="P4658" s="555"/>
      <c r="Q4658" s="741"/>
      <c r="R4658" s="742">
        <f t="shared" si="1309"/>
        <v>686.4</v>
      </c>
      <c r="S4658" s="1098" t="str">
        <f t="shared" si="1310"/>
        <v>m³</v>
      </c>
      <c r="T4658" s="506">
        <v>25</v>
      </c>
      <c r="U4658" s="823"/>
      <c r="V4658" s="815">
        <f t="shared" ca="1" si="1311"/>
        <v>1981.3039999999992</v>
      </c>
      <c r="W4658" s="250">
        <f t="shared" ca="1" si="1312"/>
        <v>2</v>
      </c>
      <c r="X4658" s="250">
        <f ca="1">IF(COUNTA(OFFSET(A4652,1,0))-COUNTA(A4652)=-1,0,1)</f>
        <v>0</v>
      </c>
      <c r="Y4658" s="250"/>
      <c r="Z4658" s="250"/>
      <c r="AC4658" s="111">
        <f>(AC4657+AC4656)/1.15</f>
        <v>5653.6231884057979</v>
      </c>
    </row>
    <row r="4659" spans="1:29" s="111" customFormat="1" ht="15" x14ac:dyDescent="0.2">
      <c r="A4659" s="399"/>
      <c r="B4659" s="494"/>
      <c r="C4659" s="900" t="s">
        <v>581</v>
      </c>
      <c r="D4659" s="419">
        <v>86</v>
      </c>
      <c r="E4659" s="849" t="s">
        <v>518</v>
      </c>
      <c r="F4659" s="420">
        <v>10</v>
      </c>
      <c r="G4659" s="419">
        <v>89</v>
      </c>
      <c r="H4659" s="849" t="s">
        <v>518</v>
      </c>
      <c r="I4659" s="420">
        <v>10</v>
      </c>
      <c r="J4659" s="560"/>
      <c r="K4659" s="555">
        <f t="shared" si="1308"/>
        <v>60</v>
      </c>
      <c r="L4659" s="555">
        <v>13</v>
      </c>
      <c r="M4659" s="555">
        <v>1.04</v>
      </c>
      <c r="N4659" s="555"/>
      <c r="O4659" s="741"/>
      <c r="P4659" s="555"/>
      <c r="Q4659" s="741"/>
      <c r="R4659" s="742">
        <f t="shared" si="1309"/>
        <v>811.2</v>
      </c>
      <c r="S4659" s="1098" t="str">
        <f t="shared" si="1310"/>
        <v>m³</v>
      </c>
      <c r="T4659" s="506">
        <v>25</v>
      </c>
      <c r="U4659" s="823"/>
      <c r="V4659" s="815">
        <f t="shared" ca="1" si="1311"/>
        <v>1981.3039999999992</v>
      </c>
      <c r="W4659" s="250">
        <f t="shared" ca="1" si="1312"/>
        <v>2</v>
      </c>
      <c r="X4659" s="250">
        <f ca="1">IF(COUNTA(OFFSET(A4653,1,0))-COUNTA(A4653)=-1,0,1)</f>
        <v>1</v>
      </c>
      <c r="Y4659" s="250"/>
      <c r="Z4659" s="250"/>
    </row>
    <row r="4660" spans="1:29" s="111" customFormat="1" ht="15" x14ac:dyDescent="0.2">
      <c r="A4660" s="399"/>
      <c r="B4660" s="494"/>
      <c r="C4660" s="900" t="s">
        <v>581</v>
      </c>
      <c r="D4660" s="419">
        <v>80</v>
      </c>
      <c r="E4660" s="849" t="s">
        <v>518</v>
      </c>
      <c r="F4660" s="420">
        <v>8</v>
      </c>
      <c r="G4660" s="419">
        <v>86</v>
      </c>
      <c r="H4660" s="849" t="s">
        <v>518</v>
      </c>
      <c r="I4660" s="420">
        <v>10</v>
      </c>
      <c r="J4660" s="560"/>
      <c r="K4660" s="555">
        <f t="shared" si="1308"/>
        <v>122</v>
      </c>
      <c r="L4660" s="555">
        <v>13</v>
      </c>
      <c r="M4660" s="555">
        <v>0.8</v>
      </c>
      <c r="N4660" s="555"/>
      <c r="O4660" s="741"/>
      <c r="P4660" s="555"/>
      <c r="Q4660" s="741"/>
      <c r="R4660" s="742">
        <f t="shared" si="1309"/>
        <v>1268.8000000000002</v>
      </c>
      <c r="S4660" s="1098" t="str">
        <f t="shared" si="1310"/>
        <v>m³</v>
      </c>
      <c r="T4660" s="506">
        <v>28</v>
      </c>
      <c r="U4660" s="823"/>
      <c r="V4660" s="815">
        <f t="shared" ca="1" si="1311"/>
        <v>1981.3039999999992</v>
      </c>
      <c r="W4660" s="250">
        <f ca="1">IF(LEFT(_xlfn.FORMULATEXT(V4660),3)="=SO",1,IF(COUNTA(A4660:U4660)=0,0,2))</f>
        <v>2</v>
      </c>
      <c r="X4660" s="250">
        <f ca="1">IF(COUNTA(OFFSET(A4654,1,0))-COUNTA(A4654)=-1,0,1)</f>
        <v>1</v>
      </c>
      <c r="Y4660" s="250"/>
      <c r="Z4660" s="250"/>
    </row>
    <row r="4661" spans="1:29" s="111" customFormat="1" ht="15" x14ac:dyDescent="0.2">
      <c r="A4661" s="399"/>
      <c r="B4661" s="494"/>
      <c r="C4661" s="900" t="s">
        <v>581</v>
      </c>
      <c r="D4661" s="419">
        <v>77</v>
      </c>
      <c r="E4661" s="849" t="s">
        <v>518</v>
      </c>
      <c r="F4661" s="420">
        <v>10</v>
      </c>
      <c r="G4661" s="419">
        <v>79</v>
      </c>
      <c r="H4661" s="849" t="s">
        <v>518</v>
      </c>
      <c r="I4661" s="420">
        <v>16</v>
      </c>
      <c r="J4661" s="560"/>
      <c r="K4661" s="555">
        <f t="shared" si="1308"/>
        <v>46</v>
      </c>
      <c r="L4661" s="555">
        <v>13</v>
      </c>
      <c r="M4661" s="555">
        <v>0.65</v>
      </c>
      <c r="N4661" s="555"/>
      <c r="O4661" s="741"/>
      <c r="P4661" s="555"/>
      <c r="Q4661" s="741"/>
      <c r="R4661" s="742">
        <f t="shared" si="1309"/>
        <v>388.7</v>
      </c>
      <c r="S4661" s="1098" t="str">
        <f t="shared" si="1310"/>
        <v>m³</v>
      </c>
      <c r="T4661" s="506">
        <v>29</v>
      </c>
      <c r="U4661" s="823"/>
      <c r="V4661" s="815">
        <f t="shared" ca="1" si="1311"/>
        <v>1981.3039999999992</v>
      </c>
      <c r="W4661" s="250">
        <f ca="1">IF(LEFT(_xlfn.FORMULATEXT(V4661),3)="=SO",1,IF(COUNTA(A4661:U4661)=0,0,2))</f>
        <v>2</v>
      </c>
      <c r="X4661" s="250">
        <f ca="1">IF(COUNTA(OFFSET(A4655,1,0))-COUNTA(A4655)=-1,0,1)</f>
        <v>1</v>
      </c>
      <c r="Y4661" s="250"/>
      <c r="Z4661" s="250"/>
    </row>
    <row r="4662" spans="1:29" s="111" customFormat="1" ht="15" x14ac:dyDescent="0.2">
      <c r="A4662" s="399"/>
      <c r="B4662" s="494"/>
      <c r="C4662" s="900" t="s">
        <v>581</v>
      </c>
      <c r="D4662" s="419">
        <v>73</v>
      </c>
      <c r="E4662" s="849" t="s">
        <v>518</v>
      </c>
      <c r="F4662" s="420">
        <v>10</v>
      </c>
      <c r="G4662" s="419">
        <v>77</v>
      </c>
      <c r="H4662" s="849" t="s">
        <v>518</v>
      </c>
      <c r="I4662" s="420">
        <v>10</v>
      </c>
      <c r="J4662" s="560"/>
      <c r="K4662" s="555">
        <f t="shared" si="1308"/>
        <v>80</v>
      </c>
      <c r="L4662" s="555">
        <v>13</v>
      </c>
      <c r="M4662" s="555">
        <v>0.65</v>
      </c>
      <c r="N4662" s="555"/>
      <c r="O4662" s="741"/>
      <c r="P4662" s="555"/>
      <c r="Q4662" s="741"/>
      <c r="R4662" s="742">
        <f t="shared" si="1309"/>
        <v>676</v>
      </c>
      <c r="S4662" s="1098" t="str">
        <f t="shared" si="1310"/>
        <v>m³</v>
      </c>
      <c r="T4662" s="506">
        <v>30</v>
      </c>
      <c r="U4662" s="823"/>
      <c r="V4662" s="815">
        <f t="shared" ca="1" si="1311"/>
        <v>1981.3039999999992</v>
      </c>
      <c r="W4662" s="250">
        <f ca="1">IF(LEFT(_xlfn.FORMULATEXT(V4662),3)="=SO",1,IF(COUNTA(A4662:U4662)=0,0,2))</f>
        <v>2</v>
      </c>
      <c r="X4662" s="250">
        <f ca="1">IF(COUNTA(OFFSET(A4656,1,0))-COUNTA(A4656)=-1,0,1)</f>
        <v>1</v>
      </c>
      <c r="Y4662" s="250"/>
      <c r="Z4662" s="250"/>
    </row>
    <row r="4663" spans="1:29" s="111" customFormat="1" ht="15" x14ac:dyDescent="0.2">
      <c r="A4663" s="399"/>
      <c r="B4663" s="844"/>
      <c r="C4663" s="901" t="s">
        <v>581</v>
      </c>
      <c r="D4663" s="419">
        <v>71</v>
      </c>
      <c r="E4663" s="849" t="s">
        <v>518</v>
      </c>
      <c r="F4663" s="420">
        <v>0</v>
      </c>
      <c r="G4663" s="419">
        <v>73</v>
      </c>
      <c r="H4663" s="849" t="s">
        <v>518</v>
      </c>
      <c r="I4663" s="420">
        <v>0</v>
      </c>
      <c r="J4663" s="317"/>
      <c r="K4663" s="422">
        <f t="shared" si="1308"/>
        <v>40</v>
      </c>
      <c r="L4663" s="422">
        <v>13</v>
      </c>
      <c r="M4663" s="422">
        <v>1.1000000000000001</v>
      </c>
      <c r="N4663" s="422"/>
      <c r="O4663" s="537"/>
      <c r="P4663" s="422"/>
      <c r="Q4663" s="537"/>
      <c r="R4663" s="542">
        <f t="shared" ref="R4663:R4664" si="1313">(K4663*L4663*M4663)/1.15</f>
        <v>497.39130434782612</v>
      </c>
      <c r="S4663" s="1098" t="str">
        <f t="shared" si="1310"/>
        <v>m³</v>
      </c>
      <c r="T4663" s="320">
        <v>31</v>
      </c>
      <c r="U4663" s="381"/>
      <c r="V4663" s="815">
        <f t="shared" ca="1" si="1311"/>
        <v>1981.3039999999992</v>
      </c>
      <c r="W4663" s="250">
        <f t="shared" ref="W4663:W4665" ca="1" si="1314">IF(LEFT(_xlfn.FORMULATEXT(V4663),3)="=SO",1,IF(COUNTA(A4663:U4663)=0,0,2))</f>
        <v>2</v>
      </c>
      <c r="X4663" s="250">
        <f t="shared" ref="X4663:X4665" ca="1" si="1315">IF(COUNTA(OFFSET(A4657,1,0))-COUNTA(A4657)=-1,0,1)</f>
        <v>1</v>
      </c>
      <c r="Y4663" s="250"/>
      <c r="Z4663" s="250"/>
    </row>
    <row r="4664" spans="1:29" s="111" customFormat="1" ht="15" x14ac:dyDescent="0.2">
      <c r="A4664" s="399"/>
      <c r="B4664" s="844"/>
      <c r="C4664" s="901" t="s">
        <v>581</v>
      </c>
      <c r="D4664" s="419">
        <v>70</v>
      </c>
      <c r="E4664" s="849" t="s">
        <v>518</v>
      </c>
      <c r="F4664" s="420">
        <v>0</v>
      </c>
      <c r="G4664" s="419">
        <v>71</v>
      </c>
      <c r="H4664" s="849" t="s">
        <v>518</v>
      </c>
      <c r="I4664" s="420">
        <v>0</v>
      </c>
      <c r="J4664" s="317"/>
      <c r="K4664" s="422">
        <f t="shared" si="1308"/>
        <v>20</v>
      </c>
      <c r="L4664" s="422">
        <v>13</v>
      </c>
      <c r="M4664" s="422">
        <v>1.1000000000000001</v>
      </c>
      <c r="N4664" s="422"/>
      <c r="O4664" s="537"/>
      <c r="P4664" s="422"/>
      <c r="Q4664" s="537"/>
      <c r="R4664" s="542">
        <f t="shared" si="1313"/>
        <v>248.69565217391306</v>
      </c>
      <c r="S4664" s="1098" t="str">
        <f t="shared" si="1310"/>
        <v>m³</v>
      </c>
      <c r="T4664" s="320">
        <v>32</v>
      </c>
      <c r="U4664" s="381"/>
      <c r="V4664" s="815">
        <f t="shared" ca="1" si="1311"/>
        <v>1981.3039999999992</v>
      </c>
      <c r="W4664" s="250">
        <f t="shared" ca="1" si="1314"/>
        <v>2</v>
      </c>
      <c r="X4664" s="250">
        <f t="shared" ca="1" si="1315"/>
        <v>1</v>
      </c>
      <c r="Y4664" s="250"/>
      <c r="Z4664" s="250"/>
    </row>
    <row r="4665" spans="1:29" s="111" customFormat="1" ht="15" x14ac:dyDescent="0.2">
      <c r="A4665" s="399"/>
      <c r="B4665" s="494"/>
      <c r="C4665" s="900" t="s">
        <v>581</v>
      </c>
      <c r="D4665" s="419">
        <v>68</v>
      </c>
      <c r="E4665" s="849" t="s">
        <v>518</v>
      </c>
      <c r="F4665" s="420">
        <v>0</v>
      </c>
      <c r="G4665" s="419">
        <v>70</v>
      </c>
      <c r="H4665" s="849" t="s">
        <v>518</v>
      </c>
      <c r="I4665" s="420">
        <v>0</v>
      </c>
      <c r="J4665" s="317"/>
      <c r="K4665" s="422">
        <f t="shared" si="1308"/>
        <v>40</v>
      </c>
      <c r="L4665" s="422">
        <v>13</v>
      </c>
      <c r="M4665" s="422">
        <v>0.65</v>
      </c>
      <c r="N4665" s="422"/>
      <c r="O4665" s="537"/>
      <c r="P4665" s="422"/>
      <c r="Q4665" s="537"/>
      <c r="R4665" s="542">
        <f t="shared" si="1309"/>
        <v>338</v>
      </c>
      <c r="S4665" s="1098" t="str">
        <f t="shared" si="1310"/>
        <v>m³</v>
      </c>
      <c r="T4665" s="320">
        <v>33</v>
      </c>
      <c r="U4665" s="823"/>
      <c r="V4665" s="815">
        <f t="shared" ca="1" si="1311"/>
        <v>1981.3039999999992</v>
      </c>
      <c r="W4665" s="250">
        <f t="shared" ca="1" si="1314"/>
        <v>2</v>
      </c>
      <c r="X4665" s="250">
        <f t="shared" ca="1" si="1315"/>
        <v>1</v>
      </c>
      <c r="Y4665" s="250"/>
      <c r="Z4665" s="250"/>
    </row>
    <row r="4666" spans="1:29" s="111" customFormat="1" ht="15" x14ac:dyDescent="0.2">
      <c r="A4666" s="399"/>
      <c r="B4666" s="494"/>
      <c r="C4666" s="550" t="s">
        <v>581</v>
      </c>
      <c r="D4666" s="974">
        <v>66</v>
      </c>
      <c r="E4666" s="849" t="s">
        <v>518</v>
      </c>
      <c r="F4666" s="1000">
        <v>10</v>
      </c>
      <c r="G4666" s="419">
        <v>68</v>
      </c>
      <c r="H4666" s="849" t="s">
        <v>518</v>
      </c>
      <c r="I4666" s="420">
        <v>0</v>
      </c>
      <c r="J4666" s="317"/>
      <c r="K4666" s="422">
        <f t="shared" si="1308"/>
        <v>30</v>
      </c>
      <c r="L4666" s="422">
        <v>13</v>
      </c>
      <c r="M4666" s="422">
        <v>0.65</v>
      </c>
      <c r="N4666" s="422"/>
      <c r="O4666" s="537"/>
      <c r="P4666" s="422"/>
      <c r="Q4666" s="537"/>
      <c r="R4666" s="542">
        <f t="shared" si="1309"/>
        <v>253.5</v>
      </c>
      <c r="S4666" s="1098" t="str">
        <f t="shared" si="1310"/>
        <v>m³</v>
      </c>
      <c r="T4666" s="320">
        <v>36</v>
      </c>
      <c r="U4666" s="823" t="s">
        <v>1188</v>
      </c>
      <c r="V4666" s="815">
        <f t="shared" ca="1" si="1311"/>
        <v>1981.3039999999992</v>
      </c>
      <c r="W4666" s="250">
        <f t="shared" ref="W4666:W4692" ca="1" si="1316">IF(LEFT(_xlfn.FORMULATEXT(V4666),3)="=SO",1,IF(COUNTA(A4666:U4666)=0,0,2))</f>
        <v>2</v>
      </c>
      <c r="X4666" s="250">
        <f t="shared" ref="X4666:X4677" ca="1" si="1317">IF(COUNTA(OFFSET(A4660,1,0))-COUNTA(A4660)=-1,0,1)</f>
        <v>1</v>
      </c>
      <c r="Y4666" s="250"/>
      <c r="Z4666" s="250"/>
    </row>
    <row r="4667" spans="1:29" s="111" customFormat="1" ht="15" x14ac:dyDescent="0.2">
      <c r="A4667" s="399"/>
      <c r="B4667" s="494"/>
      <c r="C4667" s="382" t="s">
        <v>581</v>
      </c>
      <c r="D4667" s="974">
        <v>65</v>
      </c>
      <c r="E4667" s="849" t="s">
        <v>518</v>
      </c>
      <c r="F4667" s="1000">
        <v>5</v>
      </c>
      <c r="G4667" s="974">
        <v>66</v>
      </c>
      <c r="H4667" s="849" t="s">
        <v>518</v>
      </c>
      <c r="I4667" s="941">
        <v>10</v>
      </c>
      <c r="J4667" s="317"/>
      <c r="K4667" s="422">
        <f t="shared" si="1308"/>
        <v>25</v>
      </c>
      <c r="L4667" s="422">
        <v>13</v>
      </c>
      <c r="M4667" s="422">
        <v>0.65</v>
      </c>
      <c r="N4667" s="422"/>
      <c r="O4667" s="537"/>
      <c r="P4667" s="422"/>
      <c r="Q4667" s="537"/>
      <c r="R4667" s="542">
        <f t="shared" si="1309"/>
        <v>211.25</v>
      </c>
      <c r="S4667" s="1098" t="str">
        <f t="shared" si="1310"/>
        <v>m³</v>
      </c>
      <c r="T4667" s="320">
        <v>36</v>
      </c>
      <c r="U4667" s="823" t="s">
        <v>1188</v>
      </c>
      <c r="V4667" s="815">
        <f t="shared" ca="1" si="1311"/>
        <v>1981.3039999999992</v>
      </c>
      <c r="W4667" s="250">
        <f t="shared" ca="1" si="1316"/>
        <v>2</v>
      </c>
      <c r="X4667" s="250">
        <f t="shared" ca="1" si="1317"/>
        <v>1</v>
      </c>
      <c r="Y4667" s="250"/>
      <c r="Z4667" s="250"/>
    </row>
    <row r="4668" spans="1:29" s="111" customFormat="1" ht="15" x14ac:dyDescent="0.2">
      <c r="A4668" s="399"/>
      <c r="B4668" s="494"/>
      <c r="C4668" s="900" t="s">
        <v>581</v>
      </c>
      <c r="D4668" s="974">
        <v>62</v>
      </c>
      <c r="E4668" s="849" t="s">
        <v>518</v>
      </c>
      <c r="F4668" s="1000">
        <v>5</v>
      </c>
      <c r="G4668" s="974">
        <v>65</v>
      </c>
      <c r="H4668" s="849" t="s">
        <v>518</v>
      </c>
      <c r="I4668" s="1000">
        <v>5</v>
      </c>
      <c r="J4668" s="317"/>
      <c r="K4668" s="422">
        <f t="shared" si="1308"/>
        <v>60</v>
      </c>
      <c r="L4668" s="422">
        <v>13</v>
      </c>
      <c r="M4668" s="422">
        <v>0.65</v>
      </c>
      <c r="N4668" s="422"/>
      <c r="O4668" s="537"/>
      <c r="P4668" s="422"/>
      <c r="Q4668" s="537"/>
      <c r="R4668" s="542">
        <f t="shared" si="1309"/>
        <v>507</v>
      </c>
      <c r="S4668" s="1098" t="str">
        <f t="shared" si="1310"/>
        <v>m³</v>
      </c>
      <c r="T4668" s="320">
        <v>35</v>
      </c>
      <c r="U4668" s="823"/>
      <c r="V4668" s="815">
        <f t="shared" ca="1" si="1311"/>
        <v>1981.3039999999992</v>
      </c>
      <c r="W4668" s="250">
        <f t="shared" ca="1" si="1316"/>
        <v>2</v>
      </c>
      <c r="X4668" s="250">
        <f t="shared" ca="1" si="1317"/>
        <v>1</v>
      </c>
      <c r="Y4668" s="250"/>
      <c r="Z4668" s="250"/>
    </row>
    <row r="4669" spans="1:29" s="111" customFormat="1" ht="15" x14ac:dyDescent="0.2">
      <c r="A4669" s="399"/>
      <c r="B4669" s="494"/>
      <c r="C4669" s="382" t="s">
        <v>581</v>
      </c>
      <c r="D4669" s="419">
        <v>60</v>
      </c>
      <c r="E4669" s="849" t="s">
        <v>518</v>
      </c>
      <c r="F4669" s="420">
        <v>0</v>
      </c>
      <c r="G4669" s="419">
        <v>62</v>
      </c>
      <c r="H4669" s="849" t="s">
        <v>518</v>
      </c>
      <c r="I4669" s="420">
        <v>0</v>
      </c>
      <c r="J4669" s="317"/>
      <c r="K4669" s="422">
        <f>ABS((G4669*20+I4669)-(D4669*20+F4669))</f>
        <v>40</v>
      </c>
      <c r="L4669" s="422">
        <v>13</v>
      </c>
      <c r="M4669" s="422">
        <v>0.65</v>
      </c>
      <c r="N4669" s="422"/>
      <c r="O4669" s="537"/>
      <c r="P4669" s="422"/>
      <c r="Q4669" s="537"/>
      <c r="R4669" s="542">
        <f t="shared" ref="R4669:R4687" si="1318">(K4669*L4669*M4669)/1.15</f>
        <v>293.91304347826087</v>
      </c>
      <c r="S4669" s="1098" t="str">
        <f t="shared" si="1310"/>
        <v>m³</v>
      </c>
      <c r="T4669" s="320">
        <v>36</v>
      </c>
      <c r="U4669" s="381" t="s">
        <v>1005</v>
      </c>
      <c r="V4669" s="815">
        <f t="shared" ca="1" si="1311"/>
        <v>1981.3039999999992</v>
      </c>
      <c r="W4669" s="250">
        <f t="shared" ca="1" si="1316"/>
        <v>2</v>
      </c>
      <c r="X4669" s="250">
        <f t="shared" ca="1" si="1317"/>
        <v>1</v>
      </c>
      <c r="Y4669" s="250"/>
      <c r="Z4669" s="250"/>
    </row>
    <row r="4670" spans="1:29" s="111" customFormat="1" ht="15" x14ac:dyDescent="0.2">
      <c r="A4670" s="399"/>
      <c r="B4670" s="494"/>
      <c r="C4670" s="382" t="s">
        <v>581</v>
      </c>
      <c r="D4670" s="419">
        <v>57</v>
      </c>
      <c r="E4670" s="849" t="s">
        <v>518</v>
      </c>
      <c r="F4670" s="420">
        <v>16</v>
      </c>
      <c r="G4670" s="419">
        <v>60</v>
      </c>
      <c r="H4670" s="849" t="s">
        <v>518</v>
      </c>
      <c r="I4670" s="420">
        <v>0</v>
      </c>
      <c r="J4670" s="317"/>
      <c r="K4670" s="422">
        <f>ABS((G4670*20+I4670)-(D4670*20+F4670))</f>
        <v>44</v>
      </c>
      <c r="L4670" s="422">
        <v>13</v>
      </c>
      <c r="M4670" s="422">
        <v>0.65</v>
      </c>
      <c r="N4670" s="422"/>
      <c r="O4670" s="537"/>
      <c r="P4670" s="422"/>
      <c r="Q4670" s="537"/>
      <c r="R4670" s="542">
        <f t="shared" si="1318"/>
        <v>323.304347826087</v>
      </c>
      <c r="S4670" s="1098" t="str">
        <f t="shared" si="1310"/>
        <v>m³</v>
      </c>
      <c r="T4670" s="320">
        <v>37</v>
      </c>
      <c r="U4670" s="823"/>
      <c r="V4670" s="815">
        <f t="shared" ca="1" si="1311"/>
        <v>1981.3039999999992</v>
      </c>
      <c r="W4670" s="250">
        <f t="shared" ca="1" si="1316"/>
        <v>2</v>
      </c>
      <c r="X4670" s="250">
        <f t="shared" ca="1" si="1317"/>
        <v>1</v>
      </c>
      <c r="Y4670" s="250"/>
      <c r="Z4670" s="250"/>
    </row>
    <row r="4671" spans="1:29" s="111" customFormat="1" ht="15" x14ac:dyDescent="0.2">
      <c r="A4671" s="399"/>
      <c r="B4671" s="494"/>
      <c r="C4671" s="382" t="s">
        <v>581</v>
      </c>
      <c r="D4671" s="419">
        <v>55</v>
      </c>
      <c r="E4671" s="849" t="s">
        <v>518</v>
      </c>
      <c r="F4671" s="420">
        <v>10</v>
      </c>
      <c r="G4671" s="419">
        <v>57</v>
      </c>
      <c r="H4671" s="849" t="s">
        <v>518</v>
      </c>
      <c r="I4671" s="420">
        <v>16</v>
      </c>
      <c r="J4671" s="317"/>
      <c r="K4671" s="422">
        <f>ABS((G4671*20+I4671)-(D4671*20+F4671))</f>
        <v>46</v>
      </c>
      <c r="L4671" s="422">
        <v>13</v>
      </c>
      <c r="M4671" s="422">
        <v>0.65</v>
      </c>
      <c r="N4671" s="422"/>
      <c r="O4671" s="537"/>
      <c r="P4671" s="422"/>
      <c r="Q4671" s="537"/>
      <c r="R4671" s="542">
        <f>(K4671*L4671*M4671)/1.15</f>
        <v>338</v>
      </c>
      <c r="S4671" s="1098" t="str">
        <f t="shared" si="1310"/>
        <v>m³</v>
      </c>
      <c r="T4671" s="320">
        <v>38</v>
      </c>
      <c r="U4671" s="335" t="s">
        <v>1013</v>
      </c>
      <c r="V4671" s="815">
        <f t="shared" ca="1" si="1311"/>
        <v>1981.3039999999992</v>
      </c>
      <c r="W4671" s="250">
        <f t="shared" ca="1" si="1316"/>
        <v>2</v>
      </c>
      <c r="X4671" s="250">
        <f t="shared" ca="1" si="1317"/>
        <v>1</v>
      </c>
      <c r="Y4671" s="250"/>
      <c r="Z4671" s="250"/>
    </row>
    <row r="4672" spans="1:29" s="111" customFormat="1" ht="15" x14ac:dyDescent="0.2">
      <c r="A4672" s="399"/>
      <c r="B4672" s="494"/>
      <c r="C4672" s="382" t="s">
        <v>581</v>
      </c>
      <c r="D4672" s="419">
        <v>51</v>
      </c>
      <c r="E4672" s="849" t="s">
        <v>518</v>
      </c>
      <c r="F4672" s="420">
        <v>8</v>
      </c>
      <c r="G4672" s="419">
        <v>55</v>
      </c>
      <c r="H4672" s="849" t="s">
        <v>518</v>
      </c>
      <c r="I4672" s="420">
        <v>10</v>
      </c>
      <c r="J4672" s="317"/>
      <c r="K4672" s="422">
        <f t="shared" ref="K4672:K4677" si="1319">ABS((G4672*20+I4672)-(D4672*20+F4672))</f>
        <v>82</v>
      </c>
      <c r="L4672" s="422">
        <v>13</v>
      </c>
      <c r="M4672" s="422">
        <v>0.65</v>
      </c>
      <c r="N4672" s="422"/>
      <c r="O4672" s="537"/>
      <c r="P4672" s="422"/>
      <c r="Q4672" s="537"/>
      <c r="R4672" s="542">
        <v>176.21700000000001</v>
      </c>
      <c r="S4672" s="1098" t="str">
        <f t="shared" si="1310"/>
        <v>m³</v>
      </c>
      <c r="T4672" s="320">
        <v>39</v>
      </c>
      <c r="U4672" s="1106">
        <v>45962</v>
      </c>
      <c r="V4672" s="815">
        <f t="shared" ca="1" si="1311"/>
        <v>1981.3039999999992</v>
      </c>
      <c r="W4672" s="250">
        <f t="shared" ca="1" si="1316"/>
        <v>2</v>
      </c>
      <c r="X4672" s="250">
        <f t="shared" ca="1" si="1317"/>
        <v>1</v>
      </c>
      <c r="Y4672" s="250"/>
      <c r="Z4672" s="250"/>
    </row>
    <row r="4673" spans="1:26" s="111" customFormat="1" ht="15" x14ac:dyDescent="0.2">
      <c r="A4673" s="399"/>
      <c r="B4673" s="494"/>
      <c r="C4673" s="382" t="s">
        <v>581</v>
      </c>
      <c r="D4673" s="419">
        <v>49</v>
      </c>
      <c r="E4673" s="849" t="s">
        <v>518</v>
      </c>
      <c r="F4673" s="420">
        <v>13</v>
      </c>
      <c r="G4673" s="419">
        <v>51</v>
      </c>
      <c r="H4673" s="849" t="s">
        <v>518</v>
      </c>
      <c r="I4673" s="420">
        <v>8</v>
      </c>
      <c r="J4673" s="317"/>
      <c r="K4673" s="422">
        <f t="shared" si="1319"/>
        <v>35</v>
      </c>
      <c r="L4673" s="422">
        <v>13</v>
      </c>
      <c r="M4673" s="422">
        <v>0.65</v>
      </c>
      <c r="N4673" s="422"/>
      <c r="O4673" s="537"/>
      <c r="P4673" s="422"/>
      <c r="Q4673" s="537"/>
      <c r="R4673" s="542">
        <f t="shared" ref="R4673:R4677" si="1320">(K4673*L4673*M4673)/1.15</f>
        <v>257.17391304347831</v>
      </c>
      <c r="S4673" s="334" t="str">
        <f t="shared" ref="S4673:S4677" si="1321">$S$1407</f>
        <v>m³</v>
      </c>
      <c r="T4673" s="320">
        <v>44</v>
      </c>
      <c r="U4673" s="1210"/>
      <c r="V4673" s="815">
        <f t="shared" ca="1" si="1311"/>
        <v>1981.3039999999992</v>
      </c>
      <c r="W4673" s="250">
        <f t="shared" ca="1" si="1316"/>
        <v>2</v>
      </c>
      <c r="X4673" s="250">
        <f t="shared" ca="1" si="1317"/>
        <v>1</v>
      </c>
      <c r="Y4673" s="250"/>
      <c r="Z4673" s="250"/>
    </row>
    <row r="4674" spans="1:26" s="111" customFormat="1" ht="15" x14ac:dyDescent="0.2">
      <c r="A4674" s="399"/>
      <c r="B4674" s="494"/>
      <c r="C4674" s="382" t="s">
        <v>581</v>
      </c>
      <c r="D4674" s="419">
        <v>48</v>
      </c>
      <c r="E4674" s="849" t="s">
        <v>518</v>
      </c>
      <c r="F4674" s="420">
        <v>8</v>
      </c>
      <c r="G4674" s="419">
        <v>49</v>
      </c>
      <c r="H4674" s="849" t="s">
        <v>518</v>
      </c>
      <c r="I4674" s="420">
        <v>13</v>
      </c>
      <c r="J4674" s="317"/>
      <c r="K4674" s="422">
        <f t="shared" si="1319"/>
        <v>25</v>
      </c>
      <c r="L4674" s="422">
        <v>13</v>
      </c>
      <c r="M4674" s="422">
        <v>0.65</v>
      </c>
      <c r="N4674" s="422"/>
      <c r="O4674" s="537"/>
      <c r="P4674" s="422"/>
      <c r="Q4674" s="537"/>
      <c r="R4674" s="542">
        <f t="shared" si="1320"/>
        <v>183.69565217391306</v>
      </c>
      <c r="S4674" s="334" t="str">
        <f t="shared" si="1321"/>
        <v>m³</v>
      </c>
      <c r="T4674" s="320">
        <v>44</v>
      </c>
      <c r="U4674" s="1210"/>
      <c r="V4674" s="815">
        <f t="shared" ca="1" si="1311"/>
        <v>1981.3039999999992</v>
      </c>
      <c r="W4674" s="250">
        <f t="shared" ca="1" si="1316"/>
        <v>2</v>
      </c>
      <c r="X4674" s="250">
        <f t="shared" ca="1" si="1317"/>
        <v>1</v>
      </c>
      <c r="Y4674" s="250"/>
      <c r="Z4674" s="250"/>
    </row>
    <row r="4675" spans="1:26" s="111" customFormat="1" ht="15" x14ac:dyDescent="0.2">
      <c r="A4675" s="399"/>
      <c r="B4675" s="494"/>
      <c r="C4675" s="382" t="s">
        <v>581</v>
      </c>
      <c r="D4675" s="419">
        <v>45</v>
      </c>
      <c r="E4675" s="849" t="s">
        <v>518</v>
      </c>
      <c r="F4675" s="420">
        <v>6</v>
      </c>
      <c r="G4675" s="419">
        <v>48</v>
      </c>
      <c r="H4675" s="849" t="s">
        <v>518</v>
      </c>
      <c r="I4675" s="420">
        <v>8</v>
      </c>
      <c r="J4675" s="317"/>
      <c r="K4675" s="422">
        <f t="shared" si="1319"/>
        <v>62</v>
      </c>
      <c r="L4675" s="422">
        <v>13</v>
      </c>
      <c r="M4675" s="422">
        <v>0.65</v>
      </c>
      <c r="N4675" s="422"/>
      <c r="O4675" s="537"/>
      <c r="P4675" s="422"/>
      <c r="Q4675" s="537"/>
      <c r="R4675" s="542">
        <f t="shared" si="1320"/>
        <v>455.56521739130437</v>
      </c>
      <c r="S4675" s="334" t="str">
        <f t="shared" si="1321"/>
        <v>m³</v>
      </c>
      <c r="T4675" s="320">
        <v>44</v>
      </c>
      <c r="U4675" s="1210"/>
      <c r="V4675" s="815">
        <f t="shared" ca="1" si="1311"/>
        <v>1981.3039999999992</v>
      </c>
      <c r="W4675" s="250">
        <f t="shared" ca="1" si="1316"/>
        <v>2</v>
      </c>
      <c r="X4675" s="250">
        <f t="shared" ca="1" si="1317"/>
        <v>1</v>
      </c>
      <c r="Y4675" s="250"/>
      <c r="Z4675" s="250"/>
    </row>
    <row r="4676" spans="1:26" s="111" customFormat="1" ht="15" x14ac:dyDescent="0.2">
      <c r="A4676" s="399"/>
      <c r="B4676" s="494"/>
      <c r="C4676" s="382" t="s">
        <v>581</v>
      </c>
      <c r="D4676" s="419">
        <v>42</v>
      </c>
      <c r="E4676" s="849" t="s">
        <v>518</v>
      </c>
      <c r="F4676" s="420">
        <v>3</v>
      </c>
      <c r="G4676" s="419">
        <v>45</v>
      </c>
      <c r="H4676" s="849" t="s">
        <v>518</v>
      </c>
      <c r="I4676" s="420">
        <v>6</v>
      </c>
      <c r="J4676" s="317"/>
      <c r="K4676" s="422">
        <f t="shared" si="1319"/>
        <v>63</v>
      </c>
      <c r="L4676" s="422">
        <v>13</v>
      </c>
      <c r="M4676" s="422">
        <v>0.65</v>
      </c>
      <c r="N4676" s="422"/>
      <c r="O4676" s="537"/>
      <c r="P4676" s="422"/>
      <c r="Q4676" s="537"/>
      <c r="R4676" s="542">
        <f t="shared" si="1320"/>
        <v>462.91304347826093</v>
      </c>
      <c r="S4676" s="334" t="str">
        <f t="shared" si="1321"/>
        <v>m³</v>
      </c>
      <c r="T4676" s="320">
        <v>44</v>
      </c>
      <c r="U4676" s="1210"/>
      <c r="V4676" s="815">
        <f t="shared" ca="1" si="1311"/>
        <v>1981.3039999999992</v>
      </c>
      <c r="W4676" s="250">
        <f t="shared" ca="1" si="1316"/>
        <v>2</v>
      </c>
      <c r="X4676" s="250">
        <f t="shared" ca="1" si="1317"/>
        <v>1</v>
      </c>
      <c r="Y4676" s="250"/>
      <c r="Z4676" s="250"/>
    </row>
    <row r="4677" spans="1:26" s="111" customFormat="1" ht="15" x14ac:dyDescent="0.2">
      <c r="A4677" s="399"/>
      <c r="B4677" s="494"/>
      <c r="C4677" s="382" t="s">
        <v>581</v>
      </c>
      <c r="D4677" s="419">
        <v>39</v>
      </c>
      <c r="E4677" s="849" t="s">
        <v>518</v>
      </c>
      <c r="F4677" s="420">
        <v>2</v>
      </c>
      <c r="G4677" s="419">
        <v>42</v>
      </c>
      <c r="H4677" s="849" t="s">
        <v>518</v>
      </c>
      <c r="I4677" s="420">
        <v>3</v>
      </c>
      <c r="J4677" s="317"/>
      <c r="K4677" s="422">
        <f t="shared" si="1319"/>
        <v>61</v>
      </c>
      <c r="L4677" s="422">
        <v>13</v>
      </c>
      <c r="M4677" s="422">
        <v>0.65</v>
      </c>
      <c r="N4677" s="422"/>
      <c r="O4677" s="537"/>
      <c r="P4677" s="422"/>
      <c r="Q4677" s="537"/>
      <c r="R4677" s="542">
        <f t="shared" si="1320"/>
        <v>448.21739130434793</v>
      </c>
      <c r="S4677" s="334" t="str">
        <f t="shared" si="1321"/>
        <v>m³</v>
      </c>
      <c r="T4677" s="320">
        <v>44</v>
      </c>
      <c r="U4677" s="1210"/>
      <c r="V4677" s="815">
        <f t="shared" ca="1" si="1311"/>
        <v>1981.3039999999992</v>
      </c>
      <c r="W4677" s="250">
        <f t="shared" ca="1" si="1316"/>
        <v>2</v>
      </c>
      <c r="X4677" s="250">
        <f t="shared" ca="1" si="1317"/>
        <v>1</v>
      </c>
      <c r="Y4677" s="250"/>
      <c r="Z4677" s="250"/>
    </row>
    <row r="4678" spans="1:26" s="111" customFormat="1" ht="15" x14ac:dyDescent="0.2">
      <c r="A4678" s="399"/>
      <c r="B4678" s="494"/>
      <c r="C4678" s="382"/>
      <c r="D4678" s="419"/>
      <c r="E4678" s="849"/>
      <c r="F4678" s="420"/>
      <c r="G4678" s="419"/>
      <c r="H4678" s="849"/>
      <c r="I4678" s="420"/>
      <c r="J4678" s="317"/>
      <c r="K4678" s="422"/>
      <c r="L4678" s="422"/>
      <c r="M4678" s="422"/>
      <c r="N4678" s="422"/>
      <c r="O4678" s="537"/>
      <c r="P4678" s="422"/>
      <c r="Q4678" s="537"/>
      <c r="R4678" s="542"/>
      <c r="S4678" s="334"/>
      <c r="T4678" s="320"/>
      <c r="U4678" s="1210"/>
      <c r="V4678" s="815">
        <f t="shared" ca="1" si="1311"/>
        <v>1981.3039999999992</v>
      </c>
      <c r="W4678" s="250">
        <f t="shared" ref="W4678:W4691" ca="1" si="1322">IF(LEFT(_xlfn.FORMULATEXT(V4678),3)="=SO",1,IF(COUNTA(A4678:U4678)=0,0,2))</f>
        <v>0</v>
      </c>
      <c r="X4678" s="250">
        <f t="shared" ref="X4678:X4688" ca="1" si="1323">IF(COUNTA(OFFSET(A4672,1,0))-COUNTA(A4672)=-1,0,1)</f>
        <v>1</v>
      </c>
      <c r="Y4678" s="250"/>
      <c r="Z4678" s="250"/>
    </row>
    <row r="4679" spans="1:26" s="111" customFormat="1" ht="15" x14ac:dyDescent="0.2">
      <c r="A4679" s="399"/>
      <c r="B4679" s="494"/>
      <c r="C4679" s="382"/>
      <c r="D4679" s="419"/>
      <c r="E4679" s="849"/>
      <c r="F4679" s="420"/>
      <c r="G4679" s="419"/>
      <c r="H4679" s="849"/>
      <c r="I4679" s="420"/>
      <c r="J4679" s="317"/>
      <c r="K4679" s="422"/>
      <c r="L4679" s="422"/>
      <c r="M4679" s="422"/>
      <c r="N4679" s="422"/>
      <c r="O4679" s="537"/>
      <c r="P4679" s="422"/>
      <c r="Q4679" s="537"/>
      <c r="R4679" s="542"/>
      <c r="S4679" s="334"/>
      <c r="T4679" s="320"/>
      <c r="U4679" s="1210"/>
      <c r="V4679" s="815">
        <f t="shared" ca="1" si="1311"/>
        <v>1981.3039999999992</v>
      </c>
      <c r="W4679" s="250">
        <f t="shared" ca="1" si="1322"/>
        <v>0</v>
      </c>
      <c r="X4679" s="250">
        <f t="shared" ca="1" si="1323"/>
        <v>1</v>
      </c>
      <c r="Y4679" s="250"/>
      <c r="Z4679" s="250"/>
    </row>
    <row r="4680" spans="1:26" s="111" customFormat="1" ht="15" x14ac:dyDescent="0.2">
      <c r="A4680" s="399"/>
      <c r="B4680" s="494"/>
      <c r="C4680" s="382" t="s">
        <v>576</v>
      </c>
      <c r="D4680" s="419">
        <v>5</v>
      </c>
      <c r="E4680" s="849" t="s">
        <v>518</v>
      </c>
      <c r="F4680" s="420">
        <v>0</v>
      </c>
      <c r="G4680" s="419">
        <v>5</v>
      </c>
      <c r="H4680" s="849" t="s">
        <v>518</v>
      </c>
      <c r="I4680" s="420">
        <v>14.9</v>
      </c>
      <c r="J4680" s="317"/>
      <c r="K4680" s="422">
        <f>ABS((G4680*20+I4680)-(D4680*20+F4680))</f>
        <v>14.900000000000006</v>
      </c>
      <c r="L4680" s="422">
        <v>6</v>
      </c>
      <c r="M4680" s="422">
        <v>0.45</v>
      </c>
      <c r="N4680" s="422"/>
      <c r="O4680" s="537"/>
      <c r="P4680" s="422"/>
      <c r="Q4680" s="537"/>
      <c r="R4680" s="542">
        <f t="shared" si="1318"/>
        <v>34.982608695652189</v>
      </c>
      <c r="S4680" s="1098" t="str">
        <f>$L$4690</f>
        <v>m³</v>
      </c>
      <c r="T4680" s="320">
        <v>37</v>
      </c>
      <c r="U4680" s="823"/>
      <c r="V4680" s="815">
        <f t="shared" ca="1" si="1311"/>
        <v>1981.3039999999992</v>
      </c>
      <c r="W4680" s="250">
        <f t="shared" ca="1" si="1322"/>
        <v>2</v>
      </c>
      <c r="X4680" s="250">
        <f t="shared" ca="1" si="1323"/>
        <v>1</v>
      </c>
      <c r="Y4680" s="250"/>
      <c r="Z4680" s="250"/>
    </row>
    <row r="4681" spans="1:26" s="111" customFormat="1" ht="15" x14ac:dyDescent="0.2">
      <c r="A4681" s="399"/>
      <c r="B4681" s="494"/>
      <c r="C4681" s="382" t="s">
        <v>576</v>
      </c>
      <c r="D4681" s="419">
        <v>4</v>
      </c>
      <c r="E4681" s="849" t="s">
        <v>518</v>
      </c>
      <c r="F4681" s="420">
        <v>16</v>
      </c>
      <c r="G4681" s="419">
        <v>5</v>
      </c>
      <c r="H4681" s="849" t="s">
        <v>518</v>
      </c>
      <c r="I4681" s="420">
        <v>0</v>
      </c>
      <c r="J4681" s="317"/>
      <c r="K4681" s="422">
        <f>ABS((G4681*20+I4681)-(D4681*20+F4681))</f>
        <v>4</v>
      </c>
      <c r="L4681" s="422">
        <v>6</v>
      </c>
      <c r="M4681" s="422">
        <v>0.45</v>
      </c>
      <c r="N4681" s="422"/>
      <c r="O4681" s="537"/>
      <c r="P4681" s="422"/>
      <c r="Q4681" s="537"/>
      <c r="R4681" s="542">
        <f t="shared" si="1318"/>
        <v>9.3913043478260878</v>
      </c>
      <c r="S4681" s="1098" t="str">
        <f>$L$4690</f>
        <v>m³</v>
      </c>
      <c r="T4681" s="320">
        <v>38</v>
      </c>
      <c r="U4681" s="335" t="s">
        <v>1013</v>
      </c>
      <c r="V4681" s="815">
        <f t="shared" ca="1" si="1311"/>
        <v>1981.3039999999992</v>
      </c>
      <c r="W4681" s="250">
        <f t="shared" ca="1" si="1322"/>
        <v>2</v>
      </c>
      <c r="X4681" s="250">
        <f t="shared" ca="1" si="1323"/>
        <v>1</v>
      </c>
      <c r="Y4681" s="250"/>
      <c r="Z4681" s="250"/>
    </row>
    <row r="4682" spans="1:26" s="111" customFormat="1" ht="15" x14ac:dyDescent="0.2">
      <c r="A4682" s="399"/>
      <c r="B4682" s="494"/>
      <c r="C4682" s="382" t="s">
        <v>576</v>
      </c>
      <c r="D4682" s="419">
        <v>4</v>
      </c>
      <c r="E4682" s="849" t="s">
        <v>518</v>
      </c>
      <c r="F4682" s="420">
        <v>0</v>
      </c>
      <c r="G4682" s="419">
        <v>4</v>
      </c>
      <c r="H4682" s="849" t="s">
        <v>518</v>
      </c>
      <c r="I4682" s="420">
        <v>16</v>
      </c>
      <c r="J4682" s="317"/>
      <c r="K4682" s="422">
        <f t="shared" ref="K4682:K4687" si="1324">ABS((G4682*20+I4682)-(D4682*20+F4682))</f>
        <v>16</v>
      </c>
      <c r="L4682" s="422">
        <v>6</v>
      </c>
      <c r="M4682" s="422">
        <v>0.45</v>
      </c>
      <c r="N4682" s="422"/>
      <c r="O4682" s="537"/>
      <c r="P4682" s="422"/>
      <c r="Q4682" s="537"/>
      <c r="R4682" s="542">
        <f t="shared" si="1318"/>
        <v>37.565217391304351</v>
      </c>
      <c r="S4682" s="1098" t="str">
        <f>$L$4690</f>
        <v>m³</v>
      </c>
      <c r="T4682" s="320">
        <v>39</v>
      </c>
      <c r="U4682" s="1106">
        <v>45962</v>
      </c>
      <c r="V4682" s="815">
        <f t="shared" ca="1" si="1311"/>
        <v>1981.3039999999992</v>
      </c>
      <c r="W4682" s="250">
        <f t="shared" ca="1" si="1322"/>
        <v>2</v>
      </c>
      <c r="X4682" s="250">
        <f t="shared" ca="1" si="1323"/>
        <v>1</v>
      </c>
      <c r="Y4682" s="250"/>
      <c r="Z4682" s="250"/>
    </row>
    <row r="4683" spans="1:26" s="111" customFormat="1" ht="15" x14ac:dyDescent="0.2">
      <c r="A4683" s="399"/>
      <c r="B4683" s="494"/>
      <c r="C4683" s="382" t="s">
        <v>576</v>
      </c>
      <c r="D4683" s="419">
        <v>3</v>
      </c>
      <c r="E4683" s="849" t="s">
        <v>518</v>
      </c>
      <c r="F4683" s="420">
        <v>4</v>
      </c>
      <c r="G4683" s="419">
        <v>4</v>
      </c>
      <c r="H4683" s="849" t="s">
        <v>518</v>
      </c>
      <c r="I4683" s="420">
        <v>0</v>
      </c>
      <c r="J4683" s="317"/>
      <c r="K4683" s="422">
        <f t="shared" si="1324"/>
        <v>16</v>
      </c>
      <c r="L4683" s="422">
        <v>6</v>
      </c>
      <c r="M4683" s="422">
        <v>0.45</v>
      </c>
      <c r="N4683" s="422"/>
      <c r="O4683" s="537"/>
      <c r="P4683" s="422"/>
      <c r="Q4683" s="537"/>
      <c r="R4683" s="542">
        <f t="shared" si="1318"/>
        <v>37.565217391304351</v>
      </c>
      <c r="S4683" s="334" t="str">
        <f t="shared" ref="S4683:S4687" si="1325">$S$1407</f>
        <v>m³</v>
      </c>
      <c r="T4683" s="320">
        <v>44</v>
      </c>
      <c r="U4683" s="1106">
        <v>45992</v>
      </c>
      <c r="V4683" s="815">
        <f t="shared" ca="1" si="1311"/>
        <v>1981.3039999999992</v>
      </c>
      <c r="W4683" s="250">
        <f t="shared" ca="1" si="1322"/>
        <v>2</v>
      </c>
      <c r="X4683" s="250">
        <f t="shared" ca="1" si="1323"/>
        <v>1</v>
      </c>
      <c r="Y4683" s="250"/>
      <c r="Z4683" s="250"/>
    </row>
    <row r="4684" spans="1:26" s="111" customFormat="1" ht="15" x14ac:dyDescent="0.2">
      <c r="A4684" s="399"/>
      <c r="B4684" s="494"/>
      <c r="C4684" s="382" t="s">
        <v>576</v>
      </c>
      <c r="D4684" s="419">
        <v>2</v>
      </c>
      <c r="E4684" s="849" t="s">
        <v>518</v>
      </c>
      <c r="F4684" s="420">
        <v>6</v>
      </c>
      <c r="G4684" s="419">
        <v>3</v>
      </c>
      <c r="H4684" s="849" t="s">
        <v>518</v>
      </c>
      <c r="I4684" s="420">
        <v>4</v>
      </c>
      <c r="J4684" s="317"/>
      <c r="K4684" s="422">
        <f t="shared" si="1324"/>
        <v>18</v>
      </c>
      <c r="L4684" s="422">
        <v>6</v>
      </c>
      <c r="M4684" s="422">
        <v>0.45</v>
      </c>
      <c r="N4684" s="422"/>
      <c r="O4684" s="537"/>
      <c r="P4684" s="422"/>
      <c r="Q4684" s="537"/>
      <c r="R4684" s="542">
        <f t="shared" si="1318"/>
        <v>42.260869565217398</v>
      </c>
      <c r="S4684" s="334" t="str">
        <f t="shared" si="1325"/>
        <v>m³</v>
      </c>
      <c r="T4684" s="320">
        <v>44</v>
      </c>
      <c r="U4684" s="823"/>
      <c r="V4684" s="815">
        <f t="shared" ca="1" si="1311"/>
        <v>1981.3039999999992</v>
      </c>
      <c r="W4684" s="250">
        <f t="shared" ca="1" si="1322"/>
        <v>2</v>
      </c>
      <c r="X4684" s="250">
        <f t="shared" ca="1" si="1323"/>
        <v>1</v>
      </c>
      <c r="Y4684" s="250"/>
      <c r="Z4684" s="250"/>
    </row>
    <row r="4685" spans="1:26" s="111" customFormat="1" ht="15" x14ac:dyDescent="0.2">
      <c r="A4685" s="399"/>
      <c r="B4685" s="494"/>
      <c r="C4685" s="382" t="s">
        <v>576</v>
      </c>
      <c r="D4685" s="419">
        <v>2</v>
      </c>
      <c r="E4685" s="849" t="s">
        <v>518</v>
      </c>
      <c r="F4685" s="420">
        <v>0</v>
      </c>
      <c r="G4685" s="419">
        <v>2</v>
      </c>
      <c r="H4685" s="849" t="s">
        <v>518</v>
      </c>
      <c r="I4685" s="420">
        <v>6</v>
      </c>
      <c r="J4685" s="317"/>
      <c r="K4685" s="422">
        <f t="shared" si="1324"/>
        <v>6</v>
      </c>
      <c r="L4685" s="422">
        <v>6</v>
      </c>
      <c r="M4685" s="422">
        <v>0.45</v>
      </c>
      <c r="N4685" s="422"/>
      <c r="O4685" s="537"/>
      <c r="P4685" s="422"/>
      <c r="Q4685" s="537"/>
      <c r="R4685" s="542">
        <f t="shared" si="1318"/>
        <v>14.086956521739131</v>
      </c>
      <c r="S4685" s="334" t="str">
        <f t="shared" si="1325"/>
        <v>m³</v>
      </c>
      <c r="T4685" s="320">
        <v>44</v>
      </c>
      <c r="U4685" s="823"/>
      <c r="V4685" s="815">
        <f t="shared" ca="1" si="1311"/>
        <v>1981.3039999999992</v>
      </c>
      <c r="W4685" s="250">
        <f t="shared" ca="1" si="1322"/>
        <v>2</v>
      </c>
      <c r="X4685" s="250">
        <f t="shared" ca="1" si="1323"/>
        <v>1</v>
      </c>
      <c r="Y4685" s="250"/>
      <c r="Z4685" s="250"/>
    </row>
    <row r="4686" spans="1:26" s="111" customFormat="1" ht="15" x14ac:dyDescent="0.2">
      <c r="A4686" s="399"/>
      <c r="B4686" s="494"/>
      <c r="C4686" s="382" t="s">
        <v>576</v>
      </c>
      <c r="D4686" s="419">
        <v>1</v>
      </c>
      <c r="E4686" s="849" t="s">
        <v>518</v>
      </c>
      <c r="F4686" s="420">
        <v>8</v>
      </c>
      <c r="G4686" s="419">
        <v>2</v>
      </c>
      <c r="H4686" s="849" t="s">
        <v>518</v>
      </c>
      <c r="I4686" s="420">
        <v>0</v>
      </c>
      <c r="J4686" s="317"/>
      <c r="K4686" s="422">
        <f t="shared" si="1324"/>
        <v>12</v>
      </c>
      <c r="L4686" s="422">
        <v>6</v>
      </c>
      <c r="M4686" s="422">
        <v>0.45</v>
      </c>
      <c r="N4686" s="422"/>
      <c r="O4686" s="537"/>
      <c r="P4686" s="422"/>
      <c r="Q4686" s="537"/>
      <c r="R4686" s="542">
        <f t="shared" si="1318"/>
        <v>28.173913043478262</v>
      </c>
      <c r="S4686" s="334" t="str">
        <f t="shared" si="1325"/>
        <v>m³</v>
      </c>
      <c r="T4686" s="320">
        <v>44</v>
      </c>
      <c r="U4686" s="823"/>
      <c r="V4686" s="815">
        <f t="shared" ca="1" si="1311"/>
        <v>1981.3039999999992</v>
      </c>
      <c r="W4686" s="250">
        <f t="shared" ca="1" si="1322"/>
        <v>2</v>
      </c>
      <c r="X4686" s="250">
        <f t="shared" ca="1" si="1323"/>
        <v>1</v>
      </c>
      <c r="Y4686" s="250"/>
      <c r="Z4686" s="250"/>
    </row>
    <row r="4687" spans="1:26" s="111" customFormat="1" ht="15" x14ac:dyDescent="0.2">
      <c r="A4687" s="399"/>
      <c r="B4687" s="494"/>
      <c r="C4687" s="382" t="s">
        <v>576</v>
      </c>
      <c r="D4687" s="419">
        <v>0</v>
      </c>
      <c r="E4687" s="849" t="s">
        <v>518</v>
      </c>
      <c r="F4687" s="420">
        <v>6</v>
      </c>
      <c r="G4687" s="419">
        <v>1</v>
      </c>
      <c r="H4687" s="849" t="s">
        <v>518</v>
      </c>
      <c r="I4687" s="420">
        <v>8</v>
      </c>
      <c r="J4687" s="317"/>
      <c r="K4687" s="422">
        <f t="shared" si="1324"/>
        <v>22</v>
      </c>
      <c r="L4687" s="422">
        <v>6</v>
      </c>
      <c r="M4687" s="422">
        <v>0.45</v>
      </c>
      <c r="N4687" s="422"/>
      <c r="O4687" s="537"/>
      <c r="P4687" s="422"/>
      <c r="Q4687" s="537"/>
      <c r="R4687" s="542">
        <f t="shared" si="1318"/>
        <v>51.652173913043484</v>
      </c>
      <c r="S4687" s="334" t="str">
        <f t="shared" si="1325"/>
        <v>m³</v>
      </c>
      <c r="T4687" s="320">
        <v>44</v>
      </c>
      <c r="U4687" s="823"/>
      <c r="V4687" s="815">
        <f t="shared" ca="1" si="1311"/>
        <v>1981.3039999999992</v>
      </c>
      <c r="W4687" s="250">
        <f t="shared" ca="1" si="1322"/>
        <v>2</v>
      </c>
      <c r="X4687" s="250">
        <f t="shared" ca="1" si="1323"/>
        <v>1</v>
      </c>
      <c r="Y4687" s="250"/>
      <c r="Z4687" s="250"/>
    </row>
    <row r="4688" spans="1:26" s="111" customFormat="1" ht="15" x14ac:dyDescent="0.2">
      <c r="A4688" s="399"/>
      <c r="B4688" s="494"/>
      <c r="C4688" s="900"/>
      <c r="D4688" s="496"/>
      <c r="E4688" s="497"/>
      <c r="F4688" s="498"/>
      <c r="G4688" s="496"/>
      <c r="H4688" s="497"/>
      <c r="I4688" s="498"/>
      <c r="J4688" s="1109"/>
      <c r="K4688" s="743"/>
      <c r="L4688" s="555"/>
      <c r="M4688" s="744"/>
      <c r="N4688" s="745"/>
      <c r="O4688" s="746"/>
      <c r="P4688" s="555"/>
      <c r="Q4688" s="776"/>
      <c r="R4688" s="742"/>
      <c r="S4688" s="1098"/>
      <c r="T4688" s="506"/>
      <c r="U4688" s="823"/>
      <c r="V4688" s="815">
        <f t="shared" ca="1" si="1311"/>
        <v>1981.3039999999992</v>
      </c>
      <c r="W4688" s="250">
        <f t="shared" ca="1" si="1322"/>
        <v>0</v>
      </c>
      <c r="X4688" s="250">
        <f t="shared" ca="1" si="1323"/>
        <v>1</v>
      </c>
      <c r="Y4688" s="250"/>
      <c r="Z4688" s="250"/>
    </row>
    <row r="4689" spans="1:29" s="111" customFormat="1" ht="15" x14ac:dyDescent="0.2">
      <c r="A4689" s="288"/>
      <c r="B4689" s="338"/>
      <c r="C4689" s="339"/>
      <c r="D4689" s="1348"/>
      <c r="E4689" s="1349"/>
      <c r="F4689" s="1350"/>
      <c r="G4689" s="1351"/>
      <c r="H4689" s="1352"/>
      <c r="I4689" s="1353"/>
      <c r="J4689" s="343"/>
      <c r="K4689" s="344"/>
      <c r="L4689" s="345"/>
      <c r="M4689" s="346"/>
      <c r="N4689" s="347"/>
      <c r="O4689" s="348"/>
      <c r="P4689" s="345"/>
      <c r="Q4689" s="349"/>
      <c r="R4689" s="350"/>
      <c r="S4689" s="351"/>
      <c r="T4689" s="352"/>
      <c r="U4689" s="353"/>
      <c r="V4689" s="815">
        <f t="shared" ca="1" si="1311"/>
        <v>1981.3039999999992</v>
      </c>
      <c r="W4689" s="250">
        <f t="shared" ca="1" si="1322"/>
        <v>0</v>
      </c>
      <c r="X4689" s="250">
        <f ca="1">IF(COUNTA(OFFSET(A4685,1,0))-COUNTA(A4685)=-1,0,1)</f>
        <v>1</v>
      </c>
      <c r="Y4689" s="250"/>
      <c r="Z4689" s="250"/>
    </row>
    <row r="4690" spans="1:29" s="111" customFormat="1" ht="19.5" customHeight="1" x14ac:dyDescent="0.2">
      <c r="A4690" s="288"/>
      <c r="B4690" s="354"/>
      <c r="C4690" s="355"/>
      <c r="D4690" s="1354" t="s">
        <v>492</v>
      </c>
      <c r="E4690" s="1355"/>
      <c r="F4690" s="1355"/>
      <c r="G4690" s="1355"/>
      <c r="H4690" s="1355"/>
      <c r="I4690" s="1356"/>
      <c r="J4690" s="1357">
        <f>VLOOKUP(A4692,'11 - FINANCEIRO'!_xlnm.Print_Area,6,FALSE)</f>
        <v>10839.03</v>
      </c>
      <c r="K4690" s="1358"/>
      <c r="L4690" s="356" t="str">
        <f>VLOOKUP(A4692,'11 - FINANCEIRO'!_xlnm.Print_Area,4,FALSE)</f>
        <v>m³</v>
      </c>
      <c r="M4690" s="1359" t="s">
        <v>493</v>
      </c>
      <c r="N4690" s="1360"/>
      <c r="O4690" s="1360"/>
      <c r="P4690" s="1360"/>
      <c r="Q4690" s="1361"/>
      <c r="R4690" s="357">
        <f>TRUNC(SUM(R4656:R4689),3)</f>
        <v>9651.0139999999992</v>
      </c>
      <c r="S4690" s="358" t="str">
        <f>L4690</f>
        <v>m³</v>
      </c>
      <c r="T4690" s="1384"/>
      <c r="U4690" s="1385"/>
      <c r="V4690" s="815">
        <f t="shared" ca="1" si="1311"/>
        <v>1981.3039999999992</v>
      </c>
      <c r="W4690" s="250">
        <f t="shared" ca="1" si="1322"/>
        <v>2</v>
      </c>
      <c r="X4690" s="250">
        <f ca="1">IF(COUNTA(OFFSET(A4686,1,0))-COUNTA(A4686)=-1,0,1)</f>
        <v>1</v>
      </c>
      <c r="Y4690" s="250"/>
      <c r="Z4690" s="250"/>
    </row>
    <row r="4691" spans="1:29" s="111" customFormat="1" ht="19.5" customHeight="1" x14ac:dyDescent="0.2">
      <c r="A4691" s="288"/>
      <c r="B4691" s="354"/>
      <c r="C4691" s="361"/>
      <c r="D4691" s="1362" t="s">
        <v>494</v>
      </c>
      <c r="E4691" s="1363"/>
      <c r="F4691" s="1363"/>
      <c r="G4691" s="1363"/>
      <c r="H4691" s="1363"/>
      <c r="I4691" s="1364"/>
      <c r="J4691" s="1365">
        <f>IF(R4690&gt;J4690,1,R4690/J4690)</f>
        <v>0.89039462018280224</v>
      </c>
      <c r="K4691" s="1366"/>
      <c r="L4691" s="1369"/>
      <c r="M4691" s="1371" t="s">
        <v>495</v>
      </c>
      <c r="N4691" s="1372"/>
      <c r="O4691" s="1372"/>
      <c r="P4691" s="1372"/>
      <c r="Q4691" s="1373"/>
      <c r="R4691" s="362">
        <f>VLOOKUP(A4692,'11 - FINANCEIRO'!_xlnm.Print_Area,8,FALSE)</f>
        <v>7669.71</v>
      </c>
      <c r="S4691" s="363" t="str">
        <f>L4690</f>
        <v>m³</v>
      </c>
      <c r="T4691" s="1396"/>
      <c r="U4691" s="1387"/>
      <c r="V4691" s="815">
        <f t="shared" ca="1" si="1311"/>
        <v>1981.3039999999992</v>
      </c>
      <c r="W4691" s="250">
        <f t="shared" ca="1" si="1322"/>
        <v>2</v>
      </c>
      <c r="X4691" s="250">
        <f ca="1">IF(COUNTA(OFFSET(A4687,1,0))-COUNTA(A4687)=-1,0,1)</f>
        <v>1</v>
      </c>
      <c r="Y4691" s="250"/>
      <c r="Z4691" s="250"/>
    </row>
    <row r="4692" spans="1:29" s="293" customFormat="1" ht="19.5" customHeight="1" x14ac:dyDescent="0.2">
      <c r="A4692" s="288" t="s">
        <v>958</v>
      </c>
      <c r="B4692" s="364"/>
      <c r="C4692" s="365"/>
      <c r="D4692" s="1354"/>
      <c r="E4692" s="1355"/>
      <c r="F4692" s="1355"/>
      <c r="G4692" s="1355"/>
      <c r="H4692" s="1355"/>
      <c r="I4692" s="1356"/>
      <c r="J4692" s="1367"/>
      <c r="K4692" s="1368"/>
      <c r="L4692" s="1370"/>
      <c r="M4692" s="1371" t="s">
        <v>496</v>
      </c>
      <c r="N4692" s="1372"/>
      <c r="O4692" s="1372"/>
      <c r="P4692" s="1372"/>
      <c r="Q4692" s="1373"/>
      <c r="R4692" s="362">
        <f>R4690-R4691</f>
        <v>1981.3039999999992</v>
      </c>
      <c r="S4692" s="363" t="str">
        <f>L4690</f>
        <v>m³</v>
      </c>
      <c r="T4692" s="1388"/>
      <c r="U4692" s="1389"/>
      <c r="V4692" s="815">
        <f t="shared" ca="1" si="1311"/>
        <v>1981.3039999999992</v>
      </c>
      <c r="W4692" s="250">
        <f t="shared" ca="1" si="1316"/>
        <v>2</v>
      </c>
      <c r="X4692" s="250">
        <f ca="1">IF(COUNTA(OFFSET(A4681,1,0))-COUNTA(A4681)=-1,0,1)</f>
        <v>1</v>
      </c>
      <c r="Y4692" s="256"/>
      <c r="Z4692" s="256"/>
      <c r="AA4692" s="292"/>
      <c r="AB4692" s="292"/>
      <c r="AC4692" s="292"/>
    </row>
    <row r="4693" spans="1:29" s="111" customFormat="1" ht="15.75" x14ac:dyDescent="0.2">
      <c r="A4693" s="288"/>
      <c r="B4693" s="368"/>
      <c r="C4693" s="365"/>
      <c r="D4693" s="369"/>
      <c r="E4693" s="370"/>
      <c r="F4693" s="369"/>
      <c r="G4693" s="369"/>
      <c r="H4693" s="369"/>
      <c r="I4693" s="369"/>
      <c r="J4693" s="371"/>
      <c r="K4693" s="372"/>
      <c r="L4693" s="373"/>
      <c r="M4693" s="374"/>
      <c r="N4693" s="374"/>
      <c r="O4693" s="374"/>
      <c r="P4693" s="374"/>
      <c r="Q4693" s="374"/>
      <c r="R4693" s="375"/>
      <c r="S4693" s="376"/>
      <c r="T4693" s="377"/>
      <c r="U4693" s="378"/>
      <c r="V4693" s="379">
        <f ca="1">SUM(V4654:V4692)</f>
        <v>77270.855999999956</v>
      </c>
      <c r="W4693" s="256">
        <f t="shared" ca="1" si="1312"/>
        <v>1</v>
      </c>
      <c r="X4693" s="256">
        <f t="shared" ref="X4693:X4696" ca="1" si="1326">IF(COUNTA(OFFSET(A4692,1,0))-COUNTA(A4692)=-1,0,1)</f>
        <v>0</v>
      </c>
      <c r="Y4693" s="250"/>
      <c r="Z4693" s="250"/>
    </row>
    <row r="4694" spans="1:29" s="293" customFormat="1" ht="33" hidden="1" customHeight="1" x14ac:dyDescent="0.2">
      <c r="A4694" s="288"/>
      <c r="B4694" s="1374" t="str">
        <f>VLOOKUP(A4701,'11 - FINANCEIRO'!_xlnm.Print_Area,1,FALSE)</f>
        <v>6.1.19</v>
      </c>
      <c r="C4694" s="1376" t="str">
        <f>VLOOKUP(A4701,'11 - FINANCEIRO'!_xlnm.Print_Area,3,FALSE)</f>
        <v>Pavimentação com blocos de concreto (35 MPa), esp.= 08 cm, colchão areia esp.= 5cm, inclusive fornecimento e transporte dos blocos e areia</v>
      </c>
      <c r="D4694" s="1378" t="s">
        <v>500</v>
      </c>
      <c r="E4694" s="1379"/>
      <c r="F4694" s="1379"/>
      <c r="G4694" s="1379"/>
      <c r="H4694" s="1379"/>
      <c r="I4694" s="1380"/>
      <c r="J4694" s="1338" t="s">
        <v>478</v>
      </c>
      <c r="K4694" s="1338" t="s">
        <v>479</v>
      </c>
      <c r="L4694" s="1338" t="s">
        <v>480</v>
      </c>
      <c r="M4694" s="1338" t="s">
        <v>481</v>
      </c>
      <c r="N4694" s="1338" t="s">
        <v>482</v>
      </c>
      <c r="O4694" s="1338" t="s">
        <v>483</v>
      </c>
      <c r="P4694" s="1338" t="s">
        <v>484</v>
      </c>
      <c r="Q4694" s="1338" t="s">
        <v>296</v>
      </c>
      <c r="R4694" s="1336" t="s">
        <v>296</v>
      </c>
      <c r="S4694" s="1338" t="s">
        <v>486</v>
      </c>
      <c r="T4694" s="1338" t="s">
        <v>487</v>
      </c>
      <c r="U4694" s="1340" t="s">
        <v>488</v>
      </c>
      <c r="V4694" s="291">
        <f t="shared" ca="1" si="1291"/>
        <v>0</v>
      </c>
      <c r="W4694" s="256">
        <f ca="1">IF(LEFT(_xlfn.FORMULATEXT(V4694),3)="=SO",1,IF(COUNTA(A4694:U4694)=0,0,2))</f>
        <v>2</v>
      </c>
      <c r="X4694" s="256">
        <f t="shared" ca="1" si="1326"/>
        <v>1</v>
      </c>
      <c r="Y4694" s="256"/>
      <c r="Z4694" s="256"/>
      <c r="AA4694" s="292"/>
      <c r="AB4694" s="292"/>
      <c r="AC4694" s="292"/>
    </row>
    <row r="4695" spans="1:29" s="293" customFormat="1" ht="33" hidden="1" customHeight="1" x14ac:dyDescent="0.2">
      <c r="A4695" s="288"/>
      <c r="B4695" s="1375"/>
      <c r="C4695" s="1377"/>
      <c r="D4695" s="1342" t="s">
        <v>489</v>
      </c>
      <c r="E4695" s="1343"/>
      <c r="F4695" s="1344"/>
      <c r="G4695" s="1345" t="s">
        <v>490</v>
      </c>
      <c r="H4695" s="1346"/>
      <c r="I4695" s="1347"/>
      <c r="J4695" s="1339"/>
      <c r="K4695" s="1339"/>
      <c r="L4695" s="1339"/>
      <c r="M4695" s="1339"/>
      <c r="N4695" s="1339"/>
      <c r="O4695" s="1339"/>
      <c r="P4695" s="1339" t="s">
        <v>491</v>
      </c>
      <c r="Q4695" s="1339"/>
      <c r="R4695" s="1337"/>
      <c r="S4695" s="1339"/>
      <c r="T4695" s="1339"/>
      <c r="U4695" s="1341"/>
      <c r="V4695" s="291">
        <f t="shared" ca="1" si="1291"/>
        <v>0</v>
      </c>
      <c r="W4695" s="256">
        <f ca="1">IF(LEFT(_xlfn.FORMULATEXT(V4695),3)="=SO",1,IF(COUNTA(A4695:U4695)=0,0,2))</f>
        <v>2</v>
      </c>
      <c r="X4695" s="256">
        <f t="shared" ca="1" si="1326"/>
        <v>1</v>
      </c>
      <c r="Y4695" s="256"/>
      <c r="Z4695" s="256"/>
      <c r="AA4695" s="292"/>
      <c r="AB4695" s="292"/>
      <c r="AC4695" s="292"/>
    </row>
    <row r="4696" spans="1:29" s="293" customFormat="1" ht="15.75" hidden="1" x14ac:dyDescent="0.2">
      <c r="A4696" s="288"/>
      <c r="B4696" s="296"/>
      <c r="C4696" s="297" t="s">
        <v>667</v>
      </c>
      <c r="D4696" s="417">
        <v>5</v>
      </c>
      <c r="E4696" s="314" t="s">
        <v>518</v>
      </c>
      <c r="F4696" s="418">
        <v>14</v>
      </c>
      <c r="G4696" s="419">
        <v>26</v>
      </c>
      <c r="H4696" s="316" t="s">
        <v>518</v>
      </c>
      <c r="I4696" s="420">
        <v>0</v>
      </c>
      <c r="J4696" s="304"/>
      <c r="K4696" s="747">
        <f>ABS((G4696*20+I4696)-(D4696*20+F4696))</f>
        <v>406</v>
      </c>
      <c r="L4696" s="304"/>
      <c r="M4696" s="304"/>
      <c r="N4696" s="304"/>
      <c r="O4696" s="304"/>
      <c r="P4696" s="306"/>
      <c r="Q4696" s="304"/>
      <c r="R4696" s="307">
        <v>974</v>
      </c>
      <c r="S4696" s="308" t="str">
        <f>S4699</f>
        <v>m²</v>
      </c>
      <c r="T4696" s="309">
        <v>27</v>
      </c>
      <c r="U4696" s="310"/>
      <c r="V4696" s="291">
        <f t="shared" ca="1" si="1291"/>
        <v>0</v>
      </c>
      <c r="W4696" s="256">
        <f ca="1">IF(LEFT(_xlfn.FORMULATEXT(V4696),3)="=SO",1,IF(COUNTA(A4696:U4696)=0,0,2))</f>
        <v>2</v>
      </c>
      <c r="X4696" s="256">
        <f t="shared" ca="1" si="1326"/>
        <v>1</v>
      </c>
      <c r="Y4696" s="256"/>
      <c r="Z4696" s="256"/>
      <c r="AA4696" s="292"/>
      <c r="AB4696" s="292"/>
      <c r="AC4696" s="292"/>
    </row>
    <row r="4697" spans="1:29" s="293" customFormat="1" ht="15.75" hidden="1" x14ac:dyDescent="0.2">
      <c r="A4697" s="288"/>
      <c r="B4697" s="785"/>
      <c r="C4697" s="312"/>
      <c r="D4697" s="417"/>
      <c r="E4697" s="314"/>
      <c r="F4697" s="418"/>
      <c r="G4697" s="417"/>
      <c r="H4697" s="314"/>
      <c r="I4697" s="418"/>
      <c r="J4697" s="317"/>
      <c r="K4697" s="421"/>
      <c r="L4697" s="774"/>
      <c r="M4697" s="786"/>
      <c r="N4697" s="787"/>
      <c r="O4697" s="788"/>
      <c r="P4697" s="789"/>
      <c r="Q4697" s="786"/>
      <c r="R4697" s="790"/>
      <c r="S4697" s="791"/>
      <c r="T4697" s="792"/>
      <c r="U4697" s="793"/>
      <c r="V4697" s="291"/>
      <c r="W4697" s="256"/>
      <c r="X4697" s="256"/>
      <c r="Y4697" s="256"/>
      <c r="Z4697" s="256"/>
      <c r="AA4697" s="292"/>
      <c r="AB4697" s="292"/>
      <c r="AC4697" s="292"/>
    </row>
    <row r="4698" spans="1:29" s="111" customFormat="1" ht="15" hidden="1" x14ac:dyDescent="0.2">
      <c r="A4698" s="288"/>
      <c r="B4698" s="338"/>
      <c r="C4698" s="339"/>
      <c r="D4698" s="1348"/>
      <c r="E4698" s="1349"/>
      <c r="F4698" s="1350"/>
      <c r="G4698" s="1351"/>
      <c r="H4698" s="1352"/>
      <c r="I4698" s="1353"/>
      <c r="J4698" s="343"/>
      <c r="K4698" s="344"/>
      <c r="L4698" s="345"/>
      <c r="M4698" s="346"/>
      <c r="N4698" s="347"/>
      <c r="O4698" s="348"/>
      <c r="P4698" s="345"/>
      <c r="Q4698" s="349"/>
      <c r="R4698" s="350"/>
      <c r="S4698" s="351"/>
      <c r="T4698" s="352"/>
      <c r="U4698" s="353"/>
      <c r="V4698" s="291">
        <f t="shared" ca="1" si="1291"/>
        <v>0</v>
      </c>
      <c r="W4698" s="256">
        <f t="shared" ref="W4698:W4705" ca="1" si="1327">IF(LEFT(_xlfn.FORMULATEXT(V4698),3)="=SO",1,IF(COUNTA(A4698:U4698)=0,0,2))</f>
        <v>0</v>
      </c>
      <c r="X4698" s="256">
        <f ca="1">IF(COUNTA(OFFSET(#REF!,1,0))-COUNTA(#REF!)=-1,0,1)</f>
        <v>1</v>
      </c>
      <c r="Y4698" s="250"/>
      <c r="Z4698" s="250"/>
    </row>
    <row r="4699" spans="1:29" s="111" customFormat="1" ht="15.75" hidden="1" x14ac:dyDescent="0.2">
      <c r="A4699" s="288"/>
      <c r="B4699" s="354"/>
      <c r="C4699" s="355"/>
      <c r="D4699" s="1354" t="s">
        <v>492</v>
      </c>
      <c r="E4699" s="1355"/>
      <c r="F4699" s="1355"/>
      <c r="G4699" s="1355"/>
      <c r="H4699" s="1355"/>
      <c r="I4699" s="1356"/>
      <c r="J4699" s="1357">
        <f>VLOOKUP(A4701,'11 - FINANCEIRO'!_xlnm.Print_Area,6,FALSE)</f>
        <v>3114</v>
      </c>
      <c r="K4699" s="1358"/>
      <c r="L4699" s="356" t="str">
        <f>VLOOKUP(A4701,'11 - FINANCEIRO'!_xlnm.Print_Area,4,FALSE)</f>
        <v>m²</v>
      </c>
      <c r="M4699" s="1359" t="s">
        <v>493</v>
      </c>
      <c r="N4699" s="1360"/>
      <c r="O4699" s="1360"/>
      <c r="P4699" s="1360"/>
      <c r="Q4699" s="1361"/>
      <c r="R4699" s="357">
        <f>TRUNC(SUM(R4696:R4698),3)</f>
        <v>974</v>
      </c>
      <c r="S4699" s="358" t="str">
        <f>L4699</f>
        <v>m²</v>
      </c>
      <c r="T4699" s="359"/>
      <c r="U4699" s="360"/>
      <c r="V4699" s="291">
        <f t="shared" ca="1" si="1291"/>
        <v>0</v>
      </c>
      <c r="W4699" s="256">
        <f t="shared" ca="1" si="1327"/>
        <v>2</v>
      </c>
      <c r="X4699" s="256">
        <f t="shared" ref="X4699:X4705" ca="1" si="1328">IF(COUNTA(OFFSET(A4698,1,0))-COUNTA(A4698)=-1,0,1)</f>
        <v>1</v>
      </c>
      <c r="Y4699" s="250"/>
      <c r="Z4699" s="250"/>
    </row>
    <row r="4700" spans="1:29" s="111" customFormat="1" ht="15.75" hidden="1" x14ac:dyDescent="0.2">
      <c r="A4700" s="288"/>
      <c r="B4700" s="354"/>
      <c r="C4700" s="361"/>
      <c r="D4700" s="1362" t="s">
        <v>494</v>
      </c>
      <c r="E4700" s="1363"/>
      <c r="F4700" s="1363"/>
      <c r="G4700" s="1363"/>
      <c r="H4700" s="1363"/>
      <c r="I4700" s="1364"/>
      <c r="J4700" s="1365">
        <f>R4699/J4699</f>
        <v>0.3127809890815671</v>
      </c>
      <c r="K4700" s="1366"/>
      <c r="L4700" s="1369"/>
      <c r="M4700" s="1371" t="s">
        <v>495</v>
      </c>
      <c r="N4700" s="1372"/>
      <c r="O4700" s="1372"/>
      <c r="P4700" s="1372"/>
      <c r="Q4700" s="1373"/>
      <c r="R4700" s="362">
        <f>VLOOKUP(A4701,'11 - FINANCEIRO'!_xlnm.Print_Area,8,FALSE)</f>
        <v>974</v>
      </c>
      <c r="S4700" s="363" t="str">
        <f>L4699</f>
        <v>m²</v>
      </c>
      <c r="T4700" s="359"/>
      <c r="U4700" s="360"/>
      <c r="V4700" s="291">
        <f t="shared" ca="1" si="1291"/>
        <v>0</v>
      </c>
      <c r="W4700" s="256">
        <f t="shared" ca="1" si="1327"/>
        <v>2</v>
      </c>
      <c r="X4700" s="256">
        <f t="shared" ca="1" si="1328"/>
        <v>1</v>
      </c>
      <c r="Y4700" s="250"/>
      <c r="Z4700" s="250"/>
    </row>
    <row r="4701" spans="1:29" s="293" customFormat="1" ht="15.75" hidden="1" x14ac:dyDescent="0.2">
      <c r="A4701" s="288" t="s">
        <v>959</v>
      </c>
      <c r="B4701" s="364"/>
      <c r="C4701" s="365"/>
      <c r="D4701" s="1354"/>
      <c r="E4701" s="1355"/>
      <c r="F4701" s="1355"/>
      <c r="G4701" s="1355"/>
      <c r="H4701" s="1355"/>
      <c r="I4701" s="1356"/>
      <c r="J4701" s="1367"/>
      <c r="K4701" s="1368"/>
      <c r="L4701" s="1370"/>
      <c r="M4701" s="1371" t="s">
        <v>496</v>
      </c>
      <c r="N4701" s="1372"/>
      <c r="O4701" s="1372"/>
      <c r="P4701" s="1372"/>
      <c r="Q4701" s="1373"/>
      <c r="R4701" s="362">
        <f>R4699-R4700</f>
        <v>0</v>
      </c>
      <c r="S4701" s="363" t="str">
        <f>L4699</f>
        <v>m²</v>
      </c>
      <c r="T4701" s="366"/>
      <c r="U4701" s="367"/>
      <c r="V4701" s="291">
        <f t="shared" ca="1" si="1291"/>
        <v>0</v>
      </c>
      <c r="W4701" s="256">
        <f t="shared" ca="1" si="1327"/>
        <v>2</v>
      </c>
      <c r="X4701" s="256">
        <f t="shared" ca="1" si="1328"/>
        <v>1</v>
      </c>
      <c r="Y4701" s="256"/>
      <c r="Z4701" s="256"/>
      <c r="AA4701" s="292"/>
      <c r="AB4701" s="292"/>
      <c r="AC4701" s="292"/>
    </row>
    <row r="4702" spans="1:29" s="111" customFormat="1" ht="15.75" hidden="1" x14ac:dyDescent="0.2">
      <c r="A4702" s="288"/>
      <c r="B4702" s="368"/>
      <c r="C4702" s="365"/>
      <c r="D4702" s="369"/>
      <c r="E4702" s="370"/>
      <c r="F4702" s="369"/>
      <c r="G4702" s="369"/>
      <c r="H4702" s="369"/>
      <c r="I4702" s="369"/>
      <c r="J4702" s="371"/>
      <c r="K4702" s="372"/>
      <c r="L4702" s="373"/>
      <c r="M4702" s="374"/>
      <c r="N4702" s="374"/>
      <c r="O4702" s="374"/>
      <c r="P4702" s="374"/>
      <c r="Q4702" s="374"/>
      <c r="R4702" s="375"/>
      <c r="S4702" s="376"/>
      <c r="T4702" s="377"/>
      <c r="U4702" s="378"/>
      <c r="V4702" s="379">
        <f ca="1">SUM(V4694:V4701)</f>
        <v>0</v>
      </c>
      <c r="W4702" s="256">
        <f t="shared" ca="1" si="1327"/>
        <v>1</v>
      </c>
      <c r="X4702" s="256">
        <f t="shared" ca="1" si="1328"/>
        <v>0</v>
      </c>
      <c r="Y4702" s="250"/>
      <c r="Z4702" s="250"/>
    </row>
    <row r="4703" spans="1:29" s="293" customFormat="1" ht="33" customHeight="1" x14ac:dyDescent="0.2">
      <c r="A4703" s="288"/>
      <c r="B4703" s="1374" t="str">
        <f>VLOOKUP(A4736,'11 - FINANCEIRO'!_xlnm.Print_Area,1,FALSE)</f>
        <v>6.1.20</v>
      </c>
      <c r="C4703" s="1376" t="str">
        <f>VLOOKUP(A4736,'11 - FINANCEIRO'!_xlnm.Print_Area,3,FALSE)</f>
        <v>Remoção de solos moles, incluindo carregamento mecânico com escavadeira hidráulica em</v>
      </c>
      <c r="D4703" s="1378" t="s">
        <v>500</v>
      </c>
      <c r="E4703" s="1379"/>
      <c r="F4703" s="1379"/>
      <c r="G4703" s="1379"/>
      <c r="H4703" s="1379"/>
      <c r="I4703" s="1380"/>
      <c r="J4703" s="1338" t="s">
        <v>478</v>
      </c>
      <c r="K4703" s="1338" t="s">
        <v>479</v>
      </c>
      <c r="L4703" s="1338" t="s">
        <v>480</v>
      </c>
      <c r="M4703" s="1338" t="s">
        <v>481</v>
      </c>
      <c r="N4703" s="1338" t="s">
        <v>482</v>
      </c>
      <c r="O4703" s="1338" t="s">
        <v>483</v>
      </c>
      <c r="P4703" s="1338" t="s">
        <v>484</v>
      </c>
      <c r="Q4703" s="1338" t="s">
        <v>296</v>
      </c>
      <c r="R4703" s="1336" t="s">
        <v>296</v>
      </c>
      <c r="S4703" s="1338" t="s">
        <v>486</v>
      </c>
      <c r="T4703" s="1338" t="s">
        <v>487</v>
      </c>
      <c r="U4703" s="1340" t="s">
        <v>488</v>
      </c>
      <c r="V4703" s="291">
        <f t="shared" ca="1" si="1291"/>
        <v>945.39350000000013</v>
      </c>
      <c r="W4703" s="256">
        <f t="shared" ca="1" si="1327"/>
        <v>2</v>
      </c>
      <c r="X4703" s="256">
        <f t="shared" ca="1" si="1328"/>
        <v>1</v>
      </c>
      <c r="Y4703" s="256"/>
      <c r="Z4703" s="256"/>
      <c r="AA4703" s="292"/>
      <c r="AB4703" s="292"/>
      <c r="AC4703" s="292"/>
    </row>
    <row r="4704" spans="1:29" s="293" customFormat="1" ht="33" customHeight="1" x14ac:dyDescent="0.2">
      <c r="A4704" s="288"/>
      <c r="B4704" s="1375"/>
      <c r="C4704" s="1377"/>
      <c r="D4704" s="1342" t="s">
        <v>489</v>
      </c>
      <c r="E4704" s="1343"/>
      <c r="F4704" s="1344"/>
      <c r="G4704" s="1345" t="s">
        <v>490</v>
      </c>
      <c r="H4704" s="1346"/>
      <c r="I4704" s="1347"/>
      <c r="J4704" s="1339"/>
      <c r="K4704" s="1339"/>
      <c r="L4704" s="1339"/>
      <c r="M4704" s="1339"/>
      <c r="N4704" s="1339"/>
      <c r="O4704" s="1339"/>
      <c r="P4704" s="1339" t="s">
        <v>491</v>
      </c>
      <c r="Q4704" s="1339"/>
      <c r="R4704" s="1337"/>
      <c r="S4704" s="1339"/>
      <c r="T4704" s="1339"/>
      <c r="U4704" s="1341"/>
      <c r="V4704" s="291">
        <f t="shared" ca="1" si="1291"/>
        <v>945.39350000000013</v>
      </c>
      <c r="W4704" s="256">
        <f t="shared" ca="1" si="1327"/>
        <v>2</v>
      </c>
      <c r="X4704" s="256">
        <f t="shared" ca="1" si="1328"/>
        <v>1</v>
      </c>
      <c r="Y4704" s="256"/>
      <c r="Z4704" s="256"/>
      <c r="AA4704" s="292"/>
      <c r="AB4704" s="292"/>
      <c r="AC4704" s="292"/>
    </row>
    <row r="4705" spans="1:29" s="293" customFormat="1" ht="15.75" x14ac:dyDescent="0.2">
      <c r="A4705" s="288"/>
      <c r="B4705" s="296"/>
      <c r="C4705" s="297" t="s">
        <v>668</v>
      </c>
      <c r="D4705" s="417">
        <v>80</v>
      </c>
      <c r="E4705" s="314" t="s">
        <v>518</v>
      </c>
      <c r="F4705" s="418">
        <v>8</v>
      </c>
      <c r="G4705" s="419">
        <v>99</v>
      </c>
      <c r="H4705" s="316" t="s">
        <v>518</v>
      </c>
      <c r="I4705" s="420">
        <v>6.4</v>
      </c>
      <c r="J4705" s="304"/>
      <c r="K4705" s="747">
        <v>378.40000000000009</v>
      </c>
      <c r="L4705" s="589">
        <v>13</v>
      </c>
      <c r="M4705" s="589">
        <v>1.5</v>
      </c>
      <c r="N4705" s="589">
        <v>19.5</v>
      </c>
      <c r="O4705" s="304"/>
      <c r="P4705" s="306"/>
      <c r="Q4705" s="304"/>
      <c r="R4705" s="307">
        <v>4297.78</v>
      </c>
      <c r="S4705" s="308" t="s">
        <v>323</v>
      </c>
      <c r="T4705" s="309">
        <v>28</v>
      </c>
      <c r="U4705" s="310"/>
      <c r="V4705" s="291">
        <f t="shared" ca="1" si="1291"/>
        <v>945.39350000000013</v>
      </c>
      <c r="W4705" s="256">
        <f t="shared" ca="1" si="1327"/>
        <v>2</v>
      </c>
      <c r="X4705" s="256">
        <f t="shared" ca="1" si="1328"/>
        <v>1</v>
      </c>
      <c r="Y4705" s="256"/>
      <c r="Z4705" s="256"/>
      <c r="AA4705" s="292"/>
      <c r="AB4705" s="292"/>
      <c r="AC4705" s="292"/>
    </row>
    <row r="4706" spans="1:29" s="293" customFormat="1" ht="15.75" x14ac:dyDescent="0.2">
      <c r="A4706" s="288"/>
      <c r="B4706" s="785"/>
      <c r="C4706" s="312" t="s">
        <v>1045</v>
      </c>
      <c r="D4706" s="848">
        <v>74</v>
      </c>
      <c r="E4706" s="849" t="s">
        <v>518</v>
      </c>
      <c r="F4706" s="850">
        <v>10</v>
      </c>
      <c r="G4706" s="848">
        <v>79</v>
      </c>
      <c r="H4706" s="849" t="s">
        <v>518</v>
      </c>
      <c r="I4706" s="850">
        <v>16</v>
      </c>
      <c r="J4706" s="317"/>
      <c r="K4706" s="421">
        <v>106</v>
      </c>
      <c r="L4706" s="317">
        <v>13</v>
      </c>
      <c r="M4706" s="317">
        <v>1.5</v>
      </c>
      <c r="N4706" s="317">
        <v>19.5</v>
      </c>
      <c r="O4706" s="788"/>
      <c r="P4706" s="789"/>
      <c r="Q4706" s="786"/>
      <c r="R4706" s="790">
        <v>348.17399999999998</v>
      </c>
      <c r="S4706" s="791" t="s">
        <v>301</v>
      </c>
      <c r="T4706" s="792">
        <v>29</v>
      </c>
      <c r="U4706" s="793"/>
      <c r="V4706" s="291">
        <f t="shared" ca="1" si="1291"/>
        <v>945.39350000000013</v>
      </c>
      <c r="W4706" s="256">
        <f t="shared" ref="W4706:W4736" ca="1" si="1329">IF(LEFT(_xlfn.FORMULATEXT(V4706),3)="=SO",1,IF(COUNTA(A4706:U4706)=0,0,2))</f>
        <v>2</v>
      </c>
      <c r="X4706" s="256">
        <f t="shared" ref="X4706:X4736" ca="1" si="1330">IF(COUNTA(OFFSET(A4705,1,0))-COUNTA(A4705)=-1,0,1)</f>
        <v>1</v>
      </c>
      <c r="Y4706" s="256"/>
      <c r="Z4706" s="256"/>
      <c r="AA4706" s="292"/>
      <c r="AB4706" s="292"/>
      <c r="AC4706" s="292"/>
    </row>
    <row r="4707" spans="1:29" s="293" customFormat="1" ht="15.75" x14ac:dyDescent="0.2">
      <c r="A4707" s="288"/>
      <c r="B4707" s="785"/>
      <c r="C4707" s="312" t="s">
        <v>1045</v>
      </c>
      <c r="D4707" s="848">
        <v>72</v>
      </c>
      <c r="E4707" s="849" t="s">
        <v>518</v>
      </c>
      <c r="F4707" s="850">
        <v>17</v>
      </c>
      <c r="G4707" s="848">
        <v>74</v>
      </c>
      <c r="H4707" s="849" t="s">
        <v>518</v>
      </c>
      <c r="I4707" s="850">
        <v>10</v>
      </c>
      <c r="J4707" s="317"/>
      <c r="K4707" s="421">
        <v>33</v>
      </c>
      <c r="L4707" s="317">
        <v>13</v>
      </c>
      <c r="M4707" s="317">
        <v>1.5</v>
      </c>
      <c r="N4707" s="317">
        <v>19.5</v>
      </c>
      <c r="O4707" s="788"/>
      <c r="P4707" s="789"/>
      <c r="Q4707" s="786"/>
      <c r="R4707" s="790">
        <v>746.08699999999999</v>
      </c>
      <c r="S4707" s="791" t="s">
        <v>301</v>
      </c>
      <c r="T4707" s="792">
        <v>31</v>
      </c>
      <c r="U4707" s="793"/>
      <c r="V4707" s="291">
        <f t="shared" ca="1" si="1291"/>
        <v>945.39350000000013</v>
      </c>
      <c r="W4707" s="256">
        <f t="shared" ca="1" si="1329"/>
        <v>2</v>
      </c>
      <c r="X4707" s="256">
        <f t="shared" ca="1" si="1330"/>
        <v>1</v>
      </c>
      <c r="Y4707" s="256"/>
      <c r="Z4707" s="256"/>
      <c r="AA4707" s="292"/>
      <c r="AB4707" s="292"/>
      <c r="AC4707" s="292"/>
    </row>
    <row r="4708" spans="1:29" s="293" customFormat="1" ht="15.75" x14ac:dyDescent="0.2">
      <c r="A4708" s="288"/>
      <c r="B4708" s="785"/>
      <c r="C4708" s="312" t="s">
        <v>1045</v>
      </c>
      <c r="D4708" s="848">
        <v>71</v>
      </c>
      <c r="E4708" s="849" t="s">
        <v>518</v>
      </c>
      <c r="F4708" s="850">
        <v>7</v>
      </c>
      <c r="G4708" s="848">
        <v>72</v>
      </c>
      <c r="H4708" s="849" t="s">
        <v>518</v>
      </c>
      <c r="I4708" s="850">
        <v>17</v>
      </c>
      <c r="J4708" s="317"/>
      <c r="K4708" s="421">
        <v>30</v>
      </c>
      <c r="L4708" s="317">
        <v>13</v>
      </c>
      <c r="M4708" s="317">
        <v>1.5</v>
      </c>
      <c r="N4708" s="317">
        <v>19.5</v>
      </c>
      <c r="O4708" s="788"/>
      <c r="P4708" s="789"/>
      <c r="Q4708" s="786"/>
      <c r="R4708" s="790">
        <v>66.956999999999994</v>
      </c>
      <c r="S4708" s="791" t="s">
        <v>301</v>
      </c>
      <c r="T4708" s="792">
        <v>32</v>
      </c>
      <c r="U4708" s="793"/>
      <c r="V4708" s="291">
        <f t="shared" ca="1" si="1291"/>
        <v>945.39350000000013</v>
      </c>
      <c r="W4708" s="256">
        <f t="shared" ca="1" si="1329"/>
        <v>2</v>
      </c>
      <c r="X4708" s="256">
        <f t="shared" ca="1" si="1330"/>
        <v>1</v>
      </c>
      <c r="Y4708" s="256"/>
      <c r="Z4708" s="256"/>
      <c r="AA4708" s="292"/>
      <c r="AB4708" s="292"/>
      <c r="AC4708" s="292"/>
    </row>
    <row r="4709" spans="1:29" s="293" customFormat="1" ht="15.75" x14ac:dyDescent="0.2">
      <c r="A4709" s="288"/>
      <c r="B4709" s="785"/>
      <c r="C4709" s="312" t="s">
        <v>1045</v>
      </c>
      <c r="D4709" s="848">
        <v>68</v>
      </c>
      <c r="E4709" s="849" t="s">
        <v>518</v>
      </c>
      <c r="F4709" s="850">
        <v>0</v>
      </c>
      <c r="G4709" s="848">
        <v>71</v>
      </c>
      <c r="H4709" s="849" t="s">
        <v>518</v>
      </c>
      <c r="I4709" s="850">
        <v>7</v>
      </c>
      <c r="J4709" s="317"/>
      <c r="K4709" s="421">
        <v>67</v>
      </c>
      <c r="L4709" s="317">
        <v>13</v>
      </c>
      <c r="M4709" s="317">
        <v>1.5</v>
      </c>
      <c r="N4709" s="317">
        <v>19.5</v>
      </c>
      <c r="O4709" s="788"/>
      <c r="P4709" s="789"/>
      <c r="Q4709" s="786"/>
      <c r="R4709" s="790">
        <v>1306.5</v>
      </c>
      <c r="S4709" s="791" t="s">
        <v>301</v>
      </c>
      <c r="T4709" s="792">
        <v>33</v>
      </c>
      <c r="U4709" s="793"/>
      <c r="V4709" s="291">
        <f t="shared" ca="1" si="1291"/>
        <v>945.39350000000013</v>
      </c>
      <c r="W4709" s="256">
        <f t="shared" ca="1" si="1329"/>
        <v>2</v>
      </c>
      <c r="X4709" s="256">
        <f t="shared" ca="1" si="1330"/>
        <v>1</v>
      </c>
      <c r="Y4709" s="256"/>
      <c r="Z4709" s="256"/>
      <c r="AA4709" s="292"/>
      <c r="AB4709" s="292"/>
      <c r="AC4709" s="292"/>
    </row>
    <row r="4710" spans="1:29" s="293" customFormat="1" ht="15.75" x14ac:dyDescent="0.2">
      <c r="A4710" s="288"/>
      <c r="B4710" s="785"/>
      <c r="C4710" s="495" t="s">
        <v>1045</v>
      </c>
      <c r="D4710" s="855">
        <v>66</v>
      </c>
      <c r="E4710" s="497" t="s">
        <v>518</v>
      </c>
      <c r="F4710" s="856">
        <v>10</v>
      </c>
      <c r="G4710" s="855">
        <v>68</v>
      </c>
      <c r="H4710" s="497" t="s">
        <v>518</v>
      </c>
      <c r="I4710" s="856">
        <v>0</v>
      </c>
      <c r="J4710" s="560"/>
      <c r="K4710" s="500">
        <v>30</v>
      </c>
      <c r="L4710" s="560">
        <v>13</v>
      </c>
      <c r="M4710" s="752">
        <v>1.5</v>
      </c>
      <c r="N4710" s="552">
        <v>19.5</v>
      </c>
      <c r="O4710" s="788"/>
      <c r="P4710" s="789"/>
      <c r="Q4710" s="786"/>
      <c r="R4710" s="790">
        <v>585</v>
      </c>
      <c r="S4710" s="791" t="s">
        <v>301</v>
      </c>
      <c r="T4710" s="792">
        <v>33</v>
      </c>
      <c r="U4710" s="793"/>
      <c r="V4710" s="291">
        <f t="shared" ca="1" si="1291"/>
        <v>945.39350000000013</v>
      </c>
      <c r="W4710" s="256">
        <f t="shared" ca="1" si="1329"/>
        <v>2</v>
      </c>
      <c r="X4710" s="256">
        <f t="shared" ca="1" si="1330"/>
        <v>1</v>
      </c>
      <c r="Y4710" s="256"/>
      <c r="Z4710" s="256"/>
      <c r="AA4710" s="292"/>
      <c r="AB4710" s="292"/>
      <c r="AC4710" s="292"/>
    </row>
    <row r="4711" spans="1:29" s="293" customFormat="1" ht="15.75" x14ac:dyDescent="0.2">
      <c r="A4711" s="288"/>
      <c r="B4711" s="785"/>
      <c r="C4711" s="312" t="s">
        <v>1045</v>
      </c>
      <c r="D4711" s="848">
        <v>65</v>
      </c>
      <c r="E4711" s="849" t="s">
        <v>518</v>
      </c>
      <c r="F4711" s="941">
        <v>5</v>
      </c>
      <c r="G4711" s="974">
        <v>66</v>
      </c>
      <c r="H4711" s="849" t="s">
        <v>518</v>
      </c>
      <c r="I4711" s="850">
        <v>10</v>
      </c>
      <c r="J4711" s="317"/>
      <c r="K4711" s="421">
        <f t="shared" ref="K4711:K4721" si="1331">ABS((G4711*20+I4711)-(D4711*20+F4711))</f>
        <v>25</v>
      </c>
      <c r="L4711" s="317">
        <f>13</f>
        <v>13</v>
      </c>
      <c r="M4711" s="317">
        <v>1.5</v>
      </c>
      <c r="N4711" s="317">
        <f t="shared" ref="N4711:N4721" si="1332">M4711*L4711</f>
        <v>19.5</v>
      </c>
      <c r="O4711" s="313"/>
      <c r="P4711" s="318"/>
      <c r="Q4711" s="315"/>
      <c r="R4711" s="319">
        <f t="shared" ref="R4711" si="1333">K4711*L4711*M4711</f>
        <v>487.5</v>
      </c>
      <c r="S4711" s="398" t="s">
        <v>301</v>
      </c>
      <c r="T4711" s="320">
        <v>34</v>
      </c>
      <c r="U4711" s="321"/>
      <c r="V4711" s="291">
        <f t="shared" ca="1" si="1291"/>
        <v>945.39350000000013</v>
      </c>
      <c r="W4711" s="256">
        <f t="shared" ca="1" si="1329"/>
        <v>2</v>
      </c>
      <c r="X4711" s="256">
        <f t="shared" ca="1" si="1330"/>
        <v>1</v>
      </c>
      <c r="Y4711" s="256"/>
      <c r="Z4711" s="256"/>
      <c r="AA4711" s="292"/>
      <c r="AB4711" s="292"/>
      <c r="AC4711" s="292"/>
    </row>
    <row r="4712" spans="1:29" s="293" customFormat="1" ht="15.75" x14ac:dyDescent="0.2">
      <c r="A4712" s="288"/>
      <c r="B4712" s="785"/>
      <c r="C4712" s="312" t="s">
        <v>1045</v>
      </c>
      <c r="D4712" s="848">
        <v>62</v>
      </c>
      <c r="E4712" s="849" t="s">
        <v>518</v>
      </c>
      <c r="F4712" s="941">
        <v>5</v>
      </c>
      <c r="G4712" s="848">
        <v>65</v>
      </c>
      <c r="H4712" s="849" t="s">
        <v>518</v>
      </c>
      <c r="I4712" s="941">
        <v>5</v>
      </c>
      <c r="J4712" s="317"/>
      <c r="K4712" s="421">
        <f t="shared" si="1331"/>
        <v>60</v>
      </c>
      <c r="L4712" s="317">
        <f>13</f>
        <v>13</v>
      </c>
      <c r="M4712" s="317">
        <v>1.5</v>
      </c>
      <c r="N4712" s="317">
        <f t="shared" si="1332"/>
        <v>19.5</v>
      </c>
      <c r="O4712" s="313"/>
      <c r="P4712" s="318"/>
      <c r="Q4712" s="315"/>
      <c r="R4712" s="319">
        <f>K4712*L4712*M4712</f>
        <v>1170</v>
      </c>
      <c r="S4712" s="398" t="s">
        <v>301</v>
      </c>
      <c r="T4712" s="320">
        <v>35</v>
      </c>
      <c r="U4712" s="321"/>
      <c r="V4712" s="291">
        <f t="shared" ca="1" si="1291"/>
        <v>945.39350000000013</v>
      </c>
      <c r="W4712" s="256">
        <f t="shared" ca="1" si="1329"/>
        <v>2</v>
      </c>
      <c r="X4712" s="256">
        <f t="shared" ca="1" si="1330"/>
        <v>1</v>
      </c>
      <c r="Y4712" s="256"/>
      <c r="Z4712" s="256"/>
      <c r="AA4712" s="292"/>
      <c r="AB4712" s="292"/>
      <c r="AC4712" s="292"/>
    </row>
    <row r="4713" spans="1:29" s="293" customFormat="1" ht="15.75" x14ac:dyDescent="0.2">
      <c r="A4713" s="288"/>
      <c r="B4713" s="785"/>
      <c r="C4713" s="312" t="s">
        <v>1045</v>
      </c>
      <c r="D4713" s="848">
        <v>60</v>
      </c>
      <c r="E4713" s="849" t="s">
        <v>518</v>
      </c>
      <c r="F4713" s="941">
        <v>0</v>
      </c>
      <c r="G4713" s="848">
        <v>62</v>
      </c>
      <c r="H4713" s="849" t="s">
        <v>518</v>
      </c>
      <c r="I4713" s="941">
        <v>5</v>
      </c>
      <c r="J4713" s="317"/>
      <c r="K4713" s="421">
        <f t="shared" si="1331"/>
        <v>45</v>
      </c>
      <c r="L4713" s="317">
        <f>13</f>
        <v>13</v>
      </c>
      <c r="M4713" s="317">
        <v>1.5</v>
      </c>
      <c r="N4713" s="317">
        <f t="shared" si="1332"/>
        <v>19.5</v>
      </c>
      <c r="O4713" s="313"/>
      <c r="P4713" s="318"/>
      <c r="Q4713" s="315"/>
      <c r="R4713" s="319">
        <f>K4713*L4713*M4713</f>
        <v>877.5</v>
      </c>
      <c r="S4713" s="398" t="s">
        <v>301</v>
      </c>
      <c r="T4713" s="320">
        <v>36</v>
      </c>
      <c r="U4713" s="793"/>
      <c r="V4713" s="291">
        <f t="shared" ca="1" si="1291"/>
        <v>945.39350000000013</v>
      </c>
      <c r="W4713" s="256">
        <f t="shared" ca="1" si="1329"/>
        <v>2</v>
      </c>
      <c r="X4713" s="256">
        <f t="shared" ca="1" si="1330"/>
        <v>1</v>
      </c>
      <c r="Y4713" s="256"/>
      <c r="Z4713" s="256"/>
      <c r="AA4713" s="292"/>
      <c r="AB4713" s="292"/>
      <c r="AC4713" s="292"/>
    </row>
    <row r="4714" spans="1:29" s="293" customFormat="1" ht="15.75" x14ac:dyDescent="0.2">
      <c r="A4714" s="288"/>
      <c r="B4714" s="785"/>
      <c r="C4714" s="312" t="s">
        <v>1045</v>
      </c>
      <c r="D4714" s="848">
        <v>57</v>
      </c>
      <c r="E4714" s="849" t="s">
        <v>518</v>
      </c>
      <c r="F4714" s="941">
        <v>16</v>
      </c>
      <c r="G4714" s="848">
        <v>60</v>
      </c>
      <c r="H4714" s="849" t="s">
        <v>518</v>
      </c>
      <c r="I4714" s="941">
        <v>0</v>
      </c>
      <c r="J4714" s="317"/>
      <c r="K4714" s="421">
        <f t="shared" si="1331"/>
        <v>44</v>
      </c>
      <c r="L4714" s="317">
        <f>13</f>
        <v>13</v>
      </c>
      <c r="M4714" s="317">
        <v>1.5</v>
      </c>
      <c r="N4714" s="317">
        <f t="shared" si="1332"/>
        <v>19.5</v>
      </c>
      <c r="O4714" s="313"/>
      <c r="P4714" s="318"/>
      <c r="Q4714" s="315"/>
      <c r="R4714" s="319">
        <f t="shared" ref="R4714" si="1334">K4714*L4714*M4714</f>
        <v>858</v>
      </c>
      <c r="S4714" s="398" t="s">
        <v>323</v>
      </c>
      <c r="T4714" s="320">
        <v>37</v>
      </c>
      <c r="U4714" s="321"/>
      <c r="V4714" s="291">
        <f t="shared" ca="1" si="1291"/>
        <v>945.39350000000013</v>
      </c>
      <c r="W4714" s="256">
        <f t="shared" ref="W4714" ca="1" si="1335">IF(LEFT(_xlfn.FORMULATEXT(V4714),3)="=SO",1,IF(COUNTA(A4714:U4714)=0,0,2))</f>
        <v>2</v>
      </c>
      <c r="X4714" s="256">
        <f t="shared" ref="X4714" ca="1" si="1336">IF(COUNTA(OFFSET(A4713,1,0))-COUNTA(A4713)=-1,0,1)</f>
        <v>1</v>
      </c>
      <c r="Y4714" s="256"/>
      <c r="Z4714" s="256"/>
      <c r="AA4714" s="292"/>
      <c r="AB4714" s="292"/>
      <c r="AC4714" s="292"/>
    </row>
    <row r="4715" spans="1:29" s="293" customFormat="1" ht="15.75" x14ac:dyDescent="0.2">
      <c r="A4715" s="288"/>
      <c r="B4715" s="785"/>
      <c r="C4715" s="312" t="s">
        <v>1045</v>
      </c>
      <c r="D4715" s="848">
        <v>55</v>
      </c>
      <c r="E4715" s="849" t="s">
        <v>518</v>
      </c>
      <c r="F4715" s="941">
        <v>10</v>
      </c>
      <c r="G4715" s="848">
        <v>57</v>
      </c>
      <c r="H4715" s="849" t="s">
        <v>518</v>
      </c>
      <c r="I4715" s="941">
        <v>16</v>
      </c>
      <c r="J4715" s="317"/>
      <c r="K4715" s="421">
        <f t="shared" si="1331"/>
        <v>46</v>
      </c>
      <c r="L4715" s="317">
        <f>13</f>
        <v>13</v>
      </c>
      <c r="M4715" s="317">
        <v>1.5</v>
      </c>
      <c r="N4715" s="317">
        <f t="shared" si="1332"/>
        <v>19.5</v>
      </c>
      <c r="O4715" s="313"/>
      <c r="P4715" s="318"/>
      <c r="Q4715" s="315"/>
      <c r="R4715" s="319">
        <f>K4715*L4715*M4715</f>
        <v>897</v>
      </c>
      <c r="S4715" s="554" t="s">
        <v>323</v>
      </c>
      <c r="T4715" s="506">
        <v>38</v>
      </c>
      <c r="U4715" s="321"/>
      <c r="V4715" s="291">
        <f t="shared" ca="1" si="1291"/>
        <v>945.39350000000013</v>
      </c>
      <c r="W4715" s="256">
        <f t="shared" ref="W4715" ca="1" si="1337">IF(LEFT(_xlfn.FORMULATEXT(V4715),3)="=SO",1,IF(COUNTA(A4715:U4715)=0,0,2))</f>
        <v>2</v>
      </c>
      <c r="X4715" s="256">
        <f t="shared" ref="X4715" ca="1" si="1338">IF(COUNTA(OFFSET(A4714,1,0))-COUNTA(A4714)=-1,0,1)</f>
        <v>1</v>
      </c>
      <c r="Y4715" s="256"/>
      <c r="Z4715" s="256"/>
      <c r="AA4715" s="292"/>
      <c r="AB4715" s="292"/>
      <c r="AC4715" s="292"/>
    </row>
    <row r="4716" spans="1:29" s="293" customFormat="1" ht="15.75" x14ac:dyDescent="0.2">
      <c r="A4716" s="288"/>
      <c r="B4716" s="785"/>
      <c r="C4716" s="312" t="s">
        <v>1045</v>
      </c>
      <c r="D4716" s="848">
        <v>51</v>
      </c>
      <c r="E4716" s="849" t="s">
        <v>518</v>
      </c>
      <c r="F4716" s="941">
        <v>8</v>
      </c>
      <c r="G4716" s="848">
        <v>55</v>
      </c>
      <c r="H4716" s="849" t="s">
        <v>518</v>
      </c>
      <c r="I4716" s="941">
        <v>10</v>
      </c>
      <c r="J4716" s="317"/>
      <c r="K4716" s="421">
        <f t="shared" si="1331"/>
        <v>82</v>
      </c>
      <c r="L4716" s="317">
        <v>13</v>
      </c>
      <c r="M4716" s="317">
        <v>1.5</v>
      </c>
      <c r="N4716" s="317">
        <v>19.5</v>
      </c>
      <c r="O4716" s="313"/>
      <c r="P4716" s="318"/>
      <c r="Q4716" s="315"/>
      <c r="R4716" s="319">
        <f>K4716*L4716*M4716</f>
        <v>1599</v>
      </c>
      <c r="S4716" s="554" t="s">
        <v>323</v>
      </c>
      <c r="T4716" s="506">
        <v>40</v>
      </c>
      <c r="U4716" s="321"/>
      <c r="V4716" s="291">
        <f t="shared" ca="1" si="1291"/>
        <v>945.39350000000013</v>
      </c>
      <c r="W4716" s="256">
        <f t="shared" ref="W4716:W4717" ca="1" si="1339">IF(LEFT(_xlfn.FORMULATEXT(V4716),3)="=SO",1,IF(COUNTA(A4716:U4716)=0,0,2))</f>
        <v>2</v>
      </c>
      <c r="X4716" s="256">
        <f t="shared" ref="X4716:X4717" ca="1" si="1340">IF(COUNTA(OFFSET(A4715,1,0))-COUNTA(A4715)=-1,0,1)</f>
        <v>1</v>
      </c>
      <c r="Y4716" s="256"/>
      <c r="Z4716" s="256"/>
      <c r="AA4716" s="292"/>
      <c r="AB4716" s="292"/>
      <c r="AC4716" s="292"/>
    </row>
    <row r="4717" spans="1:29" s="293" customFormat="1" ht="15.75" x14ac:dyDescent="0.2">
      <c r="A4717" s="288"/>
      <c r="B4717" s="785"/>
      <c r="C4717" s="312" t="s">
        <v>1045</v>
      </c>
      <c r="D4717" s="848">
        <v>49</v>
      </c>
      <c r="E4717" s="849" t="s">
        <v>518</v>
      </c>
      <c r="F4717" s="941">
        <v>13</v>
      </c>
      <c r="G4717" s="848">
        <v>51</v>
      </c>
      <c r="H4717" s="849" t="s">
        <v>518</v>
      </c>
      <c r="I4717" s="941">
        <v>8</v>
      </c>
      <c r="J4717" s="317"/>
      <c r="K4717" s="421">
        <f t="shared" si="1331"/>
        <v>35</v>
      </c>
      <c r="L4717" s="317">
        <f>13</f>
        <v>13</v>
      </c>
      <c r="M4717" s="317">
        <v>1.5</v>
      </c>
      <c r="N4717" s="317">
        <f t="shared" si="1332"/>
        <v>19.5</v>
      </c>
      <c r="O4717" s="313"/>
      <c r="P4717" s="318"/>
      <c r="Q4717" s="315"/>
      <c r="R4717" s="319">
        <f t="shared" ref="R4717:R4721" si="1341">K4717*L4717*M4717</f>
        <v>682.5</v>
      </c>
      <c r="S4717" s="554" t="s">
        <v>323</v>
      </c>
      <c r="T4717" s="506">
        <v>40</v>
      </c>
      <c r="U4717" s="321" t="s">
        <v>1289</v>
      </c>
      <c r="V4717" s="291">
        <f t="shared" ca="1" si="1291"/>
        <v>945.39350000000013</v>
      </c>
      <c r="W4717" s="256">
        <f t="shared" ca="1" si="1339"/>
        <v>2</v>
      </c>
      <c r="X4717" s="256">
        <f t="shared" ca="1" si="1340"/>
        <v>1</v>
      </c>
      <c r="Y4717" s="256"/>
      <c r="Z4717" s="256"/>
      <c r="AA4717" s="292"/>
      <c r="AB4717" s="292"/>
      <c r="AC4717" s="292"/>
    </row>
    <row r="4718" spans="1:29" s="293" customFormat="1" ht="15.75" x14ac:dyDescent="0.2">
      <c r="A4718" s="288"/>
      <c r="B4718" s="785"/>
      <c r="C4718" s="312" t="s">
        <v>1045</v>
      </c>
      <c r="D4718" s="848">
        <v>48</v>
      </c>
      <c r="E4718" s="849" t="s">
        <v>518</v>
      </c>
      <c r="F4718" s="941">
        <v>8</v>
      </c>
      <c r="G4718" s="848">
        <v>49</v>
      </c>
      <c r="H4718" s="849" t="s">
        <v>518</v>
      </c>
      <c r="I4718" s="941">
        <v>13</v>
      </c>
      <c r="J4718" s="317"/>
      <c r="K4718" s="421">
        <f t="shared" si="1331"/>
        <v>25</v>
      </c>
      <c r="L4718" s="317">
        <f>13</f>
        <v>13</v>
      </c>
      <c r="M4718" s="317">
        <v>1.5</v>
      </c>
      <c r="N4718" s="317">
        <f t="shared" si="1332"/>
        <v>19.5</v>
      </c>
      <c r="O4718" s="313"/>
      <c r="P4718" s="318"/>
      <c r="Q4718" s="315"/>
      <c r="R4718" s="319">
        <f t="shared" si="1341"/>
        <v>487.5</v>
      </c>
      <c r="S4718" s="554" t="s">
        <v>323</v>
      </c>
      <c r="T4718" s="506">
        <v>41</v>
      </c>
      <c r="U4718" s="321" t="s">
        <v>1289</v>
      </c>
      <c r="V4718" s="291">
        <f t="shared" ca="1" si="1291"/>
        <v>945.39350000000013</v>
      </c>
      <c r="W4718" s="256">
        <f t="shared" ref="W4718:W4731" ca="1" si="1342">IF(LEFT(_xlfn.FORMULATEXT(V4718),3)="=SO",1,IF(COUNTA(A4718:U4718)=0,0,2))</f>
        <v>2</v>
      </c>
      <c r="X4718" s="256">
        <f t="shared" ref="X4718:X4731" ca="1" si="1343">IF(COUNTA(OFFSET(A4717,1,0))-COUNTA(A4717)=-1,0,1)</f>
        <v>1</v>
      </c>
      <c r="Y4718" s="256"/>
      <c r="Z4718" s="256"/>
      <c r="AA4718" s="292"/>
      <c r="AB4718" s="292"/>
      <c r="AC4718" s="292"/>
    </row>
    <row r="4719" spans="1:29" s="293" customFormat="1" ht="15.75" x14ac:dyDescent="0.2">
      <c r="A4719" s="288"/>
      <c r="B4719" s="785"/>
      <c r="C4719" s="312" t="s">
        <v>1045</v>
      </c>
      <c r="D4719" s="848">
        <v>45</v>
      </c>
      <c r="E4719" s="849" t="s">
        <v>518</v>
      </c>
      <c r="F4719" s="941">
        <v>6</v>
      </c>
      <c r="G4719" s="848">
        <v>48</v>
      </c>
      <c r="H4719" s="849" t="s">
        <v>518</v>
      </c>
      <c r="I4719" s="941">
        <v>8</v>
      </c>
      <c r="J4719" s="317"/>
      <c r="K4719" s="421">
        <f t="shared" si="1331"/>
        <v>62</v>
      </c>
      <c r="L4719" s="317">
        <f>13</f>
        <v>13</v>
      </c>
      <c r="M4719" s="317">
        <v>1.5</v>
      </c>
      <c r="N4719" s="317">
        <f t="shared" si="1332"/>
        <v>19.5</v>
      </c>
      <c r="O4719" s="313"/>
      <c r="P4719" s="318"/>
      <c r="Q4719" s="315"/>
      <c r="R4719" s="319">
        <f t="shared" si="1341"/>
        <v>1209</v>
      </c>
      <c r="S4719" s="554" t="s">
        <v>323</v>
      </c>
      <c r="T4719" s="506">
        <v>42</v>
      </c>
      <c r="U4719" s="321" t="s">
        <v>1289</v>
      </c>
      <c r="V4719" s="291">
        <f t="shared" ca="1" si="1291"/>
        <v>945.39350000000013</v>
      </c>
      <c r="W4719" s="256">
        <f t="shared" ca="1" si="1342"/>
        <v>2</v>
      </c>
      <c r="X4719" s="256">
        <f t="shared" ca="1" si="1343"/>
        <v>1</v>
      </c>
      <c r="Y4719" s="256"/>
      <c r="Z4719" s="256"/>
      <c r="AA4719" s="292"/>
      <c r="AB4719" s="292"/>
      <c r="AC4719" s="292"/>
    </row>
    <row r="4720" spans="1:29" s="293" customFormat="1" ht="15.75" x14ac:dyDescent="0.2">
      <c r="A4720" s="288"/>
      <c r="B4720" s="785"/>
      <c r="C4720" s="312" t="s">
        <v>1045</v>
      </c>
      <c r="D4720" s="848">
        <v>42</v>
      </c>
      <c r="E4720" s="849" t="s">
        <v>518</v>
      </c>
      <c r="F4720" s="941">
        <v>3</v>
      </c>
      <c r="G4720" s="848">
        <v>45</v>
      </c>
      <c r="H4720" s="849" t="s">
        <v>518</v>
      </c>
      <c r="I4720" s="941">
        <v>6</v>
      </c>
      <c r="J4720" s="317"/>
      <c r="K4720" s="421">
        <f t="shared" si="1331"/>
        <v>63</v>
      </c>
      <c r="L4720" s="317">
        <f>13</f>
        <v>13</v>
      </c>
      <c r="M4720" s="317">
        <v>1.5</v>
      </c>
      <c r="N4720" s="317">
        <f t="shared" si="1332"/>
        <v>19.5</v>
      </c>
      <c r="O4720" s="313"/>
      <c r="P4720" s="318"/>
      <c r="Q4720" s="315"/>
      <c r="R4720" s="319">
        <f t="shared" si="1341"/>
        <v>1228.5</v>
      </c>
      <c r="S4720" s="554" t="s">
        <v>323</v>
      </c>
      <c r="T4720" s="506">
        <v>43</v>
      </c>
      <c r="U4720" s="321" t="s">
        <v>1289</v>
      </c>
      <c r="V4720" s="291">
        <f t="shared" ca="1" si="1291"/>
        <v>945.39350000000013</v>
      </c>
      <c r="W4720" s="256">
        <f t="shared" ca="1" si="1342"/>
        <v>2</v>
      </c>
      <c r="X4720" s="256">
        <f t="shared" ca="1" si="1343"/>
        <v>1</v>
      </c>
      <c r="Y4720" s="256"/>
      <c r="Z4720" s="256"/>
      <c r="AA4720" s="292"/>
      <c r="AB4720" s="292"/>
      <c r="AC4720" s="292"/>
    </row>
    <row r="4721" spans="1:29" s="293" customFormat="1" ht="15.75" x14ac:dyDescent="0.2">
      <c r="A4721" s="288"/>
      <c r="B4721" s="1205"/>
      <c r="C4721" s="312" t="s">
        <v>1045</v>
      </c>
      <c r="D4721" s="848">
        <v>39</v>
      </c>
      <c r="E4721" s="849" t="s">
        <v>518</v>
      </c>
      <c r="F4721" s="941">
        <v>2</v>
      </c>
      <c r="G4721" s="848">
        <v>42</v>
      </c>
      <c r="H4721" s="849" t="s">
        <v>518</v>
      </c>
      <c r="I4721" s="941">
        <v>3</v>
      </c>
      <c r="J4721" s="317"/>
      <c r="K4721" s="421">
        <f t="shared" si="1331"/>
        <v>61</v>
      </c>
      <c r="L4721" s="317">
        <f>13</f>
        <v>13</v>
      </c>
      <c r="M4721" s="317">
        <v>1.5</v>
      </c>
      <c r="N4721" s="317">
        <f t="shared" si="1332"/>
        <v>19.5</v>
      </c>
      <c r="O4721" s="313"/>
      <c r="P4721" s="318"/>
      <c r="Q4721" s="315"/>
      <c r="R4721" s="319">
        <f t="shared" si="1341"/>
        <v>1189.5</v>
      </c>
      <c r="S4721" s="554" t="s">
        <v>323</v>
      </c>
      <c r="T4721" s="506">
        <v>44</v>
      </c>
      <c r="U4721" s="321" t="s">
        <v>1289</v>
      </c>
      <c r="V4721" s="291">
        <f t="shared" ca="1" si="1291"/>
        <v>945.39350000000013</v>
      </c>
      <c r="W4721" s="256">
        <f t="shared" ca="1" si="1342"/>
        <v>2</v>
      </c>
      <c r="X4721" s="256">
        <f t="shared" ca="1" si="1343"/>
        <v>1</v>
      </c>
      <c r="Y4721" s="256"/>
      <c r="Z4721" s="256"/>
      <c r="AA4721" s="292"/>
      <c r="AB4721" s="292"/>
      <c r="AC4721" s="292"/>
    </row>
    <row r="4722" spans="1:29" s="293" customFormat="1" ht="15.75" x14ac:dyDescent="0.2">
      <c r="A4722" s="288"/>
      <c r="B4722" s="1205"/>
      <c r="C4722" s="312"/>
      <c r="D4722" s="848"/>
      <c r="E4722" s="849"/>
      <c r="F4722" s="941"/>
      <c r="G4722" s="848"/>
      <c r="H4722" s="849"/>
      <c r="I4722" s="941"/>
      <c r="J4722" s="317"/>
      <c r="K4722" s="421"/>
      <c r="L4722" s="317"/>
      <c r="M4722" s="317"/>
      <c r="N4722" s="317"/>
      <c r="O4722" s="313"/>
      <c r="P4722" s="318"/>
      <c r="Q4722" s="315"/>
      <c r="R4722" s="319"/>
      <c r="S4722" s="554"/>
      <c r="T4722" s="506"/>
      <c r="U4722" s="1209"/>
      <c r="V4722" s="291">
        <f t="shared" ca="1" si="1291"/>
        <v>945.39350000000013</v>
      </c>
      <c r="W4722" s="256">
        <f t="shared" ca="1" si="1342"/>
        <v>0</v>
      </c>
      <c r="X4722" s="256">
        <f t="shared" ca="1" si="1343"/>
        <v>1</v>
      </c>
      <c r="Y4722" s="256"/>
      <c r="Z4722" s="256"/>
      <c r="AA4722" s="292"/>
      <c r="AB4722" s="292"/>
      <c r="AC4722" s="292"/>
    </row>
    <row r="4723" spans="1:29" s="293" customFormat="1" ht="15.75" x14ac:dyDescent="0.2">
      <c r="A4723" s="288"/>
      <c r="B4723" s="1205"/>
      <c r="C4723" s="312"/>
      <c r="D4723" s="848"/>
      <c r="E4723" s="849"/>
      <c r="F4723" s="941"/>
      <c r="G4723" s="848"/>
      <c r="H4723" s="849"/>
      <c r="I4723" s="941"/>
      <c r="J4723" s="317"/>
      <c r="K4723" s="421"/>
      <c r="L4723" s="317"/>
      <c r="M4723" s="317"/>
      <c r="N4723" s="317"/>
      <c r="O4723" s="313"/>
      <c r="P4723" s="318"/>
      <c r="Q4723" s="315"/>
      <c r="R4723" s="319"/>
      <c r="S4723" s="554"/>
      <c r="T4723" s="506"/>
      <c r="U4723" s="1209"/>
      <c r="V4723" s="291">
        <f t="shared" ca="1" si="1291"/>
        <v>945.39350000000013</v>
      </c>
      <c r="W4723" s="256">
        <f t="shared" ca="1" si="1342"/>
        <v>0</v>
      </c>
      <c r="X4723" s="256">
        <f t="shared" ca="1" si="1343"/>
        <v>1</v>
      </c>
      <c r="Y4723" s="256"/>
      <c r="Z4723" s="256"/>
      <c r="AA4723" s="292"/>
      <c r="AB4723" s="292"/>
      <c r="AC4723" s="292"/>
    </row>
    <row r="4724" spans="1:29" s="293" customFormat="1" ht="15.75" x14ac:dyDescent="0.2">
      <c r="A4724" s="288"/>
      <c r="B4724" s="785"/>
      <c r="C4724" s="312" t="s">
        <v>1181</v>
      </c>
      <c r="D4724" s="848"/>
      <c r="E4724" s="849"/>
      <c r="F4724" s="941"/>
      <c r="G4724" s="848"/>
      <c r="H4724" s="849"/>
      <c r="I4724" s="941"/>
      <c r="J4724" s="317"/>
      <c r="K4724" s="421"/>
      <c r="L4724" s="317"/>
      <c r="M4724" s="317"/>
      <c r="N4724" s="317"/>
      <c r="O4724" s="313"/>
      <c r="P4724" s="318"/>
      <c r="Q4724" s="315"/>
      <c r="R4724" s="319">
        <v>-2279.2150000000001</v>
      </c>
      <c r="S4724" s="398"/>
      <c r="T4724" s="320">
        <v>35</v>
      </c>
      <c r="U4724" s="321" t="s">
        <v>1235</v>
      </c>
      <c r="V4724" s="291">
        <f t="shared" ca="1" si="1291"/>
        <v>945.39350000000013</v>
      </c>
      <c r="W4724" s="256">
        <f t="shared" ca="1" si="1342"/>
        <v>2</v>
      </c>
      <c r="X4724" s="256">
        <f ca="1">IF(COUNTA(OFFSET(#REF!,1,0))-COUNTA(#REF!)=-1,0,1)</f>
        <v>1</v>
      </c>
      <c r="Y4724" s="256">
        <f>R4650/2</f>
        <v>10552.8285</v>
      </c>
      <c r="Z4724" s="256"/>
      <c r="AA4724" s="292"/>
      <c r="AB4724" s="292"/>
      <c r="AC4724" s="292"/>
    </row>
    <row r="4725" spans="1:29" s="293" customFormat="1" ht="15.75" x14ac:dyDescent="0.2">
      <c r="A4725" s="288"/>
      <c r="B4725" s="785"/>
      <c r="C4725" s="312" t="s">
        <v>1181</v>
      </c>
      <c r="D4725" s="855"/>
      <c r="E4725" s="497"/>
      <c r="F4725" s="498"/>
      <c r="G4725" s="855"/>
      <c r="H4725" s="497"/>
      <c r="I4725" s="498"/>
      <c r="J4725" s="560"/>
      <c r="K4725" s="500"/>
      <c r="L4725" s="560"/>
      <c r="M4725" s="752"/>
      <c r="N4725" s="552"/>
      <c r="O4725" s="738"/>
      <c r="P4725" s="565"/>
      <c r="Q4725" s="752"/>
      <c r="R4725" s="558">
        <v>-588.10900000000004</v>
      </c>
      <c r="S4725" s="554"/>
      <c r="T4725" s="506">
        <v>36</v>
      </c>
      <c r="U4725" s="321" t="s">
        <v>1235</v>
      </c>
      <c r="V4725" s="291">
        <f t="shared" ca="1" si="1291"/>
        <v>945.39350000000013</v>
      </c>
      <c r="W4725" s="256">
        <f t="shared" ca="1" si="1342"/>
        <v>2</v>
      </c>
      <c r="X4725" s="256">
        <f t="shared" ca="1" si="1343"/>
        <v>1</v>
      </c>
      <c r="Y4725" s="256"/>
      <c r="Z4725" s="256"/>
      <c r="AA4725" s="292"/>
      <c r="AB4725" s="292"/>
      <c r="AC4725" s="292"/>
    </row>
    <row r="4726" spans="1:29" s="293" customFormat="1" ht="15.75" x14ac:dyDescent="0.2">
      <c r="A4726" s="288"/>
      <c r="B4726" s="785"/>
      <c r="C4726" s="312" t="s">
        <v>1181</v>
      </c>
      <c r="D4726" s="855"/>
      <c r="E4726" s="497"/>
      <c r="F4726" s="498"/>
      <c r="G4726" s="855"/>
      <c r="H4726" s="497"/>
      <c r="I4726" s="498"/>
      <c r="J4726" s="560"/>
      <c r="K4726" s="500"/>
      <c r="L4726" s="560"/>
      <c r="M4726" s="752"/>
      <c r="N4726" s="552"/>
      <c r="O4726" s="738"/>
      <c r="P4726" s="565"/>
      <c r="Q4726" s="752"/>
      <c r="R4726" s="558">
        <v>-308.04349999999999</v>
      </c>
      <c r="S4726" s="554"/>
      <c r="T4726" s="506">
        <v>38</v>
      </c>
      <c r="U4726" s="321" t="s">
        <v>1235</v>
      </c>
      <c r="V4726" s="291">
        <f t="shared" ca="1" si="1291"/>
        <v>945.39350000000013</v>
      </c>
      <c r="W4726" s="256">
        <f t="shared" ca="1" si="1342"/>
        <v>2</v>
      </c>
      <c r="X4726" s="256">
        <f t="shared" ca="1" si="1343"/>
        <v>1</v>
      </c>
      <c r="Y4726" s="256"/>
      <c r="Z4726" s="256"/>
      <c r="AA4726" s="292"/>
      <c r="AB4726" s="292"/>
      <c r="AC4726" s="292"/>
    </row>
    <row r="4727" spans="1:29" s="293" customFormat="1" ht="15.75" x14ac:dyDescent="0.2">
      <c r="A4727" s="288"/>
      <c r="B4727" s="785"/>
      <c r="C4727" s="312" t="s">
        <v>1181</v>
      </c>
      <c r="D4727" s="855"/>
      <c r="E4727" s="497"/>
      <c r="F4727" s="498"/>
      <c r="G4727" s="855"/>
      <c r="H4727" s="497"/>
      <c r="I4727" s="498"/>
      <c r="J4727" s="1109"/>
      <c r="K4727" s="500"/>
      <c r="L4727" s="1109"/>
      <c r="M4727" s="752"/>
      <c r="N4727" s="552"/>
      <c r="O4727" s="738"/>
      <c r="P4727" s="565"/>
      <c r="Q4727" s="752"/>
      <c r="R4727" s="558">
        <v>-2186.8485000000001</v>
      </c>
      <c r="S4727" s="554"/>
      <c r="T4727" s="506">
        <v>40</v>
      </c>
      <c r="U4727" s="321" t="s">
        <v>1235</v>
      </c>
      <c r="V4727" s="291">
        <f t="shared" ca="1" si="1291"/>
        <v>945.39350000000013</v>
      </c>
      <c r="W4727" s="256">
        <f t="shared" ca="1" si="1342"/>
        <v>2</v>
      </c>
      <c r="X4727" s="256">
        <f t="shared" ca="1" si="1343"/>
        <v>1</v>
      </c>
      <c r="Y4727" s="256"/>
      <c r="Z4727" s="256"/>
      <c r="AA4727" s="292"/>
      <c r="AB4727" s="292"/>
      <c r="AC4727" s="292"/>
    </row>
    <row r="4728" spans="1:29" s="293" customFormat="1" ht="15.75" x14ac:dyDescent="0.2">
      <c r="A4728" s="288"/>
      <c r="B4728" s="785"/>
      <c r="C4728" s="312" t="s">
        <v>1181</v>
      </c>
      <c r="D4728" s="855"/>
      <c r="E4728" s="497"/>
      <c r="F4728" s="498"/>
      <c r="G4728" s="855"/>
      <c r="H4728" s="497"/>
      <c r="I4728" s="498"/>
      <c r="J4728" s="1109"/>
      <c r="K4728" s="500"/>
      <c r="L4728" s="1109"/>
      <c r="M4728" s="752"/>
      <c r="N4728" s="552"/>
      <c r="O4728" s="738"/>
      <c r="P4728" s="565"/>
      <c r="Q4728" s="752"/>
      <c r="R4728" s="558">
        <v>-274.54300000000001</v>
      </c>
      <c r="S4728" s="554"/>
      <c r="T4728" s="506">
        <v>41</v>
      </c>
      <c r="U4728" s="321" t="s">
        <v>1235</v>
      </c>
      <c r="V4728" s="291">
        <f t="shared" ca="1" si="1291"/>
        <v>945.39350000000013</v>
      </c>
      <c r="W4728" s="256">
        <f t="shared" ca="1" si="1342"/>
        <v>2</v>
      </c>
      <c r="X4728" s="256">
        <f t="shared" ca="1" si="1343"/>
        <v>1</v>
      </c>
      <c r="Y4728" s="256"/>
      <c r="Z4728" s="256"/>
      <c r="AA4728" s="292"/>
      <c r="AB4728" s="292"/>
      <c r="AC4728" s="292"/>
    </row>
    <row r="4729" spans="1:29" s="293" customFormat="1" ht="15.75" x14ac:dyDescent="0.2">
      <c r="A4729" s="288"/>
      <c r="B4729" s="785"/>
      <c r="C4729" s="312" t="s">
        <v>1181</v>
      </c>
      <c r="D4729" s="855"/>
      <c r="E4729" s="497"/>
      <c r="F4729" s="498"/>
      <c r="G4729" s="855"/>
      <c r="H4729" s="497"/>
      <c r="I4729" s="498"/>
      <c r="J4729" s="1109"/>
      <c r="K4729" s="500"/>
      <c r="L4729" s="1109"/>
      <c r="M4729" s="752"/>
      <c r="N4729" s="552"/>
      <c r="O4729" s="738"/>
      <c r="P4729" s="565"/>
      <c r="Q4729" s="752"/>
      <c r="R4729" s="558">
        <v>-804.34749999999997</v>
      </c>
      <c r="S4729" s="554"/>
      <c r="T4729" s="506">
        <v>42</v>
      </c>
      <c r="U4729" s="321" t="s">
        <v>1235</v>
      </c>
      <c r="V4729" s="291">
        <f t="shared" ca="1" si="1291"/>
        <v>945.39350000000013</v>
      </c>
      <c r="W4729" s="256">
        <f t="shared" ca="1" si="1342"/>
        <v>2</v>
      </c>
      <c r="X4729" s="256">
        <f t="shared" ca="1" si="1343"/>
        <v>1</v>
      </c>
      <c r="Y4729" s="256"/>
      <c r="Z4729" s="256"/>
      <c r="AA4729" s="292"/>
      <c r="AB4729" s="292"/>
      <c r="AC4729" s="292"/>
    </row>
    <row r="4730" spans="1:29" s="293" customFormat="1" ht="15.75" x14ac:dyDescent="0.2">
      <c r="A4730" s="288"/>
      <c r="B4730" s="785"/>
      <c r="C4730" s="312" t="s">
        <v>1181</v>
      </c>
      <c r="D4730" s="855"/>
      <c r="E4730" s="497"/>
      <c r="F4730" s="498"/>
      <c r="G4730" s="855"/>
      <c r="H4730" s="497"/>
      <c r="I4730" s="498"/>
      <c r="J4730" s="1109"/>
      <c r="K4730" s="500"/>
      <c r="L4730" s="1109"/>
      <c r="M4730" s="752"/>
      <c r="N4730" s="552"/>
      <c r="O4730" s="738"/>
      <c r="P4730" s="565"/>
      <c r="Q4730" s="752"/>
      <c r="R4730" s="558">
        <v>-798.45699999999999</v>
      </c>
      <c r="S4730" s="554"/>
      <c r="T4730" s="506">
        <v>43</v>
      </c>
      <c r="U4730" s="321" t="s">
        <v>1235</v>
      </c>
      <c r="V4730" s="291">
        <f t="shared" ca="1" si="1291"/>
        <v>945.39350000000013</v>
      </c>
      <c r="W4730" s="256">
        <f t="shared" ca="1" si="1342"/>
        <v>2</v>
      </c>
      <c r="X4730" s="256">
        <f t="shared" ca="1" si="1343"/>
        <v>1</v>
      </c>
      <c r="Y4730" s="256"/>
      <c r="Z4730" s="256"/>
      <c r="AA4730" s="292"/>
      <c r="AB4730" s="292"/>
      <c r="AC4730" s="292"/>
    </row>
    <row r="4731" spans="1:29" s="293" customFormat="1" ht="15.75" x14ac:dyDescent="0.2">
      <c r="A4731" s="288"/>
      <c r="B4731" s="785"/>
      <c r="C4731" s="312" t="s">
        <v>1181</v>
      </c>
      <c r="D4731" s="855"/>
      <c r="E4731" s="497"/>
      <c r="F4731" s="498"/>
      <c r="G4731" s="855"/>
      <c r="H4731" s="497"/>
      <c r="I4731" s="498"/>
      <c r="J4731" s="1109"/>
      <c r="K4731" s="500"/>
      <c r="L4731" s="1109"/>
      <c r="M4731" s="752"/>
      <c r="N4731" s="552"/>
      <c r="O4731" s="738"/>
      <c r="P4731" s="565"/>
      <c r="Q4731" s="752"/>
      <c r="R4731" s="558">
        <v>-244.10650000000001</v>
      </c>
      <c r="S4731" s="554"/>
      <c r="T4731" s="506">
        <v>44</v>
      </c>
      <c r="U4731" s="321" t="s">
        <v>1235</v>
      </c>
      <c r="V4731" s="291">
        <f t="shared" ca="1" si="1291"/>
        <v>945.39350000000013</v>
      </c>
      <c r="W4731" s="256">
        <f t="shared" ca="1" si="1342"/>
        <v>2</v>
      </c>
      <c r="X4731" s="256">
        <f t="shared" ca="1" si="1343"/>
        <v>1</v>
      </c>
      <c r="Y4731" s="256"/>
      <c r="Z4731" s="256"/>
      <c r="AA4731" s="292"/>
      <c r="AB4731" s="292"/>
      <c r="AC4731" s="292"/>
    </row>
    <row r="4732" spans="1:29" s="293" customFormat="1" ht="15.75" x14ac:dyDescent="0.2">
      <c r="A4732" s="288"/>
      <c r="B4732" s="785"/>
      <c r="C4732" s="495"/>
      <c r="D4732" s="855"/>
      <c r="E4732" s="497"/>
      <c r="F4732" s="498"/>
      <c r="G4732" s="855"/>
      <c r="H4732" s="497"/>
      <c r="I4732" s="498"/>
      <c r="J4732" s="560"/>
      <c r="K4732" s="500"/>
      <c r="L4732" s="560"/>
      <c r="M4732" s="752"/>
      <c r="N4732" s="552"/>
      <c r="O4732" s="738"/>
      <c r="P4732" s="565"/>
      <c r="Q4732" s="752"/>
      <c r="R4732" s="558"/>
      <c r="S4732" s="554"/>
      <c r="T4732" s="506"/>
      <c r="U4732" s="568"/>
      <c r="V4732" s="291">
        <f t="shared" ca="1" si="1291"/>
        <v>945.39350000000013</v>
      </c>
      <c r="W4732" s="256">
        <f t="shared" ref="W4732:W4734" ca="1" si="1344">IF(LEFT(_xlfn.FORMULATEXT(V4732),3)="=SO",1,IF(COUNTA(A4732:U4732)=0,0,2))</f>
        <v>0</v>
      </c>
      <c r="X4732" s="256">
        <f t="shared" ref="X4732:X4734" ca="1" si="1345">IF(COUNTA(OFFSET(A4731,1,0))-COUNTA(A4731)=-1,0,1)</f>
        <v>1</v>
      </c>
      <c r="Y4732" s="256"/>
      <c r="Z4732" s="256"/>
      <c r="AA4732" s="292"/>
      <c r="AB4732" s="292"/>
      <c r="AC4732" s="292"/>
    </row>
    <row r="4733" spans="1:29" s="293" customFormat="1" ht="15.75" x14ac:dyDescent="0.2">
      <c r="A4733" s="288"/>
      <c r="B4733" s="785"/>
      <c r="C4733" s="495"/>
      <c r="D4733" s="855"/>
      <c r="E4733" s="497"/>
      <c r="F4733" s="498"/>
      <c r="G4733" s="855"/>
      <c r="H4733" s="497"/>
      <c r="I4733" s="498"/>
      <c r="J4733" s="560"/>
      <c r="K4733" s="500"/>
      <c r="L4733" s="560"/>
      <c r="M4733" s="752"/>
      <c r="N4733" s="552"/>
      <c r="O4733" s="738"/>
      <c r="P4733" s="565"/>
      <c r="Q4733" s="752"/>
      <c r="R4733" s="558"/>
      <c r="S4733" s="554"/>
      <c r="T4733" s="506"/>
      <c r="U4733" s="568"/>
      <c r="V4733" s="291">
        <f t="shared" ca="1" si="1291"/>
        <v>945.39350000000013</v>
      </c>
      <c r="W4733" s="256">
        <f t="shared" ca="1" si="1344"/>
        <v>0</v>
      </c>
      <c r="X4733" s="256">
        <f t="shared" ca="1" si="1345"/>
        <v>1</v>
      </c>
      <c r="Y4733" s="859"/>
      <c r="Z4733" s="256"/>
      <c r="AA4733" s="292"/>
      <c r="AB4733" s="292"/>
      <c r="AC4733" s="292"/>
    </row>
    <row r="4734" spans="1:29" s="111" customFormat="1" ht="15.75" customHeight="1" x14ac:dyDescent="0.2">
      <c r="A4734" s="288"/>
      <c r="B4734" s="354"/>
      <c r="C4734" s="355"/>
      <c r="D4734" s="1397" t="s">
        <v>492</v>
      </c>
      <c r="E4734" s="1398"/>
      <c r="F4734" s="1398"/>
      <c r="G4734" s="1398"/>
      <c r="H4734" s="1398"/>
      <c r="I4734" s="1399"/>
      <c r="J4734" s="1400">
        <f>VLOOKUP(A4736,'11 - FINANCEIRO'!_xlnm.Print_Area,6,FALSE)</f>
        <v>15780.59</v>
      </c>
      <c r="K4734" s="1401"/>
      <c r="L4734" s="356" t="str">
        <f>VLOOKUP(A4736,'11 - FINANCEIRO'!_xlnm.Print_Area,4,FALSE)</f>
        <v>m³</v>
      </c>
      <c r="M4734" s="1371" t="s">
        <v>493</v>
      </c>
      <c r="N4734" s="1372"/>
      <c r="O4734" s="1372"/>
      <c r="P4734" s="1372"/>
      <c r="Q4734" s="1373"/>
      <c r="R4734" s="357">
        <f>SUM(R4705:R4733)</f>
        <v>10552.828</v>
      </c>
      <c r="S4734" s="358" t="str">
        <f>L4734</f>
        <v>m³</v>
      </c>
      <c r="T4734" s="1384"/>
      <c r="U4734" s="1385"/>
      <c r="V4734" s="291">
        <f t="shared" ca="1" si="1291"/>
        <v>945.39350000000013</v>
      </c>
      <c r="W4734" s="256">
        <f t="shared" ca="1" si="1344"/>
        <v>2</v>
      </c>
      <c r="X4734" s="256">
        <f t="shared" ca="1" si="1345"/>
        <v>1</v>
      </c>
      <c r="Y4734" s="250"/>
      <c r="Z4734" s="250"/>
    </row>
    <row r="4735" spans="1:29" s="111" customFormat="1" ht="15.75" customHeight="1" x14ac:dyDescent="0.2">
      <c r="A4735" s="288"/>
      <c r="B4735" s="354"/>
      <c r="C4735" s="361"/>
      <c r="D4735" s="1362" t="s">
        <v>494</v>
      </c>
      <c r="E4735" s="1363"/>
      <c r="F4735" s="1363"/>
      <c r="G4735" s="1363"/>
      <c r="H4735" s="1363"/>
      <c r="I4735" s="1364"/>
      <c r="J4735" s="1365">
        <f>R4734/J4734</f>
        <v>0.66872201863174952</v>
      </c>
      <c r="K4735" s="1366"/>
      <c r="L4735" s="1369"/>
      <c r="M4735" s="1371" t="s">
        <v>495</v>
      </c>
      <c r="N4735" s="1372"/>
      <c r="O4735" s="1372"/>
      <c r="P4735" s="1372"/>
      <c r="Q4735" s="1373"/>
      <c r="R4735" s="362">
        <f>VLOOKUP(A4736,'11 - FINANCEIRO'!_xlnm.Print_Area,8,FALSE)</f>
        <v>9607.4344999999994</v>
      </c>
      <c r="S4735" s="363" t="str">
        <f>L4734</f>
        <v>m³</v>
      </c>
      <c r="T4735" s="1396"/>
      <c r="U4735" s="1387"/>
      <c r="V4735" s="291">
        <f t="shared" ca="1" si="1291"/>
        <v>945.39350000000013</v>
      </c>
      <c r="W4735" s="256">
        <f t="shared" ca="1" si="1329"/>
        <v>2</v>
      </c>
      <c r="X4735" s="256">
        <f t="shared" ca="1" si="1330"/>
        <v>1</v>
      </c>
      <c r="Y4735" s="250"/>
      <c r="Z4735" s="250"/>
    </row>
    <row r="4736" spans="1:29" s="293" customFormat="1" ht="15.75" x14ac:dyDescent="0.2">
      <c r="A4736" s="288" t="s">
        <v>960</v>
      </c>
      <c r="B4736" s="364"/>
      <c r="C4736" s="365"/>
      <c r="D4736" s="1354"/>
      <c r="E4736" s="1355"/>
      <c r="F4736" s="1355"/>
      <c r="G4736" s="1355"/>
      <c r="H4736" s="1355"/>
      <c r="I4736" s="1356"/>
      <c r="J4736" s="1367"/>
      <c r="K4736" s="1368"/>
      <c r="L4736" s="1370"/>
      <c r="M4736" s="1371" t="s">
        <v>496</v>
      </c>
      <c r="N4736" s="1372"/>
      <c r="O4736" s="1372"/>
      <c r="P4736" s="1372"/>
      <c r="Q4736" s="1373"/>
      <c r="R4736" s="362">
        <f>R4734-R4735</f>
        <v>945.39350000000013</v>
      </c>
      <c r="S4736" s="363" t="str">
        <f>L4734</f>
        <v>m³</v>
      </c>
      <c r="T4736" s="1388"/>
      <c r="U4736" s="1389"/>
      <c r="V4736" s="291">
        <f t="shared" ca="1" si="1291"/>
        <v>945.39350000000013</v>
      </c>
      <c r="W4736" s="256">
        <f t="shared" ca="1" si="1329"/>
        <v>2</v>
      </c>
      <c r="X4736" s="256">
        <f t="shared" ca="1" si="1330"/>
        <v>1</v>
      </c>
      <c r="Y4736" s="256"/>
      <c r="Z4736" s="256"/>
      <c r="AA4736" s="292"/>
      <c r="AB4736" s="292"/>
      <c r="AC4736" s="292"/>
    </row>
    <row r="4737" spans="1:29" s="111" customFormat="1" ht="15.75" x14ac:dyDescent="0.2">
      <c r="A4737" s="288"/>
      <c r="B4737" s="368"/>
      <c r="C4737" s="365"/>
      <c r="D4737" s="369"/>
      <c r="E4737" s="370"/>
      <c r="F4737" s="369"/>
      <c r="G4737" s="369"/>
      <c r="H4737" s="369"/>
      <c r="I4737" s="369"/>
      <c r="J4737" s="371"/>
      <c r="K4737" s="372"/>
      <c r="L4737" s="373"/>
      <c r="M4737" s="374"/>
      <c r="N4737" s="374"/>
      <c r="O4737" s="374"/>
      <c r="P4737" s="374"/>
      <c r="Q4737" s="374"/>
      <c r="R4737" s="375"/>
      <c r="S4737" s="376"/>
      <c r="T4737" s="377"/>
      <c r="U4737" s="378"/>
      <c r="V4737" s="379">
        <f ca="1">SUM(V4703:V4736)</f>
        <v>32143.378999999979</v>
      </c>
      <c r="W4737" s="256">
        <f t="shared" ref="W4737:W4740" ca="1" si="1346">IF(LEFT(_xlfn.FORMULATEXT(V4737),3)="=SO",1,IF(COUNTA(A4737:U4737)=0,0,2))</f>
        <v>1</v>
      </c>
      <c r="X4737" s="256">
        <f t="shared" ref="X4737:X4740" ca="1" si="1347">IF(COUNTA(OFFSET(A4736,1,0))-COUNTA(A4736)=-1,0,1)</f>
        <v>0</v>
      </c>
      <c r="Y4737" s="250"/>
      <c r="Z4737" s="250"/>
    </row>
    <row r="4738" spans="1:29" s="293" customFormat="1" ht="33" hidden="1" customHeight="1" x14ac:dyDescent="0.2">
      <c r="A4738" s="288"/>
      <c r="B4738" s="1374" t="str">
        <f>VLOOKUP(A4765,'11 - FINANCEIRO'!_xlnm.Print_Area,1,FALSE)</f>
        <v>6.1.21</v>
      </c>
      <c r="C4738" s="1376" t="str">
        <f>VLOOKUP(A4765,'11 - FINANCEIRO'!_xlnm.Print_Area,3,FALSE)</f>
        <v>Caixa ralo em blocos pré-moldados e grelha articulada em FFA em Vias Urbanas</v>
      </c>
      <c r="D4738" s="1378" t="s">
        <v>500</v>
      </c>
      <c r="E4738" s="1379"/>
      <c r="F4738" s="1379"/>
      <c r="G4738" s="1379"/>
      <c r="H4738" s="1379"/>
      <c r="I4738" s="1380"/>
      <c r="J4738" s="1338" t="s">
        <v>478</v>
      </c>
      <c r="K4738" s="1338" t="s">
        <v>479</v>
      </c>
      <c r="L4738" s="1338" t="s">
        <v>480</v>
      </c>
      <c r="M4738" s="1338" t="s">
        <v>481</v>
      </c>
      <c r="N4738" s="1338" t="s">
        <v>482</v>
      </c>
      <c r="O4738" s="1338" t="s">
        <v>483</v>
      </c>
      <c r="P4738" s="1338" t="s">
        <v>484</v>
      </c>
      <c r="Q4738" s="1338" t="s">
        <v>296</v>
      </c>
      <c r="R4738" s="1336" t="s">
        <v>296</v>
      </c>
      <c r="S4738" s="1338" t="s">
        <v>486</v>
      </c>
      <c r="T4738" s="1338" t="s">
        <v>487</v>
      </c>
      <c r="U4738" s="1340" t="s">
        <v>488</v>
      </c>
      <c r="V4738" s="291">
        <f t="shared" ca="1" si="1291"/>
        <v>0</v>
      </c>
      <c r="W4738" s="256">
        <f t="shared" ca="1" si="1346"/>
        <v>2</v>
      </c>
      <c r="X4738" s="256">
        <f t="shared" ca="1" si="1347"/>
        <v>1</v>
      </c>
      <c r="Y4738" s="256"/>
      <c r="Z4738" s="256"/>
      <c r="AA4738" s="292"/>
      <c r="AB4738" s="292"/>
      <c r="AC4738" s="292"/>
    </row>
    <row r="4739" spans="1:29" s="293" customFormat="1" ht="33" hidden="1" customHeight="1" x14ac:dyDescent="0.2">
      <c r="A4739" s="288"/>
      <c r="B4739" s="1375"/>
      <c r="C4739" s="1377"/>
      <c r="D4739" s="1342" t="s">
        <v>489</v>
      </c>
      <c r="E4739" s="1343"/>
      <c r="F4739" s="1344"/>
      <c r="G4739" s="1345" t="s">
        <v>490</v>
      </c>
      <c r="H4739" s="1346"/>
      <c r="I4739" s="1347"/>
      <c r="J4739" s="1339"/>
      <c r="K4739" s="1339"/>
      <c r="L4739" s="1339"/>
      <c r="M4739" s="1339"/>
      <c r="N4739" s="1339"/>
      <c r="O4739" s="1339"/>
      <c r="P4739" s="1339" t="s">
        <v>491</v>
      </c>
      <c r="Q4739" s="1339"/>
      <c r="R4739" s="1337"/>
      <c r="S4739" s="1339"/>
      <c r="T4739" s="1339"/>
      <c r="U4739" s="1341"/>
      <c r="V4739" s="291">
        <f t="shared" ca="1" si="1291"/>
        <v>0</v>
      </c>
      <c r="W4739" s="256">
        <f t="shared" ca="1" si="1346"/>
        <v>2</v>
      </c>
      <c r="X4739" s="256">
        <f t="shared" ca="1" si="1347"/>
        <v>1</v>
      </c>
      <c r="Y4739" s="256"/>
      <c r="Z4739" s="256"/>
      <c r="AA4739" s="292"/>
      <c r="AB4739" s="292"/>
      <c r="AC4739" s="292"/>
    </row>
    <row r="4740" spans="1:29" s="293" customFormat="1" ht="15.75" hidden="1" x14ac:dyDescent="0.2">
      <c r="A4740" s="288"/>
      <c r="B4740" s="581"/>
      <c r="C4740" s="582" t="s">
        <v>1014</v>
      </c>
      <c r="D4740" s="551">
        <v>0</v>
      </c>
      <c r="E4740" s="552" t="s">
        <v>518</v>
      </c>
      <c r="F4740" s="553">
        <v>0</v>
      </c>
      <c r="G4740" s="496">
        <v>0</v>
      </c>
      <c r="H4740" s="497" t="s">
        <v>518</v>
      </c>
      <c r="I4740" s="498">
        <v>0</v>
      </c>
      <c r="J4740" s="589"/>
      <c r="K4740" s="747">
        <f>ABS((G4740*20+I4740)-(D4740*20+F4740))</f>
        <v>0</v>
      </c>
      <c r="L4740" s="589"/>
      <c r="M4740" s="589"/>
      <c r="N4740" s="589"/>
      <c r="O4740" s="589"/>
      <c r="P4740" s="749"/>
      <c r="Q4740" s="589"/>
      <c r="R4740" s="592">
        <v>1</v>
      </c>
      <c r="S4740" s="807" t="str">
        <f>S4763</f>
        <v>UND</v>
      </c>
      <c r="T4740" s="593">
        <v>26</v>
      </c>
      <c r="U4740" s="808"/>
      <c r="V4740" s="291">
        <f t="shared" ca="1" si="1291"/>
        <v>0</v>
      </c>
      <c r="W4740" s="256">
        <f t="shared" ca="1" si="1346"/>
        <v>2</v>
      </c>
      <c r="X4740" s="256">
        <f t="shared" ca="1" si="1347"/>
        <v>1</v>
      </c>
      <c r="Y4740" s="256"/>
      <c r="Z4740" s="256"/>
      <c r="AA4740" s="292"/>
      <c r="AB4740" s="292"/>
      <c r="AC4740" s="292"/>
    </row>
    <row r="4741" spans="1:29" s="293" customFormat="1" ht="15.75" hidden="1" x14ac:dyDescent="0.2">
      <c r="A4741" s="288"/>
      <c r="B4741" s="311"/>
      <c r="C4741" s="312" t="s">
        <v>1015</v>
      </c>
      <c r="D4741" s="846">
        <v>0</v>
      </c>
      <c r="E4741" s="520" t="s">
        <v>518</v>
      </c>
      <c r="F4741" s="847">
        <v>0</v>
      </c>
      <c r="G4741" s="846">
        <v>0</v>
      </c>
      <c r="H4741" s="520" t="s">
        <v>518</v>
      </c>
      <c r="I4741" s="847">
        <v>0</v>
      </c>
      <c r="J4741" s="427"/>
      <c r="K4741" s="429">
        <f t="shared" ref="K4741:K4748" si="1348">ABS((G4741*20+I4741)-(D4741*20+F4741))</f>
        <v>0</v>
      </c>
      <c r="L4741" s="317"/>
      <c r="M4741" s="315"/>
      <c r="N4741" s="314"/>
      <c r="O4741" s="313"/>
      <c r="P4741" s="318"/>
      <c r="Q4741" s="315"/>
      <c r="R4741" s="319">
        <v>1</v>
      </c>
      <c r="S4741" s="398" t="s">
        <v>486</v>
      </c>
      <c r="T4741" s="320">
        <v>26</v>
      </c>
      <c r="U4741" s="321"/>
      <c r="V4741" s="291">
        <f t="shared" ca="1" si="1291"/>
        <v>0</v>
      </c>
      <c r="W4741" s="256">
        <f t="shared" ref="W4741:W4763" ca="1" si="1349">IF(LEFT(_xlfn.FORMULATEXT(V4741),3)="=SO",1,IF(COUNTA(A4741:U4741)=0,0,2))</f>
        <v>2</v>
      </c>
      <c r="X4741" s="256">
        <f t="shared" ref="X4741:X4763" ca="1" si="1350">IF(COUNTA(OFFSET(A4740,1,0))-COUNTA(A4740)=-1,0,1)</f>
        <v>1</v>
      </c>
      <c r="Y4741" s="256"/>
      <c r="Z4741" s="256"/>
      <c r="AA4741" s="292"/>
      <c r="AB4741" s="292"/>
      <c r="AC4741" s="292"/>
    </row>
    <row r="4742" spans="1:29" s="293" customFormat="1" ht="15.75" hidden="1" x14ac:dyDescent="0.2">
      <c r="A4742" s="288"/>
      <c r="B4742" s="311"/>
      <c r="C4742" s="312" t="s">
        <v>1016</v>
      </c>
      <c r="D4742" s="846">
        <v>0</v>
      </c>
      <c r="E4742" s="520" t="s">
        <v>518</v>
      </c>
      <c r="F4742" s="847">
        <v>0</v>
      </c>
      <c r="G4742" s="846">
        <v>0</v>
      </c>
      <c r="H4742" s="520" t="s">
        <v>518</v>
      </c>
      <c r="I4742" s="847">
        <v>0</v>
      </c>
      <c r="J4742" s="427"/>
      <c r="K4742" s="429">
        <f t="shared" si="1348"/>
        <v>0</v>
      </c>
      <c r="L4742" s="317"/>
      <c r="M4742" s="315"/>
      <c r="N4742" s="314"/>
      <c r="O4742" s="313"/>
      <c r="P4742" s="318"/>
      <c r="Q4742" s="315"/>
      <c r="R4742" s="319">
        <v>1</v>
      </c>
      <c r="S4742" s="398" t="s">
        <v>486</v>
      </c>
      <c r="T4742" s="320">
        <v>26</v>
      </c>
      <c r="U4742" s="321"/>
      <c r="V4742" s="291">
        <f t="shared" ca="1" si="1291"/>
        <v>0</v>
      </c>
      <c r="W4742" s="256">
        <f t="shared" ca="1" si="1349"/>
        <v>2</v>
      </c>
      <c r="X4742" s="256">
        <f t="shared" ca="1" si="1350"/>
        <v>1</v>
      </c>
      <c r="Y4742" s="256"/>
      <c r="Z4742" s="256"/>
      <c r="AA4742" s="292"/>
      <c r="AB4742" s="292"/>
      <c r="AC4742" s="292"/>
    </row>
    <row r="4743" spans="1:29" s="293" customFormat="1" ht="15.75" hidden="1" x14ac:dyDescent="0.2">
      <c r="A4743" s="288"/>
      <c r="B4743" s="311"/>
      <c r="C4743" s="312" t="s">
        <v>1017</v>
      </c>
      <c r="D4743" s="846">
        <v>0</v>
      </c>
      <c r="E4743" s="520" t="s">
        <v>518</v>
      </c>
      <c r="F4743" s="847">
        <v>0</v>
      </c>
      <c r="G4743" s="846">
        <v>0</v>
      </c>
      <c r="H4743" s="520" t="s">
        <v>518</v>
      </c>
      <c r="I4743" s="847">
        <v>0</v>
      </c>
      <c r="J4743" s="427"/>
      <c r="K4743" s="429">
        <f t="shared" si="1348"/>
        <v>0</v>
      </c>
      <c r="L4743" s="317"/>
      <c r="M4743" s="315"/>
      <c r="N4743" s="314"/>
      <c r="O4743" s="313"/>
      <c r="P4743" s="318"/>
      <c r="Q4743" s="315"/>
      <c r="R4743" s="319">
        <v>1</v>
      </c>
      <c r="S4743" s="398" t="s">
        <v>486</v>
      </c>
      <c r="T4743" s="320">
        <v>26</v>
      </c>
      <c r="U4743" s="321"/>
      <c r="V4743" s="291">
        <f t="shared" ca="1" si="1291"/>
        <v>0</v>
      </c>
      <c r="W4743" s="256">
        <f t="shared" ca="1" si="1349"/>
        <v>2</v>
      </c>
      <c r="X4743" s="256">
        <f t="shared" ca="1" si="1350"/>
        <v>1</v>
      </c>
      <c r="Y4743" s="256"/>
      <c r="Z4743" s="256"/>
      <c r="AA4743" s="292"/>
      <c r="AB4743" s="292"/>
      <c r="AC4743" s="292"/>
    </row>
    <row r="4744" spans="1:29" s="293" customFormat="1" ht="15.75" hidden="1" x14ac:dyDescent="0.2">
      <c r="A4744" s="288"/>
      <c r="B4744" s="311"/>
      <c r="C4744" s="312" t="s">
        <v>1018</v>
      </c>
      <c r="D4744" s="846">
        <v>0</v>
      </c>
      <c r="E4744" s="520" t="s">
        <v>518</v>
      </c>
      <c r="F4744" s="847">
        <v>0</v>
      </c>
      <c r="G4744" s="846">
        <v>0</v>
      </c>
      <c r="H4744" s="520" t="s">
        <v>518</v>
      </c>
      <c r="I4744" s="847">
        <v>0</v>
      </c>
      <c r="J4744" s="427"/>
      <c r="K4744" s="429">
        <f t="shared" si="1348"/>
        <v>0</v>
      </c>
      <c r="L4744" s="317"/>
      <c r="M4744" s="315"/>
      <c r="N4744" s="314"/>
      <c r="O4744" s="313"/>
      <c r="P4744" s="318"/>
      <c r="Q4744" s="315"/>
      <c r="R4744" s="319">
        <v>1</v>
      </c>
      <c r="S4744" s="398" t="s">
        <v>486</v>
      </c>
      <c r="T4744" s="320">
        <v>26</v>
      </c>
      <c r="U4744" s="321"/>
      <c r="V4744" s="291">
        <f t="shared" ca="1" si="1291"/>
        <v>0</v>
      </c>
      <c r="W4744" s="256">
        <f t="shared" ca="1" si="1349"/>
        <v>2</v>
      </c>
      <c r="X4744" s="256">
        <f t="shared" ca="1" si="1350"/>
        <v>1</v>
      </c>
      <c r="Y4744" s="256"/>
      <c r="Z4744" s="256"/>
      <c r="AA4744" s="292"/>
      <c r="AB4744" s="292"/>
      <c r="AC4744" s="292"/>
    </row>
    <row r="4745" spans="1:29" s="293" customFormat="1" ht="15.75" hidden="1" x14ac:dyDescent="0.2">
      <c r="A4745" s="288"/>
      <c r="B4745" s="311"/>
      <c r="C4745" s="312" t="s">
        <v>1019</v>
      </c>
      <c r="D4745" s="846">
        <v>0</v>
      </c>
      <c r="E4745" s="520" t="s">
        <v>518</v>
      </c>
      <c r="F4745" s="847">
        <v>0</v>
      </c>
      <c r="G4745" s="846">
        <v>0</v>
      </c>
      <c r="H4745" s="520" t="s">
        <v>518</v>
      </c>
      <c r="I4745" s="847">
        <v>0</v>
      </c>
      <c r="J4745" s="427"/>
      <c r="K4745" s="429">
        <f t="shared" si="1348"/>
        <v>0</v>
      </c>
      <c r="L4745" s="317"/>
      <c r="M4745" s="315"/>
      <c r="N4745" s="314"/>
      <c r="O4745" s="313"/>
      <c r="P4745" s="318"/>
      <c r="Q4745" s="315"/>
      <c r="R4745" s="319">
        <v>1</v>
      </c>
      <c r="S4745" s="398" t="s">
        <v>486</v>
      </c>
      <c r="T4745" s="320">
        <v>26</v>
      </c>
      <c r="U4745" s="321"/>
      <c r="V4745" s="291">
        <f t="shared" ca="1" si="1291"/>
        <v>0</v>
      </c>
      <c r="W4745" s="256">
        <f t="shared" ca="1" si="1349"/>
        <v>2</v>
      </c>
      <c r="X4745" s="256">
        <f t="shared" ca="1" si="1350"/>
        <v>1</v>
      </c>
      <c r="Y4745" s="256"/>
      <c r="Z4745" s="256"/>
      <c r="AA4745" s="292"/>
      <c r="AB4745" s="292"/>
      <c r="AC4745" s="292"/>
    </row>
    <row r="4746" spans="1:29" s="293" customFormat="1" ht="15.75" hidden="1" x14ac:dyDescent="0.2">
      <c r="A4746" s="288"/>
      <c r="B4746" s="311"/>
      <c r="C4746" s="312" t="s">
        <v>1020</v>
      </c>
      <c r="D4746" s="846">
        <v>0</v>
      </c>
      <c r="E4746" s="520" t="s">
        <v>518</v>
      </c>
      <c r="F4746" s="847">
        <v>0</v>
      </c>
      <c r="G4746" s="846">
        <v>0</v>
      </c>
      <c r="H4746" s="520" t="s">
        <v>518</v>
      </c>
      <c r="I4746" s="847">
        <v>0</v>
      </c>
      <c r="J4746" s="427"/>
      <c r="K4746" s="429">
        <f t="shared" si="1348"/>
        <v>0</v>
      </c>
      <c r="L4746" s="317"/>
      <c r="M4746" s="315"/>
      <c r="N4746" s="314"/>
      <c r="O4746" s="313"/>
      <c r="P4746" s="318"/>
      <c r="Q4746" s="315"/>
      <c r="R4746" s="319">
        <v>1</v>
      </c>
      <c r="S4746" s="398" t="s">
        <v>486</v>
      </c>
      <c r="T4746" s="320">
        <v>26</v>
      </c>
      <c r="U4746" s="321"/>
      <c r="V4746" s="291">
        <f t="shared" ca="1" si="1291"/>
        <v>0</v>
      </c>
      <c r="W4746" s="256">
        <f t="shared" ca="1" si="1349"/>
        <v>2</v>
      </c>
      <c r="X4746" s="256">
        <f t="shared" ca="1" si="1350"/>
        <v>1</v>
      </c>
      <c r="Y4746" s="256"/>
      <c r="Z4746" s="256"/>
      <c r="AA4746" s="292"/>
      <c r="AB4746" s="292"/>
      <c r="AC4746" s="292"/>
    </row>
    <row r="4747" spans="1:29" s="293" customFormat="1" ht="15.75" hidden="1" x14ac:dyDescent="0.2">
      <c r="A4747" s="288"/>
      <c r="B4747" s="311"/>
      <c r="C4747" s="312" t="s">
        <v>1021</v>
      </c>
      <c r="D4747" s="846">
        <v>0</v>
      </c>
      <c r="E4747" s="520" t="s">
        <v>518</v>
      </c>
      <c r="F4747" s="847">
        <v>0</v>
      </c>
      <c r="G4747" s="846">
        <v>0</v>
      </c>
      <c r="H4747" s="520" t="s">
        <v>518</v>
      </c>
      <c r="I4747" s="847">
        <v>0</v>
      </c>
      <c r="J4747" s="427"/>
      <c r="K4747" s="429">
        <f t="shared" si="1348"/>
        <v>0</v>
      </c>
      <c r="L4747" s="317"/>
      <c r="M4747" s="315"/>
      <c r="N4747" s="314"/>
      <c r="O4747" s="313"/>
      <c r="P4747" s="318"/>
      <c r="Q4747" s="315"/>
      <c r="R4747" s="319">
        <v>1</v>
      </c>
      <c r="S4747" s="398" t="s">
        <v>486</v>
      </c>
      <c r="T4747" s="320">
        <v>27</v>
      </c>
      <c r="U4747" s="321"/>
      <c r="V4747" s="291">
        <f t="shared" ca="1" si="1291"/>
        <v>0</v>
      </c>
      <c r="W4747" s="256">
        <f t="shared" ca="1" si="1349"/>
        <v>2</v>
      </c>
      <c r="X4747" s="256">
        <f t="shared" ca="1" si="1350"/>
        <v>1</v>
      </c>
      <c r="Y4747" s="256"/>
      <c r="Z4747" s="256"/>
      <c r="AA4747" s="292"/>
      <c r="AB4747" s="292"/>
      <c r="AC4747" s="292"/>
    </row>
    <row r="4748" spans="1:29" s="293" customFormat="1" ht="15.75" hidden="1" x14ac:dyDescent="0.2">
      <c r="A4748" s="288"/>
      <c r="B4748" s="311"/>
      <c r="C4748" s="312" t="s">
        <v>1022</v>
      </c>
      <c r="D4748" s="846">
        <v>0</v>
      </c>
      <c r="E4748" s="520" t="s">
        <v>518</v>
      </c>
      <c r="F4748" s="847">
        <v>0</v>
      </c>
      <c r="G4748" s="846">
        <v>0</v>
      </c>
      <c r="H4748" s="520" t="s">
        <v>518</v>
      </c>
      <c r="I4748" s="847">
        <v>0</v>
      </c>
      <c r="J4748" s="427"/>
      <c r="K4748" s="429">
        <f t="shared" si="1348"/>
        <v>0</v>
      </c>
      <c r="L4748" s="317"/>
      <c r="M4748" s="315"/>
      <c r="N4748" s="314"/>
      <c r="O4748" s="313"/>
      <c r="P4748" s="318"/>
      <c r="Q4748" s="315"/>
      <c r="R4748" s="319">
        <v>1</v>
      </c>
      <c r="S4748" s="398" t="s">
        <v>486</v>
      </c>
      <c r="T4748" s="320">
        <v>27</v>
      </c>
      <c r="U4748" s="321"/>
      <c r="V4748" s="291">
        <f t="shared" ca="1" si="1291"/>
        <v>0</v>
      </c>
      <c r="W4748" s="256">
        <f t="shared" ca="1" si="1349"/>
        <v>2</v>
      </c>
      <c r="X4748" s="256">
        <f t="shared" ca="1" si="1350"/>
        <v>1</v>
      </c>
      <c r="Y4748" s="256"/>
      <c r="Z4748" s="256"/>
      <c r="AA4748" s="292"/>
      <c r="AB4748" s="292"/>
      <c r="AC4748" s="292"/>
    </row>
    <row r="4749" spans="1:29" s="293" customFormat="1" ht="15.75" hidden="1" x14ac:dyDescent="0.2">
      <c r="A4749" s="288"/>
      <c r="B4749" s="311"/>
      <c r="C4749" s="312" t="s">
        <v>1023</v>
      </c>
      <c r="D4749" s="846">
        <v>0</v>
      </c>
      <c r="E4749" s="520" t="s">
        <v>518</v>
      </c>
      <c r="F4749" s="847">
        <v>0</v>
      </c>
      <c r="G4749" s="846">
        <v>0</v>
      </c>
      <c r="H4749" s="520" t="s">
        <v>518</v>
      </c>
      <c r="I4749" s="847">
        <v>0</v>
      </c>
      <c r="J4749" s="427"/>
      <c r="K4749" s="429">
        <f t="shared" ref="K4749:K4754" si="1351">ABS((G4749*20+I4749)-(D4749*20+F4749))</f>
        <v>0</v>
      </c>
      <c r="L4749" s="317"/>
      <c r="M4749" s="315"/>
      <c r="N4749" s="314"/>
      <c r="O4749" s="313"/>
      <c r="P4749" s="318"/>
      <c r="Q4749" s="315"/>
      <c r="R4749" s="319">
        <v>1</v>
      </c>
      <c r="S4749" s="398" t="s">
        <v>486</v>
      </c>
      <c r="T4749" s="320">
        <v>27</v>
      </c>
      <c r="U4749" s="321"/>
      <c r="V4749" s="291">
        <f t="shared" ca="1" si="1291"/>
        <v>0</v>
      </c>
      <c r="W4749" s="256">
        <f t="shared" ca="1" si="1349"/>
        <v>2</v>
      </c>
      <c r="X4749" s="256">
        <f t="shared" ca="1" si="1350"/>
        <v>1</v>
      </c>
      <c r="Y4749" s="256"/>
      <c r="Z4749" s="256"/>
      <c r="AA4749" s="292"/>
      <c r="AB4749" s="292"/>
      <c r="AC4749" s="292"/>
    </row>
    <row r="4750" spans="1:29" s="293" customFormat="1" ht="15.75" hidden="1" x14ac:dyDescent="0.2">
      <c r="A4750" s="288"/>
      <c r="B4750" s="311"/>
      <c r="C4750" s="312" t="s">
        <v>1024</v>
      </c>
      <c r="D4750" s="846">
        <v>0</v>
      </c>
      <c r="E4750" s="520" t="s">
        <v>518</v>
      </c>
      <c r="F4750" s="847">
        <v>0</v>
      </c>
      <c r="G4750" s="846">
        <v>0</v>
      </c>
      <c r="H4750" s="520" t="s">
        <v>518</v>
      </c>
      <c r="I4750" s="847">
        <v>0</v>
      </c>
      <c r="J4750" s="427"/>
      <c r="K4750" s="429">
        <f t="shared" si="1351"/>
        <v>0</v>
      </c>
      <c r="L4750" s="317"/>
      <c r="M4750" s="315"/>
      <c r="N4750" s="314"/>
      <c r="O4750" s="313"/>
      <c r="P4750" s="318"/>
      <c r="Q4750" s="315"/>
      <c r="R4750" s="319">
        <v>2</v>
      </c>
      <c r="S4750" s="398" t="s">
        <v>486</v>
      </c>
      <c r="T4750" s="320">
        <v>27</v>
      </c>
      <c r="U4750" s="321"/>
      <c r="V4750" s="291">
        <f t="shared" ca="1" si="1291"/>
        <v>0</v>
      </c>
      <c r="W4750" s="256">
        <f t="shared" ca="1" si="1349"/>
        <v>2</v>
      </c>
      <c r="X4750" s="256">
        <f t="shared" ca="1" si="1350"/>
        <v>1</v>
      </c>
      <c r="Y4750" s="256"/>
      <c r="Z4750" s="256"/>
      <c r="AA4750" s="292"/>
      <c r="AB4750" s="292"/>
      <c r="AC4750" s="292"/>
    </row>
    <row r="4751" spans="1:29" s="293" customFormat="1" ht="15.75" hidden="1" x14ac:dyDescent="0.2">
      <c r="A4751" s="288"/>
      <c r="B4751" s="785"/>
      <c r="C4751" s="312" t="s">
        <v>1025</v>
      </c>
      <c r="D4751" s="846">
        <v>0</v>
      </c>
      <c r="E4751" s="520" t="s">
        <v>518</v>
      </c>
      <c r="F4751" s="847">
        <v>0</v>
      </c>
      <c r="G4751" s="846">
        <v>0</v>
      </c>
      <c r="H4751" s="520" t="s">
        <v>518</v>
      </c>
      <c r="I4751" s="847">
        <v>0</v>
      </c>
      <c r="J4751" s="427"/>
      <c r="K4751" s="429">
        <f t="shared" si="1351"/>
        <v>0</v>
      </c>
      <c r="L4751" s="317"/>
      <c r="M4751" s="315"/>
      <c r="N4751" s="314"/>
      <c r="O4751" s="313"/>
      <c r="P4751" s="318"/>
      <c r="Q4751" s="315"/>
      <c r="R4751" s="319">
        <v>1</v>
      </c>
      <c r="S4751" s="791" t="s">
        <v>486</v>
      </c>
      <c r="T4751" s="792">
        <v>27</v>
      </c>
      <c r="U4751" s="793"/>
      <c r="V4751" s="291">
        <f t="shared" ca="1" si="1291"/>
        <v>0</v>
      </c>
      <c r="W4751" s="256">
        <f t="shared" ca="1" si="1349"/>
        <v>2</v>
      </c>
      <c r="X4751" s="256">
        <f t="shared" ca="1" si="1350"/>
        <v>1</v>
      </c>
      <c r="Y4751" s="256"/>
      <c r="Z4751" s="256"/>
      <c r="AA4751" s="292"/>
      <c r="AB4751" s="292"/>
      <c r="AC4751" s="292"/>
    </row>
    <row r="4752" spans="1:29" s="293" customFormat="1" ht="15.75" hidden="1" x14ac:dyDescent="0.2">
      <c r="A4752" s="288"/>
      <c r="B4752" s="785"/>
      <c r="C4752" s="312" t="s">
        <v>1083</v>
      </c>
      <c r="D4752" s="846">
        <v>0</v>
      </c>
      <c r="E4752" s="520" t="s">
        <v>518</v>
      </c>
      <c r="F4752" s="847">
        <v>0</v>
      </c>
      <c r="G4752" s="846">
        <v>0</v>
      </c>
      <c r="H4752" s="520" t="s">
        <v>518</v>
      </c>
      <c r="I4752" s="847">
        <v>0</v>
      </c>
      <c r="J4752" s="427"/>
      <c r="K4752" s="429">
        <f t="shared" si="1351"/>
        <v>0</v>
      </c>
      <c r="L4752" s="317"/>
      <c r="M4752" s="315"/>
      <c r="N4752" s="314"/>
      <c r="O4752" s="313"/>
      <c r="P4752" s="318"/>
      <c r="Q4752" s="315"/>
      <c r="R4752" s="319">
        <v>1</v>
      </c>
      <c r="S4752" s="398" t="s">
        <v>486</v>
      </c>
      <c r="T4752" s="320">
        <v>32</v>
      </c>
      <c r="U4752" s="321"/>
      <c r="V4752" s="291">
        <f t="shared" ca="1" si="1291"/>
        <v>0</v>
      </c>
      <c r="W4752" s="256">
        <f t="shared" ca="1" si="1349"/>
        <v>2</v>
      </c>
      <c r="X4752" s="256">
        <f t="shared" ca="1" si="1350"/>
        <v>1</v>
      </c>
      <c r="Y4752" s="256"/>
      <c r="Z4752" s="256"/>
      <c r="AA4752" s="292"/>
      <c r="AB4752" s="292"/>
      <c r="AC4752" s="292"/>
    </row>
    <row r="4753" spans="1:29" s="293" customFormat="1" ht="15.75" hidden="1" x14ac:dyDescent="0.2">
      <c r="A4753" s="288"/>
      <c r="B4753" s="785"/>
      <c r="C4753" s="312" t="s">
        <v>1084</v>
      </c>
      <c r="D4753" s="846">
        <v>0</v>
      </c>
      <c r="E4753" s="520" t="s">
        <v>518</v>
      </c>
      <c r="F4753" s="847">
        <v>0</v>
      </c>
      <c r="G4753" s="846">
        <v>0</v>
      </c>
      <c r="H4753" s="520" t="s">
        <v>518</v>
      </c>
      <c r="I4753" s="847">
        <v>0</v>
      </c>
      <c r="J4753" s="427"/>
      <c r="K4753" s="429">
        <f t="shared" si="1351"/>
        <v>0</v>
      </c>
      <c r="L4753" s="317"/>
      <c r="M4753" s="315"/>
      <c r="N4753" s="314"/>
      <c r="O4753" s="313"/>
      <c r="P4753" s="318"/>
      <c r="Q4753" s="315"/>
      <c r="R4753" s="319">
        <v>1</v>
      </c>
      <c r="S4753" s="398" t="s">
        <v>486</v>
      </c>
      <c r="T4753" s="320">
        <v>32</v>
      </c>
      <c r="U4753" s="321"/>
      <c r="V4753" s="291">
        <f t="shared" ca="1" si="1291"/>
        <v>0</v>
      </c>
      <c r="W4753" s="256">
        <f t="shared" ca="1" si="1349"/>
        <v>2</v>
      </c>
      <c r="X4753" s="256">
        <f t="shared" ca="1" si="1350"/>
        <v>1</v>
      </c>
      <c r="Y4753" s="256"/>
      <c r="Z4753" s="256"/>
      <c r="AA4753" s="292"/>
      <c r="AB4753" s="292"/>
      <c r="AC4753" s="292"/>
    </row>
    <row r="4754" spans="1:29" s="293" customFormat="1" ht="15.75" hidden="1" x14ac:dyDescent="0.2">
      <c r="A4754" s="288"/>
      <c r="B4754" s="785"/>
      <c r="C4754" s="312" t="s">
        <v>1085</v>
      </c>
      <c r="D4754" s="846">
        <v>0</v>
      </c>
      <c r="E4754" s="520" t="s">
        <v>518</v>
      </c>
      <c r="F4754" s="847">
        <v>0</v>
      </c>
      <c r="G4754" s="846">
        <v>0</v>
      </c>
      <c r="H4754" s="520" t="s">
        <v>518</v>
      </c>
      <c r="I4754" s="847">
        <v>0</v>
      </c>
      <c r="J4754" s="427"/>
      <c r="K4754" s="429">
        <f t="shared" si="1351"/>
        <v>0</v>
      </c>
      <c r="L4754" s="317"/>
      <c r="M4754" s="315"/>
      <c r="N4754" s="314"/>
      <c r="O4754" s="313"/>
      <c r="P4754" s="318"/>
      <c r="Q4754" s="315"/>
      <c r="R4754" s="319">
        <v>1</v>
      </c>
      <c r="S4754" s="398" t="s">
        <v>486</v>
      </c>
      <c r="T4754" s="320">
        <v>32</v>
      </c>
      <c r="U4754" s="321"/>
      <c r="V4754" s="291">
        <f t="shared" ca="1" si="1291"/>
        <v>0</v>
      </c>
      <c r="W4754" s="256">
        <f t="shared" ca="1" si="1349"/>
        <v>2</v>
      </c>
      <c r="X4754" s="256">
        <f t="shared" ca="1" si="1350"/>
        <v>1</v>
      </c>
      <c r="Y4754" s="256"/>
      <c r="Z4754" s="256"/>
      <c r="AA4754" s="292"/>
      <c r="AB4754" s="292"/>
      <c r="AC4754" s="292"/>
    </row>
    <row r="4755" spans="1:29" s="293" customFormat="1" ht="15.75" hidden="1" x14ac:dyDescent="0.2">
      <c r="A4755" s="288"/>
      <c r="B4755" s="785"/>
      <c r="C4755" s="312" t="s">
        <v>627</v>
      </c>
      <c r="D4755" s="846">
        <v>72</v>
      </c>
      <c r="E4755" s="520" t="s">
        <v>518</v>
      </c>
      <c r="F4755" s="847">
        <v>0</v>
      </c>
      <c r="G4755" s="846">
        <v>99</v>
      </c>
      <c r="H4755" s="520" t="s">
        <v>518</v>
      </c>
      <c r="I4755" s="847">
        <v>6.4</v>
      </c>
      <c r="J4755" s="427"/>
      <c r="K4755" s="429">
        <f>ABS((G4755*20+I4755)-(D4755*20+F4755))</f>
        <v>546.40000000000009</v>
      </c>
      <c r="L4755" s="317"/>
      <c r="M4755" s="315"/>
      <c r="N4755" s="552"/>
      <c r="O4755" s="738"/>
      <c r="P4755" s="565"/>
      <c r="Q4755" s="752"/>
      <c r="R4755" s="558">
        <v>11</v>
      </c>
      <c r="S4755" s="398" t="s">
        <v>486</v>
      </c>
      <c r="T4755" s="506">
        <v>33</v>
      </c>
      <c r="U4755" s="568"/>
      <c r="V4755" s="291">
        <f t="shared" ca="1" si="1291"/>
        <v>0</v>
      </c>
      <c r="W4755" s="256">
        <f t="shared" ca="1" si="1349"/>
        <v>2</v>
      </c>
      <c r="X4755" s="256">
        <f t="shared" ca="1" si="1350"/>
        <v>1</v>
      </c>
      <c r="Y4755" s="256"/>
      <c r="Z4755" s="256"/>
      <c r="AA4755" s="292"/>
      <c r="AB4755" s="292"/>
      <c r="AC4755" s="292"/>
    </row>
    <row r="4756" spans="1:29" s="293" customFormat="1" ht="15.75" hidden="1" x14ac:dyDescent="0.2">
      <c r="A4756" s="288"/>
      <c r="B4756" s="785"/>
      <c r="C4756" s="312" t="s">
        <v>627</v>
      </c>
      <c r="D4756" s="846">
        <v>70</v>
      </c>
      <c r="E4756" s="520" t="s">
        <v>518</v>
      </c>
      <c r="F4756" s="847">
        <v>0</v>
      </c>
      <c r="G4756" s="846">
        <v>72</v>
      </c>
      <c r="H4756" s="520" t="s">
        <v>518</v>
      </c>
      <c r="I4756" s="847">
        <v>0</v>
      </c>
      <c r="J4756" s="427"/>
      <c r="K4756" s="429">
        <f t="shared" ref="K4756:K4757" si="1352">ABS((G4756*20+I4756)-(D4756*20+F4756))</f>
        <v>40</v>
      </c>
      <c r="L4756" s="317"/>
      <c r="M4756" s="315"/>
      <c r="N4756" s="552"/>
      <c r="O4756" s="738"/>
      <c r="P4756" s="565"/>
      <c r="Q4756" s="752"/>
      <c r="R4756" s="558">
        <v>2</v>
      </c>
      <c r="S4756" s="398" t="s">
        <v>486</v>
      </c>
      <c r="T4756" s="506">
        <v>35</v>
      </c>
      <c r="U4756" s="568"/>
      <c r="V4756" s="291">
        <f t="shared" ca="1" si="1291"/>
        <v>0</v>
      </c>
      <c r="W4756" s="256">
        <f t="shared" ref="W4756:W4762" ca="1" si="1353">IF(LEFT(_xlfn.FORMULATEXT(V4756),3)="=SO",1,IF(COUNTA(A4756:U4756)=0,0,2))</f>
        <v>2</v>
      </c>
      <c r="X4756" s="256">
        <f t="shared" ref="X4756:X4762" ca="1" si="1354">IF(COUNTA(OFFSET(A4755,1,0))-COUNTA(A4755)=-1,0,1)</f>
        <v>1</v>
      </c>
      <c r="Y4756" s="256"/>
      <c r="Z4756" s="256"/>
      <c r="AA4756" s="292"/>
      <c r="AB4756" s="292"/>
      <c r="AC4756" s="292"/>
    </row>
    <row r="4757" spans="1:29" s="293" customFormat="1" ht="15.75" hidden="1" x14ac:dyDescent="0.2">
      <c r="A4757" s="288"/>
      <c r="B4757" s="785"/>
      <c r="C4757" s="495" t="s">
        <v>668</v>
      </c>
      <c r="D4757" s="1001">
        <v>71</v>
      </c>
      <c r="E4757" s="787" t="s">
        <v>518</v>
      </c>
      <c r="F4757" s="1002">
        <v>0</v>
      </c>
      <c r="G4757" s="1001">
        <v>80</v>
      </c>
      <c r="H4757" s="787" t="s">
        <v>518</v>
      </c>
      <c r="I4757" s="1002">
        <v>0</v>
      </c>
      <c r="J4757" s="774"/>
      <c r="K4757" s="429">
        <f t="shared" si="1352"/>
        <v>180</v>
      </c>
      <c r="L4757" s="560"/>
      <c r="M4757" s="752"/>
      <c r="N4757" s="552"/>
      <c r="O4757" s="738"/>
      <c r="P4757" s="565"/>
      <c r="Q4757" s="752"/>
      <c r="R4757" s="558">
        <v>3</v>
      </c>
      <c r="S4757" s="554" t="s">
        <v>486</v>
      </c>
      <c r="T4757" s="506">
        <v>37</v>
      </c>
      <c r="U4757" s="568"/>
      <c r="V4757" s="291">
        <f t="shared" ca="1" si="1291"/>
        <v>0</v>
      </c>
      <c r="W4757" s="256">
        <f t="shared" ca="1" si="1353"/>
        <v>2</v>
      </c>
      <c r="X4757" s="256">
        <f t="shared" ca="1" si="1354"/>
        <v>1</v>
      </c>
      <c r="Y4757" s="256"/>
      <c r="Z4757" s="256"/>
      <c r="AA4757" s="292"/>
      <c r="AB4757" s="292"/>
      <c r="AC4757" s="292"/>
    </row>
    <row r="4758" spans="1:29" s="293" customFormat="1" ht="15.75" hidden="1" x14ac:dyDescent="0.2">
      <c r="A4758" s="288"/>
      <c r="B4758" s="785"/>
      <c r="C4758" s="495"/>
      <c r="D4758" s="1001"/>
      <c r="E4758" s="972"/>
      <c r="F4758" s="1002"/>
      <c r="G4758" s="1001"/>
      <c r="H4758" s="972"/>
      <c r="I4758" s="1002"/>
      <c r="J4758" s="774"/>
      <c r="K4758" s="1003"/>
      <c r="L4758" s="560"/>
      <c r="M4758" s="752"/>
      <c r="N4758" s="552"/>
      <c r="O4758" s="738"/>
      <c r="P4758" s="565"/>
      <c r="Q4758" s="752"/>
      <c r="R4758" s="558"/>
      <c r="S4758" s="554"/>
      <c r="T4758" s="506"/>
      <c r="U4758" s="568"/>
      <c r="V4758" s="291">
        <f t="shared" ca="1" si="1291"/>
        <v>0</v>
      </c>
      <c r="W4758" s="256">
        <f t="shared" ca="1" si="1353"/>
        <v>0</v>
      </c>
      <c r="X4758" s="256">
        <f t="shared" ca="1" si="1354"/>
        <v>1</v>
      </c>
      <c r="Y4758" s="256"/>
      <c r="Z4758" s="256"/>
      <c r="AA4758" s="292"/>
      <c r="AB4758" s="292"/>
      <c r="AC4758" s="292"/>
    </row>
    <row r="4759" spans="1:29" s="293" customFormat="1" ht="15.75" hidden="1" x14ac:dyDescent="0.2">
      <c r="A4759" s="288"/>
      <c r="B4759" s="785"/>
      <c r="C4759" s="495"/>
      <c r="D4759" s="1001"/>
      <c r="E4759" s="972"/>
      <c r="F4759" s="1002"/>
      <c r="G4759" s="1001"/>
      <c r="H4759" s="972"/>
      <c r="I4759" s="1002"/>
      <c r="J4759" s="774"/>
      <c r="K4759" s="1003"/>
      <c r="L4759" s="560"/>
      <c r="M4759" s="752"/>
      <c r="N4759" s="552"/>
      <c r="O4759" s="738"/>
      <c r="P4759" s="565"/>
      <c r="Q4759" s="752"/>
      <c r="R4759" s="558"/>
      <c r="S4759" s="554"/>
      <c r="T4759" s="506"/>
      <c r="U4759" s="568"/>
      <c r="V4759" s="291">
        <f t="shared" ca="1" si="1291"/>
        <v>0</v>
      </c>
      <c r="W4759" s="256">
        <f t="shared" ca="1" si="1353"/>
        <v>0</v>
      </c>
      <c r="X4759" s="256">
        <f t="shared" ca="1" si="1354"/>
        <v>1</v>
      </c>
      <c r="Y4759" s="256"/>
      <c r="Z4759" s="256"/>
      <c r="AA4759" s="292"/>
      <c r="AB4759" s="292"/>
      <c r="AC4759" s="292"/>
    </row>
    <row r="4760" spans="1:29" s="293" customFormat="1" ht="15.75" hidden="1" x14ac:dyDescent="0.2">
      <c r="A4760" s="288"/>
      <c r="B4760" s="785"/>
      <c r="C4760" s="495"/>
      <c r="D4760" s="1001"/>
      <c r="E4760" s="972"/>
      <c r="F4760" s="1002"/>
      <c r="G4760" s="1001"/>
      <c r="H4760" s="972"/>
      <c r="I4760" s="1002"/>
      <c r="J4760" s="774"/>
      <c r="K4760" s="1003"/>
      <c r="L4760" s="560"/>
      <c r="M4760" s="752"/>
      <c r="N4760" s="552"/>
      <c r="O4760" s="738"/>
      <c r="P4760" s="565"/>
      <c r="Q4760" s="752"/>
      <c r="R4760" s="558"/>
      <c r="S4760" s="554"/>
      <c r="T4760" s="506"/>
      <c r="U4760" s="568"/>
      <c r="V4760" s="291">
        <f t="shared" ca="1" si="1291"/>
        <v>0</v>
      </c>
      <c r="W4760" s="256">
        <f t="shared" ca="1" si="1353"/>
        <v>0</v>
      </c>
      <c r="X4760" s="256">
        <f t="shared" ca="1" si="1354"/>
        <v>1</v>
      </c>
      <c r="Y4760" s="256"/>
      <c r="Z4760" s="256"/>
      <c r="AA4760" s="292"/>
      <c r="AB4760" s="292"/>
      <c r="AC4760" s="292"/>
    </row>
    <row r="4761" spans="1:29" s="293" customFormat="1" ht="15.75" hidden="1" x14ac:dyDescent="0.2">
      <c r="A4761" s="288"/>
      <c r="B4761" s="785"/>
      <c r="C4761" s="495"/>
      <c r="D4761" s="1001"/>
      <c r="E4761" s="972"/>
      <c r="F4761" s="1002"/>
      <c r="G4761" s="1001"/>
      <c r="H4761" s="972"/>
      <c r="I4761" s="1002"/>
      <c r="J4761" s="774"/>
      <c r="K4761" s="1003"/>
      <c r="L4761" s="560"/>
      <c r="M4761" s="752"/>
      <c r="N4761" s="552"/>
      <c r="O4761" s="738"/>
      <c r="P4761" s="565"/>
      <c r="Q4761" s="752"/>
      <c r="R4761" s="558"/>
      <c r="S4761" s="554"/>
      <c r="T4761" s="506"/>
      <c r="U4761" s="568"/>
      <c r="V4761" s="291">
        <f t="shared" ca="1" si="1291"/>
        <v>0</v>
      </c>
      <c r="W4761" s="256">
        <f t="shared" ca="1" si="1353"/>
        <v>0</v>
      </c>
      <c r="X4761" s="256">
        <f t="shared" ca="1" si="1354"/>
        <v>1</v>
      </c>
      <c r="Y4761" s="256"/>
      <c r="Z4761" s="256"/>
      <c r="AA4761" s="292"/>
      <c r="AB4761" s="292"/>
      <c r="AC4761" s="292"/>
    </row>
    <row r="4762" spans="1:29" s="111" customFormat="1" ht="15" hidden="1" x14ac:dyDescent="0.2">
      <c r="A4762" s="288"/>
      <c r="B4762" s="338"/>
      <c r="C4762" s="339"/>
      <c r="D4762" s="1348"/>
      <c r="E4762" s="1349"/>
      <c r="F4762" s="1350"/>
      <c r="G4762" s="1351"/>
      <c r="H4762" s="1352"/>
      <c r="I4762" s="1353"/>
      <c r="J4762" s="343"/>
      <c r="K4762" s="344"/>
      <c r="L4762" s="345"/>
      <c r="M4762" s="346"/>
      <c r="N4762" s="347"/>
      <c r="O4762" s="348"/>
      <c r="P4762" s="345"/>
      <c r="Q4762" s="349"/>
      <c r="R4762" s="350"/>
      <c r="S4762" s="351"/>
      <c r="T4762" s="352"/>
      <c r="U4762" s="353"/>
      <c r="V4762" s="291">
        <f t="shared" ca="1" si="1291"/>
        <v>0</v>
      </c>
      <c r="W4762" s="256">
        <f t="shared" ca="1" si="1353"/>
        <v>0</v>
      </c>
      <c r="X4762" s="256">
        <f t="shared" ca="1" si="1354"/>
        <v>1</v>
      </c>
      <c r="Y4762" s="250"/>
      <c r="Z4762" s="250"/>
    </row>
    <row r="4763" spans="1:29" s="111" customFormat="1" ht="15.75" hidden="1" x14ac:dyDescent="0.2">
      <c r="A4763" s="288"/>
      <c r="B4763" s="354"/>
      <c r="C4763" s="355"/>
      <c r="D4763" s="1354" t="s">
        <v>492</v>
      </c>
      <c r="E4763" s="1355"/>
      <c r="F4763" s="1355"/>
      <c r="G4763" s="1355"/>
      <c r="H4763" s="1355"/>
      <c r="I4763" s="1356"/>
      <c r="J4763" s="1357">
        <f>VLOOKUP(A4765,'11 - FINANCEIRO'!_xlnm.Print_Area,6,FALSE)</f>
        <v>52</v>
      </c>
      <c r="K4763" s="1358"/>
      <c r="L4763" s="356" t="str">
        <f>VLOOKUP(A4765,'11 - FINANCEIRO'!_xlnm.Print_Area,4,FALSE)</f>
        <v>UND</v>
      </c>
      <c r="M4763" s="1359" t="s">
        <v>493</v>
      </c>
      <c r="N4763" s="1360"/>
      <c r="O4763" s="1360"/>
      <c r="P4763" s="1360"/>
      <c r="Q4763" s="1361"/>
      <c r="R4763" s="357">
        <f>TRUNC(SUM(R4740:R4762),3)</f>
        <v>32</v>
      </c>
      <c r="S4763" s="358" t="str">
        <f>L4763</f>
        <v>UND</v>
      </c>
      <c r="T4763" s="359"/>
      <c r="U4763" s="360"/>
      <c r="V4763" s="291">
        <f t="shared" ca="1" si="1291"/>
        <v>0</v>
      </c>
      <c r="W4763" s="256">
        <f t="shared" ca="1" si="1349"/>
        <v>2</v>
      </c>
      <c r="X4763" s="256">
        <f t="shared" ca="1" si="1350"/>
        <v>1</v>
      </c>
      <c r="Y4763" s="250"/>
      <c r="Z4763" s="250"/>
    </row>
    <row r="4764" spans="1:29" s="111" customFormat="1" ht="15.75" hidden="1" x14ac:dyDescent="0.2">
      <c r="A4764" s="288"/>
      <c r="B4764" s="354"/>
      <c r="C4764" s="361"/>
      <c r="D4764" s="1362" t="s">
        <v>494</v>
      </c>
      <c r="E4764" s="1363"/>
      <c r="F4764" s="1363"/>
      <c r="G4764" s="1363"/>
      <c r="H4764" s="1363"/>
      <c r="I4764" s="1364"/>
      <c r="J4764" s="1365">
        <f>R4763/J4763</f>
        <v>0.61538461538461542</v>
      </c>
      <c r="K4764" s="1366"/>
      <c r="L4764" s="1369"/>
      <c r="M4764" s="1371" t="s">
        <v>495</v>
      </c>
      <c r="N4764" s="1372"/>
      <c r="O4764" s="1372"/>
      <c r="P4764" s="1372"/>
      <c r="Q4764" s="1373"/>
      <c r="R4764" s="362">
        <f>VLOOKUP(A4765,'11 - FINANCEIRO'!_xlnm.Print_Area,8,FALSE)</f>
        <v>32</v>
      </c>
      <c r="S4764" s="363" t="str">
        <f>L4763</f>
        <v>UND</v>
      </c>
      <c r="T4764" s="359"/>
      <c r="U4764" s="360"/>
      <c r="V4764" s="291">
        <f t="shared" ca="1" si="1291"/>
        <v>0</v>
      </c>
      <c r="W4764" s="256">
        <f t="shared" ref="W4764:W4769" ca="1" si="1355">IF(LEFT(_xlfn.FORMULATEXT(V4764),3)="=SO",1,IF(COUNTA(A4764:U4764)=0,0,2))</f>
        <v>2</v>
      </c>
      <c r="X4764" s="256">
        <f t="shared" ref="X4764:X4769" ca="1" si="1356">IF(COUNTA(OFFSET(A4763,1,0))-COUNTA(A4763)=-1,0,1)</f>
        <v>1</v>
      </c>
      <c r="Y4764" s="250"/>
      <c r="Z4764" s="250"/>
    </row>
    <row r="4765" spans="1:29" s="293" customFormat="1" ht="15.75" hidden="1" x14ac:dyDescent="0.2">
      <c r="A4765" s="288" t="s">
        <v>961</v>
      </c>
      <c r="B4765" s="364"/>
      <c r="C4765" s="365"/>
      <c r="D4765" s="1354"/>
      <c r="E4765" s="1355"/>
      <c r="F4765" s="1355"/>
      <c r="G4765" s="1355"/>
      <c r="H4765" s="1355"/>
      <c r="I4765" s="1356"/>
      <c r="J4765" s="1367"/>
      <c r="K4765" s="1368"/>
      <c r="L4765" s="1370"/>
      <c r="M4765" s="1371" t="s">
        <v>496</v>
      </c>
      <c r="N4765" s="1372"/>
      <c r="O4765" s="1372"/>
      <c r="P4765" s="1372"/>
      <c r="Q4765" s="1373"/>
      <c r="R4765" s="362">
        <f>R4763-R4764</f>
        <v>0</v>
      </c>
      <c r="S4765" s="363" t="str">
        <f>L4763</f>
        <v>UND</v>
      </c>
      <c r="T4765" s="366"/>
      <c r="U4765" s="367"/>
      <c r="V4765" s="291">
        <f t="shared" ca="1" si="1291"/>
        <v>0</v>
      </c>
      <c r="W4765" s="256">
        <f t="shared" ca="1" si="1355"/>
        <v>2</v>
      </c>
      <c r="X4765" s="256">
        <f t="shared" ca="1" si="1356"/>
        <v>1</v>
      </c>
      <c r="Y4765" s="256"/>
      <c r="Z4765" s="256"/>
      <c r="AA4765" s="292"/>
      <c r="AB4765" s="292"/>
      <c r="AC4765" s="292"/>
    </row>
    <row r="4766" spans="1:29" s="111" customFormat="1" ht="15.75" hidden="1" x14ac:dyDescent="0.2">
      <c r="A4766" s="288"/>
      <c r="B4766" s="368"/>
      <c r="C4766" s="365"/>
      <c r="D4766" s="369"/>
      <c r="E4766" s="370"/>
      <c r="F4766" s="369"/>
      <c r="G4766" s="369"/>
      <c r="H4766" s="369"/>
      <c r="I4766" s="369"/>
      <c r="J4766" s="371"/>
      <c r="K4766" s="372"/>
      <c r="L4766" s="373"/>
      <c r="M4766" s="374"/>
      <c r="N4766" s="374"/>
      <c r="O4766" s="374"/>
      <c r="P4766" s="374"/>
      <c r="Q4766" s="374"/>
      <c r="R4766" s="375"/>
      <c r="S4766" s="376"/>
      <c r="T4766" s="377"/>
      <c r="U4766" s="378"/>
      <c r="V4766" s="379">
        <f ca="1">SUM(V4738:V4765)</f>
        <v>0</v>
      </c>
      <c r="W4766" s="256">
        <f t="shared" ca="1" si="1355"/>
        <v>1</v>
      </c>
      <c r="X4766" s="256">
        <f t="shared" ca="1" si="1356"/>
        <v>0</v>
      </c>
      <c r="Y4766" s="250"/>
      <c r="Z4766" s="250"/>
    </row>
    <row r="4767" spans="1:29" s="293" customFormat="1" ht="33" hidden="1" customHeight="1" x14ac:dyDescent="0.2">
      <c r="A4767" s="288"/>
      <c r="B4767" s="1374" t="str">
        <f>VLOOKUP(A4774,'11 - FINANCEIRO'!_xlnm.Print_Area,1,FALSE)</f>
        <v>6.1.22</v>
      </c>
      <c r="C4767" s="1376" t="str">
        <f>VLOOKUP(A4774,'11 - FINANCEIRO'!_xlnm.Print_Area,3,FALSE)</f>
        <v>Base de brita graduada, inclusive fornecimento e transporte da brita</v>
      </c>
      <c r="D4767" s="1378" t="s">
        <v>500</v>
      </c>
      <c r="E4767" s="1379"/>
      <c r="F4767" s="1379"/>
      <c r="G4767" s="1379"/>
      <c r="H4767" s="1379"/>
      <c r="I4767" s="1380"/>
      <c r="J4767" s="1338" t="s">
        <v>478</v>
      </c>
      <c r="K4767" s="1338" t="s">
        <v>479</v>
      </c>
      <c r="L4767" s="1338" t="s">
        <v>480</v>
      </c>
      <c r="M4767" s="1338" t="s">
        <v>481</v>
      </c>
      <c r="N4767" s="1338" t="s">
        <v>482</v>
      </c>
      <c r="O4767" s="1338" t="s">
        <v>483</v>
      </c>
      <c r="P4767" s="1338" t="s">
        <v>484</v>
      </c>
      <c r="Q4767" s="1338" t="s">
        <v>296</v>
      </c>
      <c r="R4767" s="1336" t="s">
        <v>296</v>
      </c>
      <c r="S4767" s="1338" t="s">
        <v>486</v>
      </c>
      <c r="T4767" s="1338" t="s">
        <v>487</v>
      </c>
      <c r="U4767" s="1340" t="s">
        <v>488</v>
      </c>
      <c r="V4767" s="291">
        <f t="shared" ca="1" si="1291"/>
        <v>0</v>
      </c>
      <c r="W4767" s="256">
        <f t="shared" ca="1" si="1355"/>
        <v>2</v>
      </c>
      <c r="X4767" s="256">
        <f t="shared" ca="1" si="1356"/>
        <v>1</v>
      </c>
      <c r="Y4767" s="256"/>
      <c r="Z4767" s="256"/>
      <c r="AA4767" s="292"/>
      <c r="AB4767" s="292"/>
      <c r="AC4767" s="292"/>
    </row>
    <row r="4768" spans="1:29" s="293" customFormat="1" ht="33" hidden="1" customHeight="1" x14ac:dyDescent="0.2">
      <c r="A4768" s="288"/>
      <c r="B4768" s="1375"/>
      <c r="C4768" s="1377"/>
      <c r="D4768" s="1342" t="s">
        <v>489</v>
      </c>
      <c r="E4768" s="1343"/>
      <c r="F4768" s="1344"/>
      <c r="G4768" s="1345" t="s">
        <v>490</v>
      </c>
      <c r="H4768" s="1346"/>
      <c r="I4768" s="1347"/>
      <c r="J4768" s="1339"/>
      <c r="K4768" s="1339"/>
      <c r="L4768" s="1339"/>
      <c r="M4768" s="1339"/>
      <c r="N4768" s="1339"/>
      <c r="O4768" s="1339"/>
      <c r="P4768" s="1339" t="s">
        <v>491</v>
      </c>
      <c r="Q4768" s="1339"/>
      <c r="R4768" s="1337"/>
      <c r="S4768" s="1339"/>
      <c r="T4768" s="1339"/>
      <c r="U4768" s="1341"/>
      <c r="V4768" s="291">
        <f t="shared" ca="1" si="1291"/>
        <v>0</v>
      </c>
      <c r="W4768" s="256">
        <f t="shared" ca="1" si="1355"/>
        <v>2</v>
      </c>
      <c r="X4768" s="256">
        <f t="shared" ca="1" si="1356"/>
        <v>1</v>
      </c>
      <c r="Y4768" s="256"/>
      <c r="Z4768" s="256"/>
      <c r="AA4768" s="292"/>
      <c r="AB4768" s="292"/>
      <c r="AC4768" s="292"/>
    </row>
    <row r="4769" spans="1:29" s="293" customFormat="1" ht="15.75" hidden="1" x14ac:dyDescent="0.2">
      <c r="A4769" s="288"/>
      <c r="B4769" s="296"/>
      <c r="C4769" s="297" t="s">
        <v>667</v>
      </c>
      <c r="D4769" s="417">
        <v>0</v>
      </c>
      <c r="E4769" s="314" t="s">
        <v>518</v>
      </c>
      <c r="F4769" s="418">
        <v>0</v>
      </c>
      <c r="G4769" s="419">
        <v>0</v>
      </c>
      <c r="H4769" s="316" t="s">
        <v>518</v>
      </c>
      <c r="I4769" s="420">
        <v>0</v>
      </c>
      <c r="J4769" s="304"/>
      <c r="K4769" s="747">
        <f>ABS((G4769*20+I4769)-(D4769*20+F4769))</f>
        <v>0</v>
      </c>
      <c r="L4769" s="304"/>
      <c r="M4769" s="304">
        <v>0.25</v>
      </c>
      <c r="N4769" s="304">
        <v>974</v>
      </c>
      <c r="O4769" s="304"/>
      <c r="P4769" s="306"/>
      <c r="Q4769" s="304"/>
      <c r="R4769" s="307">
        <f>M4769*N4769</f>
        <v>243.5</v>
      </c>
      <c r="S4769" s="308" t="str">
        <f>S4772</f>
        <v>m³</v>
      </c>
      <c r="T4769" s="309">
        <v>0</v>
      </c>
      <c r="U4769" s="310"/>
      <c r="V4769" s="291">
        <f t="shared" ca="1" si="1291"/>
        <v>0</v>
      </c>
      <c r="W4769" s="256">
        <f t="shared" ca="1" si="1355"/>
        <v>2</v>
      </c>
      <c r="X4769" s="256">
        <f t="shared" ca="1" si="1356"/>
        <v>1</v>
      </c>
      <c r="Y4769" s="256"/>
      <c r="Z4769" s="256"/>
      <c r="AA4769" s="292"/>
      <c r="AB4769" s="292"/>
      <c r="AC4769" s="292"/>
    </row>
    <row r="4770" spans="1:29" s="293" customFormat="1" ht="15.75" hidden="1" x14ac:dyDescent="0.2">
      <c r="A4770" s="288"/>
      <c r="B4770" s="785"/>
      <c r="C4770" s="312"/>
      <c r="D4770" s="417">
        <v>0</v>
      </c>
      <c r="E4770" s="314" t="s">
        <v>518</v>
      </c>
      <c r="F4770" s="418">
        <v>0</v>
      </c>
      <c r="G4770" s="417">
        <v>0</v>
      </c>
      <c r="H4770" s="314" t="s">
        <v>518</v>
      </c>
      <c r="I4770" s="418">
        <v>0</v>
      </c>
      <c r="J4770" s="317"/>
      <c r="K4770" s="421">
        <f>ABS((G4770*20+I4770)-(D4770*20+F4770))</f>
        <v>0</v>
      </c>
      <c r="L4770" s="774"/>
      <c r="M4770" s="786"/>
      <c r="N4770" s="787"/>
      <c r="O4770" s="788"/>
      <c r="P4770" s="789"/>
      <c r="Q4770" s="786"/>
      <c r="R4770" s="790">
        <v>0</v>
      </c>
      <c r="S4770" s="791" t="s">
        <v>301</v>
      </c>
      <c r="T4770" s="792">
        <v>0</v>
      </c>
      <c r="U4770" s="793"/>
      <c r="V4770" s="291"/>
      <c r="W4770" s="256"/>
      <c r="X4770" s="256"/>
      <c r="Y4770" s="256"/>
      <c r="Z4770" s="256"/>
      <c r="AA4770" s="292"/>
      <c r="AB4770" s="292"/>
      <c r="AC4770" s="292"/>
    </row>
    <row r="4771" spans="1:29" s="111" customFormat="1" ht="15" hidden="1" x14ac:dyDescent="0.2">
      <c r="A4771" s="288"/>
      <c r="B4771" s="338"/>
      <c r="C4771" s="339"/>
      <c r="D4771" s="1348"/>
      <c r="E4771" s="1349"/>
      <c r="F4771" s="1350"/>
      <c r="G4771" s="1351"/>
      <c r="H4771" s="1352"/>
      <c r="I4771" s="1353"/>
      <c r="J4771" s="343"/>
      <c r="K4771" s="344"/>
      <c r="L4771" s="345"/>
      <c r="M4771" s="346"/>
      <c r="N4771" s="347"/>
      <c r="O4771" s="348"/>
      <c r="P4771" s="345"/>
      <c r="Q4771" s="349"/>
      <c r="R4771" s="350"/>
      <c r="S4771" s="351"/>
      <c r="T4771" s="352"/>
      <c r="U4771" s="353"/>
      <c r="V4771" s="291">
        <f t="shared" ca="1" si="1291"/>
        <v>0</v>
      </c>
      <c r="W4771" s="256">
        <f t="shared" ref="W4771:W4778" ca="1" si="1357">IF(LEFT(_xlfn.FORMULATEXT(V4771),3)="=SO",1,IF(COUNTA(A4771:U4771)=0,0,2))</f>
        <v>0</v>
      </c>
      <c r="X4771" s="256">
        <f ca="1">IF(COUNTA(OFFSET(#REF!,1,0))-COUNTA(#REF!)=-1,0,1)</f>
        <v>1</v>
      </c>
      <c r="Y4771" s="250"/>
      <c r="Z4771" s="250"/>
    </row>
    <row r="4772" spans="1:29" s="111" customFormat="1" ht="15.75" hidden="1" x14ac:dyDescent="0.2">
      <c r="A4772" s="288"/>
      <c r="B4772" s="354"/>
      <c r="C4772" s="355"/>
      <c r="D4772" s="1354" t="s">
        <v>492</v>
      </c>
      <c r="E4772" s="1355"/>
      <c r="F4772" s="1355"/>
      <c r="G4772" s="1355"/>
      <c r="H4772" s="1355"/>
      <c r="I4772" s="1356"/>
      <c r="J4772" s="1357">
        <f>VLOOKUP(A4774,'11 - FINANCEIRO'!_xlnm.Print_Area,6,FALSE)</f>
        <v>885.5</v>
      </c>
      <c r="K4772" s="1358"/>
      <c r="L4772" s="356" t="str">
        <f>VLOOKUP(A4774,'11 - FINANCEIRO'!_xlnm.Print_Area,4,FALSE)</f>
        <v>m³</v>
      </c>
      <c r="M4772" s="1359" t="s">
        <v>493</v>
      </c>
      <c r="N4772" s="1360"/>
      <c r="O4772" s="1360"/>
      <c r="P4772" s="1360"/>
      <c r="Q4772" s="1361"/>
      <c r="R4772" s="357">
        <f>TRUNC(SUM(R4769:R4771),3)</f>
        <v>243.5</v>
      </c>
      <c r="S4772" s="358" t="str">
        <f>L4772</f>
        <v>m³</v>
      </c>
      <c r="T4772" s="359"/>
      <c r="U4772" s="360"/>
      <c r="V4772" s="291">
        <f t="shared" ca="1" si="1291"/>
        <v>0</v>
      </c>
      <c r="W4772" s="256">
        <f t="shared" ca="1" si="1357"/>
        <v>2</v>
      </c>
      <c r="X4772" s="256">
        <f t="shared" ref="X4772:X4778" ca="1" si="1358">IF(COUNTA(OFFSET(A4771,1,0))-COUNTA(A4771)=-1,0,1)</f>
        <v>1</v>
      </c>
      <c r="Y4772" s="250"/>
      <c r="Z4772" s="250"/>
    </row>
    <row r="4773" spans="1:29" s="111" customFormat="1" ht="15.75" hidden="1" x14ac:dyDescent="0.2">
      <c r="A4773" s="288"/>
      <c r="B4773" s="354"/>
      <c r="C4773" s="361"/>
      <c r="D4773" s="1362" t="s">
        <v>494</v>
      </c>
      <c r="E4773" s="1363"/>
      <c r="F4773" s="1363"/>
      <c r="G4773" s="1363"/>
      <c r="H4773" s="1363"/>
      <c r="I4773" s="1364"/>
      <c r="J4773" s="1365">
        <f>R4772/J4772</f>
        <v>0.27498588368153587</v>
      </c>
      <c r="K4773" s="1366"/>
      <c r="L4773" s="1369"/>
      <c r="M4773" s="1371" t="s">
        <v>495</v>
      </c>
      <c r="N4773" s="1372"/>
      <c r="O4773" s="1372"/>
      <c r="P4773" s="1372"/>
      <c r="Q4773" s="1373"/>
      <c r="R4773" s="362">
        <f>VLOOKUP(A4774,'11 - FINANCEIRO'!_xlnm.Print_Area,8,FALSE)</f>
        <v>243.5</v>
      </c>
      <c r="S4773" s="363" t="str">
        <f>L4772</f>
        <v>m³</v>
      </c>
      <c r="T4773" s="359"/>
      <c r="U4773" s="360"/>
      <c r="V4773" s="291">
        <f t="shared" ca="1" si="1291"/>
        <v>0</v>
      </c>
      <c r="W4773" s="256">
        <f t="shared" ca="1" si="1357"/>
        <v>2</v>
      </c>
      <c r="X4773" s="256">
        <f t="shared" ca="1" si="1358"/>
        <v>1</v>
      </c>
      <c r="Y4773" s="250"/>
      <c r="Z4773" s="250"/>
    </row>
    <row r="4774" spans="1:29" s="293" customFormat="1" ht="15.75" hidden="1" x14ac:dyDescent="0.2">
      <c r="A4774" s="288" t="s">
        <v>962</v>
      </c>
      <c r="B4774" s="364"/>
      <c r="C4774" s="365"/>
      <c r="D4774" s="1354"/>
      <c r="E4774" s="1355"/>
      <c r="F4774" s="1355"/>
      <c r="G4774" s="1355"/>
      <c r="H4774" s="1355"/>
      <c r="I4774" s="1356"/>
      <c r="J4774" s="1367"/>
      <c r="K4774" s="1368"/>
      <c r="L4774" s="1370"/>
      <c r="M4774" s="1371" t="s">
        <v>496</v>
      </c>
      <c r="N4774" s="1372"/>
      <c r="O4774" s="1372"/>
      <c r="P4774" s="1372"/>
      <c r="Q4774" s="1373"/>
      <c r="R4774" s="362">
        <f>R4772-R4773</f>
        <v>0</v>
      </c>
      <c r="S4774" s="363" t="str">
        <f>L4772</f>
        <v>m³</v>
      </c>
      <c r="T4774" s="366"/>
      <c r="U4774" s="367"/>
      <c r="V4774" s="291">
        <f t="shared" ca="1" si="1291"/>
        <v>0</v>
      </c>
      <c r="W4774" s="256">
        <f t="shared" ca="1" si="1357"/>
        <v>2</v>
      </c>
      <c r="X4774" s="256">
        <f t="shared" ca="1" si="1358"/>
        <v>1</v>
      </c>
      <c r="Y4774" s="256"/>
      <c r="Z4774" s="256"/>
      <c r="AA4774" s="292"/>
      <c r="AB4774" s="292"/>
      <c r="AC4774" s="292"/>
    </row>
    <row r="4775" spans="1:29" s="111" customFormat="1" ht="15.75" hidden="1" x14ac:dyDescent="0.2">
      <c r="A4775" s="288"/>
      <c r="B4775" s="368"/>
      <c r="C4775" s="365"/>
      <c r="D4775" s="369"/>
      <c r="E4775" s="370"/>
      <c r="F4775" s="369"/>
      <c r="G4775" s="369"/>
      <c r="H4775" s="369"/>
      <c r="I4775" s="369"/>
      <c r="J4775" s="371"/>
      <c r="K4775" s="372"/>
      <c r="L4775" s="373"/>
      <c r="M4775" s="374"/>
      <c r="N4775" s="374"/>
      <c r="O4775" s="374"/>
      <c r="P4775" s="374"/>
      <c r="Q4775" s="374"/>
      <c r="R4775" s="375"/>
      <c r="S4775" s="376"/>
      <c r="T4775" s="377"/>
      <c r="U4775" s="378"/>
      <c r="V4775" s="379">
        <f ca="1">SUM(V4767:V4774)</f>
        <v>0</v>
      </c>
      <c r="W4775" s="256">
        <f t="shared" ca="1" si="1357"/>
        <v>1</v>
      </c>
      <c r="X4775" s="256">
        <f t="shared" ca="1" si="1358"/>
        <v>0</v>
      </c>
      <c r="Y4775" s="250"/>
      <c r="Z4775" s="250"/>
    </row>
    <row r="4776" spans="1:29" s="293" customFormat="1" ht="33" hidden="1" customHeight="1" x14ac:dyDescent="0.2">
      <c r="A4776" s="288"/>
      <c r="B4776" s="1374" t="str">
        <f>VLOOKUP(A4783,'11 - FINANCEIRO'!_xlnm.Print_Area,1,FALSE)</f>
        <v>6.1.23</v>
      </c>
      <c r="C4776" s="1376" t="str">
        <f>VLOOKUP(A4783,'11 - FINANCEIRO'!_xlnm.Print_Area,3,FALSE)</f>
        <v>Retirada manual de blocos pré-moldados de concreto (Blokret), inclusive empilhamento para reaproveitamento</v>
      </c>
      <c r="D4776" s="1378" t="s">
        <v>500</v>
      </c>
      <c r="E4776" s="1379"/>
      <c r="F4776" s="1379"/>
      <c r="G4776" s="1379"/>
      <c r="H4776" s="1379"/>
      <c r="I4776" s="1380"/>
      <c r="J4776" s="1338" t="s">
        <v>478</v>
      </c>
      <c r="K4776" s="1338" t="s">
        <v>479</v>
      </c>
      <c r="L4776" s="1338" t="s">
        <v>480</v>
      </c>
      <c r="M4776" s="1338" t="s">
        <v>481</v>
      </c>
      <c r="N4776" s="1338" t="s">
        <v>482</v>
      </c>
      <c r="O4776" s="1338" t="s">
        <v>483</v>
      </c>
      <c r="P4776" s="1338" t="s">
        <v>484</v>
      </c>
      <c r="Q4776" s="1338" t="s">
        <v>296</v>
      </c>
      <c r="R4776" s="1336" t="s">
        <v>296</v>
      </c>
      <c r="S4776" s="1338" t="s">
        <v>486</v>
      </c>
      <c r="T4776" s="1338" t="s">
        <v>487</v>
      </c>
      <c r="U4776" s="1340" t="s">
        <v>488</v>
      </c>
      <c r="V4776" s="291">
        <f t="shared" ca="1" si="1291"/>
        <v>0</v>
      </c>
      <c r="W4776" s="256">
        <f t="shared" ca="1" si="1357"/>
        <v>2</v>
      </c>
      <c r="X4776" s="256">
        <f t="shared" ca="1" si="1358"/>
        <v>1</v>
      </c>
      <c r="Y4776" s="256"/>
      <c r="Z4776" s="256"/>
      <c r="AA4776" s="292"/>
      <c r="AB4776" s="292"/>
      <c r="AC4776" s="292"/>
    </row>
    <row r="4777" spans="1:29" s="293" customFormat="1" ht="33" hidden="1" customHeight="1" x14ac:dyDescent="0.2">
      <c r="A4777" s="288"/>
      <c r="B4777" s="1375"/>
      <c r="C4777" s="1377"/>
      <c r="D4777" s="1342" t="s">
        <v>489</v>
      </c>
      <c r="E4777" s="1343"/>
      <c r="F4777" s="1344"/>
      <c r="G4777" s="1345" t="s">
        <v>490</v>
      </c>
      <c r="H4777" s="1346"/>
      <c r="I4777" s="1347"/>
      <c r="J4777" s="1339"/>
      <c r="K4777" s="1339"/>
      <c r="L4777" s="1339"/>
      <c r="M4777" s="1339"/>
      <c r="N4777" s="1339"/>
      <c r="O4777" s="1339"/>
      <c r="P4777" s="1339" t="s">
        <v>491</v>
      </c>
      <c r="Q4777" s="1339"/>
      <c r="R4777" s="1337"/>
      <c r="S4777" s="1339"/>
      <c r="T4777" s="1339"/>
      <c r="U4777" s="1341"/>
      <c r="V4777" s="291">
        <f t="shared" ref="V4777:V4783" ca="1" si="1359">IF(OFFSET(V4777,1,1)=1,OFFSET(V4777,0,-4),OFFSET(V4777,1,0))</f>
        <v>0</v>
      </c>
      <c r="W4777" s="256">
        <f t="shared" ca="1" si="1357"/>
        <v>2</v>
      </c>
      <c r="X4777" s="256">
        <f t="shared" ca="1" si="1358"/>
        <v>1</v>
      </c>
      <c r="Y4777" s="256"/>
      <c r="Z4777" s="256"/>
      <c r="AA4777" s="292"/>
      <c r="AB4777" s="292"/>
      <c r="AC4777" s="292"/>
    </row>
    <row r="4778" spans="1:29" s="293" customFormat="1" ht="15.75" hidden="1" x14ac:dyDescent="0.2">
      <c r="A4778" s="288"/>
      <c r="B4778" s="296"/>
      <c r="C4778" s="297" t="s">
        <v>667</v>
      </c>
      <c r="D4778" s="417">
        <v>0</v>
      </c>
      <c r="E4778" s="314" t="s">
        <v>518</v>
      </c>
      <c r="F4778" s="418">
        <v>0</v>
      </c>
      <c r="G4778" s="419">
        <v>0</v>
      </c>
      <c r="H4778" s="316" t="s">
        <v>518</v>
      </c>
      <c r="I4778" s="420">
        <v>0</v>
      </c>
      <c r="J4778" s="304"/>
      <c r="K4778" s="747">
        <f>ABS((G4778*20+I4778)-(D4778*20+F4778))</f>
        <v>0</v>
      </c>
      <c r="L4778" s="304"/>
      <c r="M4778" s="304"/>
      <c r="N4778" s="304"/>
      <c r="O4778" s="304"/>
      <c r="P4778" s="306"/>
      <c r="Q4778" s="304"/>
      <c r="R4778" s="307">
        <v>974</v>
      </c>
      <c r="S4778" s="308" t="str">
        <f>S4781</f>
        <v>m²</v>
      </c>
      <c r="T4778" s="309">
        <v>0</v>
      </c>
      <c r="U4778" s="310" t="s">
        <v>886</v>
      </c>
      <c r="V4778" s="291">
        <f t="shared" ca="1" si="1359"/>
        <v>0</v>
      </c>
      <c r="W4778" s="256">
        <f t="shared" ca="1" si="1357"/>
        <v>2</v>
      </c>
      <c r="X4778" s="256">
        <f t="shared" ca="1" si="1358"/>
        <v>1</v>
      </c>
      <c r="Y4778" s="256"/>
      <c r="Z4778" s="256"/>
      <c r="AA4778" s="292"/>
      <c r="AB4778" s="292"/>
      <c r="AC4778" s="292"/>
    </row>
    <row r="4779" spans="1:29" s="293" customFormat="1" ht="15.75" hidden="1" x14ac:dyDescent="0.2">
      <c r="A4779" s="288"/>
      <c r="B4779" s="785"/>
      <c r="C4779" s="312"/>
      <c r="D4779" s="417">
        <v>0</v>
      </c>
      <c r="E4779" s="314" t="s">
        <v>518</v>
      </c>
      <c r="F4779" s="418">
        <v>0</v>
      </c>
      <c r="G4779" s="417">
        <v>0</v>
      </c>
      <c r="H4779" s="314" t="s">
        <v>518</v>
      </c>
      <c r="I4779" s="418">
        <v>0</v>
      </c>
      <c r="J4779" s="317"/>
      <c r="K4779" s="421">
        <f>ABS((G4779*20+I4779)-(D4779*20+F4779))</f>
        <v>0</v>
      </c>
      <c r="L4779" s="774"/>
      <c r="M4779" s="786"/>
      <c r="N4779" s="787"/>
      <c r="O4779" s="788"/>
      <c r="P4779" s="789"/>
      <c r="Q4779" s="786"/>
      <c r="R4779" s="790">
        <v>0</v>
      </c>
      <c r="S4779" s="791" t="s">
        <v>301</v>
      </c>
      <c r="T4779" s="792">
        <v>0</v>
      </c>
      <c r="U4779" s="793" t="s">
        <v>888</v>
      </c>
      <c r="V4779" s="291"/>
      <c r="W4779" s="256"/>
      <c r="X4779" s="256"/>
      <c r="Y4779" s="256"/>
      <c r="Z4779" s="256"/>
      <c r="AA4779" s="292"/>
      <c r="AB4779" s="292"/>
      <c r="AC4779" s="292"/>
    </row>
    <row r="4780" spans="1:29" s="111" customFormat="1" ht="15" hidden="1" x14ac:dyDescent="0.2">
      <c r="A4780" s="288"/>
      <c r="B4780" s="338"/>
      <c r="C4780" s="339"/>
      <c r="D4780" s="1348"/>
      <c r="E4780" s="1349"/>
      <c r="F4780" s="1350"/>
      <c r="G4780" s="1351"/>
      <c r="H4780" s="1352"/>
      <c r="I4780" s="1353"/>
      <c r="J4780" s="343"/>
      <c r="K4780" s="344"/>
      <c r="L4780" s="345"/>
      <c r="M4780" s="346"/>
      <c r="N4780" s="347"/>
      <c r="O4780" s="348"/>
      <c r="P4780" s="345"/>
      <c r="Q4780" s="349"/>
      <c r="R4780" s="350"/>
      <c r="S4780" s="351"/>
      <c r="T4780" s="352"/>
      <c r="U4780" s="353"/>
      <c r="V4780" s="291">
        <f t="shared" ca="1" si="1359"/>
        <v>0</v>
      </c>
      <c r="W4780" s="256">
        <f ca="1">IF(LEFT(_xlfn.FORMULATEXT(V4780),3)="=SO",1,IF(COUNTA(A4780:U4780)=0,0,2))</f>
        <v>0</v>
      </c>
      <c r="X4780" s="256">
        <f ca="1">IF(COUNTA(OFFSET(#REF!,1,0))-COUNTA(#REF!)=-1,0,1)</f>
        <v>1</v>
      </c>
      <c r="Y4780" s="250"/>
      <c r="Z4780" s="250"/>
    </row>
    <row r="4781" spans="1:29" s="111" customFormat="1" ht="15.75" hidden="1" x14ac:dyDescent="0.2">
      <c r="A4781" s="288"/>
      <c r="B4781" s="354"/>
      <c r="C4781" s="355"/>
      <c r="D4781" s="1354" t="s">
        <v>492</v>
      </c>
      <c r="E4781" s="1355"/>
      <c r="F4781" s="1355"/>
      <c r="G4781" s="1355"/>
      <c r="H4781" s="1355"/>
      <c r="I4781" s="1356"/>
      <c r="J4781" s="1357">
        <f>VLOOKUP(A4783,'11 - FINANCEIRO'!_xlnm.Print_Area,6,FALSE)</f>
        <v>2060</v>
      </c>
      <c r="K4781" s="1358"/>
      <c r="L4781" s="356" t="str">
        <f>VLOOKUP(A4783,'11 - FINANCEIRO'!_xlnm.Print_Area,4,FALSE)</f>
        <v>m²</v>
      </c>
      <c r="M4781" s="1359" t="s">
        <v>493</v>
      </c>
      <c r="N4781" s="1360"/>
      <c r="O4781" s="1360"/>
      <c r="P4781" s="1360"/>
      <c r="Q4781" s="1361"/>
      <c r="R4781" s="357">
        <f>TRUNC(SUM(R4778:R4780),3)</f>
        <v>974</v>
      </c>
      <c r="S4781" s="358" t="str">
        <f>L4781</f>
        <v>m²</v>
      </c>
      <c r="T4781" s="359"/>
      <c r="U4781" s="360"/>
      <c r="V4781" s="291">
        <f t="shared" ca="1" si="1359"/>
        <v>0</v>
      </c>
      <c r="W4781" s="256">
        <f ca="1">IF(LEFT(_xlfn.FORMULATEXT(V4781),3)="=SO",1,IF(COUNTA(A4781:U4781)=0,0,2))</f>
        <v>2</v>
      </c>
      <c r="X4781" s="256">
        <f ca="1">IF(COUNTA(OFFSET(A4780,1,0))-COUNTA(A4780)=-1,0,1)</f>
        <v>1</v>
      </c>
      <c r="Y4781" s="250"/>
      <c r="Z4781" s="250"/>
    </row>
    <row r="4782" spans="1:29" s="111" customFormat="1" ht="15.75" hidden="1" x14ac:dyDescent="0.2">
      <c r="A4782" s="288"/>
      <c r="B4782" s="354"/>
      <c r="C4782" s="361"/>
      <c r="D4782" s="1362" t="s">
        <v>494</v>
      </c>
      <c r="E4782" s="1363"/>
      <c r="F4782" s="1363"/>
      <c r="G4782" s="1363"/>
      <c r="H4782" s="1363"/>
      <c r="I4782" s="1364"/>
      <c r="J4782" s="1365">
        <f>R4781/J4781</f>
        <v>0.47281553398058251</v>
      </c>
      <c r="K4782" s="1366"/>
      <c r="L4782" s="1369"/>
      <c r="M4782" s="1371" t="s">
        <v>495</v>
      </c>
      <c r="N4782" s="1372"/>
      <c r="O4782" s="1372"/>
      <c r="P4782" s="1372"/>
      <c r="Q4782" s="1373"/>
      <c r="R4782" s="362">
        <f>VLOOKUP(A4783,'11 - FINANCEIRO'!_xlnm.Print_Area,8,FALSE)</f>
        <v>974</v>
      </c>
      <c r="S4782" s="363" t="str">
        <f>L4781</f>
        <v>m²</v>
      </c>
      <c r="T4782" s="359"/>
      <c r="U4782" s="360"/>
      <c r="V4782" s="291">
        <f t="shared" ca="1" si="1359"/>
        <v>0</v>
      </c>
      <c r="W4782" s="256">
        <f ca="1">IF(LEFT(_xlfn.FORMULATEXT(V4782),3)="=SO",1,IF(COUNTA(A4782:U4782)=0,0,2))</f>
        <v>2</v>
      </c>
      <c r="X4782" s="256">
        <f ca="1">IF(COUNTA(OFFSET(A4781,1,0))-COUNTA(A4781)=-1,0,1)</f>
        <v>1</v>
      </c>
      <c r="Y4782" s="250"/>
      <c r="Z4782" s="250"/>
    </row>
    <row r="4783" spans="1:29" s="293" customFormat="1" ht="15.75" hidden="1" x14ac:dyDescent="0.2">
      <c r="A4783" s="288" t="s">
        <v>963</v>
      </c>
      <c r="B4783" s="364"/>
      <c r="C4783" s="365"/>
      <c r="D4783" s="1354"/>
      <c r="E4783" s="1355"/>
      <c r="F4783" s="1355"/>
      <c r="G4783" s="1355"/>
      <c r="H4783" s="1355"/>
      <c r="I4783" s="1356"/>
      <c r="J4783" s="1367"/>
      <c r="K4783" s="1368"/>
      <c r="L4783" s="1370"/>
      <c r="M4783" s="1371" t="s">
        <v>496</v>
      </c>
      <c r="N4783" s="1372"/>
      <c r="O4783" s="1372"/>
      <c r="P4783" s="1372"/>
      <c r="Q4783" s="1373"/>
      <c r="R4783" s="362">
        <f>R4781-R4782</f>
        <v>0</v>
      </c>
      <c r="S4783" s="363" t="str">
        <f>L4781</f>
        <v>m²</v>
      </c>
      <c r="T4783" s="366"/>
      <c r="U4783" s="367"/>
      <c r="V4783" s="291">
        <f t="shared" ca="1" si="1359"/>
        <v>0</v>
      </c>
      <c r="W4783" s="256">
        <f ca="1">IF(LEFT(_xlfn.FORMULATEXT(V4783),3)="=SO",1,IF(COUNTA(A4783:U4783)=0,0,2))</f>
        <v>2</v>
      </c>
      <c r="X4783" s="256">
        <f ca="1">IF(COUNTA(OFFSET(A4782,1,0))-COUNTA(A4782)=-1,0,1)</f>
        <v>1</v>
      </c>
      <c r="Y4783" s="256"/>
      <c r="Z4783" s="256"/>
      <c r="AA4783" s="292"/>
      <c r="AB4783" s="292"/>
      <c r="AC4783" s="292"/>
    </row>
    <row r="4784" spans="1:29" s="111" customFormat="1" ht="15.75" hidden="1" x14ac:dyDescent="0.2">
      <c r="A4784" s="288"/>
      <c r="B4784" s="368"/>
      <c r="C4784" s="365"/>
      <c r="D4784" s="369"/>
      <c r="E4784" s="370"/>
      <c r="F4784" s="369"/>
      <c r="G4784" s="369"/>
      <c r="H4784" s="369"/>
      <c r="I4784" s="369"/>
      <c r="J4784" s="371"/>
      <c r="K4784" s="372"/>
      <c r="L4784" s="373"/>
      <c r="M4784" s="374"/>
      <c r="N4784" s="374"/>
      <c r="O4784" s="374"/>
      <c r="P4784" s="374"/>
      <c r="Q4784" s="374"/>
      <c r="R4784" s="375"/>
      <c r="S4784" s="376"/>
      <c r="T4784" s="377"/>
      <c r="U4784" s="378"/>
      <c r="V4784" s="379">
        <f ca="1">SUM(V4776:V4783)</f>
        <v>0</v>
      </c>
      <c r="W4784" s="256">
        <f ca="1">IF(LEFT(_xlfn.FORMULATEXT(V4784),3)="=SO",1,IF(COUNTA(A4784:U4784)=0,0,2))</f>
        <v>1</v>
      </c>
      <c r="X4784" s="256">
        <f ca="1">IF(COUNTA(OFFSET(A4783,1,0))-COUNTA(A4783)=-1,0,1)</f>
        <v>0</v>
      </c>
      <c r="Y4784" s="250"/>
      <c r="Z4784" s="250"/>
    </row>
    <row r="4785" spans="1:24" s="614" customFormat="1" ht="15.75" x14ac:dyDescent="0.25">
      <c r="A4785" s="276"/>
      <c r="B4785" s="1374" t="s">
        <v>1142</v>
      </c>
      <c r="C4785" s="1376" t="str">
        <f>VLOOKUP(A4823,'11 - FINANCEIRO'!_xlnm.Print_Area,3,FALSE)</f>
        <v>REATERRO MECANIZADO DE VALA COM ESCAVADEIRA HIDRÁULICA
(CAPACIDADE DA CAÇA MBA: 0,8 M³ / POTÊNCIA: 111 HP),
LARGURA ATÉ 1,5 M, PROFUNDIDADE DE 1,5 A 3,0 M, COM SOLO
DE 1ª CATEGORIA EM LOCAIS COM ALTO NÍVEL DE INTERFERÊNCIA</v>
      </c>
      <c r="D4785" s="1378" t="s">
        <v>500</v>
      </c>
      <c r="E4785" s="1379"/>
      <c r="F4785" s="1379"/>
      <c r="G4785" s="1379"/>
      <c r="H4785" s="1379"/>
      <c r="I4785" s="1380"/>
      <c r="J4785" s="1338" t="s">
        <v>478</v>
      </c>
      <c r="K4785" s="1338" t="s">
        <v>479</v>
      </c>
      <c r="L4785" s="1338" t="s">
        <v>480</v>
      </c>
      <c r="M4785" s="1338" t="s">
        <v>481</v>
      </c>
      <c r="N4785" s="1338" t="s">
        <v>482</v>
      </c>
      <c r="O4785" s="1338" t="s">
        <v>483</v>
      </c>
      <c r="P4785" s="1338" t="s">
        <v>484</v>
      </c>
      <c r="Q4785" s="1338" t="s">
        <v>296</v>
      </c>
      <c r="R4785" s="1336" t="s">
        <v>296</v>
      </c>
      <c r="S4785" s="1338" t="s">
        <v>486</v>
      </c>
      <c r="T4785" s="1338" t="s">
        <v>487</v>
      </c>
      <c r="U4785" s="1340" t="s">
        <v>488</v>
      </c>
      <c r="V4785" s="291">
        <f t="shared" ref="V4785:V4918" ca="1" si="1360">IF(OFFSET(V4785,1,1)=1,OFFSET(V4785,0,-4),OFFSET(V4785,1,0))</f>
        <v>662.13200000000052</v>
      </c>
      <c r="W4785" s="256">
        <f t="shared" ref="W4785:W4787" ca="1" si="1361">IF(LEFT(_xlfn.FORMULATEXT(V4785),3)="=SO",1,IF(COUNTA(A4785:U4785)=0,0,2))</f>
        <v>2</v>
      </c>
      <c r="X4785" s="256">
        <f t="shared" ref="X4785:X4787" ca="1" si="1362">IF(COUNTA(OFFSET(A4784,1,0))-COUNTA(A4784)=-1,0,1)</f>
        <v>1</v>
      </c>
    </row>
    <row r="4786" spans="1:24" s="614" customFormat="1" ht="15.75" x14ac:dyDescent="0.25">
      <c r="A4786" s="276"/>
      <c r="B4786" s="1375"/>
      <c r="C4786" s="1377"/>
      <c r="D4786" s="1342" t="s">
        <v>489</v>
      </c>
      <c r="E4786" s="1343"/>
      <c r="F4786" s="1344"/>
      <c r="G4786" s="1345" t="s">
        <v>490</v>
      </c>
      <c r="H4786" s="1346"/>
      <c r="I4786" s="1347"/>
      <c r="J4786" s="1339"/>
      <c r="K4786" s="1339"/>
      <c r="L4786" s="1339"/>
      <c r="M4786" s="1339"/>
      <c r="N4786" s="1339"/>
      <c r="O4786" s="1339"/>
      <c r="P4786" s="1339" t="s">
        <v>491</v>
      </c>
      <c r="Q4786" s="1339"/>
      <c r="R4786" s="1337"/>
      <c r="S4786" s="1339"/>
      <c r="T4786" s="1339"/>
      <c r="U4786" s="1341"/>
      <c r="V4786" s="291">
        <f t="shared" ca="1" si="1360"/>
        <v>662.13200000000052</v>
      </c>
      <c r="W4786" s="256">
        <f t="shared" ca="1" si="1361"/>
        <v>2</v>
      </c>
      <c r="X4786" s="256">
        <f t="shared" ca="1" si="1362"/>
        <v>1</v>
      </c>
    </row>
    <row r="4787" spans="1:24" s="614" customFormat="1" ht="15.75" x14ac:dyDescent="0.25">
      <c r="A4787" s="276"/>
      <c r="B4787" s="296"/>
      <c r="C4787" s="297" t="s">
        <v>1168</v>
      </c>
      <c r="D4787" s="417">
        <v>70</v>
      </c>
      <c r="E4787" s="314" t="s">
        <v>518</v>
      </c>
      <c r="F4787" s="418">
        <v>0</v>
      </c>
      <c r="G4787" s="419">
        <v>83</v>
      </c>
      <c r="H4787" s="316" t="s">
        <v>518</v>
      </c>
      <c r="I4787" s="420">
        <v>10</v>
      </c>
      <c r="J4787" s="304"/>
      <c r="K4787" s="747">
        <f t="shared" ref="K4787" si="1363">ABS((G4787*20+I4787)-(D4787*20+F4787))</f>
        <v>270</v>
      </c>
      <c r="L4787" s="304"/>
      <c r="M4787" s="304"/>
      <c r="N4787" s="304"/>
      <c r="O4787" s="304"/>
      <c r="P4787" s="306"/>
      <c r="Q4787" s="304"/>
      <c r="R4787" s="1004">
        <f>8364.25-3847.518</f>
        <v>4516.732</v>
      </c>
      <c r="S4787" s="308"/>
      <c r="T4787" s="309">
        <v>35</v>
      </c>
      <c r="U4787" s="310"/>
      <c r="V4787" s="291">
        <f t="shared" ca="1" si="1360"/>
        <v>662.13200000000052</v>
      </c>
      <c r="W4787" s="256">
        <f t="shared" ca="1" si="1361"/>
        <v>2</v>
      </c>
      <c r="X4787" s="256">
        <f t="shared" ca="1" si="1362"/>
        <v>1</v>
      </c>
    </row>
    <row r="4788" spans="1:24" s="614" customFormat="1" ht="15.75" x14ac:dyDescent="0.25">
      <c r="A4788" s="276"/>
      <c r="B4788" s="785"/>
      <c r="C4788" s="426"/>
      <c r="D4788" s="417"/>
      <c r="E4788" s="314"/>
      <c r="F4788" s="418"/>
      <c r="G4788" s="419"/>
      <c r="H4788" s="316"/>
      <c r="I4788" s="420"/>
      <c r="J4788" s="1110"/>
      <c r="K4788" s="1148"/>
      <c r="L4788" s="774"/>
      <c r="M4788" s="786"/>
      <c r="N4788" s="972"/>
      <c r="O4788" s="1147"/>
      <c r="P4788" s="789"/>
      <c r="Q4788" s="786"/>
      <c r="R4788" s="1149"/>
      <c r="S4788" s="791"/>
      <c r="T4788" s="792"/>
      <c r="U4788" s="793"/>
      <c r="V4788" s="291">
        <f t="shared" ca="1" si="1360"/>
        <v>662.13200000000052</v>
      </c>
      <c r="W4788" s="256">
        <f t="shared" ref="W4788:W4793" ca="1" si="1364">IF(LEFT(_xlfn.FORMULATEXT(V4788),3)="=SO",1,IF(COUNTA(A4788:U4788)=0,0,2))</f>
        <v>0</v>
      </c>
      <c r="X4788" s="256">
        <f t="shared" ref="X4788:X4793" ca="1" si="1365">IF(COUNTA(OFFSET(A4787,1,0))-COUNTA(A4787)=-1,0,1)</f>
        <v>1</v>
      </c>
    </row>
    <row r="4789" spans="1:24" s="614" customFormat="1" ht="15.75" x14ac:dyDescent="0.25">
      <c r="A4789" s="276"/>
      <c r="B4789" s="785"/>
      <c r="C4789" s="426" t="s">
        <v>1290</v>
      </c>
      <c r="D4789" s="417">
        <v>51</v>
      </c>
      <c r="E4789" s="314" t="s">
        <v>518</v>
      </c>
      <c r="F4789" s="418">
        <v>8</v>
      </c>
      <c r="G4789" s="419">
        <v>51</v>
      </c>
      <c r="H4789" s="316" t="s">
        <v>518</v>
      </c>
      <c r="I4789" s="420">
        <v>0</v>
      </c>
      <c r="J4789" s="1110"/>
      <c r="K4789" s="1148">
        <f t="shared" ref="K4789:K4818" si="1366">ABS((G4789*20+I4789)-(D4789*20+F4789))</f>
        <v>8</v>
      </c>
      <c r="L4789" s="774"/>
      <c r="M4789" s="786"/>
      <c r="N4789" s="972">
        <v>4.67</v>
      </c>
      <c r="O4789" s="1147"/>
      <c r="P4789" s="789"/>
      <c r="Q4789" s="786"/>
      <c r="R4789" s="1004">
        <f>N4789*K4789</f>
        <v>37.36</v>
      </c>
      <c r="S4789" s="791" t="s">
        <v>323</v>
      </c>
      <c r="T4789" s="792">
        <v>40</v>
      </c>
      <c r="U4789" s="793"/>
      <c r="V4789" s="291">
        <f t="shared" ca="1" si="1360"/>
        <v>662.13200000000052</v>
      </c>
      <c r="W4789" s="256">
        <f t="shared" ca="1" si="1364"/>
        <v>2</v>
      </c>
      <c r="X4789" s="256">
        <f t="shared" ca="1" si="1365"/>
        <v>1</v>
      </c>
    </row>
    <row r="4790" spans="1:24" s="614" customFormat="1" ht="15.75" x14ac:dyDescent="0.25">
      <c r="A4790" s="276"/>
      <c r="B4790" s="785"/>
      <c r="C4790" s="426" t="s">
        <v>1290</v>
      </c>
      <c r="D4790" s="417">
        <v>51</v>
      </c>
      <c r="E4790" s="314" t="s">
        <v>518</v>
      </c>
      <c r="F4790" s="418">
        <v>0</v>
      </c>
      <c r="G4790" s="419">
        <v>50</v>
      </c>
      <c r="H4790" s="316" t="s">
        <v>518</v>
      </c>
      <c r="I4790" s="420">
        <v>19.033999999999999</v>
      </c>
      <c r="J4790" s="1110"/>
      <c r="K4790" s="1148">
        <f t="shared" si="1366"/>
        <v>0.96600000000000819</v>
      </c>
      <c r="L4790" s="774"/>
      <c r="M4790" s="786"/>
      <c r="N4790" s="972">
        <v>7.1218000000000004</v>
      </c>
      <c r="O4790" s="1147"/>
      <c r="P4790" s="789"/>
      <c r="Q4790" s="786"/>
      <c r="R4790" s="1004">
        <f t="shared" ref="R4790:R4793" si="1367">N4790*K4790</f>
        <v>6.8796588000000582</v>
      </c>
      <c r="S4790" s="791" t="s">
        <v>323</v>
      </c>
      <c r="T4790" s="792">
        <v>40</v>
      </c>
      <c r="U4790" s="793"/>
      <c r="V4790" s="291">
        <f t="shared" ca="1" si="1360"/>
        <v>662.13200000000052</v>
      </c>
      <c r="W4790" s="256">
        <f t="shared" ca="1" si="1364"/>
        <v>2</v>
      </c>
      <c r="X4790" s="256">
        <f t="shared" ca="1" si="1365"/>
        <v>1</v>
      </c>
    </row>
    <row r="4791" spans="1:24" s="614" customFormat="1" ht="15.75" x14ac:dyDescent="0.25">
      <c r="A4791" s="276"/>
      <c r="B4791" s="785"/>
      <c r="C4791" s="426" t="s">
        <v>1290</v>
      </c>
      <c r="D4791" s="419">
        <v>50</v>
      </c>
      <c r="E4791" s="316" t="s">
        <v>518</v>
      </c>
      <c r="F4791" s="420">
        <v>19.033999999999999</v>
      </c>
      <c r="G4791" s="419">
        <v>50</v>
      </c>
      <c r="H4791" s="316" t="s">
        <v>518</v>
      </c>
      <c r="I4791" s="420">
        <v>10</v>
      </c>
      <c r="J4791" s="1110"/>
      <c r="K4791" s="1148">
        <f t="shared" si="1366"/>
        <v>9.0339999999999918</v>
      </c>
      <c r="L4791" s="774"/>
      <c r="M4791" s="786"/>
      <c r="N4791" s="972">
        <v>7.3627000000000002</v>
      </c>
      <c r="O4791" s="1147"/>
      <c r="P4791" s="789"/>
      <c r="Q4791" s="786"/>
      <c r="R4791" s="1004">
        <f t="shared" si="1367"/>
        <v>66.514631799999947</v>
      </c>
      <c r="S4791" s="791" t="s">
        <v>323</v>
      </c>
      <c r="T4791" s="792">
        <v>40</v>
      </c>
      <c r="U4791" s="793"/>
      <c r="V4791" s="291">
        <f t="shared" ca="1" si="1360"/>
        <v>662.13200000000052</v>
      </c>
      <c r="W4791" s="256">
        <f t="shared" ca="1" si="1364"/>
        <v>2</v>
      </c>
      <c r="X4791" s="256">
        <f t="shared" ca="1" si="1365"/>
        <v>1</v>
      </c>
    </row>
    <row r="4792" spans="1:24" s="614" customFormat="1" ht="15.75" x14ac:dyDescent="0.25">
      <c r="A4792" s="276"/>
      <c r="B4792" s="785"/>
      <c r="C4792" s="426" t="s">
        <v>1290</v>
      </c>
      <c r="D4792" s="419">
        <v>50</v>
      </c>
      <c r="E4792" s="316" t="s">
        <v>518</v>
      </c>
      <c r="F4792" s="420">
        <v>10</v>
      </c>
      <c r="G4792" s="419">
        <v>50</v>
      </c>
      <c r="H4792" s="316" t="s">
        <v>518</v>
      </c>
      <c r="I4792" s="420">
        <v>0</v>
      </c>
      <c r="J4792" s="1110"/>
      <c r="K4792" s="1148">
        <f t="shared" si="1366"/>
        <v>10</v>
      </c>
      <c r="L4792" s="774"/>
      <c r="M4792" s="786"/>
      <c r="N4792" s="972">
        <v>6.7690999999999999</v>
      </c>
      <c r="O4792" s="1147"/>
      <c r="P4792" s="789"/>
      <c r="Q4792" s="786"/>
      <c r="R4792" s="1004">
        <f t="shared" si="1367"/>
        <v>67.691000000000003</v>
      </c>
      <c r="S4792" s="791" t="s">
        <v>323</v>
      </c>
      <c r="T4792" s="792">
        <v>40</v>
      </c>
      <c r="U4792" s="793"/>
      <c r="V4792" s="291">
        <f t="shared" ca="1" si="1360"/>
        <v>662.13200000000052</v>
      </c>
      <c r="W4792" s="256">
        <f t="shared" ca="1" si="1364"/>
        <v>2</v>
      </c>
      <c r="X4792" s="256">
        <f t="shared" ca="1" si="1365"/>
        <v>1</v>
      </c>
    </row>
    <row r="4793" spans="1:24" s="614" customFormat="1" ht="15.75" x14ac:dyDescent="0.25">
      <c r="A4793" s="276"/>
      <c r="B4793" s="785"/>
      <c r="C4793" s="426" t="s">
        <v>1290</v>
      </c>
      <c r="D4793" s="419">
        <v>50</v>
      </c>
      <c r="E4793" s="316" t="s">
        <v>518</v>
      </c>
      <c r="F4793" s="420">
        <v>0</v>
      </c>
      <c r="G4793" s="419">
        <v>49</v>
      </c>
      <c r="H4793" s="316" t="s">
        <v>518</v>
      </c>
      <c r="I4793" s="420">
        <v>13</v>
      </c>
      <c r="J4793" s="1110"/>
      <c r="K4793" s="1148">
        <f t="shared" si="1366"/>
        <v>7</v>
      </c>
      <c r="L4793" s="774"/>
      <c r="M4793" s="786"/>
      <c r="N4793" s="972">
        <v>6.1139000000000001</v>
      </c>
      <c r="O4793" s="1147"/>
      <c r="P4793" s="789"/>
      <c r="Q4793" s="786"/>
      <c r="R4793" s="1004">
        <f t="shared" si="1367"/>
        <v>42.7973</v>
      </c>
      <c r="S4793" s="791" t="s">
        <v>323</v>
      </c>
      <c r="T4793" s="792">
        <v>40</v>
      </c>
      <c r="U4793" s="793"/>
      <c r="V4793" s="291">
        <f t="shared" ca="1" si="1360"/>
        <v>662.13200000000052</v>
      </c>
      <c r="W4793" s="256">
        <f t="shared" ca="1" si="1364"/>
        <v>2</v>
      </c>
      <c r="X4793" s="256">
        <f t="shared" ca="1" si="1365"/>
        <v>1</v>
      </c>
    </row>
    <row r="4794" spans="1:24" s="614" customFormat="1" ht="15.75" x14ac:dyDescent="0.25">
      <c r="A4794" s="276"/>
      <c r="B4794" s="785"/>
      <c r="C4794" s="426" t="s">
        <v>1290</v>
      </c>
      <c r="D4794" s="419">
        <v>49</v>
      </c>
      <c r="E4794" s="316" t="s">
        <v>518</v>
      </c>
      <c r="F4794" s="420">
        <v>13</v>
      </c>
      <c r="G4794" s="419">
        <v>49</v>
      </c>
      <c r="H4794" s="316" t="s">
        <v>518</v>
      </c>
      <c r="I4794" s="420">
        <v>10</v>
      </c>
      <c r="J4794" s="1110"/>
      <c r="K4794" s="1148">
        <f t="shared" si="1366"/>
        <v>3</v>
      </c>
      <c r="L4794" s="774"/>
      <c r="M4794" s="786"/>
      <c r="N4794" s="1167">
        <v>6.3036000000000003</v>
      </c>
      <c r="O4794" s="1147"/>
      <c r="P4794" s="789"/>
      <c r="Q4794" s="786"/>
      <c r="R4794" s="1004">
        <f>N4794*K4794</f>
        <v>18.910800000000002</v>
      </c>
      <c r="S4794" s="791" t="s">
        <v>323</v>
      </c>
      <c r="T4794" s="792">
        <v>41</v>
      </c>
      <c r="U4794" s="793"/>
      <c r="V4794" s="291">
        <f t="shared" ca="1" si="1360"/>
        <v>662.13200000000052</v>
      </c>
      <c r="W4794" s="256">
        <f t="shared" ref="W4794:W4797" ca="1" si="1368">IF(LEFT(_xlfn.FORMULATEXT(V4794),3)="=SO",1,IF(COUNTA(A4794:U4794)=0,0,2))</f>
        <v>2</v>
      </c>
      <c r="X4794" s="256">
        <f t="shared" ref="X4794:X4797" ca="1" si="1369">IF(COUNTA(OFFSET(A4793,1,0))-COUNTA(A4793)=-1,0,1)</f>
        <v>1</v>
      </c>
    </row>
    <row r="4795" spans="1:24" s="614" customFormat="1" ht="15.75" x14ac:dyDescent="0.25">
      <c r="A4795" s="276"/>
      <c r="B4795" s="785"/>
      <c r="C4795" s="426" t="s">
        <v>1290</v>
      </c>
      <c r="D4795" s="419">
        <v>49</v>
      </c>
      <c r="E4795" s="316" t="s">
        <v>518</v>
      </c>
      <c r="F4795" s="420">
        <v>10</v>
      </c>
      <c r="G4795" s="419">
        <v>49</v>
      </c>
      <c r="H4795" s="316" t="s">
        <v>518</v>
      </c>
      <c r="I4795" s="420">
        <v>0</v>
      </c>
      <c r="J4795" s="1110"/>
      <c r="K4795" s="1148">
        <f t="shared" si="1366"/>
        <v>10</v>
      </c>
      <c r="L4795" s="774"/>
      <c r="M4795" s="786"/>
      <c r="N4795" s="1167">
        <v>6.8330000000000002</v>
      </c>
      <c r="O4795" s="1147"/>
      <c r="P4795" s="789"/>
      <c r="Q4795" s="786"/>
      <c r="R4795" s="1004">
        <f t="shared" ref="R4795:R4798" si="1370">N4795*K4795</f>
        <v>68.33</v>
      </c>
      <c r="S4795" s="791" t="s">
        <v>323</v>
      </c>
      <c r="T4795" s="792">
        <v>41</v>
      </c>
      <c r="U4795" s="793"/>
      <c r="V4795" s="291">
        <f t="shared" ca="1" si="1360"/>
        <v>662.13200000000052</v>
      </c>
      <c r="W4795" s="256">
        <f t="shared" ca="1" si="1368"/>
        <v>2</v>
      </c>
      <c r="X4795" s="256">
        <f t="shared" ca="1" si="1369"/>
        <v>1</v>
      </c>
    </row>
    <row r="4796" spans="1:24" s="614" customFormat="1" ht="15.75" x14ac:dyDescent="0.25">
      <c r="A4796" s="276"/>
      <c r="B4796" s="785"/>
      <c r="C4796" s="426" t="s">
        <v>1290</v>
      </c>
      <c r="D4796" s="419">
        <v>49</v>
      </c>
      <c r="E4796" s="316" t="s">
        <v>518</v>
      </c>
      <c r="F4796" s="420">
        <v>0</v>
      </c>
      <c r="G4796" s="419">
        <v>48</v>
      </c>
      <c r="H4796" s="316" t="s">
        <v>518</v>
      </c>
      <c r="I4796" s="420">
        <v>10</v>
      </c>
      <c r="J4796" s="1110"/>
      <c r="K4796" s="1148">
        <f t="shared" si="1366"/>
        <v>10</v>
      </c>
      <c r="L4796" s="774"/>
      <c r="M4796" s="786"/>
      <c r="N4796" s="1167">
        <v>6.63</v>
      </c>
      <c r="O4796" s="1147"/>
      <c r="P4796" s="789"/>
      <c r="Q4796" s="786"/>
      <c r="R4796" s="1004">
        <f t="shared" si="1370"/>
        <v>66.3</v>
      </c>
      <c r="S4796" s="791" t="s">
        <v>323</v>
      </c>
      <c r="T4796" s="792">
        <v>41</v>
      </c>
      <c r="U4796" s="793"/>
      <c r="V4796" s="291">
        <f t="shared" ca="1" si="1360"/>
        <v>662.13200000000052</v>
      </c>
      <c r="W4796" s="256">
        <f t="shared" ca="1" si="1368"/>
        <v>2</v>
      </c>
      <c r="X4796" s="256">
        <f t="shared" ca="1" si="1369"/>
        <v>1</v>
      </c>
    </row>
    <row r="4797" spans="1:24" s="614" customFormat="1" ht="15.75" x14ac:dyDescent="0.25">
      <c r="A4797" s="276"/>
      <c r="B4797" s="785"/>
      <c r="C4797" s="426" t="s">
        <v>1290</v>
      </c>
      <c r="D4797" s="419">
        <v>48</v>
      </c>
      <c r="E4797" s="316" t="s">
        <v>518</v>
      </c>
      <c r="F4797" s="420">
        <v>10</v>
      </c>
      <c r="G4797" s="419">
        <v>48</v>
      </c>
      <c r="H4797" s="316" t="s">
        <v>518</v>
      </c>
      <c r="I4797" s="420">
        <v>0</v>
      </c>
      <c r="J4797" s="1110"/>
      <c r="K4797" s="1148">
        <f t="shared" si="1366"/>
        <v>10</v>
      </c>
      <c r="L4797" s="774"/>
      <c r="M4797" s="786"/>
      <c r="N4797" s="1167">
        <v>6.4984000000000002</v>
      </c>
      <c r="O4797" s="1147"/>
      <c r="P4797" s="789"/>
      <c r="Q4797" s="786"/>
      <c r="R4797" s="1004">
        <f t="shared" si="1370"/>
        <v>64.984000000000009</v>
      </c>
      <c r="S4797" s="791" t="s">
        <v>323</v>
      </c>
      <c r="T4797" s="792">
        <v>41</v>
      </c>
      <c r="U4797" s="793"/>
      <c r="V4797" s="291">
        <f t="shared" ca="1" si="1360"/>
        <v>662.13200000000052</v>
      </c>
      <c r="W4797" s="256">
        <f t="shared" ca="1" si="1368"/>
        <v>2</v>
      </c>
      <c r="X4797" s="256">
        <f t="shared" ca="1" si="1369"/>
        <v>1</v>
      </c>
    </row>
    <row r="4798" spans="1:24" s="614" customFormat="1" ht="15.75" x14ac:dyDescent="0.25">
      <c r="A4798" s="276"/>
      <c r="B4798" s="785"/>
      <c r="C4798" s="426" t="s">
        <v>1290</v>
      </c>
      <c r="D4798" s="419">
        <v>48</v>
      </c>
      <c r="E4798" s="316" t="s">
        <v>518</v>
      </c>
      <c r="F4798" s="420">
        <v>0</v>
      </c>
      <c r="G4798" s="419">
        <v>48</v>
      </c>
      <c r="H4798" s="316" t="s">
        <v>518</v>
      </c>
      <c r="I4798" s="420">
        <v>8</v>
      </c>
      <c r="J4798" s="1110"/>
      <c r="K4798" s="1148">
        <f t="shared" si="1366"/>
        <v>8</v>
      </c>
      <c r="L4798" s="774"/>
      <c r="M4798" s="786"/>
      <c r="N4798" s="787">
        <v>6.6481000000000003</v>
      </c>
      <c r="O4798" s="1147"/>
      <c r="P4798" s="789"/>
      <c r="Q4798" s="786"/>
      <c r="R4798" s="1004">
        <f t="shared" si="1370"/>
        <v>53.184800000000003</v>
      </c>
      <c r="S4798" s="791" t="s">
        <v>323</v>
      </c>
      <c r="T4798" s="792">
        <v>41</v>
      </c>
      <c r="U4798" s="793"/>
      <c r="V4798" s="291">
        <f t="shared" ca="1" si="1360"/>
        <v>662.13200000000052</v>
      </c>
      <c r="W4798" s="256">
        <f t="shared" ref="W4798:W4800" ca="1" si="1371">IF(LEFT(_xlfn.FORMULATEXT(V4798),3)="=SO",1,IF(COUNTA(A4798:U4798)=0,0,2))</f>
        <v>2</v>
      </c>
      <c r="X4798" s="256">
        <f t="shared" ref="X4798:X4800" ca="1" si="1372">IF(COUNTA(OFFSET(A4797,1,0))-COUNTA(A4797)=-1,0,1)</f>
        <v>1</v>
      </c>
    </row>
    <row r="4799" spans="1:24" s="614" customFormat="1" ht="15.75" x14ac:dyDescent="0.25">
      <c r="A4799" s="276"/>
      <c r="B4799" s="785"/>
      <c r="C4799" s="426" t="s">
        <v>1290</v>
      </c>
      <c r="D4799" s="419">
        <v>47</v>
      </c>
      <c r="E4799" s="316" t="s">
        <v>518</v>
      </c>
      <c r="F4799" s="420">
        <v>10</v>
      </c>
      <c r="G4799" s="419">
        <v>48</v>
      </c>
      <c r="H4799" s="316" t="s">
        <v>518</v>
      </c>
      <c r="I4799" s="420">
        <v>0</v>
      </c>
      <c r="J4799" s="1110"/>
      <c r="K4799" s="1148">
        <f t="shared" si="1366"/>
        <v>10</v>
      </c>
      <c r="L4799" s="774"/>
      <c r="M4799" s="786"/>
      <c r="N4799" s="787">
        <v>4.9070999999999998</v>
      </c>
      <c r="O4799" s="1147"/>
      <c r="P4799" s="789"/>
      <c r="Q4799" s="786"/>
      <c r="R4799" s="1004">
        <f>N4799*K4799</f>
        <v>49.070999999999998</v>
      </c>
      <c r="S4799" s="791" t="s">
        <v>323</v>
      </c>
      <c r="T4799" s="792">
        <v>43</v>
      </c>
      <c r="U4799" s="793"/>
      <c r="V4799" s="291">
        <f t="shared" ca="1" si="1360"/>
        <v>662.13200000000052</v>
      </c>
      <c r="W4799" s="256">
        <f t="shared" ca="1" si="1371"/>
        <v>2</v>
      </c>
      <c r="X4799" s="256">
        <f t="shared" ca="1" si="1372"/>
        <v>1</v>
      </c>
    </row>
    <row r="4800" spans="1:24" s="614" customFormat="1" ht="15.75" x14ac:dyDescent="0.25">
      <c r="A4800" s="276"/>
      <c r="B4800" s="785"/>
      <c r="C4800" s="426" t="s">
        <v>1290</v>
      </c>
      <c r="D4800" s="419">
        <v>46</v>
      </c>
      <c r="E4800" s="316" t="s">
        <v>518</v>
      </c>
      <c r="F4800" s="420">
        <v>10</v>
      </c>
      <c r="G4800" s="419">
        <v>47</v>
      </c>
      <c r="H4800" s="316" t="s">
        <v>518</v>
      </c>
      <c r="I4800" s="420">
        <v>0</v>
      </c>
      <c r="J4800" s="1110"/>
      <c r="K4800" s="1148">
        <f t="shared" si="1366"/>
        <v>10</v>
      </c>
      <c r="L4800" s="774"/>
      <c r="M4800" s="786"/>
      <c r="N4800" s="787">
        <v>4.9271000000000003</v>
      </c>
      <c r="O4800" s="1147"/>
      <c r="P4800" s="789"/>
      <c r="Q4800" s="786"/>
      <c r="R4800" s="1004">
        <f t="shared" ref="R4800:R4818" si="1373">N4800*K4800</f>
        <v>49.271000000000001</v>
      </c>
      <c r="S4800" s="791" t="s">
        <v>323</v>
      </c>
      <c r="T4800" s="792">
        <v>43</v>
      </c>
      <c r="U4800" s="793"/>
      <c r="V4800" s="291">
        <f t="shared" ca="1" si="1360"/>
        <v>662.13200000000052</v>
      </c>
      <c r="W4800" s="256">
        <f t="shared" ca="1" si="1371"/>
        <v>2</v>
      </c>
      <c r="X4800" s="256">
        <f t="shared" ca="1" si="1372"/>
        <v>1</v>
      </c>
    </row>
    <row r="4801" spans="1:24" s="614" customFormat="1" ht="15.75" x14ac:dyDescent="0.25">
      <c r="A4801" s="276"/>
      <c r="B4801" s="785"/>
      <c r="C4801" s="426" t="s">
        <v>1290</v>
      </c>
      <c r="D4801" s="419">
        <v>46</v>
      </c>
      <c r="E4801" s="316" t="s">
        <v>518</v>
      </c>
      <c r="F4801" s="420">
        <v>0</v>
      </c>
      <c r="G4801" s="419">
        <v>46</v>
      </c>
      <c r="H4801" s="316" t="s">
        <v>518</v>
      </c>
      <c r="I4801" s="420">
        <v>10</v>
      </c>
      <c r="J4801" s="1110"/>
      <c r="K4801" s="1148">
        <f t="shared" si="1366"/>
        <v>10</v>
      </c>
      <c r="L4801" s="774"/>
      <c r="M4801" s="786"/>
      <c r="N4801" s="787">
        <v>4.4025999999999996</v>
      </c>
      <c r="O4801" s="1147"/>
      <c r="P4801" s="789"/>
      <c r="Q4801" s="786"/>
      <c r="R4801" s="1004">
        <f t="shared" si="1373"/>
        <v>44.025999999999996</v>
      </c>
      <c r="S4801" s="791" t="s">
        <v>323</v>
      </c>
      <c r="T4801" s="792">
        <v>43</v>
      </c>
      <c r="U4801" s="793"/>
      <c r="V4801" s="291">
        <f t="shared" ca="1" si="1360"/>
        <v>662.13200000000052</v>
      </c>
      <c r="W4801" s="256">
        <f t="shared" ref="W4801:W4822" ca="1" si="1374">IF(LEFT(_xlfn.FORMULATEXT(V4801),3)="=SO",1,IF(COUNTA(A4801:U4801)=0,0,2))</f>
        <v>2</v>
      </c>
      <c r="X4801" s="256">
        <f t="shared" ref="X4801:X4822" ca="1" si="1375">IF(COUNTA(OFFSET(A4800,1,0))-COUNTA(A4800)=-1,0,1)</f>
        <v>1</v>
      </c>
    </row>
    <row r="4802" spans="1:24" s="614" customFormat="1" ht="15.75" x14ac:dyDescent="0.25">
      <c r="A4802" s="276"/>
      <c r="B4802" s="785"/>
      <c r="C4802" s="426" t="s">
        <v>1290</v>
      </c>
      <c r="D4802" s="419">
        <v>45</v>
      </c>
      <c r="E4802" s="316" t="s">
        <v>518</v>
      </c>
      <c r="F4802" s="420">
        <v>10</v>
      </c>
      <c r="G4802" s="419">
        <v>46</v>
      </c>
      <c r="H4802" s="316" t="s">
        <v>518</v>
      </c>
      <c r="I4802" s="420">
        <v>0</v>
      </c>
      <c r="J4802" s="1110"/>
      <c r="K4802" s="1148">
        <f t="shared" si="1366"/>
        <v>10</v>
      </c>
      <c r="L4802" s="774"/>
      <c r="M4802" s="786"/>
      <c r="N4802" s="787">
        <v>4.5106999999999999</v>
      </c>
      <c r="O4802" s="1147"/>
      <c r="P4802" s="789"/>
      <c r="Q4802" s="786"/>
      <c r="R4802" s="1004">
        <f t="shared" si="1373"/>
        <v>45.106999999999999</v>
      </c>
      <c r="S4802" s="791" t="s">
        <v>323</v>
      </c>
      <c r="T4802" s="792">
        <v>43</v>
      </c>
      <c r="U4802" s="793"/>
      <c r="V4802" s="291">
        <f t="shared" ca="1" si="1360"/>
        <v>662.13200000000052</v>
      </c>
      <c r="W4802" s="256">
        <f t="shared" ca="1" si="1374"/>
        <v>2</v>
      </c>
      <c r="X4802" s="256">
        <f t="shared" ca="1" si="1375"/>
        <v>1</v>
      </c>
    </row>
    <row r="4803" spans="1:24" s="614" customFormat="1" ht="15.75" x14ac:dyDescent="0.25">
      <c r="A4803" s="276"/>
      <c r="B4803" s="785"/>
      <c r="C4803" s="426" t="s">
        <v>1290</v>
      </c>
      <c r="D4803" s="419">
        <v>45</v>
      </c>
      <c r="E4803" s="316" t="s">
        <v>518</v>
      </c>
      <c r="F4803" s="420">
        <v>0</v>
      </c>
      <c r="G4803" s="419">
        <v>45</v>
      </c>
      <c r="H4803" s="316" t="s">
        <v>518</v>
      </c>
      <c r="I4803" s="420">
        <v>10</v>
      </c>
      <c r="J4803" s="1110"/>
      <c r="K4803" s="1148">
        <f t="shared" si="1366"/>
        <v>10</v>
      </c>
      <c r="L4803" s="774"/>
      <c r="M4803" s="786"/>
      <c r="N4803" s="787">
        <v>3.7608999999999999</v>
      </c>
      <c r="O4803" s="1147"/>
      <c r="P4803" s="789"/>
      <c r="Q4803" s="786"/>
      <c r="R4803" s="1004">
        <f t="shared" si="1373"/>
        <v>37.609000000000002</v>
      </c>
      <c r="S4803" s="791" t="s">
        <v>323</v>
      </c>
      <c r="T4803" s="792">
        <v>43</v>
      </c>
      <c r="U4803" s="793"/>
      <c r="V4803" s="291">
        <f t="shared" ca="1" si="1360"/>
        <v>662.13200000000052</v>
      </c>
      <c r="W4803" s="256">
        <f t="shared" ca="1" si="1374"/>
        <v>2</v>
      </c>
      <c r="X4803" s="256">
        <f t="shared" ca="1" si="1375"/>
        <v>1</v>
      </c>
    </row>
    <row r="4804" spans="1:24" s="614" customFormat="1" ht="15.75" x14ac:dyDescent="0.25">
      <c r="A4804" s="276"/>
      <c r="B4804" s="785"/>
      <c r="C4804" s="426" t="s">
        <v>1290</v>
      </c>
      <c r="D4804" s="419">
        <v>45</v>
      </c>
      <c r="E4804" s="316" t="s">
        <v>518</v>
      </c>
      <c r="F4804" s="420">
        <v>6</v>
      </c>
      <c r="G4804" s="419">
        <v>45</v>
      </c>
      <c r="H4804" s="316" t="s">
        <v>518</v>
      </c>
      <c r="I4804" s="420">
        <v>0</v>
      </c>
      <c r="J4804" s="1110"/>
      <c r="K4804" s="1148">
        <f t="shared" si="1366"/>
        <v>6</v>
      </c>
      <c r="L4804" s="774"/>
      <c r="M4804" s="786"/>
      <c r="N4804" s="787">
        <v>4.4128999999999996</v>
      </c>
      <c r="O4804" s="1147"/>
      <c r="P4804" s="789"/>
      <c r="Q4804" s="786"/>
      <c r="R4804" s="1004">
        <f t="shared" si="1373"/>
        <v>26.477399999999996</v>
      </c>
      <c r="S4804" s="791" t="s">
        <v>323</v>
      </c>
      <c r="T4804" s="792">
        <v>43</v>
      </c>
      <c r="U4804" s="793"/>
      <c r="V4804" s="291">
        <f t="shared" ca="1" si="1360"/>
        <v>662.13200000000052</v>
      </c>
      <c r="W4804" s="256">
        <f t="shared" ca="1" si="1374"/>
        <v>2</v>
      </c>
      <c r="X4804" s="256">
        <f t="shared" ca="1" si="1375"/>
        <v>1</v>
      </c>
    </row>
    <row r="4805" spans="1:24" s="614" customFormat="1" ht="15.75" x14ac:dyDescent="0.25">
      <c r="A4805" s="276"/>
      <c r="B4805" s="1205"/>
      <c r="C4805" s="426" t="s">
        <v>1290</v>
      </c>
      <c r="D4805" s="419">
        <v>45</v>
      </c>
      <c r="E4805" s="316" t="s">
        <v>518</v>
      </c>
      <c r="F4805" s="420">
        <v>0</v>
      </c>
      <c r="G4805" s="419">
        <v>44</v>
      </c>
      <c r="H4805" s="316" t="s">
        <v>518</v>
      </c>
      <c r="I4805" s="420">
        <v>10</v>
      </c>
      <c r="J4805" s="1110"/>
      <c r="K4805" s="1148">
        <f t="shared" si="1366"/>
        <v>10</v>
      </c>
      <c r="L4805" s="1206"/>
      <c r="M4805" s="786"/>
      <c r="N4805" s="787">
        <f>(6.1946+6.2493)/2</f>
        <v>6.2219499999999996</v>
      </c>
      <c r="O4805" s="1147"/>
      <c r="P4805" s="1207"/>
      <c r="Q4805" s="786"/>
      <c r="R4805" s="1004">
        <f t="shared" si="1373"/>
        <v>62.219499999999996</v>
      </c>
      <c r="S4805" s="1201" t="s">
        <v>323</v>
      </c>
      <c r="T4805" s="1202">
        <v>44</v>
      </c>
      <c r="U4805" s="1209"/>
      <c r="V4805" s="291">
        <f t="shared" ca="1" si="1360"/>
        <v>662.13200000000052</v>
      </c>
      <c r="W4805" s="256">
        <f t="shared" ca="1" si="1374"/>
        <v>2</v>
      </c>
      <c r="X4805" s="256">
        <f t="shared" ca="1" si="1375"/>
        <v>1</v>
      </c>
    </row>
    <row r="4806" spans="1:24" s="614" customFormat="1" ht="15.75" x14ac:dyDescent="0.25">
      <c r="A4806" s="276"/>
      <c r="B4806" s="1205"/>
      <c r="C4806" s="426" t="s">
        <v>1290</v>
      </c>
      <c r="D4806" s="419">
        <v>44</v>
      </c>
      <c r="E4806" s="316" t="s">
        <v>518</v>
      </c>
      <c r="F4806" s="420">
        <v>10</v>
      </c>
      <c r="G4806" s="419">
        <v>44</v>
      </c>
      <c r="H4806" s="316" t="s">
        <v>518</v>
      </c>
      <c r="I4806" s="420">
        <v>0</v>
      </c>
      <c r="J4806" s="1110"/>
      <c r="K4806" s="1148">
        <f t="shared" si="1366"/>
        <v>10</v>
      </c>
      <c r="L4806" s="1206"/>
      <c r="M4806" s="786"/>
      <c r="N4806" s="787">
        <f>(6.2493+5.4052)/2</f>
        <v>5.8272499999999994</v>
      </c>
      <c r="O4806" s="1147"/>
      <c r="P4806" s="1207"/>
      <c r="Q4806" s="786"/>
      <c r="R4806" s="1004">
        <f t="shared" si="1373"/>
        <v>58.272499999999994</v>
      </c>
      <c r="S4806" s="1201" t="s">
        <v>323</v>
      </c>
      <c r="T4806" s="1202">
        <v>44</v>
      </c>
      <c r="U4806" s="1209"/>
      <c r="V4806" s="291">
        <f t="shared" ca="1" si="1360"/>
        <v>662.13200000000052</v>
      </c>
      <c r="W4806" s="256">
        <f t="shared" ca="1" si="1374"/>
        <v>2</v>
      </c>
      <c r="X4806" s="256">
        <f t="shared" ca="1" si="1375"/>
        <v>1</v>
      </c>
    </row>
    <row r="4807" spans="1:24" s="614" customFormat="1" ht="15.75" x14ac:dyDescent="0.25">
      <c r="A4807" s="276"/>
      <c r="B4807" s="1205"/>
      <c r="C4807" s="426" t="s">
        <v>1290</v>
      </c>
      <c r="D4807" s="419">
        <v>44</v>
      </c>
      <c r="E4807" s="316" t="s">
        <v>518</v>
      </c>
      <c r="F4807" s="420">
        <v>0</v>
      </c>
      <c r="G4807" s="419">
        <v>43</v>
      </c>
      <c r="H4807" s="316" t="s">
        <v>518</v>
      </c>
      <c r="I4807" s="420">
        <v>10</v>
      </c>
      <c r="J4807" s="1110"/>
      <c r="K4807" s="1148">
        <f t="shared" si="1366"/>
        <v>10</v>
      </c>
      <c r="L4807" s="1206"/>
      <c r="M4807" s="786"/>
      <c r="N4807" s="787">
        <f>(5.4052+4.3244)/2</f>
        <v>4.8647999999999998</v>
      </c>
      <c r="O4807" s="1147"/>
      <c r="P4807" s="1207"/>
      <c r="Q4807" s="786"/>
      <c r="R4807" s="1004">
        <f t="shared" si="1373"/>
        <v>48.647999999999996</v>
      </c>
      <c r="S4807" s="1201" t="s">
        <v>323</v>
      </c>
      <c r="T4807" s="1202">
        <v>44</v>
      </c>
      <c r="U4807" s="1209"/>
      <c r="V4807" s="291">
        <f t="shared" ca="1" si="1360"/>
        <v>662.13200000000052</v>
      </c>
      <c r="W4807" s="256">
        <f t="shared" ca="1" si="1374"/>
        <v>2</v>
      </c>
      <c r="X4807" s="256">
        <f t="shared" ca="1" si="1375"/>
        <v>1</v>
      </c>
    </row>
    <row r="4808" spans="1:24" s="614" customFormat="1" ht="15.75" x14ac:dyDescent="0.25">
      <c r="A4808" s="276"/>
      <c r="B4808" s="1205"/>
      <c r="C4808" s="426" t="s">
        <v>1290</v>
      </c>
      <c r="D4808" s="419">
        <v>43</v>
      </c>
      <c r="E4808" s="316" t="s">
        <v>518</v>
      </c>
      <c r="F4808" s="420">
        <v>10</v>
      </c>
      <c r="G4808" s="419">
        <v>43</v>
      </c>
      <c r="H4808" s="316" t="s">
        <v>518</v>
      </c>
      <c r="I4808" s="420">
        <v>0</v>
      </c>
      <c r="J4808" s="1110"/>
      <c r="K4808" s="1148">
        <f t="shared" si="1366"/>
        <v>10</v>
      </c>
      <c r="L4808" s="1206"/>
      <c r="M4808" s="786"/>
      <c r="N4808" s="787">
        <f>(4.3244+7.3222)/2</f>
        <v>5.8232999999999997</v>
      </c>
      <c r="O4808" s="1147"/>
      <c r="P4808" s="1207"/>
      <c r="Q4808" s="786"/>
      <c r="R4808" s="1004">
        <f t="shared" si="1373"/>
        <v>58.232999999999997</v>
      </c>
      <c r="S4808" s="1201" t="s">
        <v>323</v>
      </c>
      <c r="T4808" s="1202">
        <v>44</v>
      </c>
      <c r="U4808" s="1209"/>
      <c r="V4808" s="291">
        <f t="shared" ca="1" si="1360"/>
        <v>662.13200000000052</v>
      </c>
      <c r="W4808" s="256">
        <f t="shared" ca="1" si="1374"/>
        <v>2</v>
      </c>
      <c r="X4808" s="256">
        <f t="shared" ca="1" si="1375"/>
        <v>1</v>
      </c>
    </row>
    <row r="4809" spans="1:24" s="614" customFormat="1" ht="15.75" x14ac:dyDescent="0.25">
      <c r="A4809" s="276"/>
      <c r="B4809" s="1205"/>
      <c r="C4809" s="426" t="s">
        <v>1290</v>
      </c>
      <c r="D4809" s="419">
        <v>43</v>
      </c>
      <c r="E4809" s="316" t="s">
        <v>518</v>
      </c>
      <c r="F4809" s="420">
        <v>0</v>
      </c>
      <c r="G4809" s="419">
        <v>42</v>
      </c>
      <c r="H4809" s="316" t="s">
        <v>518</v>
      </c>
      <c r="I4809" s="420">
        <v>10</v>
      </c>
      <c r="J4809" s="1110"/>
      <c r="K4809" s="1148">
        <f t="shared" si="1366"/>
        <v>10</v>
      </c>
      <c r="L4809" s="1206"/>
      <c r="M4809" s="786"/>
      <c r="N4809" s="787">
        <f>(7.3222+7.4508)/2</f>
        <v>7.3864999999999998</v>
      </c>
      <c r="O4809" s="1147"/>
      <c r="P4809" s="1207"/>
      <c r="Q4809" s="786"/>
      <c r="R4809" s="1004">
        <f t="shared" si="1373"/>
        <v>73.864999999999995</v>
      </c>
      <c r="S4809" s="1201" t="s">
        <v>323</v>
      </c>
      <c r="T4809" s="1202">
        <v>44</v>
      </c>
      <c r="U4809" s="1209"/>
      <c r="V4809" s="291">
        <f t="shared" ca="1" si="1360"/>
        <v>662.13200000000052</v>
      </c>
      <c r="W4809" s="256">
        <f t="shared" ca="1" si="1374"/>
        <v>2</v>
      </c>
      <c r="X4809" s="256">
        <f t="shared" ca="1" si="1375"/>
        <v>1</v>
      </c>
    </row>
    <row r="4810" spans="1:24" s="614" customFormat="1" ht="15.75" x14ac:dyDescent="0.25">
      <c r="A4810" s="276"/>
      <c r="B4810" s="1205"/>
      <c r="C4810" s="426" t="s">
        <v>1290</v>
      </c>
      <c r="D4810" s="419">
        <v>42</v>
      </c>
      <c r="E4810" s="316" t="s">
        <v>518</v>
      </c>
      <c r="F4810" s="420">
        <v>10</v>
      </c>
      <c r="G4810" s="419">
        <v>42</v>
      </c>
      <c r="H4810" s="316" t="s">
        <v>518</v>
      </c>
      <c r="I4810" s="420">
        <v>3</v>
      </c>
      <c r="J4810" s="1110"/>
      <c r="K4810" s="1148">
        <f t="shared" si="1366"/>
        <v>7</v>
      </c>
      <c r="L4810" s="1206"/>
      <c r="M4810" s="786"/>
      <c r="N4810" s="787">
        <f>(7.4508+7.4363)/2</f>
        <v>7.4435500000000001</v>
      </c>
      <c r="O4810" s="1147"/>
      <c r="P4810" s="1207"/>
      <c r="Q4810" s="786"/>
      <c r="R4810" s="1004">
        <f t="shared" si="1373"/>
        <v>52.104849999999999</v>
      </c>
      <c r="S4810" s="1201" t="s">
        <v>323</v>
      </c>
      <c r="T4810" s="1202">
        <v>44</v>
      </c>
      <c r="U4810" s="1209"/>
      <c r="V4810" s="291">
        <f t="shared" ca="1" si="1360"/>
        <v>662.13200000000052</v>
      </c>
      <c r="W4810" s="256">
        <f t="shared" ca="1" si="1374"/>
        <v>2</v>
      </c>
      <c r="X4810" s="256">
        <f t="shared" ca="1" si="1375"/>
        <v>1</v>
      </c>
    </row>
    <row r="4811" spans="1:24" s="614" customFormat="1" ht="15.75" x14ac:dyDescent="0.25">
      <c r="A4811" s="276"/>
      <c r="B4811" s="1205"/>
      <c r="C4811" s="426" t="s">
        <v>1290</v>
      </c>
      <c r="D4811" s="419">
        <v>42</v>
      </c>
      <c r="E4811" s="316" t="s">
        <v>518</v>
      </c>
      <c r="F4811" s="420">
        <v>3</v>
      </c>
      <c r="G4811" s="419">
        <v>42</v>
      </c>
      <c r="H4811" s="316" t="s">
        <v>518</v>
      </c>
      <c r="I4811" s="420">
        <v>0</v>
      </c>
      <c r="J4811" s="1110"/>
      <c r="K4811" s="1148">
        <f t="shared" si="1366"/>
        <v>3</v>
      </c>
      <c r="L4811" s="1206"/>
      <c r="M4811" s="786"/>
      <c r="N4811" s="787">
        <f>(7.4362+6.2911)/2</f>
        <v>6.8636499999999998</v>
      </c>
      <c r="O4811" s="1147"/>
      <c r="P4811" s="1207"/>
      <c r="Q4811" s="786"/>
      <c r="R4811" s="1004">
        <f t="shared" si="1373"/>
        <v>20.590949999999999</v>
      </c>
      <c r="S4811" s="1201" t="s">
        <v>323</v>
      </c>
      <c r="T4811" s="1202">
        <v>44</v>
      </c>
      <c r="U4811" s="1209"/>
      <c r="V4811" s="291">
        <f t="shared" ca="1" si="1360"/>
        <v>662.13200000000052</v>
      </c>
      <c r="W4811" s="256">
        <f t="shared" ca="1" si="1374"/>
        <v>2</v>
      </c>
      <c r="X4811" s="256">
        <f t="shared" ca="1" si="1375"/>
        <v>1</v>
      </c>
    </row>
    <row r="4812" spans="1:24" s="614" customFormat="1" ht="15.75" x14ac:dyDescent="0.25">
      <c r="A4812" s="276"/>
      <c r="B4812" s="1205"/>
      <c r="C4812" s="426" t="s">
        <v>1290</v>
      </c>
      <c r="D4812" s="419">
        <v>42</v>
      </c>
      <c r="E4812" s="316" t="s">
        <v>518</v>
      </c>
      <c r="F4812" s="420">
        <v>0</v>
      </c>
      <c r="G4812" s="419">
        <v>41</v>
      </c>
      <c r="H4812" s="316" t="s">
        <v>518</v>
      </c>
      <c r="I4812" s="420">
        <v>10</v>
      </c>
      <c r="J4812" s="1110"/>
      <c r="K4812" s="1148">
        <f t="shared" si="1366"/>
        <v>10</v>
      </c>
      <c r="L4812" s="1206"/>
      <c r="M4812" s="786"/>
      <c r="N4812" s="787">
        <f>(6.2911+5.0226)/2</f>
        <v>5.6568500000000004</v>
      </c>
      <c r="O4812" s="1147"/>
      <c r="P4812" s="1207"/>
      <c r="Q4812" s="786"/>
      <c r="R4812" s="1004">
        <f t="shared" si="1373"/>
        <v>56.5685</v>
      </c>
      <c r="S4812" s="1201" t="s">
        <v>323</v>
      </c>
      <c r="T4812" s="1202">
        <v>44</v>
      </c>
      <c r="U4812" s="1209"/>
      <c r="V4812" s="291">
        <f t="shared" ca="1" si="1360"/>
        <v>662.13200000000052</v>
      </c>
      <c r="W4812" s="256">
        <f t="shared" ca="1" si="1374"/>
        <v>2</v>
      </c>
      <c r="X4812" s="256">
        <f t="shared" ca="1" si="1375"/>
        <v>1</v>
      </c>
    </row>
    <row r="4813" spans="1:24" s="614" customFormat="1" ht="15.75" x14ac:dyDescent="0.25">
      <c r="A4813" s="276"/>
      <c r="B4813" s="1205"/>
      <c r="C4813" s="426" t="s">
        <v>1290</v>
      </c>
      <c r="D4813" s="419">
        <v>41</v>
      </c>
      <c r="E4813" s="316" t="s">
        <v>518</v>
      </c>
      <c r="F4813" s="420">
        <v>10</v>
      </c>
      <c r="G4813" s="419">
        <v>40</v>
      </c>
      <c r="H4813" s="316" t="s">
        <v>518</v>
      </c>
      <c r="I4813" s="420">
        <v>19.033999999999999</v>
      </c>
      <c r="J4813" s="1110"/>
      <c r="K4813" s="1148">
        <f t="shared" si="1366"/>
        <v>10.966000000000008</v>
      </c>
      <c r="L4813" s="1206"/>
      <c r="M4813" s="786"/>
      <c r="N4813" s="787">
        <f>(5.0226+4.3208)/2</f>
        <v>4.6716999999999995</v>
      </c>
      <c r="O4813" s="1147"/>
      <c r="P4813" s="1207"/>
      <c r="Q4813" s="786"/>
      <c r="R4813" s="1004">
        <f t="shared" si="1373"/>
        <v>51.229862200000035</v>
      </c>
      <c r="S4813" s="1201" t="s">
        <v>323</v>
      </c>
      <c r="T4813" s="1202">
        <v>44</v>
      </c>
      <c r="U4813" s="1209"/>
      <c r="V4813" s="291">
        <f t="shared" ca="1" si="1360"/>
        <v>662.13200000000052</v>
      </c>
      <c r="W4813" s="256">
        <f t="shared" ca="1" si="1374"/>
        <v>2</v>
      </c>
      <c r="X4813" s="256">
        <f t="shared" ca="1" si="1375"/>
        <v>1</v>
      </c>
    </row>
    <row r="4814" spans="1:24" s="614" customFormat="1" ht="15.75" x14ac:dyDescent="0.25">
      <c r="A4814" s="276"/>
      <c r="B4814" s="1205"/>
      <c r="C4814" s="426" t="s">
        <v>1290</v>
      </c>
      <c r="D4814" s="419">
        <v>40</v>
      </c>
      <c r="E4814" s="316" t="s">
        <v>518</v>
      </c>
      <c r="F4814" s="420">
        <v>19.033999999999999</v>
      </c>
      <c r="G4814" s="419">
        <v>40</v>
      </c>
      <c r="H4814" s="316" t="s">
        <v>518</v>
      </c>
      <c r="I4814" s="420">
        <v>10</v>
      </c>
      <c r="J4814" s="1110"/>
      <c r="K4814" s="1148">
        <f t="shared" si="1366"/>
        <v>9.0339999999999918</v>
      </c>
      <c r="L4814" s="1206"/>
      <c r="M4814" s="786"/>
      <c r="N4814" s="787">
        <f>(4.3208+5.1865)/2</f>
        <v>4.7536500000000004</v>
      </c>
      <c r="O4814" s="1147"/>
      <c r="P4814" s="1207"/>
      <c r="Q4814" s="786"/>
      <c r="R4814" s="1004">
        <f t="shared" si="1373"/>
        <v>42.944474099999965</v>
      </c>
      <c r="S4814" s="1201" t="s">
        <v>323</v>
      </c>
      <c r="T4814" s="1202">
        <v>44</v>
      </c>
      <c r="U4814" s="1209"/>
      <c r="V4814" s="291">
        <f t="shared" ca="1" si="1360"/>
        <v>662.13200000000052</v>
      </c>
      <c r="W4814" s="256">
        <f t="shared" ca="1" si="1374"/>
        <v>2</v>
      </c>
      <c r="X4814" s="256">
        <f t="shared" ca="1" si="1375"/>
        <v>1</v>
      </c>
    </row>
    <row r="4815" spans="1:24" s="614" customFormat="1" ht="15.75" x14ac:dyDescent="0.25">
      <c r="A4815" s="276"/>
      <c r="B4815" s="1205"/>
      <c r="C4815" s="426" t="s">
        <v>1290</v>
      </c>
      <c r="D4815" s="419">
        <v>40</v>
      </c>
      <c r="E4815" s="316" t="s">
        <v>518</v>
      </c>
      <c r="F4815" s="420">
        <v>10</v>
      </c>
      <c r="G4815" s="419">
        <v>40</v>
      </c>
      <c r="H4815" s="316" t="s">
        <v>518</v>
      </c>
      <c r="I4815" s="420">
        <v>0</v>
      </c>
      <c r="J4815" s="1110"/>
      <c r="K4815" s="1148">
        <f t="shared" si="1366"/>
        <v>10</v>
      </c>
      <c r="L4815" s="1206"/>
      <c r="M4815" s="786"/>
      <c r="N4815" s="787">
        <f>(5.1862+6.529)/2</f>
        <v>5.8575999999999997</v>
      </c>
      <c r="O4815" s="1147"/>
      <c r="P4815" s="1207"/>
      <c r="Q4815" s="786"/>
      <c r="R4815" s="1004">
        <f t="shared" si="1373"/>
        <v>58.575999999999993</v>
      </c>
      <c r="S4815" s="1201" t="s">
        <v>323</v>
      </c>
      <c r="T4815" s="1202">
        <v>44</v>
      </c>
      <c r="U4815" s="1209"/>
      <c r="V4815" s="291">
        <f t="shared" ca="1" si="1360"/>
        <v>662.13200000000052</v>
      </c>
      <c r="W4815" s="256">
        <f t="shared" ca="1" si="1374"/>
        <v>2</v>
      </c>
      <c r="X4815" s="256">
        <f t="shared" ca="1" si="1375"/>
        <v>1</v>
      </c>
    </row>
    <row r="4816" spans="1:24" s="614" customFormat="1" ht="15.75" x14ac:dyDescent="0.25">
      <c r="A4816" s="276"/>
      <c r="B4816" s="1205"/>
      <c r="C4816" s="426" t="s">
        <v>1290</v>
      </c>
      <c r="D4816" s="419">
        <v>40</v>
      </c>
      <c r="E4816" s="316" t="s">
        <v>518</v>
      </c>
      <c r="F4816" s="420">
        <v>0</v>
      </c>
      <c r="G4816" s="419">
        <v>39</v>
      </c>
      <c r="H4816" s="316" t="s">
        <v>518</v>
      </c>
      <c r="I4816" s="420">
        <v>15.401999999999999</v>
      </c>
      <c r="J4816" s="1110"/>
      <c r="K4816" s="1148">
        <f t="shared" si="1366"/>
        <v>4.5979999999999563</v>
      </c>
      <c r="L4816" s="1206"/>
      <c r="M4816" s="786"/>
      <c r="N4816" s="787">
        <f>(6.529+4.9499)/2</f>
        <v>5.7394499999999997</v>
      </c>
      <c r="O4816" s="1147"/>
      <c r="P4816" s="1207"/>
      <c r="Q4816" s="786"/>
      <c r="R4816" s="1004">
        <f t="shared" si="1373"/>
        <v>26.389991099999747</v>
      </c>
      <c r="S4816" s="1201" t="s">
        <v>323</v>
      </c>
      <c r="T4816" s="1202">
        <v>44</v>
      </c>
      <c r="U4816" s="1209"/>
      <c r="V4816" s="291">
        <f t="shared" ca="1" si="1360"/>
        <v>662.13200000000052</v>
      </c>
      <c r="W4816" s="256">
        <f t="shared" ca="1" si="1374"/>
        <v>2</v>
      </c>
      <c r="X4816" s="256">
        <f t="shared" ca="1" si="1375"/>
        <v>1</v>
      </c>
    </row>
    <row r="4817" spans="1:24" s="614" customFormat="1" ht="15.75" x14ac:dyDescent="0.25">
      <c r="A4817" s="276"/>
      <c r="B4817" s="1205"/>
      <c r="C4817" s="426" t="s">
        <v>1290</v>
      </c>
      <c r="D4817" s="419">
        <v>39</v>
      </c>
      <c r="E4817" s="316" t="s">
        <v>518</v>
      </c>
      <c r="F4817" s="420">
        <v>15.401999999999999</v>
      </c>
      <c r="G4817" s="419">
        <v>39</v>
      </c>
      <c r="H4817" s="316" t="s">
        <v>518</v>
      </c>
      <c r="I4817" s="420">
        <v>10</v>
      </c>
      <c r="J4817" s="1110"/>
      <c r="K4817" s="1148">
        <f t="shared" si="1366"/>
        <v>5.4020000000000437</v>
      </c>
      <c r="L4817" s="1206"/>
      <c r="M4817" s="786"/>
      <c r="N4817" s="787">
        <f>(4.9499+3.6291)/2</f>
        <v>4.2895000000000003</v>
      </c>
      <c r="O4817" s="1147"/>
      <c r="P4817" s="1207"/>
      <c r="Q4817" s="786"/>
      <c r="R4817" s="1004">
        <f t="shared" si="1373"/>
        <v>23.171879000000189</v>
      </c>
      <c r="S4817" s="1201" t="s">
        <v>323</v>
      </c>
      <c r="T4817" s="1202">
        <v>44</v>
      </c>
      <c r="U4817" s="1209"/>
      <c r="V4817" s="291">
        <f t="shared" ca="1" si="1360"/>
        <v>662.13200000000052</v>
      </c>
      <c r="W4817" s="256">
        <f t="shared" ca="1" si="1374"/>
        <v>2</v>
      </c>
      <c r="X4817" s="256">
        <f t="shared" ca="1" si="1375"/>
        <v>1</v>
      </c>
    </row>
    <row r="4818" spans="1:24" s="614" customFormat="1" ht="15.75" x14ac:dyDescent="0.25">
      <c r="A4818" s="276"/>
      <c r="B4818" s="1205"/>
      <c r="C4818" s="426" t="s">
        <v>1290</v>
      </c>
      <c r="D4818" s="419">
        <v>39</v>
      </c>
      <c r="E4818" s="316" t="s">
        <v>518</v>
      </c>
      <c r="F4818" s="420">
        <v>10</v>
      </c>
      <c r="G4818" s="419">
        <v>39</v>
      </c>
      <c r="H4818" s="316" t="s">
        <v>518</v>
      </c>
      <c r="I4818" s="420">
        <v>2</v>
      </c>
      <c r="J4818" s="1110"/>
      <c r="K4818" s="1148">
        <f t="shared" si="1366"/>
        <v>8</v>
      </c>
      <c r="L4818" s="1206"/>
      <c r="M4818" s="786"/>
      <c r="N4818" s="787">
        <f>(3.6291+3.7002)/2</f>
        <v>3.66465</v>
      </c>
      <c r="O4818" s="1147"/>
      <c r="P4818" s="1207"/>
      <c r="Q4818" s="786"/>
      <c r="R4818" s="1004">
        <f t="shared" si="1373"/>
        <v>29.3172</v>
      </c>
      <c r="S4818" s="1201" t="s">
        <v>323</v>
      </c>
      <c r="T4818" s="1202">
        <v>44</v>
      </c>
      <c r="U4818" s="1209"/>
      <c r="V4818" s="291">
        <f t="shared" ca="1" si="1360"/>
        <v>662.13200000000052</v>
      </c>
      <c r="W4818" s="256">
        <f t="shared" ca="1" si="1374"/>
        <v>2</v>
      </c>
      <c r="X4818" s="256">
        <f t="shared" ca="1" si="1375"/>
        <v>1</v>
      </c>
    </row>
    <row r="4819" spans="1:24" s="614" customFormat="1" ht="15.75" x14ac:dyDescent="0.25">
      <c r="A4819" s="276"/>
      <c r="B4819" s="785"/>
      <c r="C4819" s="426"/>
      <c r="D4819" s="419"/>
      <c r="E4819" s="316"/>
      <c r="F4819" s="420"/>
      <c r="G4819" s="419"/>
      <c r="H4819" s="316"/>
      <c r="I4819" s="420"/>
      <c r="J4819" s="1110"/>
      <c r="K4819" s="1148"/>
      <c r="L4819" s="774"/>
      <c r="M4819" s="786"/>
      <c r="N4819" s="972"/>
      <c r="O4819" s="1147"/>
      <c r="P4819" s="789"/>
      <c r="Q4819" s="786"/>
      <c r="R4819" s="1004"/>
      <c r="S4819" s="791"/>
      <c r="T4819" s="792"/>
      <c r="U4819" s="793"/>
      <c r="V4819" s="291">
        <f t="shared" ca="1" si="1360"/>
        <v>662.13200000000052</v>
      </c>
      <c r="W4819" s="256">
        <f t="shared" ca="1" si="1374"/>
        <v>0</v>
      </c>
      <c r="X4819" s="256">
        <f ca="1">IF(COUNTA(OFFSET(#REF!,1,0))-COUNTA(#REF!)=-1,0,1)</f>
        <v>1</v>
      </c>
    </row>
    <row r="4820" spans="1:24" s="614" customFormat="1" ht="15.75" x14ac:dyDescent="0.25">
      <c r="A4820" s="276"/>
      <c r="B4820" s="1205"/>
      <c r="C4820" s="1196"/>
      <c r="D4820" s="496"/>
      <c r="E4820" s="497"/>
      <c r="F4820" s="498"/>
      <c r="G4820" s="496"/>
      <c r="H4820" s="497"/>
      <c r="I4820" s="498"/>
      <c r="J4820" s="1206"/>
      <c r="K4820" s="1148"/>
      <c r="L4820" s="1206"/>
      <c r="M4820" s="786"/>
      <c r="N4820" s="972"/>
      <c r="O4820" s="1147"/>
      <c r="P4820" s="1207"/>
      <c r="Q4820" s="786"/>
      <c r="R4820" s="1149"/>
      <c r="S4820" s="1201"/>
      <c r="T4820" s="1202"/>
      <c r="U4820" s="1209"/>
      <c r="V4820" s="291">
        <f t="shared" ca="1" si="1360"/>
        <v>662.13200000000052</v>
      </c>
      <c r="W4820" s="256">
        <f t="shared" ca="1" si="1374"/>
        <v>0</v>
      </c>
      <c r="X4820" s="256">
        <f t="shared" ca="1" si="1375"/>
        <v>1</v>
      </c>
    </row>
    <row r="4821" spans="1:24" s="614" customFormat="1" ht="15.75" x14ac:dyDescent="0.2">
      <c r="A4821" s="276"/>
      <c r="B4821" s="485"/>
      <c r="C4821" s="486"/>
      <c r="D4821" s="1397" t="s">
        <v>492</v>
      </c>
      <c r="E4821" s="1398"/>
      <c r="F4821" s="1398"/>
      <c r="G4821" s="1398"/>
      <c r="H4821" s="1398"/>
      <c r="I4821" s="1399"/>
      <c r="J4821" s="1400">
        <f>VLOOKUP(A4823,'11 - FINANCEIRO'!_xlnm.Print_Area,6,FALSE)</f>
        <v>9235.2000000000007</v>
      </c>
      <c r="K4821" s="1401"/>
      <c r="L4821" s="487" t="str">
        <f>VLOOKUP(A4823,'11 - FINANCEIRO'!_xlnm.Print_Area,4,FALSE)</f>
        <v>m³</v>
      </c>
      <c r="M4821" s="1371" t="s">
        <v>493</v>
      </c>
      <c r="N4821" s="1372"/>
      <c r="O4821" s="1372"/>
      <c r="P4821" s="1372"/>
      <c r="Q4821" s="1373"/>
      <c r="R4821" s="362">
        <f>TRUNC(SUM(R4787:R4820),3)</f>
        <v>5923.3770000000004</v>
      </c>
      <c r="S4821" s="488" t="str">
        <f>L4821</f>
        <v>m³</v>
      </c>
      <c r="T4821" s="1211"/>
      <c r="U4821" s="490"/>
      <c r="V4821" s="291">
        <f t="shared" ca="1" si="1360"/>
        <v>662.13200000000052</v>
      </c>
      <c r="W4821" s="256">
        <f t="shared" ca="1" si="1374"/>
        <v>2</v>
      </c>
      <c r="X4821" s="256">
        <f t="shared" ca="1" si="1375"/>
        <v>1</v>
      </c>
    </row>
    <row r="4822" spans="1:24" s="614" customFormat="1" ht="15.75" x14ac:dyDescent="0.2">
      <c r="A4822" s="276"/>
      <c r="B4822" s="1214"/>
      <c r="C4822" s="361"/>
      <c r="D4822" s="1362" t="s">
        <v>494</v>
      </c>
      <c r="E4822" s="1363"/>
      <c r="F4822" s="1363"/>
      <c r="G4822" s="1363"/>
      <c r="H4822" s="1363"/>
      <c r="I4822" s="1364"/>
      <c r="J4822" s="1365">
        <f>R4821/J4821</f>
        <v>0.64139130717255721</v>
      </c>
      <c r="K4822" s="1366"/>
      <c r="L4822" s="1369"/>
      <c r="M4822" s="1371" t="s">
        <v>495</v>
      </c>
      <c r="N4822" s="1372"/>
      <c r="O4822" s="1372"/>
      <c r="P4822" s="1372"/>
      <c r="Q4822" s="1373"/>
      <c r="R4822" s="362">
        <f>VLOOKUP(A4823,'11 - FINANCEIRO'!_xlnm.Print_Area,8,FALSE)</f>
        <v>5261.2449999999999</v>
      </c>
      <c r="S4822" s="363" t="str">
        <f>L4821</f>
        <v>m³</v>
      </c>
      <c r="T4822" s="1212"/>
      <c r="U4822" s="360"/>
      <c r="V4822" s="291">
        <f t="shared" ca="1" si="1360"/>
        <v>662.13200000000052</v>
      </c>
      <c r="W4822" s="256">
        <f t="shared" ca="1" si="1374"/>
        <v>2</v>
      </c>
      <c r="X4822" s="256">
        <f t="shared" ca="1" si="1375"/>
        <v>1</v>
      </c>
    </row>
    <row r="4823" spans="1:24" s="614" customFormat="1" ht="15.75" x14ac:dyDescent="0.2">
      <c r="A4823" s="276" t="s">
        <v>1142</v>
      </c>
      <c r="B4823" s="364"/>
      <c r="C4823" s="365"/>
      <c r="D4823" s="1354"/>
      <c r="E4823" s="1355"/>
      <c r="F4823" s="1355"/>
      <c r="G4823" s="1355"/>
      <c r="H4823" s="1355"/>
      <c r="I4823" s="1356"/>
      <c r="J4823" s="1367"/>
      <c r="K4823" s="1368"/>
      <c r="L4823" s="1370"/>
      <c r="M4823" s="1371" t="s">
        <v>496</v>
      </c>
      <c r="N4823" s="1372"/>
      <c r="O4823" s="1372"/>
      <c r="P4823" s="1372"/>
      <c r="Q4823" s="1373"/>
      <c r="R4823" s="362">
        <f>R4821-R4822</f>
        <v>662.13200000000052</v>
      </c>
      <c r="S4823" s="363" t="str">
        <f>L4821</f>
        <v>m³</v>
      </c>
      <c r="T4823" s="1213"/>
      <c r="U4823" s="367"/>
      <c r="V4823" s="291">
        <f t="shared" ca="1" si="1360"/>
        <v>662.13200000000052</v>
      </c>
      <c r="W4823" s="256">
        <f ca="1">IF(LEFT(_xlfn.FORMULATEXT(V4823),3)="=SO",1,IF(COUNTA(A4823:U4823)=0,0,2))</f>
        <v>2</v>
      </c>
      <c r="X4823" s="256">
        <f ca="1">IF(COUNTA(OFFSET(A4822,1,0))-COUNTA(A4822)=-1,0,1)</f>
        <v>1</v>
      </c>
    </row>
    <row r="4824" spans="1:24" s="614" customFormat="1" ht="15.75" x14ac:dyDescent="0.2">
      <c r="A4824" s="276"/>
      <c r="B4824" s="368"/>
      <c r="C4824" s="365"/>
      <c r="D4824" s="369"/>
      <c r="E4824" s="370"/>
      <c r="F4824" s="369"/>
      <c r="G4824" s="369"/>
      <c r="H4824" s="369"/>
      <c r="I4824" s="369"/>
      <c r="J4824" s="371"/>
      <c r="K4824" s="372"/>
      <c r="L4824" s="373"/>
      <c r="M4824" s="374"/>
      <c r="N4824" s="374"/>
      <c r="O4824" s="374"/>
      <c r="P4824" s="374"/>
      <c r="Q4824" s="374"/>
      <c r="R4824" s="375"/>
      <c r="S4824" s="376"/>
      <c r="T4824" s="377"/>
      <c r="U4824" s="378"/>
      <c r="V4824" s="379">
        <f ca="1">SUM(V4785:V4823)</f>
        <v>25823.148000000045</v>
      </c>
      <c r="W4824" s="256">
        <f ca="1">IF(LEFT(_xlfn.FORMULATEXT(V4824),3)="=SO",1,IF(COUNTA(A4824:U4824)=0,0,2))</f>
        <v>1</v>
      </c>
      <c r="X4824" s="256">
        <f ca="1">IF(COUNTA(OFFSET(A4823,1,0))-COUNTA(A4823)=-1,0,1)</f>
        <v>0</v>
      </c>
    </row>
    <row r="4825" spans="1:24" s="614" customFormat="1" ht="24.75" customHeight="1" x14ac:dyDescent="0.25">
      <c r="A4825" s="276"/>
      <c r="B4825" s="1374" t="s">
        <v>1143</v>
      </c>
      <c r="C4825" s="1376" t="str">
        <f>VLOOKUP(A4863,'11 - FINANCEIRO'!_xlnm.Print_Area,3,FALSE)</f>
        <v>Serviço manual de limpeza e raspagem de terreno, pós movimentação de material de reaterro, inclusive raspagem de equipamento basculante.</v>
      </c>
      <c r="D4825" s="1378" t="s">
        <v>500</v>
      </c>
      <c r="E4825" s="1379"/>
      <c r="F4825" s="1379"/>
      <c r="G4825" s="1379"/>
      <c r="H4825" s="1379"/>
      <c r="I4825" s="1380"/>
      <c r="J4825" s="1338" t="s">
        <v>478</v>
      </c>
      <c r="K4825" s="1338" t="s">
        <v>479</v>
      </c>
      <c r="L4825" s="1338" t="s">
        <v>480</v>
      </c>
      <c r="M4825" s="1338" t="s">
        <v>481</v>
      </c>
      <c r="N4825" s="1338" t="s">
        <v>482</v>
      </c>
      <c r="O4825" s="1338" t="s">
        <v>483</v>
      </c>
      <c r="P4825" s="1338" t="s">
        <v>484</v>
      </c>
      <c r="Q4825" s="1338" t="s">
        <v>296</v>
      </c>
      <c r="R4825" s="1336" t="s">
        <v>296</v>
      </c>
      <c r="S4825" s="1338" t="s">
        <v>486</v>
      </c>
      <c r="T4825" s="1338" t="s">
        <v>487</v>
      </c>
      <c r="U4825" s="1340" t="s">
        <v>488</v>
      </c>
      <c r="V4825" s="291">
        <f t="shared" ca="1" si="1360"/>
        <v>662.13200000000052</v>
      </c>
      <c r="W4825" s="256">
        <f t="shared" ref="W4825" ca="1" si="1376">IF(LEFT(_xlfn.FORMULATEXT(V4825),3)="=SO",1,IF(COUNTA(A4825:U4825)=0,0,2))</f>
        <v>2</v>
      </c>
      <c r="X4825" s="256">
        <f t="shared" ref="X4825" ca="1" si="1377">IF(COUNTA(OFFSET(A4824,1,0))-COUNTA(A4824)=-1,0,1)</f>
        <v>1</v>
      </c>
    </row>
    <row r="4826" spans="1:24" s="614" customFormat="1" ht="24.75" customHeight="1" x14ac:dyDescent="0.25">
      <c r="A4826" s="276"/>
      <c r="B4826" s="1375"/>
      <c r="C4826" s="1377"/>
      <c r="D4826" s="1342" t="s">
        <v>489</v>
      </c>
      <c r="E4826" s="1343"/>
      <c r="F4826" s="1344"/>
      <c r="G4826" s="1345" t="s">
        <v>490</v>
      </c>
      <c r="H4826" s="1346"/>
      <c r="I4826" s="1347"/>
      <c r="J4826" s="1339"/>
      <c r="K4826" s="1339"/>
      <c r="L4826" s="1339"/>
      <c r="M4826" s="1339"/>
      <c r="N4826" s="1339"/>
      <c r="O4826" s="1339"/>
      <c r="P4826" s="1339" t="s">
        <v>491</v>
      </c>
      <c r="Q4826" s="1339"/>
      <c r="R4826" s="1337"/>
      <c r="S4826" s="1339"/>
      <c r="T4826" s="1339"/>
      <c r="U4826" s="1341"/>
      <c r="V4826" s="291">
        <f t="shared" ca="1" si="1360"/>
        <v>662.13200000000052</v>
      </c>
      <c r="W4826" s="256">
        <f t="shared" ref="W4826:W4863" ca="1" si="1378">IF(LEFT(_xlfn.FORMULATEXT(V4826),3)="=SO",1,IF(COUNTA(A4826:U4826)=0,0,2))</f>
        <v>2</v>
      </c>
      <c r="X4826" s="256">
        <f t="shared" ref="X4826:X4863" ca="1" si="1379">IF(COUNTA(OFFSET(A4825,1,0))-COUNTA(A4825)=-1,0,1)</f>
        <v>1</v>
      </c>
    </row>
    <row r="4827" spans="1:24" s="614" customFormat="1" ht="15.75" x14ac:dyDescent="0.25">
      <c r="A4827" s="276"/>
      <c r="B4827" s="296"/>
      <c r="C4827" s="297" t="s">
        <v>1168</v>
      </c>
      <c r="D4827" s="417">
        <v>70</v>
      </c>
      <c r="E4827" s="314" t="s">
        <v>518</v>
      </c>
      <c r="F4827" s="418">
        <v>0</v>
      </c>
      <c r="G4827" s="419">
        <v>83</v>
      </c>
      <c r="H4827" s="316" t="s">
        <v>518</v>
      </c>
      <c r="I4827" s="420">
        <v>10</v>
      </c>
      <c r="J4827" s="304"/>
      <c r="K4827" s="747">
        <f t="shared" ref="K4827" si="1380">ABS((G4827*20+I4827)-(D4827*20+F4827))</f>
        <v>270</v>
      </c>
      <c r="L4827" s="304"/>
      <c r="M4827" s="304"/>
      <c r="N4827" s="304"/>
      <c r="O4827" s="304"/>
      <c r="P4827" s="306"/>
      <c r="Q4827" s="304"/>
      <c r="R4827" s="1004">
        <f>8364.25-3847.518</f>
        <v>4516.732</v>
      </c>
      <c r="S4827" s="308"/>
      <c r="T4827" s="309">
        <v>35</v>
      </c>
      <c r="U4827" s="310"/>
      <c r="V4827" s="291">
        <f t="shared" ca="1" si="1360"/>
        <v>662.13200000000052</v>
      </c>
      <c r="W4827" s="256">
        <f t="shared" ca="1" si="1378"/>
        <v>2</v>
      </c>
      <c r="X4827" s="256">
        <f t="shared" ca="1" si="1379"/>
        <v>1</v>
      </c>
    </row>
    <row r="4828" spans="1:24" s="614" customFormat="1" ht="15.75" x14ac:dyDescent="0.25">
      <c r="A4828" s="276"/>
      <c r="B4828" s="785"/>
      <c r="C4828" s="426"/>
      <c r="D4828" s="417"/>
      <c r="E4828" s="314"/>
      <c r="F4828" s="418"/>
      <c r="G4828" s="419"/>
      <c r="H4828" s="316"/>
      <c r="I4828" s="420"/>
      <c r="J4828" s="1110"/>
      <c r="K4828" s="1148"/>
      <c r="L4828" s="774"/>
      <c r="M4828" s="786"/>
      <c r="N4828" s="972"/>
      <c r="O4828" s="1147"/>
      <c r="P4828" s="789"/>
      <c r="Q4828" s="786"/>
      <c r="R4828" s="1149"/>
      <c r="S4828" s="791"/>
      <c r="T4828" s="792"/>
      <c r="U4828" s="793"/>
      <c r="V4828" s="291">
        <f t="shared" ca="1" si="1360"/>
        <v>662.13200000000052</v>
      </c>
      <c r="W4828" s="256">
        <f t="shared" ref="W4828:W4833" ca="1" si="1381">IF(LEFT(_xlfn.FORMULATEXT(V4828),3)="=SO",1,IF(COUNTA(A4828:U4828)=0,0,2))</f>
        <v>0</v>
      </c>
      <c r="X4828" s="256">
        <f t="shared" ref="X4828:X4833" ca="1" si="1382">IF(COUNTA(OFFSET(A4827,1,0))-COUNTA(A4827)=-1,0,1)</f>
        <v>1</v>
      </c>
    </row>
    <row r="4829" spans="1:24" s="614" customFormat="1" ht="15.75" x14ac:dyDescent="0.25">
      <c r="A4829" s="276"/>
      <c r="B4829" s="785"/>
      <c r="C4829" s="426" t="s">
        <v>1290</v>
      </c>
      <c r="D4829" s="417">
        <v>51</v>
      </c>
      <c r="E4829" s="314" t="s">
        <v>518</v>
      </c>
      <c r="F4829" s="418">
        <v>8</v>
      </c>
      <c r="G4829" s="419">
        <v>51</v>
      </c>
      <c r="H4829" s="316" t="s">
        <v>518</v>
      </c>
      <c r="I4829" s="420">
        <v>0</v>
      </c>
      <c r="J4829" s="1110"/>
      <c r="K4829" s="1148">
        <f t="shared" ref="K4829:K4858" si="1383">ABS((G4829*20+I4829)-(D4829*20+F4829))</f>
        <v>8</v>
      </c>
      <c r="L4829" s="774"/>
      <c r="M4829" s="786"/>
      <c r="N4829" s="972">
        <v>4.67</v>
      </c>
      <c r="O4829" s="1147"/>
      <c r="P4829" s="789"/>
      <c r="Q4829" s="786"/>
      <c r="R4829" s="1004">
        <f>N4829*K4829</f>
        <v>37.36</v>
      </c>
      <c r="S4829" s="791" t="s">
        <v>323</v>
      </c>
      <c r="T4829" s="792">
        <v>40</v>
      </c>
      <c r="U4829" s="793"/>
      <c r="V4829" s="291">
        <f t="shared" ca="1" si="1360"/>
        <v>662.13200000000052</v>
      </c>
      <c r="W4829" s="256">
        <f t="shared" ca="1" si="1381"/>
        <v>2</v>
      </c>
      <c r="X4829" s="256">
        <f t="shared" ca="1" si="1382"/>
        <v>1</v>
      </c>
    </row>
    <row r="4830" spans="1:24" s="614" customFormat="1" ht="15.75" x14ac:dyDescent="0.25">
      <c r="A4830" s="276"/>
      <c r="B4830" s="785"/>
      <c r="C4830" s="426" t="s">
        <v>1290</v>
      </c>
      <c r="D4830" s="417">
        <v>51</v>
      </c>
      <c r="E4830" s="314" t="s">
        <v>518</v>
      </c>
      <c r="F4830" s="418">
        <v>0</v>
      </c>
      <c r="G4830" s="419">
        <v>50</v>
      </c>
      <c r="H4830" s="316" t="s">
        <v>518</v>
      </c>
      <c r="I4830" s="420">
        <v>19.033999999999999</v>
      </c>
      <c r="J4830" s="1110"/>
      <c r="K4830" s="1148">
        <f t="shared" si="1383"/>
        <v>0.96600000000000819</v>
      </c>
      <c r="L4830" s="774"/>
      <c r="M4830" s="786"/>
      <c r="N4830" s="972">
        <v>7.1218000000000004</v>
      </c>
      <c r="O4830" s="1147"/>
      <c r="P4830" s="789"/>
      <c r="Q4830" s="786"/>
      <c r="R4830" s="1004">
        <f t="shared" ref="R4830:R4833" si="1384">N4830*K4830</f>
        <v>6.8796588000000582</v>
      </c>
      <c r="S4830" s="791" t="s">
        <v>323</v>
      </c>
      <c r="T4830" s="792">
        <v>40</v>
      </c>
      <c r="U4830" s="793"/>
      <c r="V4830" s="291">
        <f t="shared" ca="1" si="1360"/>
        <v>662.13200000000052</v>
      </c>
      <c r="W4830" s="256">
        <f t="shared" ca="1" si="1381"/>
        <v>2</v>
      </c>
      <c r="X4830" s="256">
        <f t="shared" ca="1" si="1382"/>
        <v>1</v>
      </c>
    </row>
    <row r="4831" spans="1:24" s="614" customFormat="1" ht="15.75" x14ac:dyDescent="0.25">
      <c r="A4831" s="276"/>
      <c r="B4831" s="785"/>
      <c r="C4831" s="426" t="s">
        <v>1290</v>
      </c>
      <c r="D4831" s="419">
        <v>50</v>
      </c>
      <c r="E4831" s="316" t="s">
        <v>518</v>
      </c>
      <c r="F4831" s="420">
        <v>19.033999999999999</v>
      </c>
      <c r="G4831" s="419">
        <v>50</v>
      </c>
      <c r="H4831" s="316" t="s">
        <v>518</v>
      </c>
      <c r="I4831" s="420">
        <v>10</v>
      </c>
      <c r="J4831" s="1110"/>
      <c r="K4831" s="1148">
        <f t="shared" si="1383"/>
        <v>9.0339999999999918</v>
      </c>
      <c r="L4831" s="774"/>
      <c r="M4831" s="786"/>
      <c r="N4831" s="972">
        <v>7.3627000000000002</v>
      </c>
      <c r="O4831" s="1147"/>
      <c r="P4831" s="789"/>
      <c r="Q4831" s="786"/>
      <c r="R4831" s="1004">
        <f t="shared" si="1384"/>
        <v>66.514631799999947</v>
      </c>
      <c r="S4831" s="791" t="s">
        <v>323</v>
      </c>
      <c r="T4831" s="792">
        <v>40</v>
      </c>
      <c r="U4831" s="793"/>
      <c r="V4831" s="291">
        <f t="shared" ca="1" si="1360"/>
        <v>662.13200000000052</v>
      </c>
      <c r="W4831" s="256">
        <f t="shared" ca="1" si="1381"/>
        <v>2</v>
      </c>
      <c r="X4831" s="256">
        <f t="shared" ca="1" si="1382"/>
        <v>1</v>
      </c>
    </row>
    <row r="4832" spans="1:24" s="614" customFormat="1" ht="15.75" x14ac:dyDescent="0.25">
      <c r="A4832" s="276"/>
      <c r="B4832" s="785"/>
      <c r="C4832" s="426" t="s">
        <v>1290</v>
      </c>
      <c r="D4832" s="419">
        <v>50</v>
      </c>
      <c r="E4832" s="316" t="s">
        <v>518</v>
      </c>
      <c r="F4832" s="420">
        <v>10</v>
      </c>
      <c r="G4832" s="419">
        <v>50</v>
      </c>
      <c r="H4832" s="316" t="s">
        <v>518</v>
      </c>
      <c r="I4832" s="420">
        <v>0</v>
      </c>
      <c r="J4832" s="1110"/>
      <c r="K4832" s="1148">
        <f t="shared" si="1383"/>
        <v>10</v>
      </c>
      <c r="L4832" s="774"/>
      <c r="M4832" s="786"/>
      <c r="N4832" s="972">
        <v>6.7690999999999999</v>
      </c>
      <c r="O4832" s="1147"/>
      <c r="P4832" s="789"/>
      <c r="Q4832" s="786"/>
      <c r="R4832" s="1004">
        <f t="shared" si="1384"/>
        <v>67.691000000000003</v>
      </c>
      <c r="S4832" s="791" t="s">
        <v>323</v>
      </c>
      <c r="T4832" s="792">
        <v>40</v>
      </c>
      <c r="U4832" s="793"/>
      <c r="V4832" s="291">
        <f t="shared" ca="1" si="1360"/>
        <v>662.13200000000052</v>
      </c>
      <c r="W4832" s="256">
        <f t="shared" ca="1" si="1381"/>
        <v>2</v>
      </c>
      <c r="X4832" s="256">
        <f t="shared" ca="1" si="1382"/>
        <v>1</v>
      </c>
    </row>
    <row r="4833" spans="1:24" s="614" customFormat="1" ht="15.75" x14ac:dyDescent="0.25">
      <c r="A4833" s="276"/>
      <c r="B4833" s="785"/>
      <c r="C4833" s="426" t="s">
        <v>1290</v>
      </c>
      <c r="D4833" s="419">
        <v>50</v>
      </c>
      <c r="E4833" s="316" t="s">
        <v>518</v>
      </c>
      <c r="F4833" s="420">
        <v>0</v>
      </c>
      <c r="G4833" s="419">
        <v>49</v>
      </c>
      <c r="H4833" s="316" t="s">
        <v>518</v>
      </c>
      <c r="I4833" s="420">
        <v>13</v>
      </c>
      <c r="J4833" s="1110"/>
      <c r="K4833" s="1148">
        <f t="shared" si="1383"/>
        <v>7</v>
      </c>
      <c r="L4833" s="774"/>
      <c r="M4833" s="786"/>
      <c r="N4833" s="972">
        <v>6.1139000000000001</v>
      </c>
      <c r="O4833" s="1147"/>
      <c r="P4833" s="789"/>
      <c r="Q4833" s="786"/>
      <c r="R4833" s="1004">
        <f t="shared" si="1384"/>
        <v>42.7973</v>
      </c>
      <c r="S4833" s="791" t="s">
        <v>323</v>
      </c>
      <c r="T4833" s="792">
        <v>40</v>
      </c>
      <c r="U4833" s="793"/>
      <c r="V4833" s="291">
        <f t="shared" ca="1" si="1360"/>
        <v>662.13200000000052</v>
      </c>
      <c r="W4833" s="256">
        <f t="shared" ca="1" si="1381"/>
        <v>2</v>
      </c>
      <c r="X4833" s="256">
        <f t="shared" ca="1" si="1382"/>
        <v>1</v>
      </c>
    </row>
    <row r="4834" spans="1:24" s="614" customFormat="1" ht="15.75" x14ac:dyDescent="0.25">
      <c r="A4834" s="276"/>
      <c r="B4834" s="785"/>
      <c r="C4834" s="426" t="s">
        <v>1290</v>
      </c>
      <c r="D4834" s="419">
        <v>49</v>
      </c>
      <c r="E4834" s="316" t="s">
        <v>518</v>
      </c>
      <c r="F4834" s="420">
        <v>13</v>
      </c>
      <c r="G4834" s="419">
        <v>49</v>
      </c>
      <c r="H4834" s="316" t="s">
        <v>518</v>
      </c>
      <c r="I4834" s="420">
        <v>10</v>
      </c>
      <c r="J4834" s="1110"/>
      <c r="K4834" s="1148">
        <f t="shared" si="1383"/>
        <v>3</v>
      </c>
      <c r="L4834" s="774"/>
      <c r="M4834" s="786"/>
      <c r="N4834" s="1167">
        <v>6.3036000000000003</v>
      </c>
      <c r="O4834" s="1147"/>
      <c r="P4834" s="789"/>
      <c r="Q4834" s="786"/>
      <c r="R4834" s="1004">
        <f>N4834*K4834</f>
        <v>18.910800000000002</v>
      </c>
      <c r="S4834" s="791" t="s">
        <v>323</v>
      </c>
      <c r="T4834" s="792">
        <v>41</v>
      </c>
      <c r="U4834" s="793"/>
      <c r="V4834" s="291">
        <f t="shared" ca="1" si="1360"/>
        <v>662.13200000000052</v>
      </c>
      <c r="W4834" s="256">
        <f t="shared" ref="W4834:W4836" ca="1" si="1385">IF(LEFT(_xlfn.FORMULATEXT(V4834),3)="=SO",1,IF(COUNTA(A4834:U4834)=0,0,2))</f>
        <v>2</v>
      </c>
      <c r="X4834" s="256">
        <f t="shared" ref="X4834:X4836" ca="1" si="1386">IF(COUNTA(OFFSET(A4833,1,0))-COUNTA(A4833)=-1,0,1)</f>
        <v>1</v>
      </c>
    </row>
    <row r="4835" spans="1:24" s="614" customFormat="1" ht="15.75" x14ac:dyDescent="0.25">
      <c r="A4835" s="276"/>
      <c r="B4835" s="785"/>
      <c r="C4835" s="426" t="s">
        <v>1290</v>
      </c>
      <c r="D4835" s="419">
        <v>49</v>
      </c>
      <c r="E4835" s="316" t="s">
        <v>518</v>
      </c>
      <c r="F4835" s="420">
        <v>10</v>
      </c>
      <c r="G4835" s="419">
        <v>49</v>
      </c>
      <c r="H4835" s="316" t="s">
        <v>518</v>
      </c>
      <c r="I4835" s="420">
        <v>0</v>
      </c>
      <c r="J4835" s="1110"/>
      <c r="K4835" s="1148">
        <f t="shared" si="1383"/>
        <v>10</v>
      </c>
      <c r="L4835" s="774"/>
      <c r="M4835" s="786"/>
      <c r="N4835" s="1167">
        <v>6.8330000000000002</v>
      </c>
      <c r="O4835" s="1147"/>
      <c r="P4835" s="789"/>
      <c r="Q4835" s="786"/>
      <c r="R4835" s="1004">
        <f t="shared" ref="R4835:R4838" si="1387">N4835*K4835</f>
        <v>68.33</v>
      </c>
      <c r="S4835" s="791" t="s">
        <v>323</v>
      </c>
      <c r="T4835" s="792">
        <v>41</v>
      </c>
      <c r="U4835" s="793"/>
      <c r="V4835" s="291">
        <f t="shared" ca="1" si="1360"/>
        <v>662.13200000000052</v>
      </c>
      <c r="W4835" s="256">
        <f t="shared" ca="1" si="1385"/>
        <v>2</v>
      </c>
      <c r="X4835" s="256">
        <f t="shared" ca="1" si="1386"/>
        <v>1</v>
      </c>
    </row>
    <row r="4836" spans="1:24" s="614" customFormat="1" ht="15.75" x14ac:dyDescent="0.25">
      <c r="A4836" s="276"/>
      <c r="B4836" s="785"/>
      <c r="C4836" s="426" t="s">
        <v>1290</v>
      </c>
      <c r="D4836" s="419">
        <v>49</v>
      </c>
      <c r="E4836" s="316" t="s">
        <v>518</v>
      </c>
      <c r="F4836" s="420">
        <v>0</v>
      </c>
      <c r="G4836" s="419">
        <v>48</v>
      </c>
      <c r="H4836" s="316" t="s">
        <v>518</v>
      </c>
      <c r="I4836" s="420">
        <v>10</v>
      </c>
      <c r="J4836" s="1110"/>
      <c r="K4836" s="1148">
        <f t="shared" si="1383"/>
        <v>10</v>
      </c>
      <c r="L4836" s="774"/>
      <c r="M4836" s="786"/>
      <c r="N4836" s="1167">
        <v>6.63</v>
      </c>
      <c r="O4836" s="1147"/>
      <c r="P4836" s="789"/>
      <c r="Q4836" s="786"/>
      <c r="R4836" s="1004">
        <f t="shared" si="1387"/>
        <v>66.3</v>
      </c>
      <c r="S4836" s="791" t="s">
        <v>323</v>
      </c>
      <c r="T4836" s="792">
        <v>41</v>
      </c>
      <c r="U4836" s="793"/>
      <c r="V4836" s="291">
        <f t="shared" ca="1" si="1360"/>
        <v>662.13200000000052</v>
      </c>
      <c r="W4836" s="256">
        <f t="shared" ca="1" si="1385"/>
        <v>2</v>
      </c>
      <c r="X4836" s="256">
        <f t="shared" ca="1" si="1386"/>
        <v>1</v>
      </c>
    </row>
    <row r="4837" spans="1:24" s="614" customFormat="1" ht="15.75" x14ac:dyDescent="0.25">
      <c r="A4837" s="276"/>
      <c r="B4837" s="785"/>
      <c r="C4837" s="426" t="s">
        <v>1290</v>
      </c>
      <c r="D4837" s="419">
        <v>48</v>
      </c>
      <c r="E4837" s="316" t="s">
        <v>518</v>
      </c>
      <c r="F4837" s="420">
        <v>10</v>
      </c>
      <c r="G4837" s="419">
        <v>48</v>
      </c>
      <c r="H4837" s="316" t="s">
        <v>518</v>
      </c>
      <c r="I4837" s="420">
        <v>0</v>
      </c>
      <c r="J4837" s="1110"/>
      <c r="K4837" s="1148">
        <f t="shared" si="1383"/>
        <v>10</v>
      </c>
      <c r="L4837" s="774"/>
      <c r="M4837" s="786"/>
      <c r="N4837" s="1167">
        <v>6.4984000000000002</v>
      </c>
      <c r="O4837" s="1147"/>
      <c r="P4837" s="789"/>
      <c r="Q4837" s="786"/>
      <c r="R4837" s="1004">
        <f t="shared" si="1387"/>
        <v>64.984000000000009</v>
      </c>
      <c r="S4837" s="791" t="s">
        <v>323</v>
      </c>
      <c r="T4837" s="792">
        <v>41</v>
      </c>
      <c r="U4837" s="793"/>
      <c r="V4837" s="291">
        <f t="shared" ca="1" si="1360"/>
        <v>662.13200000000052</v>
      </c>
      <c r="W4837" s="256">
        <f t="shared" ref="W4837:W4862" ca="1" si="1388">IF(LEFT(_xlfn.FORMULATEXT(V4837),3)="=SO",1,IF(COUNTA(A4837:U4837)=0,0,2))</f>
        <v>2</v>
      </c>
      <c r="X4837" s="256">
        <f t="shared" ref="X4837:X4862" ca="1" si="1389">IF(COUNTA(OFFSET(A4836,1,0))-COUNTA(A4836)=-1,0,1)</f>
        <v>1</v>
      </c>
    </row>
    <row r="4838" spans="1:24" s="614" customFormat="1" ht="15.75" x14ac:dyDescent="0.25">
      <c r="A4838" s="276"/>
      <c r="B4838" s="785"/>
      <c r="C4838" s="426" t="s">
        <v>1290</v>
      </c>
      <c r="D4838" s="419">
        <v>48</v>
      </c>
      <c r="E4838" s="316" t="s">
        <v>518</v>
      </c>
      <c r="F4838" s="420">
        <v>0</v>
      </c>
      <c r="G4838" s="419">
        <v>48</v>
      </c>
      <c r="H4838" s="316" t="s">
        <v>518</v>
      </c>
      <c r="I4838" s="420">
        <v>8</v>
      </c>
      <c r="J4838" s="1110"/>
      <c r="K4838" s="1148">
        <f t="shared" si="1383"/>
        <v>8</v>
      </c>
      <c r="L4838" s="774"/>
      <c r="M4838" s="786"/>
      <c r="N4838" s="787">
        <v>6.6481000000000003</v>
      </c>
      <c r="O4838" s="1147"/>
      <c r="P4838" s="789"/>
      <c r="Q4838" s="786"/>
      <c r="R4838" s="1004">
        <f t="shared" si="1387"/>
        <v>53.184800000000003</v>
      </c>
      <c r="S4838" s="791" t="s">
        <v>323</v>
      </c>
      <c r="T4838" s="792">
        <v>41</v>
      </c>
      <c r="U4838" s="793"/>
      <c r="V4838" s="291">
        <f t="shared" ca="1" si="1360"/>
        <v>662.13200000000052</v>
      </c>
      <c r="W4838" s="256">
        <f t="shared" ca="1" si="1388"/>
        <v>2</v>
      </c>
      <c r="X4838" s="256">
        <f t="shared" ca="1" si="1389"/>
        <v>1</v>
      </c>
    </row>
    <row r="4839" spans="1:24" s="614" customFormat="1" ht="15.75" x14ac:dyDescent="0.25">
      <c r="A4839" s="276"/>
      <c r="B4839" s="785"/>
      <c r="C4839" s="426" t="s">
        <v>1290</v>
      </c>
      <c r="D4839" s="419">
        <v>47</v>
      </c>
      <c r="E4839" s="316" t="s">
        <v>518</v>
      </c>
      <c r="F4839" s="420">
        <v>10</v>
      </c>
      <c r="G4839" s="419">
        <v>48</v>
      </c>
      <c r="H4839" s="316" t="s">
        <v>518</v>
      </c>
      <c r="I4839" s="420">
        <v>0</v>
      </c>
      <c r="J4839" s="1110"/>
      <c r="K4839" s="1148">
        <f t="shared" si="1383"/>
        <v>10</v>
      </c>
      <c r="L4839" s="774"/>
      <c r="M4839" s="786"/>
      <c r="N4839" s="787">
        <v>4.9070999999999998</v>
      </c>
      <c r="O4839" s="1147"/>
      <c r="P4839" s="789"/>
      <c r="Q4839" s="786"/>
      <c r="R4839" s="1004">
        <f>N4839*K4839</f>
        <v>49.070999999999998</v>
      </c>
      <c r="S4839" s="791" t="s">
        <v>323</v>
      </c>
      <c r="T4839" s="792">
        <v>43</v>
      </c>
      <c r="U4839" s="793"/>
      <c r="V4839" s="291">
        <f t="shared" ca="1" si="1360"/>
        <v>662.13200000000052</v>
      </c>
      <c r="W4839" s="256">
        <f t="shared" ca="1" si="1388"/>
        <v>2</v>
      </c>
      <c r="X4839" s="256">
        <f t="shared" ca="1" si="1389"/>
        <v>1</v>
      </c>
    </row>
    <row r="4840" spans="1:24" s="614" customFormat="1" ht="15.75" x14ac:dyDescent="0.25">
      <c r="A4840" s="276"/>
      <c r="B4840" s="785"/>
      <c r="C4840" s="426" t="s">
        <v>1290</v>
      </c>
      <c r="D4840" s="419">
        <v>46</v>
      </c>
      <c r="E4840" s="316" t="s">
        <v>518</v>
      </c>
      <c r="F4840" s="420">
        <v>10</v>
      </c>
      <c r="G4840" s="419">
        <v>47</v>
      </c>
      <c r="H4840" s="316" t="s">
        <v>518</v>
      </c>
      <c r="I4840" s="420">
        <v>0</v>
      </c>
      <c r="J4840" s="1110"/>
      <c r="K4840" s="1148">
        <f t="shared" si="1383"/>
        <v>10</v>
      </c>
      <c r="L4840" s="774"/>
      <c r="M4840" s="786"/>
      <c r="N4840" s="787">
        <v>4.9271000000000003</v>
      </c>
      <c r="O4840" s="1147"/>
      <c r="P4840" s="789"/>
      <c r="Q4840" s="786"/>
      <c r="R4840" s="1004">
        <f t="shared" ref="R4840:R4858" si="1390">N4840*K4840</f>
        <v>49.271000000000001</v>
      </c>
      <c r="S4840" s="791" t="s">
        <v>323</v>
      </c>
      <c r="T4840" s="792">
        <v>43</v>
      </c>
      <c r="U4840" s="793"/>
      <c r="V4840" s="291">
        <f t="shared" ca="1" si="1360"/>
        <v>662.13200000000052</v>
      </c>
      <c r="W4840" s="256">
        <f t="shared" ca="1" si="1388"/>
        <v>2</v>
      </c>
      <c r="X4840" s="256">
        <f t="shared" ca="1" si="1389"/>
        <v>1</v>
      </c>
    </row>
    <row r="4841" spans="1:24" s="614" customFormat="1" ht="15.75" x14ac:dyDescent="0.25">
      <c r="A4841" s="276"/>
      <c r="B4841" s="785"/>
      <c r="C4841" s="426" t="s">
        <v>1290</v>
      </c>
      <c r="D4841" s="419">
        <v>46</v>
      </c>
      <c r="E4841" s="316" t="s">
        <v>518</v>
      </c>
      <c r="F4841" s="420">
        <v>0</v>
      </c>
      <c r="G4841" s="419">
        <v>46</v>
      </c>
      <c r="H4841" s="316" t="s">
        <v>518</v>
      </c>
      <c r="I4841" s="420">
        <v>10</v>
      </c>
      <c r="J4841" s="1110"/>
      <c r="K4841" s="1148">
        <f t="shared" si="1383"/>
        <v>10</v>
      </c>
      <c r="L4841" s="774"/>
      <c r="M4841" s="786"/>
      <c r="N4841" s="787">
        <v>4.4025999999999996</v>
      </c>
      <c r="O4841" s="1147"/>
      <c r="P4841" s="789"/>
      <c r="Q4841" s="786"/>
      <c r="R4841" s="1004">
        <f t="shared" si="1390"/>
        <v>44.025999999999996</v>
      </c>
      <c r="S4841" s="791" t="s">
        <v>323</v>
      </c>
      <c r="T4841" s="792">
        <v>43</v>
      </c>
      <c r="U4841" s="793"/>
      <c r="V4841" s="291">
        <f t="shared" ca="1" si="1360"/>
        <v>662.13200000000052</v>
      </c>
      <c r="W4841" s="256">
        <f t="shared" ca="1" si="1388"/>
        <v>2</v>
      </c>
      <c r="X4841" s="256">
        <f t="shared" ca="1" si="1389"/>
        <v>1</v>
      </c>
    </row>
    <row r="4842" spans="1:24" s="614" customFormat="1" ht="15.75" x14ac:dyDescent="0.25">
      <c r="A4842" s="276"/>
      <c r="B4842" s="785"/>
      <c r="C4842" s="426" t="s">
        <v>1290</v>
      </c>
      <c r="D4842" s="419">
        <v>45</v>
      </c>
      <c r="E4842" s="316" t="s">
        <v>518</v>
      </c>
      <c r="F4842" s="420">
        <v>10</v>
      </c>
      <c r="G4842" s="419">
        <v>46</v>
      </c>
      <c r="H4842" s="316" t="s">
        <v>518</v>
      </c>
      <c r="I4842" s="420">
        <v>0</v>
      </c>
      <c r="J4842" s="1110"/>
      <c r="K4842" s="1148">
        <f t="shared" si="1383"/>
        <v>10</v>
      </c>
      <c r="L4842" s="774"/>
      <c r="M4842" s="786"/>
      <c r="N4842" s="787">
        <v>4.5106999999999999</v>
      </c>
      <c r="O4842" s="1147"/>
      <c r="P4842" s="789"/>
      <c r="Q4842" s="786"/>
      <c r="R4842" s="1004">
        <f t="shared" si="1390"/>
        <v>45.106999999999999</v>
      </c>
      <c r="S4842" s="791" t="s">
        <v>323</v>
      </c>
      <c r="T4842" s="792">
        <v>43</v>
      </c>
      <c r="U4842" s="793"/>
      <c r="V4842" s="291">
        <f t="shared" ca="1" si="1360"/>
        <v>662.13200000000052</v>
      </c>
      <c r="W4842" s="256">
        <f t="shared" ca="1" si="1388"/>
        <v>2</v>
      </c>
      <c r="X4842" s="256">
        <f t="shared" ca="1" si="1389"/>
        <v>1</v>
      </c>
    </row>
    <row r="4843" spans="1:24" s="614" customFormat="1" ht="15.75" x14ac:dyDescent="0.25">
      <c r="A4843" s="276"/>
      <c r="B4843" s="785"/>
      <c r="C4843" s="426" t="s">
        <v>1290</v>
      </c>
      <c r="D4843" s="419">
        <v>45</v>
      </c>
      <c r="E4843" s="316" t="s">
        <v>518</v>
      </c>
      <c r="F4843" s="420">
        <v>0</v>
      </c>
      <c r="G4843" s="419">
        <v>45</v>
      </c>
      <c r="H4843" s="316" t="s">
        <v>518</v>
      </c>
      <c r="I4843" s="420">
        <v>10</v>
      </c>
      <c r="J4843" s="1110"/>
      <c r="K4843" s="1148">
        <f t="shared" si="1383"/>
        <v>10</v>
      </c>
      <c r="L4843" s="774"/>
      <c r="M4843" s="786"/>
      <c r="N4843" s="787">
        <v>3.7608999999999999</v>
      </c>
      <c r="O4843" s="1147"/>
      <c r="P4843" s="789"/>
      <c r="Q4843" s="786"/>
      <c r="R4843" s="1004">
        <f t="shared" si="1390"/>
        <v>37.609000000000002</v>
      </c>
      <c r="S4843" s="791" t="s">
        <v>323</v>
      </c>
      <c r="T4843" s="792">
        <v>43</v>
      </c>
      <c r="U4843" s="793"/>
      <c r="V4843" s="291">
        <f t="shared" ca="1" si="1360"/>
        <v>662.13200000000052</v>
      </c>
      <c r="W4843" s="256">
        <f t="shared" ref="W4843:W4861" ca="1" si="1391">IF(LEFT(_xlfn.FORMULATEXT(V4843),3)="=SO",1,IF(COUNTA(A4843:U4843)=0,0,2))</f>
        <v>2</v>
      </c>
      <c r="X4843" s="256">
        <f t="shared" ref="X4843:X4861" ca="1" si="1392">IF(COUNTA(OFFSET(A4842,1,0))-COUNTA(A4842)=-1,0,1)</f>
        <v>1</v>
      </c>
    </row>
    <row r="4844" spans="1:24" s="614" customFormat="1" ht="15.75" x14ac:dyDescent="0.25">
      <c r="A4844" s="276"/>
      <c r="B4844" s="785"/>
      <c r="C4844" s="426" t="s">
        <v>1290</v>
      </c>
      <c r="D4844" s="419">
        <v>45</v>
      </c>
      <c r="E4844" s="316" t="s">
        <v>518</v>
      </c>
      <c r="F4844" s="420">
        <v>6</v>
      </c>
      <c r="G4844" s="419">
        <v>45</v>
      </c>
      <c r="H4844" s="316" t="s">
        <v>518</v>
      </c>
      <c r="I4844" s="420">
        <v>0</v>
      </c>
      <c r="J4844" s="1110"/>
      <c r="K4844" s="1148">
        <f t="shared" si="1383"/>
        <v>6</v>
      </c>
      <c r="L4844" s="774"/>
      <c r="M4844" s="786"/>
      <c r="N4844" s="787">
        <v>4.4128999999999996</v>
      </c>
      <c r="O4844" s="1147"/>
      <c r="P4844" s="789"/>
      <c r="Q4844" s="786"/>
      <c r="R4844" s="1004">
        <f t="shared" si="1390"/>
        <v>26.477399999999996</v>
      </c>
      <c r="S4844" s="791" t="s">
        <v>323</v>
      </c>
      <c r="T4844" s="792">
        <v>43</v>
      </c>
      <c r="U4844" s="793"/>
      <c r="V4844" s="291">
        <f t="shared" ca="1" si="1360"/>
        <v>662.13200000000052</v>
      </c>
      <c r="W4844" s="256">
        <f t="shared" ca="1" si="1391"/>
        <v>2</v>
      </c>
      <c r="X4844" s="256">
        <f t="shared" ca="1" si="1392"/>
        <v>1</v>
      </c>
    </row>
    <row r="4845" spans="1:24" s="614" customFormat="1" ht="15.75" x14ac:dyDescent="0.25">
      <c r="A4845" s="276"/>
      <c r="B4845" s="1205"/>
      <c r="C4845" s="426" t="s">
        <v>1290</v>
      </c>
      <c r="D4845" s="419">
        <v>45</v>
      </c>
      <c r="E4845" s="316" t="s">
        <v>518</v>
      </c>
      <c r="F4845" s="420">
        <v>0</v>
      </c>
      <c r="G4845" s="419">
        <v>44</v>
      </c>
      <c r="H4845" s="316" t="s">
        <v>518</v>
      </c>
      <c r="I4845" s="420">
        <v>10</v>
      </c>
      <c r="J4845" s="1110"/>
      <c r="K4845" s="1148">
        <f t="shared" si="1383"/>
        <v>10</v>
      </c>
      <c r="L4845" s="1206"/>
      <c r="M4845" s="786"/>
      <c r="N4845" s="787">
        <f>(6.1946+6.2493)/2</f>
        <v>6.2219499999999996</v>
      </c>
      <c r="O4845" s="1147"/>
      <c r="P4845" s="1207"/>
      <c r="Q4845" s="786"/>
      <c r="R4845" s="1004">
        <f t="shared" si="1390"/>
        <v>62.219499999999996</v>
      </c>
      <c r="S4845" s="1201" t="s">
        <v>323</v>
      </c>
      <c r="T4845" s="1202">
        <v>44</v>
      </c>
      <c r="U4845" s="1209"/>
      <c r="V4845" s="291">
        <f t="shared" ca="1" si="1360"/>
        <v>662.13200000000052</v>
      </c>
      <c r="W4845" s="256">
        <f t="shared" ca="1" si="1391"/>
        <v>2</v>
      </c>
      <c r="X4845" s="256">
        <f t="shared" ca="1" si="1392"/>
        <v>1</v>
      </c>
    </row>
    <row r="4846" spans="1:24" s="614" customFormat="1" ht="15.75" x14ac:dyDescent="0.25">
      <c r="A4846" s="276"/>
      <c r="B4846" s="1205"/>
      <c r="C4846" s="426" t="s">
        <v>1290</v>
      </c>
      <c r="D4846" s="419">
        <v>44</v>
      </c>
      <c r="E4846" s="316" t="s">
        <v>518</v>
      </c>
      <c r="F4846" s="420">
        <v>10</v>
      </c>
      <c r="G4846" s="419">
        <v>44</v>
      </c>
      <c r="H4846" s="316" t="s">
        <v>518</v>
      </c>
      <c r="I4846" s="420">
        <v>0</v>
      </c>
      <c r="J4846" s="1110"/>
      <c r="K4846" s="1148">
        <f t="shared" si="1383"/>
        <v>10</v>
      </c>
      <c r="L4846" s="1206"/>
      <c r="M4846" s="786"/>
      <c r="N4846" s="787">
        <f>(6.2493+5.4052)/2</f>
        <v>5.8272499999999994</v>
      </c>
      <c r="O4846" s="1147"/>
      <c r="P4846" s="1207"/>
      <c r="Q4846" s="786"/>
      <c r="R4846" s="1004">
        <f t="shared" si="1390"/>
        <v>58.272499999999994</v>
      </c>
      <c r="S4846" s="1201" t="s">
        <v>323</v>
      </c>
      <c r="T4846" s="1202">
        <v>44</v>
      </c>
      <c r="U4846" s="1209"/>
      <c r="V4846" s="291">
        <f t="shared" ca="1" si="1360"/>
        <v>662.13200000000052</v>
      </c>
      <c r="W4846" s="256">
        <f t="shared" ca="1" si="1391"/>
        <v>2</v>
      </c>
      <c r="X4846" s="256">
        <f t="shared" ca="1" si="1392"/>
        <v>1</v>
      </c>
    </row>
    <row r="4847" spans="1:24" s="614" customFormat="1" ht="15.75" x14ac:dyDescent="0.25">
      <c r="A4847" s="276"/>
      <c r="B4847" s="1205"/>
      <c r="C4847" s="426" t="s">
        <v>1290</v>
      </c>
      <c r="D4847" s="419">
        <v>44</v>
      </c>
      <c r="E4847" s="316" t="s">
        <v>518</v>
      </c>
      <c r="F4847" s="420">
        <v>0</v>
      </c>
      <c r="G4847" s="419">
        <v>43</v>
      </c>
      <c r="H4847" s="316" t="s">
        <v>518</v>
      </c>
      <c r="I4847" s="420">
        <v>10</v>
      </c>
      <c r="J4847" s="1110"/>
      <c r="K4847" s="1148">
        <f t="shared" si="1383"/>
        <v>10</v>
      </c>
      <c r="L4847" s="1206"/>
      <c r="M4847" s="786"/>
      <c r="N4847" s="787">
        <f>(5.4052+4.3244)/2</f>
        <v>4.8647999999999998</v>
      </c>
      <c r="O4847" s="1147"/>
      <c r="P4847" s="1207"/>
      <c r="Q4847" s="786"/>
      <c r="R4847" s="1004">
        <f t="shared" si="1390"/>
        <v>48.647999999999996</v>
      </c>
      <c r="S4847" s="1201" t="s">
        <v>323</v>
      </c>
      <c r="T4847" s="1202">
        <v>44</v>
      </c>
      <c r="U4847" s="1209"/>
      <c r="V4847" s="291">
        <f t="shared" ca="1" si="1360"/>
        <v>662.13200000000052</v>
      </c>
      <c r="W4847" s="256">
        <f t="shared" ca="1" si="1391"/>
        <v>2</v>
      </c>
      <c r="X4847" s="256">
        <f t="shared" ca="1" si="1392"/>
        <v>1</v>
      </c>
    </row>
    <row r="4848" spans="1:24" s="614" customFormat="1" ht="15.75" x14ac:dyDescent="0.25">
      <c r="A4848" s="276"/>
      <c r="B4848" s="1205"/>
      <c r="C4848" s="426" t="s">
        <v>1290</v>
      </c>
      <c r="D4848" s="419">
        <v>43</v>
      </c>
      <c r="E4848" s="316" t="s">
        <v>518</v>
      </c>
      <c r="F4848" s="420">
        <v>10</v>
      </c>
      <c r="G4848" s="419">
        <v>43</v>
      </c>
      <c r="H4848" s="316" t="s">
        <v>518</v>
      </c>
      <c r="I4848" s="420">
        <v>0</v>
      </c>
      <c r="J4848" s="1110"/>
      <c r="K4848" s="1148">
        <f t="shared" si="1383"/>
        <v>10</v>
      </c>
      <c r="L4848" s="1206"/>
      <c r="M4848" s="786"/>
      <c r="N4848" s="787">
        <f>(4.3244+7.3222)/2</f>
        <v>5.8232999999999997</v>
      </c>
      <c r="O4848" s="1147"/>
      <c r="P4848" s="1207"/>
      <c r="Q4848" s="786"/>
      <c r="R4848" s="1004">
        <f t="shared" si="1390"/>
        <v>58.232999999999997</v>
      </c>
      <c r="S4848" s="1201" t="s">
        <v>323</v>
      </c>
      <c r="T4848" s="1202">
        <v>44</v>
      </c>
      <c r="U4848" s="1209"/>
      <c r="V4848" s="291">
        <f t="shared" ca="1" si="1360"/>
        <v>662.13200000000052</v>
      </c>
      <c r="W4848" s="256">
        <f t="shared" ca="1" si="1391"/>
        <v>2</v>
      </c>
      <c r="X4848" s="256">
        <f t="shared" ca="1" si="1392"/>
        <v>1</v>
      </c>
    </row>
    <row r="4849" spans="1:24" s="614" customFormat="1" ht="15.75" x14ac:dyDescent="0.25">
      <c r="A4849" s="276"/>
      <c r="B4849" s="1205"/>
      <c r="C4849" s="426" t="s">
        <v>1290</v>
      </c>
      <c r="D4849" s="419">
        <v>43</v>
      </c>
      <c r="E4849" s="316" t="s">
        <v>518</v>
      </c>
      <c r="F4849" s="420">
        <v>0</v>
      </c>
      <c r="G4849" s="419">
        <v>42</v>
      </c>
      <c r="H4849" s="316" t="s">
        <v>518</v>
      </c>
      <c r="I4849" s="420">
        <v>10</v>
      </c>
      <c r="J4849" s="1110"/>
      <c r="K4849" s="1148">
        <f t="shared" si="1383"/>
        <v>10</v>
      </c>
      <c r="L4849" s="1206"/>
      <c r="M4849" s="786"/>
      <c r="N4849" s="787">
        <f>(7.3222+7.4508)/2</f>
        <v>7.3864999999999998</v>
      </c>
      <c r="O4849" s="1147"/>
      <c r="P4849" s="1207"/>
      <c r="Q4849" s="786"/>
      <c r="R4849" s="1004">
        <f t="shared" si="1390"/>
        <v>73.864999999999995</v>
      </c>
      <c r="S4849" s="1201" t="s">
        <v>323</v>
      </c>
      <c r="T4849" s="1202">
        <v>44</v>
      </c>
      <c r="U4849" s="1209"/>
      <c r="V4849" s="291">
        <f t="shared" ca="1" si="1360"/>
        <v>662.13200000000052</v>
      </c>
      <c r="W4849" s="256">
        <f t="shared" ca="1" si="1391"/>
        <v>2</v>
      </c>
      <c r="X4849" s="256">
        <f t="shared" ca="1" si="1392"/>
        <v>1</v>
      </c>
    </row>
    <row r="4850" spans="1:24" s="614" customFormat="1" ht="15.75" x14ac:dyDescent="0.25">
      <c r="A4850" s="276"/>
      <c r="B4850" s="1205"/>
      <c r="C4850" s="426" t="s">
        <v>1290</v>
      </c>
      <c r="D4850" s="419">
        <v>42</v>
      </c>
      <c r="E4850" s="316" t="s">
        <v>518</v>
      </c>
      <c r="F4850" s="420">
        <v>10</v>
      </c>
      <c r="G4850" s="419">
        <v>42</v>
      </c>
      <c r="H4850" s="316" t="s">
        <v>518</v>
      </c>
      <c r="I4850" s="420">
        <v>3</v>
      </c>
      <c r="J4850" s="1110"/>
      <c r="K4850" s="1148">
        <f t="shared" si="1383"/>
        <v>7</v>
      </c>
      <c r="L4850" s="1206"/>
      <c r="M4850" s="786"/>
      <c r="N4850" s="787">
        <f>(7.4508+7.4363)/2</f>
        <v>7.4435500000000001</v>
      </c>
      <c r="O4850" s="1147"/>
      <c r="P4850" s="1207"/>
      <c r="Q4850" s="786"/>
      <c r="R4850" s="1004">
        <f t="shared" si="1390"/>
        <v>52.104849999999999</v>
      </c>
      <c r="S4850" s="1201" t="s">
        <v>323</v>
      </c>
      <c r="T4850" s="1202">
        <v>44</v>
      </c>
      <c r="U4850" s="1209"/>
      <c r="V4850" s="291">
        <f t="shared" ca="1" si="1360"/>
        <v>662.13200000000052</v>
      </c>
      <c r="W4850" s="256">
        <f t="shared" ca="1" si="1391"/>
        <v>2</v>
      </c>
      <c r="X4850" s="256">
        <f t="shared" ca="1" si="1392"/>
        <v>1</v>
      </c>
    </row>
    <row r="4851" spans="1:24" s="614" customFormat="1" ht="15.75" x14ac:dyDescent="0.25">
      <c r="A4851" s="276"/>
      <c r="B4851" s="1205"/>
      <c r="C4851" s="426" t="s">
        <v>1290</v>
      </c>
      <c r="D4851" s="419">
        <v>42</v>
      </c>
      <c r="E4851" s="316" t="s">
        <v>518</v>
      </c>
      <c r="F4851" s="420">
        <v>3</v>
      </c>
      <c r="G4851" s="419">
        <v>42</v>
      </c>
      <c r="H4851" s="316" t="s">
        <v>518</v>
      </c>
      <c r="I4851" s="420">
        <v>0</v>
      </c>
      <c r="J4851" s="1110"/>
      <c r="K4851" s="1148">
        <f t="shared" si="1383"/>
        <v>3</v>
      </c>
      <c r="L4851" s="1206"/>
      <c r="M4851" s="786"/>
      <c r="N4851" s="787">
        <f>(7.4362+6.2911)/2</f>
        <v>6.8636499999999998</v>
      </c>
      <c r="O4851" s="1147"/>
      <c r="P4851" s="1207"/>
      <c r="Q4851" s="786"/>
      <c r="R4851" s="1004">
        <f t="shared" si="1390"/>
        <v>20.590949999999999</v>
      </c>
      <c r="S4851" s="1201" t="s">
        <v>323</v>
      </c>
      <c r="T4851" s="1202">
        <v>44</v>
      </c>
      <c r="U4851" s="1209"/>
      <c r="V4851" s="291">
        <f t="shared" ca="1" si="1360"/>
        <v>662.13200000000052</v>
      </c>
      <c r="W4851" s="256">
        <f t="shared" ca="1" si="1391"/>
        <v>2</v>
      </c>
      <c r="X4851" s="256">
        <f t="shared" ca="1" si="1392"/>
        <v>1</v>
      </c>
    </row>
    <row r="4852" spans="1:24" s="614" customFormat="1" ht="15.75" x14ac:dyDescent="0.25">
      <c r="A4852" s="276"/>
      <c r="B4852" s="1205"/>
      <c r="C4852" s="426" t="s">
        <v>1290</v>
      </c>
      <c r="D4852" s="419">
        <v>42</v>
      </c>
      <c r="E4852" s="316" t="s">
        <v>518</v>
      </c>
      <c r="F4852" s="420">
        <v>0</v>
      </c>
      <c r="G4852" s="419">
        <v>41</v>
      </c>
      <c r="H4852" s="316" t="s">
        <v>518</v>
      </c>
      <c r="I4852" s="420">
        <v>10</v>
      </c>
      <c r="J4852" s="1110"/>
      <c r="K4852" s="1148">
        <f t="shared" si="1383"/>
        <v>10</v>
      </c>
      <c r="L4852" s="1206"/>
      <c r="M4852" s="786"/>
      <c r="N4852" s="787">
        <f>(6.2911+5.0226)/2</f>
        <v>5.6568500000000004</v>
      </c>
      <c r="O4852" s="1147"/>
      <c r="P4852" s="1207"/>
      <c r="Q4852" s="786"/>
      <c r="R4852" s="1004">
        <f t="shared" si="1390"/>
        <v>56.5685</v>
      </c>
      <c r="S4852" s="1201" t="s">
        <v>323</v>
      </c>
      <c r="T4852" s="1202">
        <v>44</v>
      </c>
      <c r="U4852" s="1209"/>
      <c r="V4852" s="291">
        <f t="shared" ca="1" si="1360"/>
        <v>662.13200000000052</v>
      </c>
      <c r="W4852" s="256">
        <f t="shared" ca="1" si="1391"/>
        <v>2</v>
      </c>
      <c r="X4852" s="256">
        <f t="shared" ca="1" si="1392"/>
        <v>1</v>
      </c>
    </row>
    <row r="4853" spans="1:24" s="614" customFormat="1" ht="15.75" x14ac:dyDescent="0.25">
      <c r="A4853" s="276"/>
      <c r="B4853" s="1205"/>
      <c r="C4853" s="426" t="s">
        <v>1290</v>
      </c>
      <c r="D4853" s="419">
        <v>41</v>
      </c>
      <c r="E4853" s="316" t="s">
        <v>518</v>
      </c>
      <c r="F4853" s="420">
        <v>10</v>
      </c>
      <c r="G4853" s="419">
        <v>40</v>
      </c>
      <c r="H4853" s="316" t="s">
        <v>518</v>
      </c>
      <c r="I4853" s="420">
        <v>19.033999999999999</v>
      </c>
      <c r="J4853" s="1110"/>
      <c r="K4853" s="1148">
        <f t="shared" si="1383"/>
        <v>10.966000000000008</v>
      </c>
      <c r="L4853" s="1206"/>
      <c r="M4853" s="786"/>
      <c r="N4853" s="787">
        <f>(5.0226+4.3208)/2</f>
        <v>4.6716999999999995</v>
      </c>
      <c r="O4853" s="1147"/>
      <c r="P4853" s="1207"/>
      <c r="Q4853" s="786"/>
      <c r="R4853" s="1004">
        <f t="shared" si="1390"/>
        <v>51.229862200000035</v>
      </c>
      <c r="S4853" s="1201" t="s">
        <v>323</v>
      </c>
      <c r="T4853" s="1202">
        <v>44</v>
      </c>
      <c r="U4853" s="1209"/>
      <c r="V4853" s="291">
        <f t="shared" ca="1" si="1360"/>
        <v>662.13200000000052</v>
      </c>
      <c r="W4853" s="256">
        <f t="shared" ca="1" si="1391"/>
        <v>2</v>
      </c>
      <c r="X4853" s="256">
        <f t="shared" ca="1" si="1392"/>
        <v>1</v>
      </c>
    </row>
    <row r="4854" spans="1:24" s="614" customFormat="1" ht="15.75" x14ac:dyDescent="0.25">
      <c r="A4854" s="276"/>
      <c r="B4854" s="1205"/>
      <c r="C4854" s="426" t="s">
        <v>1290</v>
      </c>
      <c r="D4854" s="419">
        <v>40</v>
      </c>
      <c r="E4854" s="316" t="s">
        <v>518</v>
      </c>
      <c r="F4854" s="420">
        <v>19.033999999999999</v>
      </c>
      <c r="G4854" s="419">
        <v>40</v>
      </c>
      <c r="H4854" s="316" t="s">
        <v>518</v>
      </c>
      <c r="I4854" s="420">
        <v>10</v>
      </c>
      <c r="J4854" s="1110"/>
      <c r="K4854" s="1148">
        <f t="shared" si="1383"/>
        <v>9.0339999999999918</v>
      </c>
      <c r="L4854" s="1206"/>
      <c r="M4854" s="786"/>
      <c r="N4854" s="787">
        <f>(4.3208+5.1865)/2</f>
        <v>4.7536500000000004</v>
      </c>
      <c r="O4854" s="1147"/>
      <c r="P4854" s="1207"/>
      <c r="Q4854" s="786"/>
      <c r="R4854" s="1004">
        <f t="shared" si="1390"/>
        <v>42.944474099999965</v>
      </c>
      <c r="S4854" s="1201" t="s">
        <v>323</v>
      </c>
      <c r="T4854" s="1202">
        <v>44</v>
      </c>
      <c r="U4854" s="1209"/>
      <c r="V4854" s="291">
        <f t="shared" ca="1" si="1360"/>
        <v>662.13200000000052</v>
      </c>
      <c r="W4854" s="256">
        <f t="shared" ca="1" si="1391"/>
        <v>2</v>
      </c>
      <c r="X4854" s="256">
        <f t="shared" ca="1" si="1392"/>
        <v>1</v>
      </c>
    </row>
    <row r="4855" spans="1:24" s="614" customFormat="1" ht="15.75" x14ac:dyDescent="0.25">
      <c r="A4855" s="276"/>
      <c r="B4855" s="1205"/>
      <c r="C4855" s="426" t="s">
        <v>1290</v>
      </c>
      <c r="D4855" s="419">
        <v>40</v>
      </c>
      <c r="E4855" s="316" t="s">
        <v>518</v>
      </c>
      <c r="F4855" s="420">
        <v>10</v>
      </c>
      <c r="G4855" s="419">
        <v>40</v>
      </c>
      <c r="H4855" s="316" t="s">
        <v>518</v>
      </c>
      <c r="I4855" s="420">
        <v>0</v>
      </c>
      <c r="J4855" s="1110"/>
      <c r="K4855" s="1148">
        <f t="shared" si="1383"/>
        <v>10</v>
      </c>
      <c r="L4855" s="1206"/>
      <c r="M4855" s="786"/>
      <c r="N4855" s="787">
        <f>(5.1862+6.529)/2</f>
        <v>5.8575999999999997</v>
      </c>
      <c r="O4855" s="1147"/>
      <c r="P4855" s="1207"/>
      <c r="Q4855" s="786"/>
      <c r="R4855" s="1004">
        <f t="shared" si="1390"/>
        <v>58.575999999999993</v>
      </c>
      <c r="S4855" s="1201" t="s">
        <v>323</v>
      </c>
      <c r="T4855" s="1202">
        <v>44</v>
      </c>
      <c r="U4855" s="1209"/>
      <c r="V4855" s="291">
        <f t="shared" ca="1" si="1360"/>
        <v>662.13200000000052</v>
      </c>
      <c r="W4855" s="256">
        <f t="shared" ca="1" si="1391"/>
        <v>2</v>
      </c>
      <c r="X4855" s="256">
        <f t="shared" ca="1" si="1392"/>
        <v>1</v>
      </c>
    </row>
    <row r="4856" spans="1:24" s="614" customFormat="1" ht="15.75" x14ac:dyDescent="0.25">
      <c r="A4856" s="276"/>
      <c r="B4856" s="1205"/>
      <c r="C4856" s="426" t="s">
        <v>1290</v>
      </c>
      <c r="D4856" s="419">
        <v>40</v>
      </c>
      <c r="E4856" s="316" t="s">
        <v>518</v>
      </c>
      <c r="F4856" s="420">
        <v>0</v>
      </c>
      <c r="G4856" s="419">
        <v>39</v>
      </c>
      <c r="H4856" s="316" t="s">
        <v>518</v>
      </c>
      <c r="I4856" s="420">
        <v>15.401999999999999</v>
      </c>
      <c r="J4856" s="1110"/>
      <c r="K4856" s="1148">
        <f t="shared" si="1383"/>
        <v>4.5979999999999563</v>
      </c>
      <c r="L4856" s="1206"/>
      <c r="M4856" s="786"/>
      <c r="N4856" s="787">
        <f>(6.529+4.9499)/2</f>
        <v>5.7394499999999997</v>
      </c>
      <c r="O4856" s="1147"/>
      <c r="P4856" s="1207"/>
      <c r="Q4856" s="786"/>
      <c r="R4856" s="1004">
        <f t="shared" si="1390"/>
        <v>26.389991099999747</v>
      </c>
      <c r="S4856" s="1201" t="s">
        <v>323</v>
      </c>
      <c r="T4856" s="1202">
        <v>44</v>
      </c>
      <c r="U4856" s="1209"/>
      <c r="V4856" s="291">
        <f t="shared" ca="1" si="1360"/>
        <v>662.13200000000052</v>
      </c>
      <c r="W4856" s="256">
        <f t="shared" ca="1" si="1391"/>
        <v>2</v>
      </c>
      <c r="X4856" s="256">
        <f t="shared" ca="1" si="1392"/>
        <v>1</v>
      </c>
    </row>
    <row r="4857" spans="1:24" s="614" customFormat="1" ht="15.75" x14ac:dyDescent="0.25">
      <c r="A4857" s="276"/>
      <c r="B4857" s="1205"/>
      <c r="C4857" s="426" t="s">
        <v>1290</v>
      </c>
      <c r="D4857" s="419">
        <v>39</v>
      </c>
      <c r="E4857" s="316" t="s">
        <v>518</v>
      </c>
      <c r="F4857" s="420">
        <v>15.401999999999999</v>
      </c>
      <c r="G4857" s="419">
        <v>39</v>
      </c>
      <c r="H4857" s="316" t="s">
        <v>518</v>
      </c>
      <c r="I4857" s="420">
        <v>10</v>
      </c>
      <c r="J4857" s="1110"/>
      <c r="K4857" s="1148">
        <f t="shared" si="1383"/>
        <v>5.4020000000000437</v>
      </c>
      <c r="L4857" s="1206"/>
      <c r="M4857" s="786"/>
      <c r="N4857" s="787">
        <f>(4.9499+3.6291)/2</f>
        <v>4.2895000000000003</v>
      </c>
      <c r="O4857" s="1147"/>
      <c r="P4857" s="1207"/>
      <c r="Q4857" s="786"/>
      <c r="R4857" s="1004">
        <f t="shared" si="1390"/>
        <v>23.171879000000189</v>
      </c>
      <c r="S4857" s="1201" t="s">
        <v>323</v>
      </c>
      <c r="T4857" s="1202">
        <v>44</v>
      </c>
      <c r="U4857" s="1209"/>
      <c r="V4857" s="291">
        <f t="shared" ca="1" si="1360"/>
        <v>662.13200000000052</v>
      </c>
      <c r="W4857" s="256">
        <f t="shared" ca="1" si="1391"/>
        <v>2</v>
      </c>
      <c r="X4857" s="256">
        <f t="shared" ca="1" si="1392"/>
        <v>1</v>
      </c>
    </row>
    <row r="4858" spans="1:24" s="614" customFormat="1" ht="15.75" x14ac:dyDescent="0.25">
      <c r="A4858" s="276"/>
      <c r="B4858" s="1205"/>
      <c r="C4858" s="426" t="s">
        <v>1290</v>
      </c>
      <c r="D4858" s="419">
        <v>39</v>
      </c>
      <c r="E4858" s="316" t="s">
        <v>518</v>
      </c>
      <c r="F4858" s="420">
        <v>10</v>
      </c>
      <c r="G4858" s="419">
        <v>39</v>
      </c>
      <c r="H4858" s="316" t="s">
        <v>518</v>
      </c>
      <c r="I4858" s="420">
        <v>2</v>
      </c>
      <c r="J4858" s="1110"/>
      <c r="K4858" s="1148">
        <f t="shared" si="1383"/>
        <v>8</v>
      </c>
      <c r="L4858" s="1206"/>
      <c r="M4858" s="786"/>
      <c r="N4858" s="787">
        <f>(3.6291+3.7002)/2</f>
        <v>3.66465</v>
      </c>
      <c r="O4858" s="1147"/>
      <c r="P4858" s="1207"/>
      <c r="Q4858" s="786"/>
      <c r="R4858" s="1004">
        <f t="shared" si="1390"/>
        <v>29.3172</v>
      </c>
      <c r="S4858" s="1201" t="s">
        <v>323</v>
      </c>
      <c r="T4858" s="1202">
        <v>44</v>
      </c>
      <c r="U4858" s="1209"/>
      <c r="V4858" s="291">
        <f t="shared" ca="1" si="1360"/>
        <v>662.13200000000052</v>
      </c>
      <c r="W4858" s="256">
        <f t="shared" ca="1" si="1391"/>
        <v>2</v>
      </c>
      <c r="X4858" s="256">
        <f t="shared" ca="1" si="1392"/>
        <v>1</v>
      </c>
    </row>
    <row r="4859" spans="1:24" s="614" customFormat="1" ht="15.75" x14ac:dyDescent="0.25">
      <c r="A4859" s="276"/>
      <c r="B4859" s="785"/>
      <c r="C4859" s="426"/>
      <c r="D4859" s="419"/>
      <c r="E4859" s="316"/>
      <c r="F4859" s="420"/>
      <c r="G4859" s="419"/>
      <c r="H4859" s="316"/>
      <c r="I4859" s="420"/>
      <c r="J4859" s="1110"/>
      <c r="K4859" s="1148"/>
      <c r="L4859" s="774"/>
      <c r="M4859" s="786"/>
      <c r="N4859" s="787"/>
      <c r="O4859" s="1147"/>
      <c r="P4859" s="789"/>
      <c r="Q4859" s="786"/>
      <c r="R4859" s="1004"/>
      <c r="S4859" s="791"/>
      <c r="T4859" s="792"/>
      <c r="U4859" s="793"/>
      <c r="V4859" s="291">
        <f t="shared" ca="1" si="1360"/>
        <v>662.13200000000052</v>
      </c>
      <c r="W4859" s="256">
        <f t="shared" ca="1" si="1391"/>
        <v>0</v>
      </c>
      <c r="X4859" s="256">
        <f ca="1">IF(COUNTA(OFFSET(#REF!,1,0))-COUNTA(#REF!)=-1,0,1)</f>
        <v>1</v>
      </c>
    </row>
    <row r="4860" spans="1:24" s="614" customFormat="1" ht="15.75" x14ac:dyDescent="0.25">
      <c r="A4860" s="276"/>
      <c r="B4860" s="1205"/>
      <c r="C4860" s="1196"/>
      <c r="D4860" s="496"/>
      <c r="E4860" s="497"/>
      <c r="F4860" s="498"/>
      <c r="G4860" s="496"/>
      <c r="H4860" s="497"/>
      <c r="I4860" s="498"/>
      <c r="J4860" s="1206"/>
      <c r="K4860" s="1148"/>
      <c r="L4860" s="1206"/>
      <c r="M4860" s="786"/>
      <c r="N4860" s="972"/>
      <c r="O4860" s="1147"/>
      <c r="P4860" s="1207"/>
      <c r="Q4860" s="786"/>
      <c r="R4860" s="1004"/>
      <c r="S4860" s="1201"/>
      <c r="T4860" s="1202"/>
      <c r="U4860" s="1209"/>
      <c r="V4860" s="291">
        <f t="shared" ca="1" si="1360"/>
        <v>662.13200000000052</v>
      </c>
      <c r="W4860" s="256">
        <f t="shared" ca="1" si="1391"/>
        <v>0</v>
      </c>
      <c r="X4860" s="256">
        <f t="shared" ca="1" si="1392"/>
        <v>1</v>
      </c>
    </row>
    <row r="4861" spans="1:24" s="614" customFormat="1" ht="15.75" x14ac:dyDescent="0.2">
      <c r="A4861" s="276"/>
      <c r="B4861" s="485"/>
      <c r="C4861" s="486"/>
      <c r="D4861" s="1397" t="s">
        <v>492</v>
      </c>
      <c r="E4861" s="1398"/>
      <c r="F4861" s="1398"/>
      <c r="G4861" s="1398"/>
      <c r="H4861" s="1398"/>
      <c r="I4861" s="1399"/>
      <c r="J4861" s="1400">
        <f>VLOOKUP(A4863,'11 - FINANCEIRO'!_xlnm.Print_Area,6,FALSE)</f>
        <v>9235.2000000000007</v>
      </c>
      <c r="K4861" s="1401"/>
      <c r="L4861" s="487" t="str">
        <f>VLOOKUP(A4863,'11 - FINANCEIRO'!_xlnm.Print_Area,4,FALSE)</f>
        <v>m³</v>
      </c>
      <c r="M4861" s="1371" t="s">
        <v>493</v>
      </c>
      <c r="N4861" s="1372"/>
      <c r="O4861" s="1372"/>
      <c r="P4861" s="1372"/>
      <c r="Q4861" s="1373"/>
      <c r="R4861" s="362">
        <f>TRUNC(SUM(R4827:R4860),3)</f>
        <v>5923.3770000000004</v>
      </c>
      <c r="S4861" s="488" t="str">
        <f>L4861</f>
        <v>m³</v>
      </c>
      <c r="T4861" s="489"/>
      <c r="U4861" s="490"/>
      <c r="V4861" s="291">
        <f t="shared" ca="1" si="1360"/>
        <v>662.13200000000052</v>
      </c>
      <c r="W4861" s="256">
        <f t="shared" ca="1" si="1391"/>
        <v>2</v>
      </c>
      <c r="X4861" s="256">
        <f t="shared" ca="1" si="1392"/>
        <v>1</v>
      </c>
    </row>
    <row r="4862" spans="1:24" s="614" customFormat="1" ht="15.75" x14ac:dyDescent="0.2">
      <c r="A4862" s="276"/>
      <c r="B4862" s="1214"/>
      <c r="C4862" s="361"/>
      <c r="D4862" s="1362" t="s">
        <v>494</v>
      </c>
      <c r="E4862" s="1363"/>
      <c r="F4862" s="1363"/>
      <c r="G4862" s="1363"/>
      <c r="H4862" s="1363"/>
      <c r="I4862" s="1364"/>
      <c r="J4862" s="1365">
        <f>R4861/J4861</f>
        <v>0.64139130717255721</v>
      </c>
      <c r="K4862" s="1366"/>
      <c r="L4862" s="1369"/>
      <c r="M4862" s="1371" t="s">
        <v>495</v>
      </c>
      <c r="N4862" s="1372"/>
      <c r="O4862" s="1372"/>
      <c r="P4862" s="1372"/>
      <c r="Q4862" s="1373"/>
      <c r="R4862" s="362">
        <f>VLOOKUP(A4863,'11 - FINANCEIRO'!_xlnm.Print_Area,8,FALSE)</f>
        <v>5261.2449999999999</v>
      </c>
      <c r="S4862" s="363" t="str">
        <f>L4861</f>
        <v>m³</v>
      </c>
      <c r="T4862" s="993"/>
      <c r="U4862" s="360"/>
      <c r="V4862" s="291">
        <f t="shared" ca="1" si="1360"/>
        <v>662.13200000000052</v>
      </c>
      <c r="W4862" s="256">
        <f t="shared" ca="1" si="1388"/>
        <v>2</v>
      </c>
      <c r="X4862" s="256">
        <f t="shared" ca="1" si="1389"/>
        <v>1</v>
      </c>
    </row>
    <row r="4863" spans="1:24" s="614" customFormat="1" ht="15.75" x14ac:dyDescent="0.2">
      <c r="A4863" s="276" t="s">
        <v>1143</v>
      </c>
      <c r="B4863" s="364"/>
      <c r="C4863" s="365"/>
      <c r="D4863" s="1354"/>
      <c r="E4863" s="1355"/>
      <c r="F4863" s="1355"/>
      <c r="G4863" s="1355"/>
      <c r="H4863" s="1355"/>
      <c r="I4863" s="1356"/>
      <c r="J4863" s="1367"/>
      <c r="K4863" s="1368"/>
      <c r="L4863" s="1370"/>
      <c r="M4863" s="1371" t="s">
        <v>496</v>
      </c>
      <c r="N4863" s="1372"/>
      <c r="O4863" s="1372"/>
      <c r="P4863" s="1372"/>
      <c r="Q4863" s="1373"/>
      <c r="R4863" s="362">
        <f>R4861-R4862</f>
        <v>662.13200000000052</v>
      </c>
      <c r="S4863" s="363" t="str">
        <f>L4861</f>
        <v>m³</v>
      </c>
      <c r="T4863" s="366"/>
      <c r="U4863" s="367"/>
      <c r="V4863" s="291">
        <f t="shared" ca="1" si="1360"/>
        <v>662.13200000000052</v>
      </c>
      <c r="W4863" s="256">
        <f t="shared" ca="1" si="1378"/>
        <v>2</v>
      </c>
      <c r="X4863" s="256">
        <f t="shared" ca="1" si="1379"/>
        <v>1</v>
      </c>
    </row>
    <row r="4864" spans="1:24" s="614" customFormat="1" ht="15.75" x14ac:dyDescent="0.2">
      <c r="A4864" s="276"/>
      <c r="B4864" s="368"/>
      <c r="C4864" s="365"/>
      <c r="D4864" s="369"/>
      <c r="E4864" s="370"/>
      <c r="F4864" s="369"/>
      <c r="G4864" s="369"/>
      <c r="H4864" s="369"/>
      <c r="I4864" s="369"/>
      <c r="J4864" s="371"/>
      <c r="K4864" s="372"/>
      <c r="L4864" s="373"/>
      <c r="M4864" s="374"/>
      <c r="N4864" s="374"/>
      <c r="O4864" s="374"/>
      <c r="P4864" s="374"/>
      <c r="Q4864" s="374"/>
      <c r="R4864" s="375"/>
      <c r="S4864" s="376"/>
      <c r="T4864" s="377"/>
      <c r="U4864" s="378"/>
      <c r="V4864" s="379">
        <f ca="1">SUM(V4825:V4863)</f>
        <v>25823.148000000045</v>
      </c>
      <c r="W4864" s="256">
        <f ca="1">IF(LEFT(_xlfn.FORMULATEXT(V4864),3)="=SO",1,IF(COUNTA(A4864:U4864)=0,0,2))</f>
        <v>1</v>
      </c>
      <c r="X4864" s="256">
        <f ca="1">IF(COUNTA(OFFSET(A4863,1,0))-COUNTA(A4863)=-1,0,1)</f>
        <v>0</v>
      </c>
    </row>
    <row r="4865" spans="1:24" s="614" customFormat="1" ht="15.75" x14ac:dyDescent="0.25">
      <c r="A4865" s="276"/>
      <c r="B4865" s="1374" t="s">
        <v>1144</v>
      </c>
      <c r="C4865" s="1376" t="str">
        <f>VLOOKUP(A4888,'11 - FINANCEIRO'!_xlnm.Print_Area,3,FALSE)</f>
        <v>Conjunto motobomba centrífuga 6", a diesel/gasolina, 24 CV, com acessórios.</v>
      </c>
      <c r="D4865" s="1378" t="s">
        <v>500</v>
      </c>
      <c r="E4865" s="1379"/>
      <c r="F4865" s="1379"/>
      <c r="G4865" s="1379"/>
      <c r="H4865" s="1379"/>
      <c r="I4865" s="1380"/>
      <c r="J4865" s="1338" t="s">
        <v>478</v>
      </c>
      <c r="K4865" s="1338" t="s">
        <v>479</v>
      </c>
      <c r="L4865" s="1338" t="s">
        <v>480</v>
      </c>
      <c r="M4865" s="1338" t="s">
        <v>481</v>
      </c>
      <c r="N4865" s="1338" t="s">
        <v>482</v>
      </c>
      <c r="O4865" s="1338" t="s">
        <v>483</v>
      </c>
      <c r="P4865" s="1338" t="s">
        <v>484</v>
      </c>
      <c r="Q4865" s="1338" t="s">
        <v>296</v>
      </c>
      <c r="R4865" s="1336" t="s">
        <v>296</v>
      </c>
      <c r="S4865" s="1338" t="s">
        <v>486</v>
      </c>
      <c r="T4865" s="1338" t="s">
        <v>487</v>
      </c>
      <c r="U4865" s="1340" t="s">
        <v>488</v>
      </c>
      <c r="V4865" s="291">
        <f t="shared" ca="1" si="1360"/>
        <v>2</v>
      </c>
      <c r="W4865" s="256">
        <f t="shared" ref="W4865" ca="1" si="1393">IF(LEFT(_xlfn.FORMULATEXT(V4865),3)="=SO",1,IF(COUNTA(A4865:U4865)=0,0,2))</f>
        <v>2</v>
      </c>
      <c r="X4865" s="256">
        <f t="shared" ref="X4865" ca="1" si="1394">IF(COUNTA(OFFSET(A4864,1,0))-COUNTA(A4864)=-1,0,1)</f>
        <v>1</v>
      </c>
    </row>
    <row r="4866" spans="1:24" s="614" customFormat="1" ht="15.75" x14ac:dyDescent="0.25">
      <c r="A4866" s="276"/>
      <c r="B4866" s="1375"/>
      <c r="C4866" s="1377"/>
      <c r="D4866" s="1342" t="s">
        <v>489</v>
      </c>
      <c r="E4866" s="1343"/>
      <c r="F4866" s="1344"/>
      <c r="G4866" s="1345" t="s">
        <v>490</v>
      </c>
      <c r="H4866" s="1346"/>
      <c r="I4866" s="1347"/>
      <c r="J4866" s="1339"/>
      <c r="K4866" s="1339"/>
      <c r="L4866" s="1339"/>
      <c r="M4866" s="1339"/>
      <c r="N4866" s="1339"/>
      <c r="O4866" s="1339"/>
      <c r="P4866" s="1339" t="s">
        <v>491</v>
      </c>
      <c r="Q4866" s="1339"/>
      <c r="R4866" s="1337"/>
      <c r="S4866" s="1339"/>
      <c r="T4866" s="1339"/>
      <c r="U4866" s="1341"/>
      <c r="V4866" s="291">
        <f t="shared" ca="1" si="1360"/>
        <v>2</v>
      </c>
      <c r="W4866" s="256">
        <f t="shared" ref="W4866:W4888" ca="1" si="1395">IF(LEFT(_xlfn.FORMULATEXT(V4866),3)="=SO",1,IF(COUNTA(A4866:U4866)=0,0,2))</f>
        <v>2</v>
      </c>
      <c r="X4866" s="256">
        <f t="shared" ref="X4866:X4888" ca="1" si="1396">IF(COUNTA(OFFSET(A4865,1,0))-COUNTA(A4865)=-1,0,1)</f>
        <v>1</v>
      </c>
    </row>
    <row r="4867" spans="1:24" s="614" customFormat="1" ht="15.75" x14ac:dyDescent="0.25">
      <c r="A4867" s="276"/>
      <c r="B4867" s="296"/>
      <c r="C4867" s="1005" t="s">
        <v>1169</v>
      </c>
      <c r="D4867" s="417">
        <v>70</v>
      </c>
      <c r="E4867" s="314" t="s">
        <v>518</v>
      </c>
      <c r="F4867" s="418">
        <v>0</v>
      </c>
      <c r="G4867" s="419">
        <v>83</v>
      </c>
      <c r="H4867" s="316" t="s">
        <v>518</v>
      </c>
      <c r="I4867" s="420">
        <v>10</v>
      </c>
      <c r="J4867" s="304"/>
      <c r="K4867" s="747">
        <f t="shared" ref="K4867" si="1397">ABS((G4867*20+I4867)-(D4867*20+F4867))</f>
        <v>270</v>
      </c>
      <c r="L4867" s="328"/>
      <c r="M4867" s="329"/>
      <c r="N4867" s="330"/>
      <c r="O4867" s="331"/>
      <c r="P4867" s="328"/>
      <c r="Q4867" s="332"/>
      <c r="R4867" s="333"/>
      <c r="S4867" s="331"/>
      <c r="T4867" s="320">
        <v>35</v>
      </c>
      <c r="U4867" s="310"/>
      <c r="V4867" s="291">
        <f t="shared" ca="1" si="1360"/>
        <v>2</v>
      </c>
      <c r="W4867" s="256">
        <f t="shared" ca="1" si="1395"/>
        <v>2</v>
      </c>
      <c r="X4867" s="256">
        <f t="shared" ca="1" si="1396"/>
        <v>1</v>
      </c>
    </row>
    <row r="4868" spans="1:24" s="614" customFormat="1" ht="15.75" x14ac:dyDescent="0.25">
      <c r="A4868" s="276"/>
      <c r="B4868" s="785"/>
      <c r="C4868" s="397" t="s">
        <v>1076</v>
      </c>
      <c r="D4868" s="1333">
        <v>45689</v>
      </c>
      <c r="E4868" s="1334"/>
      <c r="F4868" s="1335"/>
      <c r="G4868" s="1333">
        <v>45716</v>
      </c>
      <c r="H4868" s="1334"/>
      <c r="I4868" s="1335"/>
      <c r="J4868" s="317">
        <f t="shared" ref="J4868:J4882" si="1398">G4868-D4868+1</f>
        <v>28</v>
      </c>
      <c r="K4868" s="759"/>
      <c r="L4868" s="501"/>
      <c r="M4868" s="760"/>
      <c r="N4868" s="761"/>
      <c r="O4868" s="505"/>
      <c r="P4868" s="501"/>
      <c r="Q4868" s="739"/>
      <c r="R4868" s="504">
        <v>1</v>
      </c>
      <c r="S4868" s="331" t="str">
        <f t="shared" ref="S4868" si="1399">$S$151</f>
        <v>mês</v>
      </c>
      <c r="T4868" s="320">
        <v>31</v>
      </c>
      <c r="U4868" s="793"/>
      <c r="V4868" s="291">
        <f t="shared" ca="1" si="1360"/>
        <v>2</v>
      </c>
      <c r="W4868" s="256">
        <f t="shared" ca="1" si="1395"/>
        <v>2</v>
      </c>
      <c r="X4868" s="256">
        <f t="shared" ca="1" si="1396"/>
        <v>1</v>
      </c>
    </row>
    <row r="4869" spans="1:24" s="614" customFormat="1" ht="15.75" x14ac:dyDescent="0.25">
      <c r="A4869" s="276"/>
      <c r="B4869" s="785"/>
      <c r="C4869" s="397" t="s">
        <v>1080</v>
      </c>
      <c r="D4869" s="1333">
        <v>45717</v>
      </c>
      <c r="E4869" s="1334"/>
      <c r="F4869" s="1335"/>
      <c r="G4869" s="1333">
        <v>45747</v>
      </c>
      <c r="H4869" s="1334"/>
      <c r="I4869" s="1335"/>
      <c r="J4869" s="317">
        <f t="shared" si="1398"/>
        <v>31</v>
      </c>
      <c r="K4869" s="327"/>
      <c r="L4869" s="328"/>
      <c r="M4869" s="329"/>
      <c r="N4869" s="330"/>
      <c r="O4869" s="331"/>
      <c r="P4869" s="328"/>
      <c r="Q4869" s="332"/>
      <c r="R4869" s="333">
        <v>1</v>
      </c>
      <c r="S4869" s="331" t="s">
        <v>313</v>
      </c>
      <c r="T4869" s="320">
        <v>32</v>
      </c>
      <c r="U4869" s="793"/>
      <c r="V4869" s="291">
        <f t="shared" ca="1" si="1360"/>
        <v>2</v>
      </c>
      <c r="W4869" s="256">
        <f t="shared" ca="1" si="1395"/>
        <v>2</v>
      </c>
      <c r="X4869" s="256">
        <f t="shared" ca="1" si="1396"/>
        <v>1</v>
      </c>
    </row>
    <row r="4870" spans="1:24" s="614" customFormat="1" ht="15.75" x14ac:dyDescent="0.25">
      <c r="A4870" s="276"/>
      <c r="B4870" s="785"/>
      <c r="C4870" s="397" t="s">
        <v>1090</v>
      </c>
      <c r="D4870" s="1333">
        <v>45748</v>
      </c>
      <c r="E4870" s="1334"/>
      <c r="F4870" s="1335"/>
      <c r="G4870" s="1333">
        <v>45777</v>
      </c>
      <c r="H4870" s="1334"/>
      <c r="I4870" s="1335"/>
      <c r="J4870" s="317">
        <f t="shared" si="1398"/>
        <v>30</v>
      </c>
      <c r="K4870" s="327"/>
      <c r="L4870" s="328"/>
      <c r="M4870" s="329"/>
      <c r="N4870" s="330"/>
      <c r="O4870" s="331"/>
      <c r="P4870" s="328"/>
      <c r="Q4870" s="332"/>
      <c r="R4870" s="333">
        <v>1</v>
      </c>
      <c r="S4870" s="331" t="s">
        <v>313</v>
      </c>
      <c r="T4870" s="320">
        <v>33</v>
      </c>
      <c r="U4870" s="793"/>
      <c r="V4870" s="291">
        <f t="shared" ca="1" si="1360"/>
        <v>2</v>
      </c>
      <c r="W4870" s="256">
        <f t="shared" ca="1" si="1395"/>
        <v>2</v>
      </c>
      <c r="X4870" s="256">
        <f t="shared" ca="1" si="1396"/>
        <v>1</v>
      </c>
    </row>
    <row r="4871" spans="1:24" s="614" customFormat="1" ht="15.75" x14ac:dyDescent="0.25">
      <c r="A4871" s="276"/>
      <c r="B4871" s="785"/>
      <c r="C4871" s="397" t="s">
        <v>1165</v>
      </c>
      <c r="D4871" s="1333">
        <v>45778</v>
      </c>
      <c r="E4871" s="1334"/>
      <c r="F4871" s="1335"/>
      <c r="G4871" s="1333">
        <v>45808</v>
      </c>
      <c r="H4871" s="1334"/>
      <c r="I4871" s="1335"/>
      <c r="J4871" s="317">
        <f t="shared" si="1398"/>
        <v>31</v>
      </c>
      <c r="K4871" s="327"/>
      <c r="L4871" s="328"/>
      <c r="M4871" s="329"/>
      <c r="N4871" s="330"/>
      <c r="O4871" s="331"/>
      <c r="P4871" s="328"/>
      <c r="Q4871" s="332"/>
      <c r="R4871" s="333">
        <v>1</v>
      </c>
      <c r="S4871" s="331" t="s">
        <v>313</v>
      </c>
      <c r="T4871" s="320">
        <v>33</v>
      </c>
      <c r="U4871" s="793"/>
      <c r="V4871" s="291">
        <f t="shared" ca="1" si="1360"/>
        <v>2</v>
      </c>
      <c r="W4871" s="256">
        <f t="shared" ca="1" si="1395"/>
        <v>2</v>
      </c>
      <c r="X4871" s="256">
        <f t="shared" ca="1" si="1396"/>
        <v>1</v>
      </c>
    </row>
    <row r="4872" spans="1:24" s="614" customFormat="1" ht="15.75" x14ac:dyDescent="0.25">
      <c r="A4872" s="276"/>
      <c r="B4872" s="785"/>
      <c r="C4872" s="397" t="s">
        <v>1166</v>
      </c>
      <c r="D4872" s="1333">
        <v>45809</v>
      </c>
      <c r="E4872" s="1334"/>
      <c r="F4872" s="1335"/>
      <c r="G4872" s="1333">
        <v>45838</v>
      </c>
      <c r="H4872" s="1334"/>
      <c r="I4872" s="1335"/>
      <c r="J4872" s="317">
        <f t="shared" si="1398"/>
        <v>30</v>
      </c>
      <c r="K4872" s="327"/>
      <c r="L4872" s="328"/>
      <c r="M4872" s="329"/>
      <c r="N4872" s="330"/>
      <c r="O4872" s="331"/>
      <c r="P4872" s="328"/>
      <c r="Q4872" s="332"/>
      <c r="R4872" s="333">
        <v>1</v>
      </c>
      <c r="S4872" s="331" t="s">
        <v>313</v>
      </c>
      <c r="T4872" s="320">
        <v>34</v>
      </c>
      <c r="U4872" s="793"/>
      <c r="V4872" s="291">
        <f t="shared" ca="1" si="1360"/>
        <v>2</v>
      </c>
      <c r="W4872" s="256">
        <f t="shared" ca="1" si="1395"/>
        <v>2</v>
      </c>
      <c r="X4872" s="256">
        <f t="shared" ca="1" si="1396"/>
        <v>1</v>
      </c>
    </row>
    <row r="4873" spans="1:24" s="614" customFormat="1" ht="15.75" x14ac:dyDescent="0.25">
      <c r="A4873" s="276"/>
      <c r="B4873" s="785"/>
      <c r="C4873" s="397" t="s">
        <v>1167</v>
      </c>
      <c r="D4873" s="1333">
        <v>45839</v>
      </c>
      <c r="E4873" s="1334"/>
      <c r="F4873" s="1335"/>
      <c r="G4873" s="1333">
        <v>45869</v>
      </c>
      <c r="H4873" s="1334"/>
      <c r="I4873" s="1335"/>
      <c r="J4873" s="317">
        <f t="shared" si="1398"/>
        <v>31</v>
      </c>
      <c r="K4873" s="327"/>
      <c r="L4873" s="328"/>
      <c r="M4873" s="329"/>
      <c r="N4873" s="330"/>
      <c r="O4873" s="331"/>
      <c r="P4873" s="328"/>
      <c r="Q4873" s="332"/>
      <c r="R4873" s="333">
        <v>1</v>
      </c>
      <c r="S4873" s="331" t="s">
        <v>313</v>
      </c>
      <c r="T4873" s="320">
        <v>35</v>
      </c>
      <c r="U4873" s="793"/>
      <c r="V4873" s="291">
        <f t="shared" ca="1" si="1360"/>
        <v>2</v>
      </c>
      <c r="W4873" s="256">
        <f t="shared" ca="1" si="1395"/>
        <v>2</v>
      </c>
      <c r="X4873" s="256">
        <f t="shared" ca="1" si="1396"/>
        <v>1</v>
      </c>
    </row>
    <row r="4874" spans="1:24" s="614" customFormat="1" ht="15.75" x14ac:dyDescent="0.25">
      <c r="A4874" s="276"/>
      <c r="B4874" s="785"/>
      <c r="C4874" s="397" t="s">
        <v>1186</v>
      </c>
      <c r="D4874" s="1333">
        <v>45870</v>
      </c>
      <c r="E4874" s="1334"/>
      <c r="F4874" s="1335"/>
      <c r="G4874" s="1333">
        <v>45900</v>
      </c>
      <c r="H4874" s="1334"/>
      <c r="I4874" s="1335"/>
      <c r="J4874" s="317">
        <f t="shared" si="1398"/>
        <v>31</v>
      </c>
      <c r="K4874" s="327"/>
      <c r="L4874" s="328"/>
      <c r="M4874" s="329"/>
      <c r="N4874" s="330"/>
      <c r="O4874" s="331"/>
      <c r="P4874" s="328"/>
      <c r="Q4874" s="332"/>
      <c r="R4874" s="333">
        <v>1</v>
      </c>
      <c r="S4874" s="331" t="s">
        <v>313</v>
      </c>
      <c r="T4874" s="320">
        <v>36</v>
      </c>
      <c r="U4874" s="793"/>
      <c r="V4874" s="291">
        <f t="shared" ca="1" si="1360"/>
        <v>2</v>
      </c>
      <c r="W4874" s="256">
        <f t="shared" ca="1" si="1395"/>
        <v>2</v>
      </c>
      <c r="X4874" s="256">
        <f t="shared" ca="1" si="1396"/>
        <v>1</v>
      </c>
    </row>
    <row r="4875" spans="1:24" s="614" customFormat="1" ht="15.75" x14ac:dyDescent="0.25">
      <c r="A4875" s="276"/>
      <c r="B4875" s="785"/>
      <c r="C4875" s="397" t="s">
        <v>1217</v>
      </c>
      <c r="D4875" s="1333">
        <v>45901</v>
      </c>
      <c r="E4875" s="1334"/>
      <c r="F4875" s="1335"/>
      <c r="G4875" s="1333">
        <v>45930</v>
      </c>
      <c r="H4875" s="1334"/>
      <c r="I4875" s="1335"/>
      <c r="J4875" s="317">
        <f t="shared" si="1398"/>
        <v>30</v>
      </c>
      <c r="K4875" s="327"/>
      <c r="L4875" s="328"/>
      <c r="M4875" s="329"/>
      <c r="N4875" s="330"/>
      <c r="O4875" s="331"/>
      <c r="P4875" s="328"/>
      <c r="Q4875" s="332"/>
      <c r="R4875" s="333">
        <v>2</v>
      </c>
      <c r="S4875" s="331" t="s">
        <v>313</v>
      </c>
      <c r="T4875" s="320">
        <v>37</v>
      </c>
      <c r="U4875" s="793"/>
      <c r="V4875" s="291">
        <f t="shared" ca="1" si="1360"/>
        <v>2</v>
      </c>
      <c r="W4875" s="256">
        <f t="shared" ca="1" si="1395"/>
        <v>2</v>
      </c>
      <c r="X4875" s="256">
        <f t="shared" ca="1" si="1396"/>
        <v>1</v>
      </c>
    </row>
    <row r="4876" spans="1:24" s="614" customFormat="1" ht="15.75" x14ac:dyDescent="0.25">
      <c r="A4876" s="276"/>
      <c r="B4876" s="785"/>
      <c r="C4876" s="397" t="s">
        <v>1233</v>
      </c>
      <c r="D4876" s="1333">
        <v>45931</v>
      </c>
      <c r="E4876" s="1334"/>
      <c r="F4876" s="1335"/>
      <c r="G4876" s="1333">
        <v>45961</v>
      </c>
      <c r="H4876" s="1334"/>
      <c r="I4876" s="1335"/>
      <c r="J4876" s="317">
        <f t="shared" si="1398"/>
        <v>31</v>
      </c>
      <c r="K4876" s="327"/>
      <c r="L4876" s="328"/>
      <c r="M4876" s="329"/>
      <c r="N4876" s="330"/>
      <c r="O4876" s="331"/>
      <c r="P4876" s="328"/>
      <c r="Q4876" s="332"/>
      <c r="R4876" s="333">
        <v>2</v>
      </c>
      <c r="S4876" s="331" t="s">
        <v>313</v>
      </c>
      <c r="T4876" s="320">
        <v>38</v>
      </c>
      <c r="U4876" s="793"/>
      <c r="V4876" s="291">
        <f t="shared" ca="1" si="1360"/>
        <v>2</v>
      </c>
      <c r="W4876" s="256">
        <f t="shared" ca="1" si="1395"/>
        <v>2</v>
      </c>
      <c r="X4876" s="256">
        <f t="shared" ca="1" si="1396"/>
        <v>1</v>
      </c>
    </row>
    <row r="4877" spans="1:24" s="614" customFormat="1" ht="15.75" x14ac:dyDescent="0.25">
      <c r="A4877" s="276"/>
      <c r="B4877" s="785"/>
      <c r="C4877" s="397" t="s">
        <v>1253</v>
      </c>
      <c r="D4877" s="1333">
        <v>45962</v>
      </c>
      <c r="E4877" s="1334"/>
      <c r="F4877" s="1335"/>
      <c r="G4877" s="1333">
        <v>45991</v>
      </c>
      <c r="H4877" s="1334"/>
      <c r="I4877" s="1335"/>
      <c r="J4877" s="317">
        <f t="shared" si="1398"/>
        <v>30</v>
      </c>
      <c r="K4877" s="327"/>
      <c r="L4877" s="328"/>
      <c r="M4877" s="329"/>
      <c r="N4877" s="330"/>
      <c r="O4877" s="331"/>
      <c r="P4877" s="328"/>
      <c r="Q4877" s="332"/>
      <c r="R4877" s="333">
        <v>2</v>
      </c>
      <c r="S4877" s="331" t="s">
        <v>313</v>
      </c>
      <c r="T4877" s="320">
        <v>39</v>
      </c>
      <c r="U4877" s="793"/>
      <c r="V4877" s="291">
        <f t="shared" ca="1" si="1360"/>
        <v>2</v>
      </c>
      <c r="W4877" s="256">
        <f t="shared" ca="1" si="1395"/>
        <v>2</v>
      </c>
      <c r="X4877" s="256">
        <f t="shared" ca="1" si="1396"/>
        <v>1</v>
      </c>
    </row>
    <row r="4878" spans="1:24" s="614" customFormat="1" ht="15.75" x14ac:dyDescent="0.25">
      <c r="A4878" s="276"/>
      <c r="B4878" s="785"/>
      <c r="C4878" s="397" t="s">
        <v>1291</v>
      </c>
      <c r="D4878" s="1333">
        <v>45992</v>
      </c>
      <c r="E4878" s="1334"/>
      <c r="F4878" s="1335"/>
      <c r="G4878" s="1333">
        <v>46022</v>
      </c>
      <c r="H4878" s="1334"/>
      <c r="I4878" s="1335"/>
      <c r="J4878" s="317">
        <f t="shared" si="1398"/>
        <v>31</v>
      </c>
      <c r="K4878" s="327"/>
      <c r="L4878" s="328"/>
      <c r="M4878" s="329"/>
      <c r="N4878" s="330"/>
      <c r="O4878" s="331"/>
      <c r="P4878" s="328"/>
      <c r="Q4878" s="332"/>
      <c r="R4878" s="333">
        <v>2</v>
      </c>
      <c r="S4878" s="331" t="s">
        <v>313</v>
      </c>
      <c r="T4878" s="320">
        <v>40</v>
      </c>
      <c r="U4878" s="793"/>
      <c r="V4878" s="291">
        <f t="shared" ca="1" si="1360"/>
        <v>2</v>
      </c>
      <c r="W4878" s="256">
        <f t="shared" ref="W4878" ca="1" si="1400">IF(LEFT(_xlfn.FORMULATEXT(V4878),3)="=SO",1,IF(COUNTA(A4878:U4878)=0,0,2))</f>
        <v>2</v>
      </c>
      <c r="X4878" s="256">
        <f t="shared" ref="X4878" ca="1" si="1401">IF(COUNTA(OFFSET(A4877,1,0))-COUNTA(A4877)=-1,0,1)</f>
        <v>1</v>
      </c>
    </row>
    <row r="4879" spans="1:24" s="614" customFormat="1" ht="15.75" x14ac:dyDescent="0.25">
      <c r="A4879" s="276"/>
      <c r="B4879" s="785"/>
      <c r="C4879" s="397" t="s">
        <v>1306</v>
      </c>
      <c r="D4879" s="1333">
        <v>46023</v>
      </c>
      <c r="E4879" s="1334"/>
      <c r="F4879" s="1335"/>
      <c r="G4879" s="1333">
        <v>46053</v>
      </c>
      <c r="H4879" s="1334"/>
      <c r="I4879" s="1335"/>
      <c r="J4879" s="317">
        <f t="shared" si="1398"/>
        <v>31</v>
      </c>
      <c r="K4879" s="327"/>
      <c r="L4879" s="328"/>
      <c r="M4879" s="329"/>
      <c r="N4879" s="330"/>
      <c r="O4879" s="331"/>
      <c r="P4879" s="328"/>
      <c r="Q4879" s="332"/>
      <c r="R4879" s="333">
        <v>2</v>
      </c>
      <c r="S4879" s="331" t="s">
        <v>313</v>
      </c>
      <c r="T4879" s="320">
        <v>41</v>
      </c>
      <c r="U4879" s="793"/>
      <c r="V4879" s="291">
        <f t="shared" ca="1" si="1360"/>
        <v>2</v>
      </c>
      <c r="W4879" s="256">
        <f t="shared" ref="W4879:W4886" ca="1" si="1402">IF(LEFT(_xlfn.FORMULATEXT(V4879),3)="=SO",1,IF(COUNTA(A4879:U4879)=0,0,2))</f>
        <v>2</v>
      </c>
      <c r="X4879" s="256">
        <f t="shared" ref="X4879:X4886" ca="1" si="1403">IF(COUNTA(OFFSET(A4878,1,0))-COUNTA(A4878)=-1,0,1)</f>
        <v>1</v>
      </c>
    </row>
    <row r="4880" spans="1:24" s="614" customFormat="1" ht="15.75" x14ac:dyDescent="0.25">
      <c r="A4880" s="276"/>
      <c r="B4880" s="785"/>
      <c r="C4880" s="397" t="s">
        <v>1324</v>
      </c>
      <c r="D4880" s="1333">
        <v>46054</v>
      </c>
      <c r="E4880" s="1334"/>
      <c r="F4880" s="1335"/>
      <c r="G4880" s="1333">
        <v>46081</v>
      </c>
      <c r="H4880" s="1334"/>
      <c r="I4880" s="1335"/>
      <c r="J4880" s="317">
        <f t="shared" si="1398"/>
        <v>28</v>
      </c>
      <c r="K4880" s="327"/>
      <c r="L4880" s="328"/>
      <c r="M4880" s="329"/>
      <c r="N4880" s="330"/>
      <c r="O4880" s="331"/>
      <c r="P4880" s="328"/>
      <c r="Q4880" s="332"/>
      <c r="R4880" s="333">
        <v>2</v>
      </c>
      <c r="S4880" s="331" t="s">
        <v>313</v>
      </c>
      <c r="T4880" s="320">
        <v>42</v>
      </c>
      <c r="U4880" s="793"/>
      <c r="V4880" s="291">
        <f t="shared" ca="1" si="1360"/>
        <v>2</v>
      </c>
      <c r="W4880" s="256">
        <f t="shared" ca="1" si="1402"/>
        <v>2</v>
      </c>
      <c r="X4880" s="256">
        <f t="shared" ca="1" si="1403"/>
        <v>1</v>
      </c>
    </row>
    <row r="4881" spans="1:24" s="614" customFormat="1" ht="15.75" x14ac:dyDescent="0.25">
      <c r="A4881" s="276"/>
      <c r="B4881" s="785"/>
      <c r="C4881" s="397" t="s">
        <v>1333</v>
      </c>
      <c r="D4881" s="1333">
        <v>46082</v>
      </c>
      <c r="E4881" s="1334"/>
      <c r="F4881" s="1335"/>
      <c r="G4881" s="1333">
        <v>46112</v>
      </c>
      <c r="H4881" s="1334"/>
      <c r="I4881" s="1335"/>
      <c r="J4881" s="317">
        <f t="shared" si="1398"/>
        <v>31</v>
      </c>
      <c r="K4881" s="327"/>
      <c r="L4881" s="328"/>
      <c r="M4881" s="329"/>
      <c r="N4881" s="330"/>
      <c r="O4881" s="331"/>
      <c r="P4881" s="328"/>
      <c r="Q4881" s="332"/>
      <c r="R4881" s="333">
        <v>2</v>
      </c>
      <c r="S4881" s="331" t="s">
        <v>313</v>
      </c>
      <c r="T4881" s="320">
        <v>43</v>
      </c>
      <c r="U4881" s="793"/>
      <c r="V4881" s="291">
        <f t="shared" ca="1" si="1360"/>
        <v>2</v>
      </c>
      <c r="W4881" s="256">
        <f t="shared" ref="W4881:W4885" ca="1" si="1404">IF(LEFT(_xlfn.FORMULATEXT(V4881),3)="=SO",1,IF(COUNTA(A4881:U4881)=0,0,2))</f>
        <v>2</v>
      </c>
      <c r="X4881" s="256">
        <f t="shared" ref="X4881:X4885" ca="1" si="1405">IF(COUNTA(OFFSET(A4880,1,0))-COUNTA(A4880)=-1,0,1)</f>
        <v>1</v>
      </c>
    </row>
    <row r="4882" spans="1:24" s="614" customFormat="1" ht="15.75" x14ac:dyDescent="0.25">
      <c r="A4882" s="276"/>
      <c r="B4882" s="1205"/>
      <c r="C4882" s="397" t="s">
        <v>1372</v>
      </c>
      <c r="D4882" s="1333">
        <v>46113</v>
      </c>
      <c r="E4882" s="1334"/>
      <c r="F4882" s="1335"/>
      <c r="G4882" s="1333">
        <v>46142</v>
      </c>
      <c r="H4882" s="1334"/>
      <c r="I4882" s="1335"/>
      <c r="J4882" s="317">
        <f t="shared" si="1398"/>
        <v>30</v>
      </c>
      <c r="K4882" s="327"/>
      <c r="L4882" s="328"/>
      <c r="M4882" s="329"/>
      <c r="N4882" s="330"/>
      <c r="O4882" s="331"/>
      <c r="P4882" s="328"/>
      <c r="Q4882" s="332"/>
      <c r="R4882" s="333">
        <v>2</v>
      </c>
      <c r="S4882" s="331" t="s">
        <v>313</v>
      </c>
      <c r="T4882" s="320">
        <v>44</v>
      </c>
      <c r="U4882" s="1209"/>
      <c r="V4882" s="291">
        <f t="shared" ca="1" si="1360"/>
        <v>2</v>
      </c>
      <c r="W4882" s="256">
        <f t="shared" ca="1" si="1404"/>
        <v>2</v>
      </c>
      <c r="X4882" s="256">
        <f t="shared" ca="1" si="1405"/>
        <v>1</v>
      </c>
    </row>
    <row r="4883" spans="1:24" s="614" customFormat="1" ht="15.75" x14ac:dyDescent="0.25">
      <c r="A4883" s="276"/>
      <c r="B4883" s="1205"/>
      <c r="C4883" s="755"/>
      <c r="D4883" s="756"/>
      <c r="E4883" s="757"/>
      <c r="F4883" s="758"/>
      <c r="G4883" s="756"/>
      <c r="H4883" s="757"/>
      <c r="I4883" s="758"/>
      <c r="J4883" s="1109"/>
      <c r="K4883" s="759"/>
      <c r="L4883" s="501"/>
      <c r="M4883" s="760"/>
      <c r="N4883" s="761"/>
      <c r="O4883" s="505"/>
      <c r="P4883" s="501"/>
      <c r="Q4883" s="739"/>
      <c r="R4883" s="1111"/>
      <c r="S4883" s="505"/>
      <c r="T4883" s="506"/>
      <c r="U4883" s="1209"/>
      <c r="V4883" s="291">
        <f t="shared" ca="1" si="1360"/>
        <v>2</v>
      </c>
      <c r="W4883" s="256">
        <f t="shared" ca="1" si="1404"/>
        <v>0</v>
      </c>
      <c r="X4883" s="256">
        <f t="shared" ca="1" si="1405"/>
        <v>1</v>
      </c>
    </row>
    <row r="4884" spans="1:24" s="614" customFormat="1" ht="15.75" x14ac:dyDescent="0.25">
      <c r="A4884" s="276"/>
      <c r="B4884" s="785"/>
      <c r="C4884" s="755"/>
      <c r="D4884" s="756"/>
      <c r="E4884" s="757"/>
      <c r="F4884" s="758"/>
      <c r="G4884" s="756"/>
      <c r="H4884" s="757"/>
      <c r="I4884" s="758"/>
      <c r="J4884" s="1109"/>
      <c r="K4884" s="759"/>
      <c r="L4884" s="501"/>
      <c r="M4884" s="760"/>
      <c r="N4884" s="761"/>
      <c r="O4884" s="505"/>
      <c r="P4884" s="501"/>
      <c r="Q4884" s="739"/>
      <c r="R4884" s="1111"/>
      <c r="S4884" s="505"/>
      <c r="T4884" s="506"/>
      <c r="U4884" s="793"/>
      <c r="V4884" s="291">
        <f t="shared" ca="1" si="1360"/>
        <v>2</v>
      </c>
      <c r="W4884" s="256">
        <f t="shared" ca="1" si="1404"/>
        <v>0</v>
      </c>
      <c r="X4884" s="256">
        <f t="shared" ca="1" si="1405"/>
        <v>1</v>
      </c>
    </row>
    <row r="4885" spans="1:24" s="614" customFormat="1" ht="15" x14ac:dyDescent="0.25">
      <c r="A4885" s="276"/>
      <c r="B4885" s="338"/>
      <c r="C4885" s="339"/>
      <c r="D4885" s="1348"/>
      <c r="E4885" s="1349"/>
      <c r="F4885" s="1350"/>
      <c r="G4885" s="1351"/>
      <c r="H4885" s="1352"/>
      <c r="I4885" s="1353"/>
      <c r="J4885" s="343"/>
      <c r="K4885" s="344"/>
      <c r="L4885" s="345"/>
      <c r="M4885" s="346"/>
      <c r="N4885" s="347"/>
      <c r="O4885" s="348"/>
      <c r="P4885" s="345"/>
      <c r="Q4885" s="349"/>
      <c r="R4885" s="350"/>
      <c r="S4885" s="351"/>
      <c r="T4885" s="352"/>
      <c r="U4885" s="353"/>
      <c r="V4885" s="291">
        <f t="shared" ca="1" si="1360"/>
        <v>2</v>
      </c>
      <c r="W4885" s="256">
        <f t="shared" ca="1" si="1404"/>
        <v>0</v>
      </c>
      <c r="X4885" s="256">
        <f t="shared" ca="1" si="1405"/>
        <v>1</v>
      </c>
    </row>
    <row r="4886" spans="1:24" s="614" customFormat="1" ht="15.75" x14ac:dyDescent="0.2">
      <c r="A4886" s="276"/>
      <c r="B4886" s="354"/>
      <c r="C4886" s="355"/>
      <c r="D4886" s="1354" t="s">
        <v>492</v>
      </c>
      <c r="E4886" s="1355"/>
      <c r="F4886" s="1355"/>
      <c r="G4886" s="1355"/>
      <c r="H4886" s="1355"/>
      <c r="I4886" s="1356"/>
      <c r="J4886" s="1357">
        <f>VLOOKUP(A4888,'11 - FINANCEIRO'!_xlnm.Print_Area,6,FALSE)</f>
        <v>32</v>
      </c>
      <c r="K4886" s="1358"/>
      <c r="L4886" s="356" t="str">
        <f>VLOOKUP(A4888,'11 - FINANCEIRO'!_xlnm.Print_Area,4,FALSE)</f>
        <v>mês</v>
      </c>
      <c r="M4886" s="1359" t="s">
        <v>493</v>
      </c>
      <c r="N4886" s="1360"/>
      <c r="O4886" s="1360"/>
      <c r="P4886" s="1360"/>
      <c r="Q4886" s="1361"/>
      <c r="R4886" s="357">
        <f>TRUNC(SUM(R4867:R4885),3)</f>
        <v>23</v>
      </c>
      <c r="S4886" s="358" t="str">
        <f>L4886</f>
        <v>mês</v>
      </c>
      <c r="T4886" s="1069"/>
      <c r="U4886" s="1070"/>
      <c r="V4886" s="291">
        <f t="shared" ca="1" si="1360"/>
        <v>2</v>
      </c>
      <c r="W4886" s="256">
        <f t="shared" ca="1" si="1402"/>
        <v>2</v>
      </c>
      <c r="X4886" s="256">
        <f t="shared" ca="1" si="1403"/>
        <v>1</v>
      </c>
    </row>
    <row r="4887" spans="1:24" s="614" customFormat="1" ht="15.75" x14ac:dyDescent="0.25">
      <c r="A4887" s="276"/>
      <c r="B4887" s="354"/>
      <c r="C4887" s="361"/>
      <c r="D4887" s="1362" t="s">
        <v>494</v>
      </c>
      <c r="E4887" s="1363"/>
      <c r="F4887" s="1363"/>
      <c r="G4887" s="1363"/>
      <c r="H4887" s="1363"/>
      <c r="I4887" s="1364"/>
      <c r="J4887" s="1365">
        <f>R4886/J4886</f>
        <v>0.71875</v>
      </c>
      <c r="K4887" s="1366"/>
      <c r="L4887" s="1369"/>
      <c r="M4887" s="1371" t="s">
        <v>495</v>
      </c>
      <c r="N4887" s="1372"/>
      <c r="O4887" s="1372"/>
      <c r="P4887" s="1372"/>
      <c r="Q4887" s="1373"/>
      <c r="R4887" s="362">
        <f>VLOOKUP(A4888,'11 - FINANCEIRO'!_xlnm.Print_Area,8,FALSE)</f>
        <v>21</v>
      </c>
      <c r="S4887" s="363" t="str">
        <f>L4886</f>
        <v>mês</v>
      </c>
      <c r="T4887" s="1393"/>
      <c r="U4887" s="1394"/>
      <c r="V4887" s="291">
        <f t="shared" ca="1" si="1360"/>
        <v>2</v>
      </c>
      <c r="W4887" s="256">
        <f t="shared" ca="1" si="1395"/>
        <v>2</v>
      </c>
      <c r="X4887" s="256">
        <f t="shared" ca="1" si="1396"/>
        <v>1</v>
      </c>
    </row>
    <row r="4888" spans="1:24" s="614" customFormat="1" ht="15.75" x14ac:dyDescent="0.2">
      <c r="A4888" s="276" t="s">
        <v>1144</v>
      </c>
      <c r="B4888" s="364"/>
      <c r="C4888" s="365"/>
      <c r="D4888" s="1354"/>
      <c r="E4888" s="1355"/>
      <c r="F4888" s="1355"/>
      <c r="G4888" s="1355"/>
      <c r="H4888" s="1355"/>
      <c r="I4888" s="1356"/>
      <c r="J4888" s="1367"/>
      <c r="K4888" s="1368"/>
      <c r="L4888" s="1370"/>
      <c r="M4888" s="1371" t="s">
        <v>496</v>
      </c>
      <c r="N4888" s="1372"/>
      <c r="O4888" s="1372"/>
      <c r="P4888" s="1372"/>
      <c r="Q4888" s="1373"/>
      <c r="R4888" s="362">
        <f>R4886-R4887</f>
        <v>2</v>
      </c>
      <c r="S4888" s="363" t="str">
        <f>L4886</f>
        <v>mês</v>
      </c>
      <c r="T4888" s="1071"/>
      <c r="U4888" s="1072"/>
      <c r="V4888" s="291">
        <f t="shared" ca="1" si="1360"/>
        <v>2</v>
      </c>
      <c r="W4888" s="256">
        <f t="shared" ca="1" si="1395"/>
        <v>2</v>
      </c>
      <c r="X4888" s="256">
        <f t="shared" ca="1" si="1396"/>
        <v>1</v>
      </c>
    </row>
    <row r="4889" spans="1:24" s="614" customFormat="1" ht="15.75" x14ac:dyDescent="0.2">
      <c r="A4889" s="276"/>
      <c r="B4889" s="368"/>
      <c r="C4889" s="365"/>
      <c r="D4889" s="369"/>
      <c r="E4889" s="370"/>
      <c r="F4889" s="369"/>
      <c r="G4889" s="369"/>
      <c r="H4889" s="369"/>
      <c r="I4889" s="369"/>
      <c r="J4889" s="371"/>
      <c r="K4889" s="372"/>
      <c r="L4889" s="373"/>
      <c r="M4889" s="374"/>
      <c r="N4889" s="374"/>
      <c r="O4889" s="374"/>
      <c r="P4889" s="374"/>
      <c r="Q4889" s="374"/>
      <c r="R4889" s="375"/>
      <c r="S4889" s="376"/>
      <c r="T4889" s="377"/>
      <c r="U4889" s="378"/>
      <c r="V4889" s="379">
        <f ca="1">SUM(V4865:V4888)</f>
        <v>48</v>
      </c>
      <c r="W4889" s="256">
        <f ca="1">IF(LEFT(_xlfn.FORMULATEXT(V4889),3)="=SO",1,IF(COUNTA(A4889:U4889)=0,0,2))</f>
        <v>1</v>
      </c>
      <c r="X4889" s="256">
        <f ca="1">IF(COUNTA(OFFSET(A4888,1,0))-COUNTA(A4888)=-1,0,1)</f>
        <v>0</v>
      </c>
    </row>
    <row r="4890" spans="1:24" s="614" customFormat="1" ht="15.75" hidden="1" x14ac:dyDescent="0.25">
      <c r="A4890" s="276"/>
      <c r="B4890" s="1374" t="s">
        <v>1145</v>
      </c>
      <c r="C4890" s="1376" t="str">
        <f>VLOOKUP(A4897,'11 - FINANCEIRO'!_xlnm.Print_Area,3,FALSE)</f>
        <v>Limpeza sob a ponte Moacir Gonçalves</v>
      </c>
      <c r="D4890" s="1378" t="s">
        <v>500</v>
      </c>
      <c r="E4890" s="1379"/>
      <c r="F4890" s="1379"/>
      <c r="G4890" s="1379"/>
      <c r="H4890" s="1379"/>
      <c r="I4890" s="1380"/>
      <c r="J4890" s="1338" t="s">
        <v>478</v>
      </c>
      <c r="K4890" s="1338" t="s">
        <v>479</v>
      </c>
      <c r="L4890" s="1338" t="s">
        <v>480</v>
      </c>
      <c r="M4890" s="1338" t="s">
        <v>481</v>
      </c>
      <c r="N4890" s="1338" t="s">
        <v>482</v>
      </c>
      <c r="O4890" s="1338" t="s">
        <v>483</v>
      </c>
      <c r="P4890" s="1338" t="s">
        <v>484</v>
      </c>
      <c r="Q4890" s="1338" t="s">
        <v>296</v>
      </c>
      <c r="R4890" s="1336" t="s">
        <v>296</v>
      </c>
      <c r="S4890" s="1338" t="s">
        <v>486</v>
      </c>
      <c r="T4890" s="1338" t="s">
        <v>487</v>
      </c>
      <c r="U4890" s="1340" t="s">
        <v>488</v>
      </c>
      <c r="V4890" s="291">
        <f t="shared" ca="1" si="1360"/>
        <v>0</v>
      </c>
      <c r="W4890" s="256">
        <f t="shared" ref="W4890" ca="1" si="1406">IF(LEFT(_xlfn.FORMULATEXT(V4890),3)="=SO",1,IF(COUNTA(A4890:U4890)=0,0,2))</f>
        <v>2</v>
      </c>
      <c r="X4890" s="256">
        <f t="shared" ref="X4890" ca="1" si="1407">IF(COUNTA(OFFSET(A4889,1,0))-COUNTA(A4889)=-1,0,1)</f>
        <v>1</v>
      </c>
    </row>
    <row r="4891" spans="1:24" s="614" customFormat="1" ht="15.75" hidden="1" x14ac:dyDescent="0.25">
      <c r="A4891" s="276"/>
      <c r="B4891" s="1375"/>
      <c r="C4891" s="1377"/>
      <c r="D4891" s="1342" t="s">
        <v>489</v>
      </c>
      <c r="E4891" s="1343"/>
      <c r="F4891" s="1344"/>
      <c r="G4891" s="1345" t="s">
        <v>490</v>
      </c>
      <c r="H4891" s="1346"/>
      <c r="I4891" s="1347"/>
      <c r="J4891" s="1339"/>
      <c r="K4891" s="1339"/>
      <c r="L4891" s="1339"/>
      <c r="M4891" s="1339"/>
      <c r="N4891" s="1339"/>
      <c r="O4891" s="1339"/>
      <c r="P4891" s="1339" t="s">
        <v>491</v>
      </c>
      <c r="Q4891" s="1339"/>
      <c r="R4891" s="1337"/>
      <c r="S4891" s="1339"/>
      <c r="T4891" s="1339"/>
      <c r="U4891" s="1341"/>
      <c r="V4891" s="291">
        <f t="shared" ca="1" si="1360"/>
        <v>0</v>
      </c>
      <c r="W4891" s="256">
        <f t="shared" ref="W4891:W4897" ca="1" si="1408">IF(LEFT(_xlfn.FORMULATEXT(V4891),3)="=SO",1,IF(COUNTA(A4891:U4891)=0,0,2))</f>
        <v>2</v>
      </c>
      <c r="X4891" s="256">
        <f t="shared" ref="X4891:X4897" ca="1" si="1409">IF(COUNTA(OFFSET(A4890,1,0))-COUNTA(A4890)=-1,0,1)</f>
        <v>1</v>
      </c>
    </row>
    <row r="4892" spans="1:24" s="614" customFormat="1" ht="30" hidden="1" x14ac:dyDescent="0.25">
      <c r="A4892" s="276"/>
      <c r="B4892" s="296"/>
      <c r="C4892" s="397" t="s">
        <v>1170</v>
      </c>
      <c r="D4892" s="1333"/>
      <c r="E4892" s="1334"/>
      <c r="F4892" s="1335"/>
      <c r="G4892" s="1333"/>
      <c r="H4892" s="1334"/>
      <c r="I4892" s="1335"/>
      <c r="J4892" s="317"/>
      <c r="K4892" s="327"/>
      <c r="L4892" s="328"/>
      <c r="M4892" s="329"/>
      <c r="N4892" s="330"/>
      <c r="O4892" s="331"/>
      <c r="P4892" s="328"/>
      <c r="Q4892" s="332"/>
      <c r="R4892" s="333">
        <v>1</v>
      </c>
      <c r="S4892" s="331" t="s">
        <v>1171</v>
      </c>
      <c r="T4892" s="320">
        <v>35</v>
      </c>
      <c r="U4892" s="310"/>
      <c r="V4892" s="291">
        <f t="shared" ca="1" si="1360"/>
        <v>0</v>
      </c>
      <c r="W4892" s="256">
        <f t="shared" ca="1" si="1408"/>
        <v>2</v>
      </c>
      <c r="X4892" s="256">
        <f t="shared" ca="1" si="1409"/>
        <v>1</v>
      </c>
    </row>
    <row r="4893" spans="1:24" s="614" customFormat="1" ht="15.75" hidden="1" x14ac:dyDescent="0.25">
      <c r="A4893" s="276"/>
      <c r="B4893" s="785"/>
      <c r="C4893" s="312"/>
      <c r="D4893" s="417"/>
      <c r="E4893" s="314"/>
      <c r="F4893" s="418"/>
      <c r="G4893" s="417"/>
      <c r="H4893" s="314"/>
      <c r="I4893" s="418"/>
      <c r="J4893" s="317"/>
      <c r="K4893" s="421"/>
      <c r="L4893" s="774"/>
      <c r="M4893" s="786"/>
      <c r="N4893" s="787"/>
      <c r="O4893" s="788"/>
      <c r="P4893" s="789"/>
      <c r="Q4893" s="786"/>
      <c r="R4893" s="790"/>
      <c r="S4893" s="791"/>
      <c r="T4893" s="792"/>
      <c r="U4893" s="793"/>
      <c r="V4893" s="291">
        <f t="shared" ca="1" si="1360"/>
        <v>0</v>
      </c>
      <c r="W4893" s="256">
        <f t="shared" ca="1" si="1408"/>
        <v>0</v>
      </c>
      <c r="X4893" s="256">
        <f t="shared" ca="1" si="1409"/>
        <v>1</v>
      </c>
    </row>
    <row r="4894" spans="1:24" s="614" customFormat="1" ht="15" hidden="1" x14ac:dyDescent="0.25">
      <c r="A4894" s="276"/>
      <c r="B4894" s="338"/>
      <c r="C4894" s="339"/>
      <c r="D4894" s="1348"/>
      <c r="E4894" s="1349"/>
      <c r="F4894" s="1350"/>
      <c r="G4894" s="1351"/>
      <c r="H4894" s="1352"/>
      <c r="I4894" s="1353"/>
      <c r="J4894" s="343"/>
      <c r="K4894" s="344"/>
      <c r="L4894" s="345"/>
      <c r="M4894" s="346"/>
      <c r="N4894" s="347"/>
      <c r="O4894" s="348"/>
      <c r="P4894" s="345"/>
      <c r="Q4894" s="349"/>
      <c r="R4894" s="350"/>
      <c r="S4894" s="351"/>
      <c r="T4894" s="352"/>
      <c r="U4894" s="353"/>
      <c r="V4894" s="291">
        <f t="shared" ca="1" si="1360"/>
        <v>0</v>
      </c>
      <c r="W4894" s="256">
        <f t="shared" ca="1" si="1408"/>
        <v>0</v>
      </c>
      <c r="X4894" s="256">
        <f t="shared" ca="1" si="1409"/>
        <v>1</v>
      </c>
    </row>
    <row r="4895" spans="1:24" s="614" customFormat="1" ht="15.75" hidden="1" x14ac:dyDescent="0.2">
      <c r="A4895" s="276"/>
      <c r="B4895" s="354"/>
      <c r="C4895" s="355"/>
      <c r="D4895" s="1354" t="s">
        <v>492</v>
      </c>
      <c r="E4895" s="1355"/>
      <c r="F4895" s="1355"/>
      <c r="G4895" s="1355"/>
      <c r="H4895" s="1355"/>
      <c r="I4895" s="1356"/>
      <c r="J4895" s="1357">
        <f>VLOOKUP(A4897,'11 - FINANCEIRO'!_xlnm.Print_Area,6,FALSE)</f>
        <v>1</v>
      </c>
      <c r="K4895" s="1358"/>
      <c r="L4895" s="356" t="str">
        <f>VLOOKUP(A4897,'11 - FINANCEIRO'!_xlnm.Print_Area,4,FALSE)</f>
        <v>und</v>
      </c>
      <c r="M4895" s="1359" t="s">
        <v>493</v>
      </c>
      <c r="N4895" s="1360"/>
      <c r="O4895" s="1360"/>
      <c r="P4895" s="1360"/>
      <c r="Q4895" s="1361"/>
      <c r="R4895" s="357">
        <f>TRUNC(SUM(R4892:R4894),3)</f>
        <v>1</v>
      </c>
      <c r="S4895" s="358" t="str">
        <f>L4895</f>
        <v>und</v>
      </c>
      <c r="T4895" s="359"/>
      <c r="U4895" s="360"/>
      <c r="V4895" s="291">
        <f t="shared" ca="1" si="1360"/>
        <v>0</v>
      </c>
      <c r="W4895" s="256">
        <f t="shared" ca="1" si="1408"/>
        <v>2</v>
      </c>
      <c r="X4895" s="256">
        <f t="shared" ca="1" si="1409"/>
        <v>1</v>
      </c>
    </row>
    <row r="4896" spans="1:24" s="614" customFormat="1" ht="15.75" hidden="1" x14ac:dyDescent="0.2">
      <c r="A4896" s="276"/>
      <c r="B4896" s="354"/>
      <c r="C4896" s="361"/>
      <c r="D4896" s="1362" t="s">
        <v>494</v>
      </c>
      <c r="E4896" s="1363"/>
      <c r="F4896" s="1363"/>
      <c r="G4896" s="1363"/>
      <c r="H4896" s="1363"/>
      <c r="I4896" s="1364"/>
      <c r="J4896" s="1365">
        <f>R4895/J4895</f>
        <v>1</v>
      </c>
      <c r="K4896" s="1366"/>
      <c r="L4896" s="1369"/>
      <c r="M4896" s="1371" t="s">
        <v>495</v>
      </c>
      <c r="N4896" s="1372"/>
      <c r="O4896" s="1372"/>
      <c r="P4896" s="1372"/>
      <c r="Q4896" s="1373"/>
      <c r="R4896" s="362">
        <f>VLOOKUP(A4897,'11 - FINANCEIRO'!_xlnm.Print_Area,8,FALSE)</f>
        <v>1</v>
      </c>
      <c r="S4896" s="363" t="str">
        <f>L4895</f>
        <v>und</v>
      </c>
      <c r="T4896" s="359"/>
      <c r="U4896" s="360"/>
      <c r="V4896" s="291">
        <f t="shared" ca="1" si="1360"/>
        <v>0</v>
      </c>
      <c r="W4896" s="256">
        <f t="shared" ca="1" si="1408"/>
        <v>2</v>
      </c>
      <c r="X4896" s="256">
        <f t="shared" ca="1" si="1409"/>
        <v>1</v>
      </c>
    </row>
    <row r="4897" spans="1:24" s="614" customFormat="1" ht="15.75" hidden="1" x14ac:dyDescent="0.2">
      <c r="A4897" s="276" t="s">
        <v>1145</v>
      </c>
      <c r="B4897" s="364"/>
      <c r="C4897" s="365"/>
      <c r="D4897" s="1354"/>
      <c r="E4897" s="1355"/>
      <c r="F4897" s="1355"/>
      <c r="G4897" s="1355"/>
      <c r="H4897" s="1355"/>
      <c r="I4897" s="1356"/>
      <c r="J4897" s="1367"/>
      <c r="K4897" s="1368"/>
      <c r="L4897" s="1370"/>
      <c r="M4897" s="1371" t="s">
        <v>496</v>
      </c>
      <c r="N4897" s="1372"/>
      <c r="O4897" s="1372"/>
      <c r="P4897" s="1372"/>
      <c r="Q4897" s="1373"/>
      <c r="R4897" s="362">
        <f>R4895-R4896</f>
        <v>0</v>
      </c>
      <c r="S4897" s="363" t="str">
        <f>L4895</f>
        <v>und</v>
      </c>
      <c r="T4897" s="366"/>
      <c r="U4897" s="367"/>
      <c r="V4897" s="291">
        <f t="shared" ca="1" si="1360"/>
        <v>0</v>
      </c>
      <c r="W4897" s="256">
        <f t="shared" ca="1" si="1408"/>
        <v>2</v>
      </c>
      <c r="X4897" s="256">
        <f t="shared" ca="1" si="1409"/>
        <v>1</v>
      </c>
    </row>
    <row r="4898" spans="1:24" s="614" customFormat="1" ht="15.75" hidden="1" x14ac:dyDescent="0.2">
      <c r="A4898" s="276"/>
      <c r="B4898" s="368"/>
      <c r="C4898" s="365"/>
      <c r="D4898" s="369"/>
      <c r="E4898" s="370"/>
      <c r="F4898" s="369"/>
      <c r="G4898" s="369"/>
      <c r="H4898" s="369"/>
      <c r="I4898" s="369"/>
      <c r="J4898" s="371"/>
      <c r="K4898" s="372"/>
      <c r="L4898" s="373"/>
      <c r="M4898" s="374"/>
      <c r="N4898" s="374"/>
      <c r="O4898" s="374"/>
      <c r="P4898" s="374"/>
      <c r="Q4898" s="374"/>
      <c r="R4898" s="375"/>
      <c r="S4898" s="376"/>
      <c r="T4898" s="377"/>
      <c r="U4898" s="378"/>
      <c r="V4898" s="379">
        <f ca="1">SUM(V4890:V4897)</f>
        <v>0</v>
      </c>
      <c r="W4898" s="256">
        <f ca="1">IF(LEFT(_xlfn.FORMULATEXT(V4898),3)="=SO",1,IF(COUNTA(A4898:U4898)=0,0,2))</f>
        <v>1</v>
      </c>
      <c r="X4898" s="256">
        <f ca="1">IF(COUNTA(OFFSET(A4897,1,0))-COUNTA(A4897)=-1,0,1)</f>
        <v>0</v>
      </c>
    </row>
    <row r="4899" spans="1:24" s="614" customFormat="1" ht="15.75" hidden="1" x14ac:dyDescent="0.25">
      <c r="A4899" s="276"/>
      <c r="B4899" s="1374" t="s">
        <v>1146</v>
      </c>
      <c r="C4899" s="1376" t="str">
        <f>VLOOKUP(A4906,'11 - FINANCEIRO'!_xlnm.Print_Area,3,FALSE)</f>
        <v>Corpo de BSCC 3,00 x 3,00 m - moldado no local - altura do aterro 0,00 a 1,00 m - areia e brita comerciais</v>
      </c>
      <c r="D4899" s="1378" t="s">
        <v>500</v>
      </c>
      <c r="E4899" s="1379"/>
      <c r="F4899" s="1379"/>
      <c r="G4899" s="1379"/>
      <c r="H4899" s="1379"/>
      <c r="I4899" s="1380"/>
      <c r="J4899" s="1338" t="s">
        <v>478</v>
      </c>
      <c r="K4899" s="1338" t="s">
        <v>479</v>
      </c>
      <c r="L4899" s="1338" t="s">
        <v>480</v>
      </c>
      <c r="M4899" s="1338" t="s">
        <v>481</v>
      </c>
      <c r="N4899" s="1338" t="s">
        <v>482</v>
      </c>
      <c r="O4899" s="1338" t="s">
        <v>483</v>
      </c>
      <c r="P4899" s="1338" t="s">
        <v>484</v>
      </c>
      <c r="Q4899" s="1338" t="s">
        <v>296</v>
      </c>
      <c r="R4899" s="1336" t="s">
        <v>296</v>
      </c>
      <c r="S4899" s="1338" t="s">
        <v>486</v>
      </c>
      <c r="T4899" s="1338" t="s">
        <v>487</v>
      </c>
      <c r="U4899" s="1340" t="s">
        <v>488</v>
      </c>
      <c r="V4899" s="291">
        <f t="shared" ca="1" si="1360"/>
        <v>0</v>
      </c>
      <c r="W4899" s="256">
        <f t="shared" ref="W4899" ca="1" si="1410">IF(LEFT(_xlfn.FORMULATEXT(V4899),3)="=SO",1,IF(COUNTA(A4899:U4899)=0,0,2))</f>
        <v>2</v>
      </c>
      <c r="X4899" s="256">
        <f t="shared" ref="X4899" ca="1" si="1411">IF(COUNTA(OFFSET(A4898,1,0))-COUNTA(A4898)=-1,0,1)</f>
        <v>1</v>
      </c>
    </row>
    <row r="4900" spans="1:24" s="614" customFormat="1" ht="15.75" hidden="1" x14ac:dyDescent="0.25">
      <c r="A4900" s="276"/>
      <c r="B4900" s="1375"/>
      <c r="C4900" s="1377"/>
      <c r="D4900" s="1342" t="s">
        <v>489</v>
      </c>
      <c r="E4900" s="1343"/>
      <c r="F4900" s="1344"/>
      <c r="G4900" s="1345" t="s">
        <v>490</v>
      </c>
      <c r="H4900" s="1346"/>
      <c r="I4900" s="1347"/>
      <c r="J4900" s="1339"/>
      <c r="K4900" s="1339"/>
      <c r="L4900" s="1339"/>
      <c r="M4900" s="1339"/>
      <c r="N4900" s="1339"/>
      <c r="O4900" s="1339"/>
      <c r="P4900" s="1339" t="s">
        <v>491</v>
      </c>
      <c r="Q4900" s="1339"/>
      <c r="R4900" s="1337"/>
      <c r="S4900" s="1339"/>
      <c r="T4900" s="1339"/>
      <c r="U4900" s="1341"/>
      <c r="V4900" s="291">
        <f t="shared" ca="1" si="1360"/>
        <v>0</v>
      </c>
      <c r="W4900" s="256">
        <f t="shared" ref="W4900:W4906" ca="1" si="1412">IF(LEFT(_xlfn.FORMULATEXT(V4900),3)="=SO",1,IF(COUNTA(A4900:U4900)=0,0,2))</f>
        <v>2</v>
      </c>
      <c r="X4900" s="256">
        <f t="shared" ref="X4900:X4906" ca="1" si="1413">IF(COUNTA(OFFSET(A4899,1,0))-COUNTA(A4899)=-1,0,1)</f>
        <v>1</v>
      </c>
    </row>
    <row r="4901" spans="1:24" s="614" customFormat="1" ht="15.75" hidden="1" x14ac:dyDescent="0.25">
      <c r="A4901" s="276"/>
      <c r="B4901" s="296"/>
      <c r="C4901" s="297"/>
      <c r="D4901" s="417"/>
      <c r="E4901" s="314"/>
      <c r="F4901" s="418"/>
      <c r="G4901" s="419"/>
      <c r="H4901" s="316"/>
      <c r="I4901" s="420"/>
      <c r="J4901" s="304"/>
      <c r="K4901" s="747"/>
      <c r="L4901" s="304"/>
      <c r="M4901" s="304"/>
      <c r="N4901" s="304"/>
      <c r="O4901" s="304"/>
      <c r="P4901" s="306"/>
      <c r="Q4901" s="304"/>
      <c r="R4901" s="307"/>
      <c r="S4901" s="308"/>
      <c r="T4901" s="309"/>
      <c r="U4901" s="310"/>
      <c r="V4901" s="291">
        <f t="shared" ca="1" si="1360"/>
        <v>0</v>
      </c>
      <c r="W4901" s="256">
        <f t="shared" ca="1" si="1412"/>
        <v>0</v>
      </c>
      <c r="X4901" s="256">
        <f t="shared" ca="1" si="1413"/>
        <v>1</v>
      </c>
    </row>
    <row r="4902" spans="1:24" s="614" customFormat="1" ht="15.75" hidden="1" x14ac:dyDescent="0.25">
      <c r="A4902" s="276"/>
      <c r="B4902" s="785"/>
      <c r="C4902" s="312"/>
      <c r="D4902" s="417"/>
      <c r="E4902" s="314"/>
      <c r="F4902" s="418"/>
      <c r="G4902" s="417"/>
      <c r="H4902" s="314"/>
      <c r="I4902" s="418"/>
      <c r="J4902" s="317"/>
      <c r="K4902" s="421"/>
      <c r="L4902" s="774"/>
      <c r="M4902" s="786"/>
      <c r="N4902" s="787"/>
      <c r="O4902" s="788"/>
      <c r="P4902" s="789"/>
      <c r="Q4902" s="786"/>
      <c r="R4902" s="790"/>
      <c r="S4902" s="791"/>
      <c r="T4902" s="792"/>
      <c r="U4902" s="793"/>
      <c r="V4902" s="291">
        <f t="shared" ca="1" si="1360"/>
        <v>0</v>
      </c>
      <c r="W4902" s="256">
        <f t="shared" ca="1" si="1412"/>
        <v>0</v>
      </c>
      <c r="X4902" s="256">
        <f t="shared" ca="1" si="1413"/>
        <v>1</v>
      </c>
    </row>
    <row r="4903" spans="1:24" s="614" customFormat="1" ht="15" hidden="1" x14ac:dyDescent="0.25">
      <c r="A4903" s="276"/>
      <c r="B4903" s="338"/>
      <c r="C4903" s="339"/>
      <c r="D4903" s="1348"/>
      <c r="E4903" s="1349"/>
      <c r="F4903" s="1350"/>
      <c r="G4903" s="1351"/>
      <c r="H4903" s="1352"/>
      <c r="I4903" s="1353"/>
      <c r="J4903" s="343"/>
      <c r="K4903" s="344"/>
      <c r="L4903" s="345"/>
      <c r="M4903" s="346"/>
      <c r="N4903" s="347"/>
      <c r="O4903" s="348"/>
      <c r="P4903" s="345"/>
      <c r="Q4903" s="349"/>
      <c r="R4903" s="350"/>
      <c r="S4903" s="351"/>
      <c r="T4903" s="352"/>
      <c r="U4903" s="353"/>
      <c r="V4903" s="291">
        <f t="shared" ca="1" si="1360"/>
        <v>0</v>
      </c>
      <c r="W4903" s="256">
        <f t="shared" ca="1" si="1412"/>
        <v>0</v>
      </c>
      <c r="X4903" s="256">
        <f t="shared" ca="1" si="1413"/>
        <v>1</v>
      </c>
    </row>
    <row r="4904" spans="1:24" s="614" customFormat="1" ht="15.75" hidden="1" x14ac:dyDescent="0.2">
      <c r="A4904" s="276"/>
      <c r="B4904" s="354"/>
      <c r="C4904" s="355"/>
      <c r="D4904" s="1354" t="s">
        <v>492</v>
      </c>
      <c r="E4904" s="1355"/>
      <c r="F4904" s="1355"/>
      <c r="G4904" s="1355"/>
      <c r="H4904" s="1355"/>
      <c r="I4904" s="1356"/>
      <c r="J4904" s="1357">
        <f>VLOOKUP(A4906,'11 - FINANCEIRO'!_xlnm.Print_Area,6,FALSE)</f>
        <v>48</v>
      </c>
      <c r="K4904" s="1358"/>
      <c r="L4904" s="356" t="str">
        <f>VLOOKUP(A4906,'11 - FINANCEIRO'!_xlnm.Print_Area,4,FALSE)</f>
        <v>m</v>
      </c>
      <c r="M4904" s="1359" t="s">
        <v>493</v>
      </c>
      <c r="N4904" s="1360"/>
      <c r="O4904" s="1360"/>
      <c r="P4904" s="1360"/>
      <c r="Q4904" s="1361"/>
      <c r="R4904" s="357">
        <f>TRUNC(SUM(R4901:R4903),3)</f>
        <v>0</v>
      </c>
      <c r="S4904" s="358" t="str">
        <f>L4904</f>
        <v>m</v>
      </c>
      <c r="T4904" s="359"/>
      <c r="U4904" s="360"/>
      <c r="V4904" s="291">
        <f t="shared" ca="1" si="1360"/>
        <v>0</v>
      </c>
      <c r="W4904" s="256">
        <f t="shared" ca="1" si="1412"/>
        <v>2</v>
      </c>
      <c r="X4904" s="256">
        <f t="shared" ca="1" si="1413"/>
        <v>1</v>
      </c>
    </row>
    <row r="4905" spans="1:24" s="614" customFormat="1" ht="15.75" hidden="1" x14ac:dyDescent="0.2">
      <c r="A4905" s="276"/>
      <c r="B4905" s="354"/>
      <c r="C4905" s="361"/>
      <c r="D4905" s="1362" t="s">
        <v>494</v>
      </c>
      <c r="E4905" s="1363"/>
      <c r="F4905" s="1363"/>
      <c r="G4905" s="1363"/>
      <c r="H4905" s="1363"/>
      <c r="I4905" s="1364"/>
      <c r="J4905" s="1365">
        <f>R4904/J4904</f>
        <v>0</v>
      </c>
      <c r="K4905" s="1366"/>
      <c r="L4905" s="1369"/>
      <c r="M4905" s="1371" t="s">
        <v>495</v>
      </c>
      <c r="N4905" s="1372"/>
      <c r="O4905" s="1372"/>
      <c r="P4905" s="1372"/>
      <c r="Q4905" s="1373"/>
      <c r="R4905" s="362">
        <f>VLOOKUP(A4906,'11 - FINANCEIRO'!_xlnm.Print_Area,8,FALSE)</f>
        <v>0</v>
      </c>
      <c r="S4905" s="363" t="str">
        <f>L4904</f>
        <v>m</v>
      </c>
      <c r="T4905" s="359"/>
      <c r="U4905" s="360"/>
      <c r="V4905" s="291">
        <f t="shared" ca="1" si="1360"/>
        <v>0</v>
      </c>
      <c r="W4905" s="256">
        <f t="shared" ca="1" si="1412"/>
        <v>2</v>
      </c>
      <c r="X4905" s="256">
        <f t="shared" ca="1" si="1413"/>
        <v>1</v>
      </c>
    </row>
    <row r="4906" spans="1:24" s="614" customFormat="1" ht="15.75" hidden="1" x14ac:dyDescent="0.2">
      <c r="A4906" s="276" t="s">
        <v>1146</v>
      </c>
      <c r="B4906" s="364"/>
      <c r="C4906" s="365"/>
      <c r="D4906" s="1354"/>
      <c r="E4906" s="1355"/>
      <c r="F4906" s="1355"/>
      <c r="G4906" s="1355"/>
      <c r="H4906" s="1355"/>
      <c r="I4906" s="1356"/>
      <c r="J4906" s="1367"/>
      <c r="K4906" s="1368"/>
      <c r="L4906" s="1370"/>
      <c r="M4906" s="1371" t="s">
        <v>496</v>
      </c>
      <c r="N4906" s="1372"/>
      <c r="O4906" s="1372"/>
      <c r="P4906" s="1372"/>
      <c r="Q4906" s="1373"/>
      <c r="R4906" s="362">
        <f>R4904-R4905</f>
        <v>0</v>
      </c>
      <c r="S4906" s="363" t="str">
        <f>L4904</f>
        <v>m</v>
      </c>
      <c r="T4906" s="366"/>
      <c r="U4906" s="367"/>
      <c r="V4906" s="291">
        <f t="shared" ca="1" si="1360"/>
        <v>0</v>
      </c>
      <c r="W4906" s="256">
        <f t="shared" ca="1" si="1412"/>
        <v>2</v>
      </c>
      <c r="X4906" s="256">
        <f t="shared" ca="1" si="1413"/>
        <v>1</v>
      </c>
    </row>
    <row r="4907" spans="1:24" s="614" customFormat="1" ht="15.75" hidden="1" x14ac:dyDescent="0.2">
      <c r="A4907" s="276"/>
      <c r="B4907" s="368"/>
      <c r="C4907" s="365"/>
      <c r="D4907" s="369"/>
      <c r="E4907" s="370"/>
      <c r="F4907" s="369"/>
      <c r="G4907" s="369"/>
      <c r="H4907" s="369"/>
      <c r="I4907" s="369"/>
      <c r="J4907" s="371"/>
      <c r="K4907" s="372"/>
      <c r="L4907" s="373"/>
      <c r="M4907" s="374"/>
      <c r="N4907" s="374"/>
      <c r="O4907" s="374"/>
      <c r="P4907" s="374"/>
      <c r="Q4907" s="374"/>
      <c r="R4907" s="375"/>
      <c r="S4907" s="376"/>
      <c r="T4907" s="377"/>
      <c r="U4907" s="378"/>
      <c r="V4907" s="379">
        <f ca="1">SUM(V4899:V4906)</f>
        <v>0</v>
      </c>
      <c r="W4907" s="256">
        <f ca="1">IF(LEFT(_xlfn.FORMULATEXT(V4907),3)="=SO",1,IF(COUNTA(A4907:U4907)=0,0,2))</f>
        <v>1</v>
      </c>
      <c r="X4907" s="256">
        <f ca="1">IF(COUNTA(OFFSET(A4906,1,0))-COUNTA(A4906)=-1,0,1)</f>
        <v>0</v>
      </c>
    </row>
    <row r="4908" spans="1:24" s="614" customFormat="1" ht="15.75" hidden="1" x14ac:dyDescent="0.25">
      <c r="A4908" s="276"/>
      <c r="B4908" s="1374" t="s">
        <v>1147</v>
      </c>
      <c r="C4908" s="1376" t="str">
        <f>VLOOKUP(A4915,'11 - FINANCEIRO'!_xlnm.Print_Area,3,FALSE)</f>
        <v>Equipe de Pare e Siga com sinalização</v>
      </c>
      <c r="D4908" s="1378" t="s">
        <v>500</v>
      </c>
      <c r="E4908" s="1379"/>
      <c r="F4908" s="1379"/>
      <c r="G4908" s="1379"/>
      <c r="H4908" s="1379"/>
      <c r="I4908" s="1380"/>
      <c r="J4908" s="1338" t="s">
        <v>478</v>
      </c>
      <c r="K4908" s="1338" t="s">
        <v>479</v>
      </c>
      <c r="L4908" s="1338" t="s">
        <v>480</v>
      </c>
      <c r="M4908" s="1338" t="s">
        <v>481</v>
      </c>
      <c r="N4908" s="1338" t="s">
        <v>482</v>
      </c>
      <c r="O4908" s="1338" t="s">
        <v>483</v>
      </c>
      <c r="P4908" s="1338" t="s">
        <v>484</v>
      </c>
      <c r="Q4908" s="1338" t="s">
        <v>296</v>
      </c>
      <c r="R4908" s="1336" t="s">
        <v>296</v>
      </c>
      <c r="S4908" s="1338" t="s">
        <v>486</v>
      </c>
      <c r="T4908" s="1338" t="s">
        <v>487</v>
      </c>
      <c r="U4908" s="1340" t="s">
        <v>488</v>
      </c>
      <c r="V4908" s="291">
        <f t="shared" ca="1" si="1360"/>
        <v>0</v>
      </c>
      <c r="W4908" s="256">
        <f t="shared" ref="W4908" ca="1" si="1414">IF(LEFT(_xlfn.FORMULATEXT(V4908),3)="=SO",1,IF(COUNTA(A4908:U4908)=0,0,2))</f>
        <v>2</v>
      </c>
      <c r="X4908" s="256">
        <f t="shared" ref="X4908" ca="1" si="1415">IF(COUNTA(OFFSET(A4907,1,0))-COUNTA(A4907)=-1,0,1)</f>
        <v>1</v>
      </c>
    </row>
    <row r="4909" spans="1:24" s="614" customFormat="1" ht="15.75" hidden="1" x14ac:dyDescent="0.25">
      <c r="A4909" s="276"/>
      <c r="B4909" s="1375"/>
      <c r="C4909" s="1377"/>
      <c r="D4909" s="1342" t="s">
        <v>489</v>
      </c>
      <c r="E4909" s="1343"/>
      <c r="F4909" s="1344"/>
      <c r="G4909" s="1345" t="s">
        <v>490</v>
      </c>
      <c r="H4909" s="1346"/>
      <c r="I4909" s="1347"/>
      <c r="J4909" s="1339"/>
      <c r="K4909" s="1339"/>
      <c r="L4909" s="1339"/>
      <c r="M4909" s="1339"/>
      <c r="N4909" s="1339"/>
      <c r="O4909" s="1339"/>
      <c r="P4909" s="1339" t="s">
        <v>491</v>
      </c>
      <c r="Q4909" s="1339"/>
      <c r="R4909" s="1337"/>
      <c r="S4909" s="1339"/>
      <c r="T4909" s="1339"/>
      <c r="U4909" s="1341"/>
      <c r="V4909" s="291">
        <f t="shared" ca="1" si="1360"/>
        <v>0</v>
      </c>
      <c r="W4909" s="256">
        <f t="shared" ref="W4909:W4915" ca="1" si="1416">IF(LEFT(_xlfn.FORMULATEXT(V4909),3)="=SO",1,IF(COUNTA(A4909:U4909)=0,0,2))</f>
        <v>2</v>
      </c>
      <c r="X4909" s="256">
        <f t="shared" ref="X4909:X4915" ca="1" si="1417">IF(COUNTA(OFFSET(A4908,1,0))-COUNTA(A4908)=-1,0,1)</f>
        <v>1</v>
      </c>
    </row>
    <row r="4910" spans="1:24" s="614" customFormat="1" ht="15.75" hidden="1" x14ac:dyDescent="0.25">
      <c r="A4910" s="276"/>
      <c r="B4910" s="296"/>
      <c r="C4910" s="297"/>
      <c r="D4910" s="417"/>
      <c r="E4910" s="314"/>
      <c r="F4910" s="418"/>
      <c r="G4910" s="419"/>
      <c r="H4910" s="316"/>
      <c r="I4910" s="420"/>
      <c r="J4910" s="304"/>
      <c r="K4910" s="747"/>
      <c r="L4910" s="304"/>
      <c r="M4910" s="304"/>
      <c r="N4910" s="304"/>
      <c r="O4910" s="304"/>
      <c r="P4910" s="306"/>
      <c r="Q4910" s="304"/>
      <c r="R4910" s="307"/>
      <c r="S4910" s="308"/>
      <c r="T4910" s="309"/>
      <c r="U4910" s="310"/>
      <c r="V4910" s="291">
        <f t="shared" ca="1" si="1360"/>
        <v>0</v>
      </c>
      <c r="W4910" s="256">
        <f t="shared" ca="1" si="1416"/>
        <v>0</v>
      </c>
      <c r="X4910" s="256">
        <f t="shared" ca="1" si="1417"/>
        <v>1</v>
      </c>
    </row>
    <row r="4911" spans="1:24" s="614" customFormat="1" ht="15.75" hidden="1" x14ac:dyDescent="0.25">
      <c r="A4911" s="276"/>
      <c r="B4911" s="785"/>
      <c r="C4911" s="312"/>
      <c r="D4911" s="417"/>
      <c r="E4911" s="314"/>
      <c r="F4911" s="418"/>
      <c r="G4911" s="417"/>
      <c r="H4911" s="314"/>
      <c r="I4911" s="418"/>
      <c r="J4911" s="317"/>
      <c r="K4911" s="421"/>
      <c r="L4911" s="774"/>
      <c r="M4911" s="786"/>
      <c r="N4911" s="787"/>
      <c r="O4911" s="788"/>
      <c r="P4911" s="789"/>
      <c r="Q4911" s="786"/>
      <c r="R4911" s="790"/>
      <c r="S4911" s="791"/>
      <c r="T4911" s="792"/>
      <c r="U4911" s="793"/>
      <c r="V4911" s="291">
        <f t="shared" ca="1" si="1360"/>
        <v>0</v>
      </c>
      <c r="W4911" s="256">
        <f t="shared" ca="1" si="1416"/>
        <v>0</v>
      </c>
      <c r="X4911" s="256">
        <f t="shared" ca="1" si="1417"/>
        <v>1</v>
      </c>
    </row>
    <row r="4912" spans="1:24" s="614" customFormat="1" ht="15" hidden="1" x14ac:dyDescent="0.25">
      <c r="A4912" s="276"/>
      <c r="B4912" s="338"/>
      <c r="C4912" s="339"/>
      <c r="D4912" s="1348"/>
      <c r="E4912" s="1349"/>
      <c r="F4912" s="1350"/>
      <c r="G4912" s="1351"/>
      <c r="H4912" s="1352"/>
      <c r="I4912" s="1353"/>
      <c r="J4912" s="343"/>
      <c r="K4912" s="344"/>
      <c r="L4912" s="345"/>
      <c r="M4912" s="346"/>
      <c r="N4912" s="347"/>
      <c r="O4912" s="348"/>
      <c r="P4912" s="345"/>
      <c r="Q4912" s="349"/>
      <c r="R4912" s="350"/>
      <c r="S4912" s="351"/>
      <c r="T4912" s="352"/>
      <c r="U4912" s="353"/>
      <c r="V4912" s="291">
        <f t="shared" ca="1" si="1360"/>
        <v>0</v>
      </c>
      <c r="W4912" s="256">
        <f t="shared" ca="1" si="1416"/>
        <v>0</v>
      </c>
      <c r="X4912" s="256">
        <f t="shared" ca="1" si="1417"/>
        <v>1</v>
      </c>
    </row>
    <row r="4913" spans="1:24" s="614" customFormat="1" ht="15.75" hidden="1" x14ac:dyDescent="0.2">
      <c r="A4913" s="276"/>
      <c r="B4913" s="354"/>
      <c r="C4913" s="355"/>
      <c r="D4913" s="1354" t="s">
        <v>492</v>
      </c>
      <c r="E4913" s="1355"/>
      <c r="F4913" s="1355"/>
      <c r="G4913" s="1355"/>
      <c r="H4913" s="1355"/>
      <c r="I4913" s="1356"/>
      <c r="J4913" s="1357">
        <f>VLOOKUP(A4915,'11 - FINANCEIRO'!_xlnm.Print_Area,6,FALSE)</f>
        <v>1440</v>
      </c>
      <c r="K4913" s="1358"/>
      <c r="L4913" s="356" t="str">
        <f>VLOOKUP(A4915,'11 - FINANCEIRO'!_xlnm.Print_Area,4,FALSE)</f>
        <v>h</v>
      </c>
      <c r="M4913" s="1359" t="s">
        <v>493</v>
      </c>
      <c r="N4913" s="1360"/>
      <c r="O4913" s="1360"/>
      <c r="P4913" s="1360"/>
      <c r="Q4913" s="1361"/>
      <c r="R4913" s="357">
        <f>TRUNC(SUM(R4910:R4912),3)</f>
        <v>0</v>
      </c>
      <c r="S4913" s="358" t="str">
        <f>L4913</f>
        <v>h</v>
      </c>
      <c r="T4913" s="359"/>
      <c r="U4913" s="360"/>
      <c r="V4913" s="291">
        <f t="shared" ca="1" si="1360"/>
        <v>0</v>
      </c>
      <c r="W4913" s="256">
        <f t="shared" ca="1" si="1416"/>
        <v>2</v>
      </c>
      <c r="X4913" s="256">
        <f t="shared" ca="1" si="1417"/>
        <v>1</v>
      </c>
    </row>
    <row r="4914" spans="1:24" s="614" customFormat="1" ht="15.75" hidden="1" x14ac:dyDescent="0.2">
      <c r="A4914" s="276"/>
      <c r="B4914" s="354"/>
      <c r="C4914" s="361"/>
      <c r="D4914" s="1362" t="s">
        <v>494</v>
      </c>
      <c r="E4914" s="1363"/>
      <c r="F4914" s="1363"/>
      <c r="G4914" s="1363"/>
      <c r="H4914" s="1363"/>
      <c r="I4914" s="1364"/>
      <c r="J4914" s="1365">
        <f>R4913/J4913</f>
        <v>0</v>
      </c>
      <c r="K4914" s="1366"/>
      <c r="L4914" s="1369"/>
      <c r="M4914" s="1371" t="s">
        <v>495</v>
      </c>
      <c r="N4914" s="1372"/>
      <c r="O4914" s="1372"/>
      <c r="P4914" s="1372"/>
      <c r="Q4914" s="1373"/>
      <c r="R4914" s="362">
        <f>VLOOKUP(A4915,'11 - FINANCEIRO'!_xlnm.Print_Area,8,FALSE)</f>
        <v>0</v>
      </c>
      <c r="S4914" s="363" t="str">
        <f>L4913</f>
        <v>h</v>
      </c>
      <c r="T4914" s="359"/>
      <c r="U4914" s="360"/>
      <c r="V4914" s="291">
        <f t="shared" ca="1" si="1360"/>
        <v>0</v>
      </c>
      <c r="W4914" s="256">
        <f t="shared" ca="1" si="1416"/>
        <v>2</v>
      </c>
      <c r="X4914" s="256">
        <f t="shared" ca="1" si="1417"/>
        <v>1</v>
      </c>
    </row>
    <row r="4915" spans="1:24" s="614" customFormat="1" ht="15.75" hidden="1" x14ac:dyDescent="0.2">
      <c r="A4915" s="276" t="s">
        <v>1147</v>
      </c>
      <c r="B4915" s="364"/>
      <c r="C4915" s="365"/>
      <c r="D4915" s="1354"/>
      <c r="E4915" s="1355"/>
      <c r="F4915" s="1355"/>
      <c r="G4915" s="1355"/>
      <c r="H4915" s="1355"/>
      <c r="I4915" s="1356"/>
      <c r="J4915" s="1367"/>
      <c r="K4915" s="1368"/>
      <c r="L4915" s="1370"/>
      <c r="M4915" s="1371" t="s">
        <v>496</v>
      </c>
      <c r="N4915" s="1372"/>
      <c r="O4915" s="1372"/>
      <c r="P4915" s="1372"/>
      <c r="Q4915" s="1373"/>
      <c r="R4915" s="362">
        <f>R4913-R4914</f>
        <v>0</v>
      </c>
      <c r="S4915" s="363" t="str">
        <f>L4913</f>
        <v>h</v>
      </c>
      <c r="T4915" s="366"/>
      <c r="U4915" s="367"/>
      <c r="V4915" s="291">
        <f t="shared" ca="1" si="1360"/>
        <v>0</v>
      </c>
      <c r="W4915" s="256">
        <f t="shared" ca="1" si="1416"/>
        <v>2</v>
      </c>
      <c r="X4915" s="256">
        <f t="shared" ca="1" si="1417"/>
        <v>1</v>
      </c>
    </row>
    <row r="4916" spans="1:24" s="614" customFormat="1" ht="15.75" hidden="1" x14ac:dyDescent="0.2">
      <c r="A4916" s="276"/>
      <c r="B4916" s="368"/>
      <c r="C4916" s="365"/>
      <c r="D4916" s="369"/>
      <c r="E4916" s="370"/>
      <c r="F4916" s="369"/>
      <c r="G4916" s="369"/>
      <c r="H4916" s="369"/>
      <c r="I4916" s="369"/>
      <c r="J4916" s="371"/>
      <c r="K4916" s="372"/>
      <c r="L4916" s="373"/>
      <c r="M4916" s="374"/>
      <c r="N4916" s="374"/>
      <c r="O4916" s="374"/>
      <c r="P4916" s="374"/>
      <c r="Q4916" s="374"/>
      <c r="R4916" s="375"/>
      <c r="S4916" s="376"/>
      <c r="T4916" s="377"/>
      <c r="U4916" s="378"/>
      <c r="V4916" s="379">
        <f ca="1">SUM(V4908:V4915)</f>
        <v>0</v>
      </c>
      <c r="W4916" s="256">
        <f ca="1">IF(LEFT(_xlfn.FORMULATEXT(V4916),3)="=SO",1,IF(COUNTA(A4916:U4916)=0,0,2))</f>
        <v>1</v>
      </c>
      <c r="X4916" s="256">
        <f ca="1">IF(COUNTA(OFFSET(A4915,1,0))-COUNTA(A4915)=-1,0,1)</f>
        <v>0</v>
      </c>
    </row>
    <row r="4917" spans="1:24" s="614" customFormat="1" ht="15.75" hidden="1" x14ac:dyDescent="0.25">
      <c r="A4917" s="276"/>
      <c r="B4917" s="1374" t="s">
        <v>1148</v>
      </c>
      <c r="C4917" s="1376" t="str">
        <f>VLOOKUP(A4926,'11 - FINANCEIRO'!_xlnm.Print_Area,3,FALSE)</f>
        <v>Padrão Móvel de entrada de energia trifás., Realocação</v>
      </c>
      <c r="D4917" s="1378" t="s">
        <v>500</v>
      </c>
      <c r="E4917" s="1379"/>
      <c r="F4917" s="1379"/>
      <c r="G4917" s="1379"/>
      <c r="H4917" s="1379"/>
      <c r="I4917" s="1380"/>
      <c r="J4917" s="1338" t="s">
        <v>478</v>
      </c>
      <c r="K4917" s="1338" t="s">
        <v>479</v>
      </c>
      <c r="L4917" s="1338" t="s">
        <v>480</v>
      </c>
      <c r="M4917" s="1338" t="s">
        <v>481</v>
      </c>
      <c r="N4917" s="1338" t="s">
        <v>482</v>
      </c>
      <c r="O4917" s="1338" t="s">
        <v>483</v>
      </c>
      <c r="P4917" s="1338" t="s">
        <v>484</v>
      </c>
      <c r="Q4917" s="1338" t="s">
        <v>296</v>
      </c>
      <c r="R4917" s="1336" t="s">
        <v>296</v>
      </c>
      <c r="S4917" s="1338" t="s">
        <v>486</v>
      </c>
      <c r="T4917" s="1338" t="s">
        <v>487</v>
      </c>
      <c r="U4917" s="1340" t="s">
        <v>488</v>
      </c>
      <c r="V4917" s="291">
        <f t="shared" ca="1" si="1360"/>
        <v>0</v>
      </c>
      <c r="W4917" s="256">
        <f t="shared" ref="W4917" ca="1" si="1418">IF(LEFT(_xlfn.FORMULATEXT(V4917),3)="=SO",1,IF(COUNTA(A4917:U4917)=0,0,2))</f>
        <v>2</v>
      </c>
      <c r="X4917" s="256">
        <f t="shared" ref="X4917" ca="1" si="1419">IF(COUNTA(OFFSET(A4916,1,0))-COUNTA(A4916)=-1,0,1)</f>
        <v>1</v>
      </c>
    </row>
    <row r="4918" spans="1:24" s="614" customFormat="1" ht="15.75" hidden="1" x14ac:dyDescent="0.25">
      <c r="A4918" s="276"/>
      <c r="B4918" s="1375"/>
      <c r="C4918" s="1377"/>
      <c r="D4918" s="1342" t="s">
        <v>489</v>
      </c>
      <c r="E4918" s="1343"/>
      <c r="F4918" s="1344"/>
      <c r="G4918" s="1345" t="s">
        <v>490</v>
      </c>
      <c r="H4918" s="1346"/>
      <c r="I4918" s="1347"/>
      <c r="J4918" s="1339"/>
      <c r="K4918" s="1339"/>
      <c r="L4918" s="1339"/>
      <c r="M4918" s="1339"/>
      <c r="N4918" s="1339"/>
      <c r="O4918" s="1339"/>
      <c r="P4918" s="1339" t="s">
        <v>491</v>
      </c>
      <c r="Q4918" s="1339"/>
      <c r="R4918" s="1337"/>
      <c r="S4918" s="1339"/>
      <c r="T4918" s="1339"/>
      <c r="U4918" s="1341"/>
      <c r="V4918" s="291">
        <f t="shared" ca="1" si="1360"/>
        <v>0</v>
      </c>
      <c r="W4918" s="256">
        <f t="shared" ref="W4918:W4926" ca="1" si="1420">IF(LEFT(_xlfn.FORMULATEXT(V4918),3)="=SO",1,IF(COUNTA(A4918:U4918)=0,0,2))</f>
        <v>2</v>
      </c>
      <c r="X4918" s="256">
        <f t="shared" ref="X4918:X4926" ca="1" si="1421">IF(COUNTA(OFFSET(A4917,1,0))-COUNTA(A4917)=-1,0,1)</f>
        <v>1</v>
      </c>
    </row>
    <row r="4919" spans="1:24" s="614" customFormat="1" ht="15.75" hidden="1" x14ac:dyDescent="0.25">
      <c r="A4919" s="276"/>
      <c r="B4919" s="296"/>
      <c r="C4919" s="297" t="s">
        <v>1222</v>
      </c>
      <c r="D4919" s="417">
        <v>6</v>
      </c>
      <c r="E4919" s="314" t="s">
        <v>518</v>
      </c>
      <c r="F4919" s="418">
        <v>5</v>
      </c>
      <c r="G4919" s="738">
        <v>6</v>
      </c>
      <c r="H4919" s="552" t="s">
        <v>518</v>
      </c>
      <c r="I4919" s="752">
        <v>15</v>
      </c>
      <c r="J4919" s="304"/>
      <c r="K4919" s="747">
        <f t="shared" ref="K4919:K4920" si="1422">ABS((G4919*20+I4919)-(D4919*20+F4919))</f>
        <v>10</v>
      </c>
      <c r="L4919" s="304"/>
      <c r="M4919" s="304"/>
      <c r="N4919" s="304"/>
      <c r="O4919" s="304"/>
      <c r="P4919" s="306"/>
      <c r="Q4919" s="304"/>
      <c r="R4919" s="307">
        <f>K4919</f>
        <v>10</v>
      </c>
      <c r="S4919" s="308"/>
      <c r="T4919" s="309">
        <v>37</v>
      </c>
      <c r="U4919" s="310"/>
      <c r="V4919" s="291">
        <f t="shared" ref="V4919:V4926" ca="1" si="1423">IF(OFFSET(V4919,1,1)=1,OFFSET(V4919,0,-4),OFFSET(V4919,1,0))</f>
        <v>0</v>
      </c>
      <c r="W4919" s="256">
        <f t="shared" ca="1" si="1420"/>
        <v>2</v>
      </c>
      <c r="X4919" s="256">
        <f t="shared" ca="1" si="1421"/>
        <v>1</v>
      </c>
    </row>
    <row r="4920" spans="1:24" s="614" customFormat="1" ht="15.75" hidden="1" x14ac:dyDescent="0.25">
      <c r="A4920" s="276"/>
      <c r="B4920" s="785"/>
      <c r="C4920" s="312" t="s">
        <v>1223</v>
      </c>
      <c r="D4920" s="417">
        <v>60</v>
      </c>
      <c r="E4920" s="314" t="s">
        <v>518</v>
      </c>
      <c r="F4920" s="418">
        <v>0</v>
      </c>
      <c r="G4920" s="417">
        <v>58</v>
      </c>
      <c r="H4920" s="314" t="s">
        <v>518</v>
      </c>
      <c r="I4920" s="418">
        <v>10</v>
      </c>
      <c r="J4920" s="317"/>
      <c r="K4920" s="747">
        <f t="shared" si="1422"/>
        <v>30</v>
      </c>
      <c r="L4920" s="774"/>
      <c r="M4920" s="786"/>
      <c r="N4920" s="787"/>
      <c r="O4920" s="788"/>
      <c r="P4920" s="789"/>
      <c r="Q4920" s="786"/>
      <c r="R4920" s="790">
        <v>30</v>
      </c>
      <c r="S4920" s="791"/>
      <c r="T4920" s="792">
        <v>37</v>
      </c>
      <c r="U4920" s="793"/>
      <c r="V4920" s="291">
        <f t="shared" ca="1" si="1423"/>
        <v>0</v>
      </c>
      <c r="W4920" s="256">
        <f t="shared" ca="1" si="1420"/>
        <v>2</v>
      </c>
      <c r="X4920" s="256">
        <f t="shared" ca="1" si="1421"/>
        <v>1</v>
      </c>
    </row>
    <row r="4921" spans="1:24" s="614" customFormat="1" ht="15.75" hidden="1" x14ac:dyDescent="0.25">
      <c r="A4921" s="276"/>
      <c r="B4921" s="785"/>
      <c r="C4921" s="312" t="s">
        <v>1234</v>
      </c>
      <c r="D4921" s="417">
        <v>55</v>
      </c>
      <c r="E4921" s="314" t="s">
        <v>518</v>
      </c>
      <c r="F4921" s="418">
        <v>10</v>
      </c>
      <c r="G4921" s="417">
        <v>58</v>
      </c>
      <c r="H4921" s="314" t="s">
        <v>518</v>
      </c>
      <c r="I4921" s="418">
        <v>10</v>
      </c>
      <c r="J4921" s="317"/>
      <c r="K4921" s="433">
        <v>10</v>
      </c>
      <c r="L4921" s="774"/>
      <c r="M4921" s="786"/>
      <c r="N4921" s="787"/>
      <c r="O4921" s="788"/>
      <c r="P4921" s="789"/>
      <c r="Q4921" s="786"/>
      <c r="R4921" s="790">
        <f>K4921</f>
        <v>10</v>
      </c>
      <c r="S4921" s="791"/>
      <c r="T4921" s="792">
        <v>38</v>
      </c>
      <c r="U4921" s="793"/>
      <c r="V4921" s="291">
        <f t="shared" ca="1" si="1423"/>
        <v>0</v>
      </c>
      <c r="W4921" s="256">
        <f t="shared" ref="W4921:W4923" ca="1" si="1424">IF(LEFT(_xlfn.FORMULATEXT(V4921),3)="=SO",1,IF(COUNTA(A4921:U4921)=0,0,2))</f>
        <v>2</v>
      </c>
      <c r="X4921" s="256">
        <f t="shared" ref="X4921:X4923" ca="1" si="1425">IF(COUNTA(OFFSET(A4920,1,0))-COUNTA(A4920)=-1,0,1)</f>
        <v>1</v>
      </c>
    </row>
    <row r="4922" spans="1:24" s="614" customFormat="1" ht="15.75" hidden="1" x14ac:dyDescent="0.25">
      <c r="A4922" s="276"/>
      <c r="B4922" s="785"/>
      <c r="C4922" s="312" t="s">
        <v>1234</v>
      </c>
      <c r="D4922" s="417">
        <v>38</v>
      </c>
      <c r="E4922" s="314" t="s">
        <v>518</v>
      </c>
      <c r="F4922" s="418">
        <v>10</v>
      </c>
      <c r="G4922" s="417">
        <v>55</v>
      </c>
      <c r="H4922" s="314" t="s">
        <v>518</v>
      </c>
      <c r="I4922" s="418">
        <v>10</v>
      </c>
      <c r="J4922" s="317"/>
      <c r="K4922" s="433">
        <v>10</v>
      </c>
      <c r="L4922" s="774"/>
      <c r="M4922" s="786"/>
      <c r="N4922" s="787"/>
      <c r="O4922" s="1147"/>
      <c r="P4922" s="789"/>
      <c r="Q4922" s="786"/>
      <c r="R4922" s="790">
        <f>K4922</f>
        <v>10</v>
      </c>
      <c r="S4922" s="791"/>
      <c r="T4922" s="792">
        <v>43</v>
      </c>
      <c r="U4922" s="793"/>
      <c r="V4922" s="291">
        <f t="shared" ca="1" si="1423"/>
        <v>0</v>
      </c>
      <c r="W4922" s="256">
        <f t="shared" ca="1" si="1424"/>
        <v>2</v>
      </c>
      <c r="X4922" s="256">
        <f t="shared" ca="1" si="1425"/>
        <v>1</v>
      </c>
    </row>
    <row r="4923" spans="1:24" s="614" customFormat="1" ht="15" hidden="1" x14ac:dyDescent="0.25">
      <c r="A4923" s="276"/>
      <c r="B4923" s="338"/>
      <c r="C4923" s="339"/>
      <c r="D4923" s="1348"/>
      <c r="E4923" s="1349"/>
      <c r="F4923" s="1350"/>
      <c r="G4923" s="1351"/>
      <c r="H4923" s="1352"/>
      <c r="I4923" s="1353"/>
      <c r="J4923" s="343"/>
      <c r="K4923" s="344"/>
      <c r="L4923" s="345"/>
      <c r="M4923" s="346"/>
      <c r="N4923" s="347"/>
      <c r="O4923" s="348"/>
      <c r="P4923" s="345"/>
      <c r="Q4923" s="349"/>
      <c r="R4923" s="350"/>
      <c r="S4923" s="351"/>
      <c r="T4923" s="352"/>
      <c r="U4923" s="353"/>
      <c r="V4923" s="291">
        <f t="shared" ca="1" si="1423"/>
        <v>0</v>
      </c>
      <c r="W4923" s="256">
        <f t="shared" ca="1" si="1424"/>
        <v>0</v>
      </c>
      <c r="X4923" s="256">
        <f t="shared" ca="1" si="1425"/>
        <v>1</v>
      </c>
    </row>
    <row r="4924" spans="1:24" s="614" customFormat="1" ht="15.75" hidden="1" x14ac:dyDescent="0.2">
      <c r="A4924" s="276"/>
      <c r="B4924" s="354"/>
      <c r="C4924" s="355"/>
      <c r="D4924" s="1354" t="s">
        <v>492</v>
      </c>
      <c r="E4924" s="1355"/>
      <c r="F4924" s="1355"/>
      <c r="G4924" s="1355"/>
      <c r="H4924" s="1355"/>
      <c r="I4924" s="1356"/>
      <c r="J4924" s="1357">
        <f>VLOOKUP(A4926,'11 - FINANCEIRO'!_xlnm.Print_Area,6,FALSE)</f>
        <v>60</v>
      </c>
      <c r="K4924" s="1358"/>
      <c r="L4924" s="356" t="str">
        <f>VLOOKUP(A4926,'11 - FINANCEIRO'!_xlnm.Print_Area,4,FALSE)</f>
        <v>m</v>
      </c>
      <c r="M4924" s="1359" t="s">
        <v>493</v>
      </c>
      <c r="N4924" s="1360"/>
      <c r="O4924" s="1360"/>
      <c r="P4924" s="1360"/>
      <c r="Q4924" s="1361"/>
      <c r="R4924" s="357">
        <f>TRUNC(SUM(R4919:R4923),3)</f>
        <v>60</v>
      </c>
      <c r="S4924" s="358" t="str">
        <f>L4924</f>
        <v>m</v>
      </c>
      <c r="T4924" s="359"/>
      <c r="U4924" s="360"/>
      <c r="V4924" s="291">
        <f t="shared" ca="1" si="1423"/>
        <v>0</v>
      </c>
      <c r="W4924" s="256">
        <f t="shared" ca="1" si="1420"/>
        <v>2</v>
      </c>
      <c r="X4924" s="256">
        <f t="shared" ca="1" si="1421"/>
        <v>1</v>
      </c>
    </row>
    <row r="4925" spans="1:24" s="614" customFormat="1" ht="15.75" hidden="1" x14ac:dyDescent="0.2">
      <c r="A4925" s="276"/>
      <c r="B4925" s="354"/>
      <c r="C4925" s="361"/>
      <c r="D4925" s="1362" t="s">
        <v>494</v>
      </c>
      <c r="E4925" s="1363"/>
      <c r="F4925" s="1363"/>
      <c r="G4925" s="1363"/>
      <c r="H4925" s="1363"/>
      <c r="I4925" s="1364"/>
      <c r="J4925" s="1365">
        <f>R4924/J4924</f>
        <v>1</v>
      </c>
      <c r="K4925" s="1366"/>
      <c r="L4925" s="1369"/>
      <c r="M4925" s="1371" t="s">
        <v>495</v>
      </c>
      <c r="N4925" s="1372"/>
      <c r="O4925" s="1372"/>
      <c r="P4925" s="1372"/>
      <c r="Q4925" s="1373"/>
      <c r="R4925" s="362">
        <f>VLOOKUP(A4926,'11 - FINANCEIRO'!_xlnm.Print_Area,8,FALSE)</f>
        <v>60</v>
      </c>
      <c r="S4925" s="363" t="str">
        <f>L4924</f>
        <v>m</v>
      </c>
      <c r="T4925" s="359"/>
      <c r="U4925" s="360"/>
      <c r="V4925" s="291">
        <f t="shared" ca="1" si="1423"/>
        <v>0</v>
      </c>
      <c r="W4925" s="256">
        <f t="shared" ca="1" si="1420"/>
        <v>2</v>
      </c>
      <c r="X4925" s="256">
        <f t="shared" ca="1" si="1421"/>
        <v>1</v>
      </c>
    </row>
    <row r="4926" spans="1:24" s="614" customFormat="1" ht="15.75" hidden="1" x14ac:dyDescent="0.2">
      <c r="A4926" s="276" t="s">
        <v>1148</v>
      </c>
      <c r="B4926" s="364"/>
      <c r="C4926" s="365"/>
      <c r="D4926" s="1354"/>
      <c r="E4926" s="1355"/>
      <c r="F4926" s="1355"/>
      <c r="G4926" s="1355"/>
      <c r="H4926" s="1355"/>
      <c r="I4926" s="1356"/>
      <c r="J4926" s="1367"/>
      <c r="K4926" s="1368"/>
      <c r="L4926" s="1370"/>
      <c r="M4926" s="1371" t="s">
        <v>496</v>
      </c>
      <c r="N4926" s="1372"/>
      <c r="O4926" s="1372"/>
      <c r="P4926" s="1372"/>
      <c r="Q4926" s="1373"/>
      <c r="R4926" s="362">
        <f>R4924-R4925</f>
        <v>0</v>
      </c>
      <c r="S4926" s="363" t="str">
        <f>L4924</f>
        <v>m</v>
      </c>
      <c r="T4926" s="366"/>
      <c r="U4926" s="367"/>
      <c r="V4926" s="291">
        <f t="shared" ca="1" si="1423"/>
        <v>0</v>
      </c>
      <c r="W4926" s="256">
        <f t="shared" ca="1" si="1420"/>
        <v>2</v>
      </c>
      <c r="X4926" s="256">
        <f t="shared" ca="1" si="1421"/>
        <v>1</v>
      </c>
    </row>
    <row r="4927" spans="1:24" s="614" customFormat="1" ht="15.75" hidden="1" x14ac:dyDescent="0.2">
      <c r="A4927" s="276"/>
      <c r="B4927" s="368"/>
      <c r="C4927" s="365"/>
      <c r="D4927" s="369"/>
      <c r="E4927" s="370"/>
      <c r="F4927" s="369"/>
      <c r="G4927" s="369"/>
      <c r="H4927" s="369"/>
      <c r="I4927" s="369"/>
      <c r="J4927" s="371"/>
      <c r="K4927" s="372"/>
      <c r="L4927" s="373"/>
      <c r="M4927" s="374"/>
      <c r="N4927" s="374"/>
      <c r="O4927" s="374"/>
      <c r="P4927" s="374"/>
      <c r="Q4927" s="374"/>
      <c r="R4927" s="375"/>
      <c r="S4927" s="376"/>
      <c r="T4927" s="377"/>
      <c r="U4927" s="378"/>
      <c r="V4927" s="379">
        <f ca="1">SUM(V4917:V4926)</f>
        <v>0</v>
      </c>
      <c r="W4927" s="256">
        <f ca="1">IF(LEFT(_xlfn.FORMULATEXT(V4927),3)="=SO",1,IF(COUNTA(A4927:U4927)=0,0,2))</f>
        <v>1</v>
      </c>
      <c r="X4927" s="256">
        <f ca="1">IF(COUNTA(OFFSET(A4926,1,0))-COUNTA(A4926)=-1,0,1)</f>
        <v>0</v>
      </c>
    </row>
    <row r="4928" spans="1:24" s="614" customFormat="1" ht="15.75" x14ac:dyDescent="0.25">
      <c r="A4928" s="276"/>
      <c r="B4928" s="1374" t="s">
        <v>1336</v>
      </c>
      <c r="C4928" s="1376" t="str">
        <f>VLOOKUP(A4945,'11 - FINANCEIRO'!_xlnm.Print_Area,3,FALSE)</f>
        <v>Conjunto moto bomba centrifuga 6", a diesel/gasolina, 13 cv, com acessórios</v>
      </c>
      <c r="D4928" s="1378" t="s">
        <v>500</v>
      </c>
      <c r="E4928" s="1379"/>
      <c r="F4928" s="1379"/>
      <c r="G4928" s="1379"/>
      <c r="H4928" s="1379"/>
      <c r="I4928" s="1380"/>
      <c r="J4928" s="1338" t="s">
        <v>478</v>
      </c>
      <c r="K4928" s="1338" t="s">
        <v>479</v>
      </c>
      <c r="L4928" s="1338" t="s">
        <v>480</v>
      </c>
      <c r="M4928" s="1338" t="s">
        <v>481</v>
      </c>
      <c r="N4928" s="1338" t="s">
        <v>482</v>
      </c>
      <c r="O4928" s="1338" t="s">
        <v>483</v>
      </c>
      <c r="P4928" s="1338" t="s">
        <v>484</v>
      </c>
      <c r="Q4928" s="1338" t="s">
        <v>296</v>
      </c>
      <c r="R4928" s="1336" t="s">
        <v>296</v>
      </c>
      <c r="S4928" s="1338" t="s">
        <v>486</v>
      </c>
      <c r="T4928" s="1338" t="s">
        <v>487</v>
      </c>
      <c r="U4928" s="1340" t="s">
        <v>488</v>
      </c>
      <c r="V4928" s="291">
        <f t="shared" ref="V4928:V5011" ca="1" si="1426">IF(OFFSET(V4928,1,1)=1,OFFSET(V4928,0,-4),OFFSET(V4928,1,0))</f>
        <v>8</v>
      </c>
      <c r="W4928" s="256">
        <f t="shared" ref="W4928:W4945" ca="1" si="1427">IF(LEFT(_xlfn.FORMULATEXT(V4928),3)="=SO",1,IF(COUNTA(A4928:U4928)=0,0,2))</f>
        <v>2</v>
      </c>
      <c r="X4928" s="256">
        <f t="shared" ref="X4928:X4945" ca="1" si="1428">IF(COUNTA(OFFSET(A4927,1,0))-COUNTA(A4927)=-1,0,1)</f>
        <v>1</v>
      </c>
    </row>
    <row r="4929" spans="1:24" s="614" customFormat="1" ht="15.75" x14ac:dyDescent="0.25">
      <c r="A4929" s="276"/>
      <c r="B4929" s="1375"/>
      <c r="C4929" s="1377"/>
      <c r="D4929" s="1342" t="s">
        <v>489</v>
      </c>
      <c r="E4929" s="1343"/>
      <c r="F4929" s="1344"/>
      <c r="G4929" s="1345" t="s">
        <v>490</v>
      </c>
      <c r="H4929" s="1346"/>
      <c r="I4929" s="1347"/>
      <c r="J4929" s="1339"/>
      <c r="K4929" s="1339"/>
      <c r="L4929" s="1339"/>
      <c r="M4929" s="1339"/>
      <c r="N4929" s="1339"/>
      <c r="O4929" s="1339"/>
      <c r="P4929" s="1339" t="s">
        <v>491</v>
      </c>
      <c r="Q4929" s="1339"/>
      <c r="R4929" s="1337"/>
      <c r="S4929" s="1339"/>
      <c r="T4929" s="1339"/>
      <c r="U4929" s="1341"/>
      <c r="V4929" s="291">
        <f t="shared" ca="1" si="1426"/>
        <v>8</v>
      </c>
      <c r="W4929" s="256">
        <f t="shared" ca="1" si="1427"/>
        <v>2</v>
      </c>
      <c r="X4929" s="256">
        <f t="shared" ca="1" si="1428"/>
        <v>1</v>
      </c>
    </row>
    <row r="4930" spans="1:24" s="614" customFormat="1" ht="15.75" x14ac:dyDescent="0.25">
      <c r="A4930" s="276"/>
      <c r="B4930" s="296"/>
      <c r="C4930" s="312" t="s">
        <v>1381</v>
      </c>
      <c r="D4930" s="417"/>
      <c r="E4930" s="314"/>
      <c r="F4930" s="418"/>
      <c r="G4930" s="417"/>
      <c r="H4930" s="314"/>
      <c r="I4930" s="418"/>
      <c r="J4930" s="317"/>
      <c r="K4930" s="433"/>
      <c r="L4930" s="317"/>
      <c r="M4930" s="315"/>
      <c r="N4930" s="314"/>
      <c r="O4930" s="313"/>
      <c r="P4930" s="318"/>
      <c r="Q4930" s="315"/>
      <c r="R4930" s="319">
        <v>1</v>
      </c>
      <c r="S4930" s="398"/>
      <c r="T4930" s="320">
        <v>44</v>
      </c>
      <c r="U4930" s="320" t="s">
        <v>1382</v>
      </c>
      <c r="V4930" s="291">
        <f t="shared" ca="1" si="1426"/>
        <v>8</v>
      </c>
      <c r="W4930" s="256">
        <f t="shared" ref="W4930:W4942" ca="1" si="1429">IF(LEFT(_xlfn.FORMULATEXT(V4930),3)="=SO",1,IF(COUNTA(A4930:U4930)=0,0,2))</f>
        <v>2</v>
      </c>
      <c r="X4930" s="256">
        <f t="shared" ref="X4930:X4942" ca="1" si="1430">IF(COUNTA(OFFSET(A4929,1,0))-COUNTA(A4929)=-1,0,1)</f>
        <v>1</v>
      </c>
    </row>
    <row r="4931" spans="1:24" s="614" customFormat="1" ht="15.75" x14ac:dyDescent="0.2">
      <c r="A4931" s="276"/>
      <c r="B4931" s="1205"/>
      <c r="C4931" s="312" t="s">
        <v>1383</v>
      </c>
      <c r="D4931" s="417"/>
      <c r="E4931" s="314"/>
      <c r="F4931" s="418"/>
      <c r="G4931" s="417"/>
      <c r="H4931" s="314"/>
      <c r="I4931" s="418"/>
      <c r="J4931" s="317"/>
      <c r="K4931" s="433"/>
      <c r="L4931" s="317"/>
      <c r="M4931" s="315"/>
      <c r="N4931" s="314"/>
      <c r="O4931" s="313"/>
      <c r="P4931" s="318"/>
      <c r="Q4931" s="315"/>
      <c r="R4931" s="319">
        <v>1</v>
      </c>
      <c r="S4931" s="398"/>
      <c r="T4931" s="320">
        <v>44</v>
      </c>
      <c r="U4931" s="1217"/>
      <c r="V4931" s="291">
        <f t="shared" ca="1" si="1426"/>
        <v>8</v>
      </c>
      <c r="W4931" s="256">
        <f t="shared" ca="1" si="1429"/>
        <v>2</v>
      </c>
      <c r="X4931" s="256">
        <f t="shared" ca="1" si="1430"/>
        <v>1</v>
      </c>
    </row>
    <row r="4932" spans="1:24" s="614" customFormat="1" ht="15.75" x14ac:dyDescent="0.2">
      <c r="A4932" s="276"/>
      <c r="B4932" s="1205"/>
      <c r="C4932" s="312" t="s">
        <v>1384</v>
      </c>
      <c r="D4932" s="417"/>
      <c r="E4932" s="314"/>
      <c r="F4932" s="418"/>
      <c r="G4932" s="417"/>
      <c r="H4932" s="314"/>
      <c r="I4932" s="418"/>
      <c r="J4932" s="317"/>
      <c r="K4932" s="433"/>
      <c r="L4932" s="317"/>
      <c r="M4932" s="315"/>
      <c r="N4932" s="314"/>
      <c r="O4932" s="313"/>
      <c r="P4932" s="318"/>
      <c r="Q4932" s="315"/>
      <c r="R4932" s="319">
        <v>1</v>
      </c>
      <c r="S4932" s="398"/>
      <c r="T4932" s="320">
        <v>44</v>
      </c>
      <c r="U4932" s="1217"/>
      <c r="V4932" s="291">
        <f t="shared" ca="1" si="1426"/>
        <v>8</v>
      </c>
      <c r="W4932" s="256">
        <f t="shared" ca="1" si="1429"/>
        <v>2</v>
      </c>
      <c r="X4932" s="256">
        <f t="shared" ca="1" si="1430"/>
        <v>1</v>
      </c>
    </row>
    <row r="4933" spans="1:24" s="614" customFormat="1" ht="15.75" x14ac:dyDescent="0.2">
      <c r="A4933" s="276"/>
      <c r="B4933" s="1205"/>
      <c r="C4933" s="312" t="s">
        <v>1385</v>
      </c>
      <c r="D4933" s="417"/>
      <c r="E4933" s="314"/>
      <c r="F4933" s="418"/>
      <c r="G4933" s="417"/>
      <c r="H4933" s="314"/>
      <c r="I4933" s="418"/>
      <c r="J4933" s="317"/>
      <c r="K4933" s="433"/>
      <c r="L4933" s="317"/>
      <c r="M4933" s="315"/>
      <c r="N4933" s="314"/>
      <c r="O4933" s="313"/>
      <c r="P4933" s="318"/>
      <c r="Q4933" s="315"/>
      <c r="R4933" s="319">
        <v>1</v>
      </c>
      <c r="S4933" s="398"/>
      <c r="T4933" s="320">
        <v>44</v>
      </c>
      <c r="U4933" s="1217"/>
      <c r="V4933" s="291">
        <f t="shared" ca="1" si="1426"/>
        <v>8</v>
      </c>
      <c r="W4933" s="256">
        <f t="shared" ca="1" si="1429"/>
        <v>2</v>
      </c>
      <c r="X4933" s="256">
        <f t="shared" ca="1" si="1430"/>
        <v>1</v>
      </c>
    </row>
    <row r="4934" spans="1:24" s="614" customFormat="1" ht="15.75" x14ac:dyDescent="0.2">
      <c r="A4934" s="276"/>
      <c r="B4934" s="1205"/>
      <c r="C4934" s="312" t="s">
        <v>1386</v>
      </c>
      <c r="D4934" s="417"/>
      <c r="E4934" s="314"/>
      <c r="F4934" s="418"/>
      <c r="G4934" s="417"/>
      <c r="H4934" s="314"/>
      <c r="I4934" s="418"/>
      <c r="J4934" s="317"/>
      <c r="K4934" s="433"/>
      <c r="L4934" s="317"/>
      <c r="M4934" s="315"/>
      <c r="N4934" s="314"/>
      <c r="O4934" s="313"/>
      <c r="P4934" s="318"/>
      <c r="Q4934" s="315"/>
      <c r="R4934" s="319">
        <v>1</v>
      </c>
      <c r="S4934" s="398"/>
      <c r="T4934" s="320">
        <v>44</v>
      </c>
      <c r="U4934" s="1217"/>
      <c r="V4934" s="291">
        <f t="shared" ca="1" si="1426"/>
        <v>8</v>
      </c>
      <c r="W4934" s="256">
        <f t="shared" ca="1" si="1429"/>
        <v>2</v>
      </c>
      <c r="X4934" s="256">
        <f t="shared" ca="1" si="1430"/>
        <v>1</v>
      </c>
    </row>
    <row r="4935" spans="1:24" s="614" customFormat="1" ht="15.75" x14ac:dyDescent="0.2">
      <c r="A4935" s="276"/>
      <c r="B4935" s="1205"/>
      <c r="C4935" s="312" t="s">
        <v>1387</v>
      </c>
      <c r="D4935" s="417"/>
      <c r="E4935" s="314"/>
      <c r="F4935" s="418"/>
      <c r="G4935" s="417"/>
      <c r="H4935" s="314"/>
      <c r="I4935" s="418"/>
      <c r="J4935" s="317"/>
      <c r="K4935" s="433"/>
      <c r="L4935" s="317"/>
      <c r="M4935" s="315"/>
      <c r="N4935" s="314"/>
      <c r="O4935" s="313"/>
      <c r="P4935" s="318"/>
      <c r="Q4935" s="315"/>
      <c r="R4935" s="319">
        <v>1</v>
      </c>
      <c r="S4935" s="398"/>
      <c r="T4935" s="320">
        <v>44</v>
      </c>
      <c r="U4935" s="1217"/>
      <c r="V4935" s="291">
        <f t="shared" ca="1" si="1426"/>
        <v>8</v>
      </c>
      <c r="W4935" s="256">
        <f t="shared" ca="1" si="1429"/>
        <v>2</v>
      </c>
      <c r="X4935" s="256">
        <f t="shared" ca="1" si="1430"/>
        <v>1</v>
      </c>
    </row>
    <row r="4936" spans="1:24" s="614" customFormat="1" ht="15.75" x14ac:dyDescent="0.2">
      <c r="A4936" s="276"/>
      <c r="B4936" s="1205"/>
      <c r="C4936" s="312" t="s">
        <v>1388</v>
      </c>
      <c r="D4936" s="417"/>
      <c r="E4936" s="314"/>
      <c r="F4936" s="418"/>
      <c r="G4936" s="417"/>
      <c r="H4936" s="314"/>
      <c r="I4936" s="418"/>
      <c r="J4936" s="317"/>
      <c r="K4936" s="433"/>
      <c r="L4936" s="317"/>
      <c r="M4936" s="315"/>
      <c r="N4936" s="314"/>
      <c r="O4936" s="313"/>
      <c r="P4936" s="318"/>
      <c r="Q4936" s="315"/>
      <c r="R4936" s="319">
        <v>1</v>
      </c>
      <c r="S4936" s="398"/>
      <c r="T4936" s="320">
        <v>44</v>
      </c>
      <c r="U4936" s="1217"/>
      <c r="V4936" s="291">
        <f t="shared" ca="1" si="1426"/>
        <v>8</v>
      </c>
      <c r="W4936" s="256">
        <f t="shared" ca="1" si="1429"/>
        <v>2</v>
      </c>
      <c r="X4936" s="256">
        <f t="shared" ca="1" si="1430"/>
        <v>1</v>
      </c>
    </row>
    <row r="4937" spans="1:24" s="614" customFormat="1" ht="15.75" x14ac:dyDescent="0.2">
      <c r="A4937" s="276"/>
      <c r="B4937" s="1205"/>
      <c r="C4937" s="312" t="s">
        <v>1389</v>
      </c>
      <c r="D4937" s="417"/>
      <c r="E4937" s="314"/>
      <c r="F4937" s="418"/>
      <c r="G4937" s="417"/>
      <c r="H4937" s="314"/>
      <c r="I4937" s="418"/>
      <c r="J4937" s="317"/>
      <c r="K4937" s="433"/>
      <c r="L4937" s="317"/>
      <c r="M4937" s="315"/>
      <c r="N4937" s="314"/>
      <c r="O4937" s="313"/>
      <c r="P4937" s="318"/>
      <c r="Q4937" s="315"/>
      <c r="R4937" s="319">
        <v>1</v>
      </c>
      <c r="S4937" s="398"/>
      <c r="T4937" s="320">
        <v>44</v>
      </c>
      <c r="U4937" s="1217"/>
      <c r="V4937" s="291">
        <f t="shared" ca="1" si="1426"/>
        <v>8</v>
      </c>
      <c r="W4937" s="256">
        <f t="shared" ca="1" si="1429"/>
        <v>2</v>
      </c>
      <c r="X4937" s="256">
        <f t="shared" ca="1" si="1430"/>
        <v>1</v>
      </c>
    </row>
    <row r="4938" spans="1:24" s="614" customFormat="1" ht="15.75" x14ac:dyDescent="0.25">
      <c r="A4938" s="276"/>
      <c r="B4938" s="1205"/>
      <c r="C4938" s="426"/>
      <c r="D4938" s="417"/>
      <c r="E4938" s="314"/>
      <c r="F4938" s="418"/>
      <c r="G4938" s="419"/>
      <c r="H4938" s="316"/>
      <c r="I4938" s="420"/>
      <c r="J4938" s="1110"/>
      <c r="K4938" s="1148"/>
      <c r="L4938" s="1206"/>
      <c r="M4938" s="786"/>
      <c r="N4938" s="972"/>
      <c r="O4938" s="1147"/>
      <c r="P4938" s="1207"/>
      <c r="Q4938" s="786"/>
      <c r="R4938" s="1208"/>
      <c r="S4938" s="1201"/>
      <c r="T4938" s="1202"/>
      <c r="U4938" s="1209"/>
      <c r="V4938" s="291">
        <f t="shared" ca="1" si="1426"/>
        <v>8</v>
      </c>
      <c r="W4938" s="256">
        <f t="shared" ca="1" si="1429"/>
        <v>0</v>
      </c>
      <c r="X4938" s="256">
        <f t="shared" ca="1" si="1430"/>
        <v>1</v>
      </c>
    </row>
    <row r="4939" spans="1:24" s="614" customFormat="1" ht="15.75" x14ac:dyDescent="0.25">
      <c r="A4939" s="276"/>
      <c r="B4939" s="1205"/>
      <c r="C4939" s="426"/>
      <c r="D4939" s="417"/>
      <c r="E4939" s="314"/>
      <c r="F4939" s="418"/>
      <c r="G4939" s="419"/>
      <c r="H4939" s="316"/>
      <c r="I4939" s="420"/>
      <c r="J4939" s="1110"/>
      <c r="K4939" s="1148"/>
      <c r="L4939" s="1206"/>
      <c r="M4939" s="786"/>
      <c r="N4939" s="972"/>
      <c r="O4939" s="1147"/>
      <c r="P4939" s="1207"/>
      <c r="Q4939" s="786"/>
      <c r="R4939" s="1208"/>
      <c r="S4939" s="1201"/>
      <c r="T4939" s="1202"/>
      <c r="U4939" s="1209"/>
      <c r="V4939" s="291">
        <f t="shared" ca="1" si="1426"/>
        <v>8</v>
      </c>
      <c r="W4939" s="256">
        <f t="shared" ca="1" si="1429"/>
        <v>0</v>
      </c>
      <c r="X4939" s="256">
        <f t="shared" ca="1" si="1430"/>
        <v>1</v>
      </c>
    </row>
    <row r="4940" spans="1:24" s="614" customFormat="1" ht="15.75" x14ac:dyDescent="0.25">
      <c r="A4940" s="276"/>
      <c r="B4940" s="1205"/>
      <c r="C4940" s="426"/>
      <c r="D4940" s="417"/>
      <c r="E4940" s="314"/>
      <c r="F4940" s="418"/>
      <c r="G4940" s="419"/>
      <c r="H4940" s="316"/>
      <c r="I4940" s="420"/>
      <c r="J4940" s="1110"/>
      <c r="K4940" s="1148"/>
      <c r="L4940" s="1206"/>
      <c r="M4940" s="786"/>
      <c r="N4940" s="972"/>
      <c r="O4940" s="1147"/>
      <c r="P4940" s="1207"/>
      <c r="Q4940" s="786"/>
      <c r="R4940" s="1208"/>
      <c r="S4940" s="1201"/>
      <c r="T4940" s="1202"/>
      <c r="U4940" s="1209"/>
      <c r="V4940" s="291">
        <f t="shared" ca="1" si="1426"/>
        <v>8</v>
      </c>
      <c r="W4940" s="256">
        <f t="shared" ca="1" si="1429"/>
        <v>0</v>
      </c>
      <c r="X4940" s="256">
        <f t="shared" ca="1" si="1430"/>
        <v>1</v>
      </c>
    </row>
    <row r="4941" spans="1:24" s="614" customFormat="1" ht="15.75" x14ac:dyDescent="0.25">
      <c r="A4941" s="276"/>
      <c r="B4941" s="785"/>
      <c r="C4941" s="312"/>
      <c r="D4941" s="417"/>
      <c r="E4941" s="314"/>
      <c r="F4941" s="418"/>
      <c r="G4941" s="417"/>
      <c r="H4941" s="314"/>
      <c r="I4941" s="418"/>
      <c r="J4941" s="317"/>
      <c r="K4941" s="421"/>
      <c r="L4941" s="774"/>
      <c r="M4941" s="786"/>
      <c r="N4941" s="787"/>
      <c r="O4941" s="788"/>
      <c r="P4941" s="789"/>
      <c r="Q4941" s="786"/>
      <c r="R4941" s="790"/>
      <c r="S4941" s="791"/>
      <c r="T4941" s="792"/>
      <c r="U4941" s="793"/>
      <c r="V4941" s="291">
        <f t="shared" ca="1" si="1426"/>
        <v>8</v>
      </c>
      <c r="W4941" s="256">
        <f t="shared" ca="1" si="1429"/>
        <v>0</v>
      </c>
      <c r="X4941" s="256">
        <f t="shared" ca="1" si="1430"/>
        <v>1</v>
      </c>
    </row>
    <row r="4942" spans="1:24" s="614" customFormat="1" ht="15" x14ac:dyDescent="0.25">
      <c r="A4942" s="276"/>
      <c r="B4942" s="338"/>
      <c r="C4942" s="339"/>
      <c r="D4942" s="1348"/>
      <c r="E4942" s="1349"/>
      <c r="F4942" s="1350"/>
      <c r="G4942" s="1351"/>
      <c r="H4942" s="1352"/>
      <c r="I4942" s="1353"/>
      <c r="J4942" s="343"/>
      <c r="K4942" s="344"/>
      <c r="L4942" s="345"/>
      <c r="M4942" s="346"/>
      <c r="N4942" s="347"/>
      <c r="O4942" s="348"/>
      <c r="P4942" s="345"/>
      <c r="Q4942" s="349"/>
      <c r="R4942" s="350"/>
      <c r="S4942" s="351"/>
      <c r="T4942" s="352"/>
      <c r="U4942" s="353"/>
      <c r="V4942" s="291">
        <f t="shared" ca="1" si="1426"/>
        <v>8</v>
      </c>
      <c r="W4942" s="256">
        <f t="shared" ca="1" si="1429"/>
        <v>0</v>
      </c>
      <c r="X4942" s="256">
        <f t="shared" ca="1" si="1430"/>
        <v>1</v>
      </c>
    </row>
    <row r="4943" spans="1:24" s="614" customFormat="1" ht="15.75" x14ac:dyDescent="0.25">
      <c r="A4943" s="276"/>
      <c r="B4943" s="354"/>
      <c r="C4943" s="355"/>
      <c r="D4943" s="1354" t="s">
        <v>492</v>
      </c>
      <c r="E4943" s="1355"/>
      <c r="F4943" s="1355"/>
      <c r="G4943" s="1355"/>
      <c r="H4943" s="1355"/>
      <c r="I4943" s="1356"/>
      <c r="J4943" s="1357">
        <f>VLOOKUP(A4945,'11 - FINANCEIRO'!_xlnm.Print_Area,6,FALSE)</f>
        <v>11</v>
      </c>
      <c r="K4943" s="1358"/>
      <c r="L4943" s="356" t="str">
        <f>VLOOKUP(A4945,'11 - FINANCEIRO'!_xlnm.Print_Area,4,FALSE)</f>
        <v>mês</v>
      </c>
      <c r="M4943" s="1359" t="s">
        <v>493</v>
      </c>
      <c r="N4943" s="1360"/>
      <c r="O4943" s="1360"/>
      <c r="P4943" s="1360"/>
      <c r="Q4943" s="1361"/>
      <c r="R4943" s="357">
        <f>TRUNC(SUM(R4930:R4942),3)</f>
        <v>8</v>
      </c>
      <c r="S4943" s="358" t="str">
        <f>L4943</f>
        <v>mês</v>
      </c>
      <c r="T4943" s="1384"/>
      <c r="U4943" s="1385"/>
      <c r="V4943" s="291">
        <f t="shared" ca="1" si="1426"/>
        <v>8</v>
      </c>
      <c r="W4943" s="256">
        <f t="shared" ref="W4943" ca="1" si="1431">IF(LEFT(_xlfn.FORMULATEXT(V4943),3)="=SO",1,IF(COUNTA(A4943:U4943)=0,0,2))</f>
        <v>2</v>
      </c>
      <c r="X4943" s="256">
        <f t="shared" ref="X4943" ca="1" si="1432">IF(COUNTA(OFFSET(A4942,1,0))-COUNTA(A4942)=-1,0,1)</f>
        <v>1</v>
      </c>
    </row>
    <row r="4944" spans="1:24" s="614" customFormat="1" ht="15.75" x14ac:dyDescent="0.25">
      <c r="A4944" s="276"/>
      <c r="B4944" s="354"/>
      <c r="C4944" s="361"/>
      <c r="D4944" s="1362" t="s">
        <v>494</v>
      </c>
      <c r="E4944" s="1363"/>
      <c r="F4944" s="1363"/>
      <c r="G4944" s="1363"/>
      <c r="H4944" s="1363"/>
      <c r="I4944" s="1364"/>
      <c r="J4944" s="1365">
        <f>R4943/J4943</f>
        <v>0.72727272727272729</v>
      </c>
      <c r="K4944" s="1366"/>
      <c r="L4944" s="1369"/>
      <c r="M4944" s="1371" t="s">
        <v>495</v>
      </c>
      <c r="N4944" s="1372"/>
      <c r="O4944" s="1372"/>
      <c r="P4944" s="1372"/>
      <c r="Q4944" s="1373"/>
      <c r="R4944" s="362">
        <f>VLOOKUP(A4945,'11 - FINANCEIRO'!_xlnm.Print_Area,8,FALSE)</f>
        <v>0</v>
      </c>
      <c r="S4944" s="363" t="str">
        <f>L4943</f>
        <v>mês</v>
      </c>
      <c r="T4944" s="1386"/>
      <c r="U4944" s="1387"/>
      <c r="V4944" s="291">
        <f t="shared" ca="1" si="1426"/>
        <v>8</v>
      </c>
      <c r="W4944" s="256">
        <f t="shared" ca="1" si="1427"/>
        <v>2</v>
      </c>
      <c r="X4944" s="256">
        <f t="shared" ca="1" si="1428"/>
        <v>1</v>
      </c>
    </row>
    <row r="4945" spans="1:24" s="614" customFormat="1" ht="15.75" x14ac:dyDescent="0.25">
      <c r="A4945" s="276" t="s">
        <v>1336</v>
      </c>
      <c r="B4945" s="364"/>
      <c r="C4945" s="365"/>
      <c r="D4945" s="1354"/>
      <c r="E4945" s="1355"/>
      <c r="F4945" s="1355"/>
      <c r="G4945" s="1355"/>
      <c r="H4945" s="1355"/>
      <c r="I4945" s="1356"/>
      <c r="J4945" s="1367"/>
      <c r="K4945" s="1368"/>
      <c r="L4945" s="1370"/>
      <c r="M4945" s="1371" t="s">
        <v>496</v>
      </c>
      <c r="N4945" s="1372"/>
      <c r="O4945" s="1372"/>
      <c r="P4945" s="1372"/>
      <c r="Q4945" s="1373"/>
      <c r="R4945" s="362">
        <f>R4943-R4944</f>
        <v>8</v>
      </c>
      <c r="S4945" s="363" t="str">
        <f>L4943</f>
        <v>mês</v>
      </c>
      <c r="T4945" s="1388"/>
      <c r="U4945" s="1389"/>
      <c r="V4945" s="291">
        <f t="shared" ca="1" si="1426"/>
        <v>8</v>
      </c>
      <c r="W4945" s="256">
        <f t="shared" ca="1" si="1427"/>
        <v>2</v>
      </c>
      <c r="X4945" s="256">
        <f t="shared" ca="1" si="1428"/>
        <v>1</v>
      </c>
    </row>
    <row r="4946" spans="1:24" s="614" customFormat="1" ht="15.75" x14ac:dyDescent="0.2">
      <c r="A4946" s="276"/>
      <c r="B4946" s="368"/>
      <c r="C4946" s="365"/>
      <c r="D4946" s="369"/>
      <c r="E4946" s="370"/>
      <c r="F4946" s="369"/>
      <c r="G4946" s="369"/>
      <c r="H4946" s="369"/>
      <c r="I4946" s="369"/>
      <c r="J4946" s="371"/>
      <c r="K4946" s="372"/>
      <c r="L4946" s="373"/>
      <c r="M4946" s="374"/>
      <c r="N4946" s="374"/>
      <c r="O4946" s="374"/>
      <c r="P4946" s="374"/>
      <c r="Q4946" s="374"/>
      <c r="R4946" s="375"/>
      <c r="S4946" s="376"/>
      <c r="T4946" s="377"/>
      <c r="U4946" s="378"/>
      <c r="V4946" s="379">
        <f ca="1">SUM(V4928:V4945)</f>
        <v>144</v>
      </c>
      <c r="W4946" s="256">
        <f ca="1">IF(LEFT(_xlfn.FORMULATEXT(V4946),3)="=SO",1,IF(COUNTA(A4946:U4946)=0,0,2))</f>
        <v>1</v>
      </c>
      <c r="X4946" s="256">
        <f ca="1">IF(COUNTA(OFFSET(A4945,1,0))-COUNTA(A4945)=-1,0,1)</f>
        <v>0</v>
      </c>
    </row>
    <row r="4947" spans="1:24" s="614" customFormat="1" ht="15.75" x14ac:dyDescent="0.25">
      <c r="A4947" s="276"/>
      <c r="B4947" s="1374" t="s">
        <v>1337</v>
      </c>
      <c r="C4947" s="1376" t="str">
        <f>VLOOKUP(A4954,'11 - FINANCEIRO'!_xlnm.Print_Area,3,FALSE)</f>
        <v xml:space="preserve">Corpo de BSCC 2,00 x 1,50 m - moldado no local - altura do aterro 0,00 a 1,00 m - areia extraída e brita produzida </v>
      </c>
      <c r="D4947" s="1378" t="s">
        <v>500</v>
      </c>
      <c r="E4947" s="1379"/>
      <c r="F4947" s="1379"/>
      <c r="G4947" s="1379"/>
      <c r="H4947" s="1379"/>
      <c r="I4947" s="1380"/>
      <c r="J4947" s="1338" t="s">
        <v>478</v>
      </c>
      <c r="K4947" s="1338" t="s">
        <v>479</v>
      </c>
      <c r="L4947" s="1338" t="s">
        <v>480</v>
      </c>
      <c r="M4947" s="1338" t="s">
        <v>481</v>
      </c>
      <c r="N4947" s="1338" t="s">
        <v>482</v>
      </c>
      <c r="O4947" s="1338" t="s">
        <v>483</v>
      </c>
      <c r="P4947" s="1338" t="s">
        <v>484</v>
      </c>
      <c r="Q4947" s="1338" t="s">
        <v>296</v>
      </c>
      <c r="R4947" s="1336" t="s">
        <v>296</v>
      </c>
      <c r="S4947" s="1338" t="s">
        <v>486</v>
      </c>
      <c r="T4947" s="1338" t="s">
        <v>487</v>
      </c>
      <c r="U4947" s="1340" t="s">
        <v>488</v>
      </c>
      <c r="V4947" s="291">
        <f t="shared" ca="1" si="1426"/>
        <v>6</v>
      </c>
      <c r="W4947" s="256">
        <f t="shared" ref="W4947:W4954" ca="1" si="1433">IF(LEFT(_xlfn.FORMULATEXT(V4947),3)="=SO",1,IF(COUNTA(A4947:U4947)=0,0,2))</f>
        <v>2</v>
      </c>
      <c r="X4947" s="256">
        <f t="shared" ref="X4947:X4954" ca="1" si="1434">IF(COUNTA(OFFSET(A4946,1,0))-COUNTA(A4946)=-1,0,1)</f>
        <v>1</v>
      </c>
    </row>
    <row r="4948" spans="1:24" s="614" customFormat="1" ht="15.75" x14ac:dyDescent="0.25">
      <c r="A4948" s="276"/>
      <c r="B4948" s="1375"/>
      <c r="C4948" s="1377"/>
      <c r="D4948" s="1342" t="s">
        <v>489</v>
      </c>
      <c r="E4948" s="1343"/>
      <c r="F4948" s="1344"/>
      <c r="G4948" s="1345" t="s">
        <v>490</v>
      </c>
      <c r="H4948" s="1346"/>
      <c r="I4948" s="1347"/>
      <c r="J4948" s="1339"/>
      <c r="K4948" s="1339"/>
      <c r="L4948" s="1339"/>
      <c r="M4948" s="1339"/>
      <c r="N4948" s="1339"/>
      <c r="O4948" s="1339"/>
      <c r="P4948" s="1339" t="s">
        <v>491</v>
      </c>
      <c r="Q4948" s="1339"/>
      <c r="R4948" s="1337"/>
      <c r="S4948" s="1339"/>
      <c r="T4948" s="1339"/>
      <c r="U4948" s="1341"/>
      <c r="V4948" s="291">
        <f t="shared" ca="1" si="1426"/>
        <v>6</v>
      </c>
      <c r="W4948" s="256">
        <f t="shared" ca="1" si="1433"/>
        <v>2</v>
      </c>
      <c r="X4948" s="256">
        <f t="shared" ca="1" si="1434"/>
        <v>1</v>
      </c>
    </row>
    <row r="4949" spans="1:24" s="614" customFormat="1" ht="15.75" x14ac:dyDescent="0.25">
      <c r="A4949" s="276"/>
      <c r="B4949" s="296"/>
      <c r="C4949" s="1215" t="s">
        <v>1373</v>
      </c>
      <c r="D4949" s="417"/>
      <c r="E4949" s="314"/>
      <c r="F4949" s="418"/>
      <c r="G4949" s="419"/>
      <c r="H4949" s="316"/>
      <c r="I4949" s="420"/>
      <c r="J4949" s="304"/>
      <c r="K4949" s="747"/>
      <c r="L4949" s="304"/>
      <c r="M4949" s="304"/>
      <c r="N4949" s="304"/>
      <c r="O4949" s="304"/>
      <c r="P4949" s="306"/>
      <c r="Q4949" s="304"/>
      <c r="R4949" s="307">
        <v>6</v>
      </c>
      <c r="S4949" s="308"/>
      <c r="T4949" s="309">
        <v>44</v>
      </c>
      <c r="U4949" s="310"/>
      <c r="V4949" s="291">
        <f t="shared" ca="1" si="1426"/>
        <v>6</v>
      </c>
      <c r="W4949" s="256">
        <f t="shared" ca="1" si="1433"/>
        <v>2</v>
      </c>
      <c r="X4949" s="256">
        <f t="shared" ca="1" si="1434"/>
        <v>1</v>
      </c>
    </row>
    <row r="4950" spans="1:24" s="614" customFormat="1" ht="15.75" x14ac:dyDescent="0.25">
      <c r="A4950" s="276"/>
      <c r="B4950" s="785"/>
      <c r="C4950" s="312"/>
      <c r="D4950" s="417"/>
      <c r="E4950" s="314"/>
      <c r="F4950" s="418"/>
      <c r="G4950" s="417"/>
      <c r="H4950" s="314"/>
      <c r="I4950" s="418"/>
      <c r="J4950" s="317"/>
      <c r="K4950" s="421"/>
      <c r="L4950" s="774"/>
      <c r="M4950" s="786"/>
      <c r="N4950" s="787"/>
      <c r="O4950" s="788"/>
      <c r="P4950" s="789"/>
      <c r="Q4950" s="786"/>
      <c r="R4950" s="790"/>
      <c r="S4950" s="791"/>
      <c r="T4950" s="792"/>
      <c r="U4950" s="793"/>
      <c r="V4950" s="291">
        <f t="shared" ca="1" si="1426"/>
        <v>6</v>
      </c>
      <c r="W4950" s="256">
        <f t="shared" ca="1" si="1433"/>
        <v>0</v>
      </c>
      <c r="X4950" s="256">
        <f t="shared" ca="1" si="1434"/>
        <v>1</v>
      </c>
    </row>
    <row r="4951" spans="1:24" s="614" customFormat="1" ht="15" x14ac:dyDescent="0.25">
      <c r="A4951" s="276"/>
      <c r="B4951" s="338"/>
      <c r="C4951" s="339"/>
      <c r="D4951" s="1348"/>
      <c r="E4951" s="1349"/>
      <c r="F4951" s="1350"/>
      <c r="G4951" s="1351"/>
      <c r="H4951" s="1352"/>
      <c r="I4951" s="1353"/>
      <c r="J4951" s="343"/>
      <c r="K4951" s="344"/>
      <c r="L4951" s="345"/>
      <c r="M4951" s="346"/>
      <c r="N4951" s="347"/>
      <c r="O4951" s="348"/>
      <c r="P4951" s="345"/>
      <c r="Q4951" s="349"/>
      <c r="R4951" s="350"/>
      <c r="S4951" s="351"/>
      <c r="T4951" s="352"/>
      <c r="U4951" s="353"/>
      <c r="V4951" s="291">
        <f t="shared" ca="1" si="1426"/>
        <v>6</v>
      </c>
      <c r="W4951" s="256">
        <f t="shared" ca="1" si="1433"/>
        <v>0</v>
      </c>
      <c r="X4951" s="256">
        <f t="shared" ca="1" si="1434"/>
        <v>1</v>
      </c>
    </row>
    <row r="4952" spans="1:24" s="614" customFormat="1" ht="15.75" x14ac:dyDescent="0.2">
      <c r="A4952" s="276"/>
      <c r="B4952" s="354"/>
      <c r="C4952" s="355"/>
      <c r="D4952" s="1354" t="s">
        <v>492</v>
      </c>
      <c r="E4952" s="1355"/>
      <c r="F4952" s="1355"/>
      <c r="G4952" s="1355"/>
      <c r="H4952" s="1355"/>
      <c r="I4952" s="1356"/>
      <c r="J4952" s="1357">
        <f>VLOOKUP(A4954,'11 - FINANCEIRO'!_xlnm.Print_Area,6,FALSE)</f>
        <v>6</v>
      </c>
      <c r="K4952" s="1358"/>
      <c r="L4952" s="356" t="str">
        <f>VLOOKUP(A4954,'11 - FINANCEIRO'!_xlnm.Print_Area,4,FALSE)</f>
        <v>m</v>
      </c>
      <c r="M4952" s="1359" t="s">
        <v>493</v>
      </c>
      <c r="N4952" s="1360"/>
      <c r="O4952" s="1360"/>
      <c r="P4952" s="1360"/>
      <c r="Q4952" s="1361"/>
      <c r="R4952" s="357">
        <f>TRUNC(SUM(R4949:R4951),3)</f>
        <v>6</v>
      </c>
      <c r="S4952" s="358" t="str">
        <f>L4952</f>
        <v>m</v>
      </c>
      <c r="T4952" s="359"/>
      <c r="U4952" s="360"/>
      <c r="V4952" s="291">
        <f t="shared" ca="1" si="1426"/>
        <v>6</v>
      </c>
      <c r="W4952" s="256">
        <f t="shared" ca="1" si="1433"/>
        <v>2</v>
      </c>
      <c r="X4952" s="256">
        <f t="shared" ca="1" si="1434"/>
        <v>1</v>
      </c>
    </row>
    <row r="4953" spans="1:24" s="614" customFormat="1" ht="15.75" x14ac:dyDescent="0.2">
      <c r="A4953" s="276"/>
      <c r="B4953" s="354"/>
      <c r="C4953" s="361"/>
      <c r="D4953" s="1362" t="s">
        <v>494</v>
      </c>
      <c r="E4953" s="1363"/>
      <c r="F4953" s="1363"/>
      <c r="G4953" s="1363"/>
      <c r="H4953" s="1363"/>
      <c r="I4953" s="1364"/>
      <c r="J4953" s="1365">
        <f>R4952/J4952</f>
        <v>1</v>
      </c>
      <c r="K4953" s="1366"/>
      <c r="L4953" s="1369"/>
      <c r="M4953" s="1371" t="s">
        <v>495</v>
      </c>
      <c r="N4953" s="1372"/>
      <c r="O4953" s="1372"/>
      <c r="P4953" s="1372"/>
      <c r="Q4953" s="1373"/>
      <c r="R4953" s="362">
        <f>VLOOKUP(A4954,'11 - FINANCEIRO'!_xlnm.Print_Area,8,FALSE)</f>
        <v>0</v>
      </c>
      <c r="S4953" s="363" t="str">
        <f>L4952</f>
        <v>m</v>
      </c>
      <c r="T4953" s="359"/>
      <c r="U4953" s="360"/>
      <c r="V4953" s="291">
        <f t="shared" ca="1" si="1426"/>
        <v>6</v>
      </c>
      <c r="W4953" s="256">
        <f t="shared" ca="1" si="1433"/>
        <v>2</v>
      </c>
      <c r="X4953" s="256">
        <f t="shared" ca="1" si="1434"/>
        <v>1</v>
      </c>
    </row>
    <row r="4954" spans="1:24" s="614" customFormat="1" ht="15.75" x14ac:dyDescent="0.2">
      <c r="A4954" s="276" t="s">
        <v>1337</v>
      </c>
      <c r="B4954" s="364"/>
      <c r="C4954" s="365"/>
      <c r="D4954" s="1354"/>
      <c r="E4954" s="1355"/>
      <c r="F4954" s="1355"/>
      <c r="G4954" s="1355"/>
      <c r="H4954" s="1355"/>
      <c r="I4954" s="1356"/>
      <c r="J4954" s="1367"/>
      <c r="K4954" s="1368"/>
      <c r="L4954" s="1370"/>
      <c r="M4954" s="1371" t="s">
        <v>496</v>
      </c>
      <c r="N4954" s="1372"/>
      <c r="O4954" s="1372"/>
      <c r="P4954" s="1372"/>
      <c r="Q4954" s="1373"/>
      <c r="R4954" s="362">
        <f>R4952-R4953</f>
        <v>6</v>
      </c>
      <c r="S4954" s="363" t="str">
        <f>L4952</f>
        <v>m</v>
      </c>
      <c r="T4954" s="366"/>
      <c r="U4954" s="367"/>
      <c r="V4954" s="291">
        <f t="shared" ca="1" si="1426"/>
        <v>6</v>
      </c>
      <c r="W4954" s="256">
        <f t="shared" ca="1" si="1433"/>
        <v>2</v>
      </c>
      <c r="X4954" s="256">
        <f t="shared" ca="1" si="1434"/>
        <v>1</v>
      </c>
    </row>
    <row r="4955" spans="1:24" s="614" customFormat="1" ht="15.75" x14ac:dyDescent="0.2">
      <c r="A4955" s="276"/>
      <c r="B4955" s="368"/>
      <c r="C4955" s="365"/>
      <c r="D4955" s="369"/>
      <c r="E4955" s="370"/>
      <c r="F4955" s="369"/>
      <c r="G4955" s="369"/>
      <c r="H4955" s="369"/>
      <c r="I4955" s="369"/>
      <c r="J4955" s="371"/>
      <c r="K4955" s="372"/>
      <c r="L4955" s="373"/>
      <c r="M4955" s="374"/>
      <c r="N4955" s="374"/>
      <c r="O4955" s="374"/>
      <c r="P4955" s="374"/>
      <c r="Q4955" s="374"/>
      <c r="R4955" s="375"/>
      <c r="S4955" s="376"/>
      <c r="T4955" s="377"/>
      <c r="U4955" s="378"/>
      <c r="V4955" s="379">
        <f ca="1">SUM(V4947:V4954)</f>
        <v>48</v>
      </c>
      <c r="W4955" s="256">
        <f ca="1">IF(LEFT(_xlfn.FORMULATEXT(V4955),3)="=SO",1,IF(COUNTA(A4955:U4955)=0,0,2))</f>
        <v>1</v>
      </c>
      <c r="X4955" s="256">
        <f ca="1">IF(COUNTA(OFFSET(A4954,1,0))-COUNTA(A4954)=-1,0,1)</f>
        <v>0</v>
      </c>
    </row>
    <row r="4956" spans="1:24" s="614" customFormat="1" ht="15.75" hidden="1" x14ac:dyDescent="0.25">
      <c r="A4956" s="276"/>
      <c r="B4956" s="1374" t="s">
        <v>1338</v>
      </c>
      <c r="C4956" s="1376" t="str">
        <f>VLOOKUP(A4963,'11 - FINANCEIRO'!_xlnm.Print_Area,3,FALSE)</f>
        <v>Corpo BSTC (greide) diâmetro 1,20 m CA-1 MF inclusive escavação, reaterro e transporte do tubo</v>
      </c>
      <c r="D4956" s="1378" t="s">
        <v>500</v>
      </c>
      <c r="E4956" s="1379"/>
      <c r="F4956" s="1379"/>
      <c r="G4956" s="1379"/>
      <c r="H4956" s="1379"/>
      <c r="I4956" s="1380"/>
      <c r="J4956" s="1338" t="s">
        <v>478</v>
      </c>
      <c r="K4956" s="1338" t="s">
        <v>479</v>
      </c>
      <c r="L4956" s="1338" t="s">
        <v>480</v>
      </c>
      <c r="M4956" s="1338" t="s">
        <v>481</v>
      </c>
      <c r="N4956" s="1338" t="s">
        <v>482</v>
      </c>
      <c r="O4956" s="1338" t="s">
        <v>483</v>
      </c>
      <c r="P4956" s="1338" t="s">
        <v>484</v>
      </c>
      <c r="Q4956" s="1338" t="s">
        <v>296</v>
      </c>
      <c r="R4956" s="1336" t="s">
        <v>296</v>
      </c>
      <c r="S4956" s="1338" t="s">
        <v>486</v>
      </c>
      <c r="T4956" s="1338" t="s">
        <v>487</v>
      </c>
      <c r="U4956" s="1340" t="s">
        <v>488</v>
      </c>
      <c r="V4956" s="291">
        <f t="shared" ca="1" si="1426"/>
        <v>0</v>
      </c>
      <c r="W4956" s="256">
        <f t="shared" ref="W4956:W4963" ca="1" si="1435">IF(LEFT(_xlfn.FORMULATEXT(V4956),3)="=SO",1,IF(COUNTA(A4956:U4956)=0,0,2))</f>
        <v>2</v>
      </c>
      <c r="X4956" s="256">
        <f t="shared" ref="X4956:X4963" ca="1" si="1436">IF(COUNTA(OFFSET(A4955,1,0))-COUNTA(A4955)=-1,0,1)</f>
        <v>1</v>
      </c>
    </row>
    <row r="4957" spans="1:24" s="614" customFormat="1" ht="15.75" hidden="1" x14ac:dyDescent="0.25">
      <c r="A4957" s="276"/>
      <c r="B4957" s="1375"/>
      <c r="C4957" s="1377"/>
      <c r="D4957" s="1342" t="s">
        <v>489</v>
      </c>
      <c r="E4957" s="1343"/>
      <c r="F4957" s="1344"/>
      <c r="G4957" s="1345" t="s">
        <v>490</v>
      </c>
      <c r="H4957" s="1346"/>
      <c r="I4957" s="1347"/>
      <c r="J4957" s="1339"/>
      <c r="K4957" s="1339"/>
      <c r="L4957" s="1339"/>
      <c r="M4957" s="1339"/>
      <c r="N4957" s="1339"/>
      <c r="O4957" s="1339"/>
      <c r="P4957" s="1339" t="s">
        <v>491</v>
      </c>
      <c r="Q4957" s="1339"/>
      <c r="R4957" s="1337"/>
      <c r="S4957" s="1339"/>
      <c r="T4957" s="1339"/>
      <c r="U4957" s="1341"/>
      <c r="V4957" s="291">
        <f t="shared" ca="1" si="1426"/>
        <v>0</v>
      </c>
      <c r="W4957" s="256">
        <f t="shared" ca="1" si="1435"/>
        <v>2</v>
      </c>
      <c r="X4957" s="256">
        <f t="shared" ca="1" si="1436"/>
        <v>1</v>
      </c>
    </row>
    <row r="4958" spans="1:24" s="614" customFormat="1" ht="15.75" hidden="1" x14ac:dyDescent="0.25">
      <c r="A4958" s="276"/>
      <c r="B4958" s="296"/>
      <c r="C4958" s="297"/>
      <c r="D4958" s="417"/>
      <c r="E4958" s="314"/>
      <c r="F4958" s="418"/>
      <c r="G4958" s="419"/>
      <c r="H4958" s="316"/>
      <c r="I4958" s="420"/>
      <c r="J4958" s="304"/>
      <c r="K4958" s="747"/>
      <c r="L4958" s="304"/>
      <c r="M4958" s="304"/>
      <c r="N4958" s="304"/>
      <c r="O4958" s="304"/>
      <c r="P4958" s="306"/>
      <c r="Q4958" s="304"/>
      <c r="R4958" s="307"/>
      <c r="S4958" s="308"/>
      <c r="T4958" s="309"/>
      <c r="U4958" s="310"/>
      <c r="V4958" s="291">
        <f t="shared" ca="1" si="1426"/>
        <v>0</v>
      </c>
      <c r="W4958" s="256">
        <f t="shared" ca="1" si="1435"/>
        <v>0</v>
      </c>
      <c r="X4958" s="256">
        <f t="shared" ca="1" si="1436"/>
        <v>1</v>
      </c>
    </row>
    <row r="4959" spans="1:24" s="614" customFormat="1" ht="15.75" hidden="1" x14ac:dyDescent="0.25">
      <c r="A4959" s="276"/>
      <c r="B4959" s="785"/>
      <c r="C4959" s="312"/>
      <c r="D4959" s="417"/>
      <c r="E4959" s="314"/>
      <c r="F4959" s="418"/>
      <c r="G4959" s="417"/>
      <c r="H4959" s="314"/>
      <c r="I4959" s="418"/>
      <c r="J4959" s="317"/>
      <c r="K4959" s="421"/>
      <c r="L4959" s="774"/>
      <c r="M4959" s="786"/>
      <c r="N4959" s="787"/>
      <c r="O4959" s="788"/>
      <c r="P4959" s="789"/>
      <c r="Q4959" s="786"/>
      <c r="R4959" s="790"/>
      <c r="S4959" s="791"/>
      <c r="T4959" s="792"/>
      <c r="U4959" s="793"/>
      <c r="V4959" s="291">
        <f t="shared" ca="1" si="1426"/>
        <v>0</v>
      </c>
      <c r="W4959" s="256">
        <f t="shared" ca="1" si="1435"/>
        <v>0</v>
      </c>
      <c r="X4959" s="256">
        <f t="shared" ca="1" si="1436"/>
        <v>1</v>
      </c>
    </row>
    <row r="4960" spans="1:24" s="614" customFormat="1" ht="15" hidden="1" x14ac:dyDescent="0.25">
      <c r="A4960" s="276"/>
      <c r="B4960" s="338"/>
      <c r="C4960" s="339"/>
      <c r="D4960" s="1348"/>
      <c r="E4960" s="1349"/>
      <c r="F4960" s="1350"/>
      <c r="G4960" s="1351"/>
      <c r="H4960" s="1352"/>
      <c r="I4960" s="1353"/>
      <c r="J4960" s="343"/>
      <c r="K4960" s="344"/>
      <c r="L4960" s="345"/>
      <c r="M4960" s="346"/>
      <c r="N4960" s="347"/>
      <c r="O4960" s="348"/>
      <c r="P4960" s="345"/>
      <c r="Q4960" s="349"/>
      <c r="R4960" s="350"/>
      <c r="S4960" s="351"/>
      <c r="T4960" s="352"/>
      <c r="U4960" s="353"/>
      <c r="V4960" s="291">
        <f t="shared" ca="1" si="1426"/>
        <v>0</v>
      </c>
      <c r="W4960" s="256">
        <f t="shared" ca="1" si="1435"/>
        <v>0</v>
      </c>
      <c r="X4960" s="256">
        <f t="shared" ca="1" si="1436"/>
        <v>1</v>
      </c>
    </row>
    <row r="4961" spans="1:24" s="614" customFormat="1" ht="15.75" hidden="1" x14ac:dyDescent="0.2">
      <c r="A4961" s="276"/>
      <c r="B4961" s="354"/>
      <c r="C4961" s="355"/>
      <c r="D4961" s="1354" t="s">
        <v>492</v>
      </c>
      <c r="E4961" s="1355"/>
      <c r="F4961" s="1355"/>
      <c r="G4961" s="1355"/>
      <c r="H4961" s="1355"/>
      <c r="I4961" s="1356"/>
      <c r="J4961" s="1357">
        <f>VLOOKUP(A4963,'11 - FINANCEIRO'!_xlnm.Print_Area,6,FALSE)</f>
        <v>36</v>
      </c>
      <c r="K4961" s="1358"/>
      <c r="L4961" s="356" t="str">
        <f>VLOOKUP(A4963,'11 - FINANCEIRO'!_xlnm.Print_Area,4,FALSE)</f>
        <v>m</v>
      </c>
      <c r="M4961" s="1359" t="s">
        <v>493</v>
      </c>
      <c r="N4961" s="1360"/>
      <c r="O4961" s="1360"/>
      <c r="P4961" s="1360"/>
      <c r="Q4961" s="1361"/>
      <c r="R4961" s="357">
        <f>TRUNC(SUM(R4958:R4960),3)</f>
        <v>0</v>
      </c>
      <c r="S4961" s="358" t="str">
        <f>L4961</f>
        <v>m</v>
      </c>
      <c r="T4961" s="359"/>
      <c r="U4961" s="360"/>
      <c r="V4961" s="291">
        <f t="shared" ca="1" si="1426"/>
        <v>0</v>
      </c>
      <c r="W4961" s="256">
        <f t="shared" ca="1" si="1435"/>
        <v>2</v>
      </c>
      <c r="X4961" s="256">
        <f t="shared" ca="1" si="1436"/>
        <v>1</v>
      </c>
    </row>
    <row r="4962" spans="1:24" s="614" customFormat="1" ht="15.75" hidden="1" x14ac:dyDescent="0.2">
      <c r="A4962" s="276"/>
      <c r="B4962" s="354"/>
      <c r="C4962" s="361"/>
      <c r="D4962" s="1362" t="s">
        <v>494</v>
      </c>
      <c r="E4962" s="1363"/>
      <c r="F4962" s="1363"/>
      <c r="G4962" s="1363"/>
      <c r="H4962" s="1363"/>
      <c r="I4962" s="1364"/>
      <c r="J4962" s="1365">
        <f>R4961/J4961</f>
        <v>0</v>
      </c>
      <c r="K4962" s="1366"/>
      <c r="L4962" s="1369"/>
      <c r="M4962" s="1371" t="s">
        <v>495</v>
      </c>
      <c r="N4962" s="1372"/>
      <c r="O4962" s="1372"/>
      <c r="P4962" s="1372"/>
      <c r="Q4962" s="1373"/>
      <c r="R4962" s="362">
        <f>VLOOKUP(A4963,'11 - FINANCEIRO'!_xlnm.Print_Area,8,FALSE)</f>
        <v>0</v>
      </c>
      <c r="S4962" s="363" t="str">
        <f>L4961</f>
        <v>m</v>
      </c>
      <c r="T4962" s="359"/>
      <c r="U4962" s="360"/>
      <c r="V4962" s="291">
        <f t="shared" ca="1" si="1426"/>
        <v>0</v>
      </c>
      <c r="W4962" s="256">
        <f t="shared" ca="1" si="1435"/>
        <v>2</v>
      </c>
      <c r="X4962" s="256">
        <f t="shared" ca="1" si="1436"/>
        <v>1</v>
      </c>
    </row>
    <row r="4963" spans="1:24" s="614" customFormat="1" ht="15.75" hidden="1" x14ac:dyDescent="0.2">
      <c r="A4963" s="276" t="s">
        <v>1338</v>
      </c>
      <c r="B4963" s="364"/>
      <c r="C4963" s="365"/>
      <c r="D4963" s="1354"/>
      <c r="E4963" s="1355"/>
      <c r="F4963" s="1355"/>
      <c r="G4963" s="1355"/>
      <c r="H4963" s="1355"/>
      <c r="I4963" s="1356"/>
      <c r="J4963" s="1367"/>
      <c r="K4963" s="1368"/>
      <c r="L4963" s="1370"/>
      <c r="M4963" s="1371" t="s">
        <v>496</v>
      </c>
      <c r="N4963" s="1372"/>
      <c r="O4963" s="1372"/>
      <c r="P4963" s="1372"/>
      <c r="Q4963" s="1373"/>
      <c r="R4963" s="362">
        <f>R4961-R4962</f>
        <v>0</v>
      </c>
      <c r="S4963" s="363" t="str">
        <f>L4961</f>
        <v>m</v>
      </c>
      <c r="T4963" s="366"/>
      <c r="U4963" s="367"/>
      <c r="V4963" s="291">
        <f t="shared" ca="1" si="1426"/>
        <v>0</v>
      </c>
      <c r="W4963" s="256">
        <f t="shared" ca="1" si="1435"/>
        <v>2</v>
      </c>
      <c r="X4963" s="256">
        <f t="shared" ca="1" si="1436"/>
        <v>1</v>
      </c>
    </row>
    <row r="4964" spans="1:24" s="614" customFormat="1" ht="15.75" hidden="1" x14ac:dyDescent="0.2">
      <c r="A4964" s="276"/>
      <c r="B4964" s="368"/>
      <c r="C4964" s="365"/>
      <c r="D4964" s="369"/>
      <c r="E4964" s="370"/>
      <c r="F4964" s="369"/>
      <c r="G4964" s="369"/>
      <c r="H4964" s="369"/>
      <c r="I4964" s="369"/>
      <c r="J4964" s="371"/>
      <c r="K4964" s="372"/>
      <c r="L4964" s="373"/>
      <c r="M4964" s="374"/>
      <c r="N4964" s="374"/>
      <c r="O4964" s="374"/>
      <c r="P4964" s="374"/>
      <c r="Q4964" s="374"/>
      <c r="R4964" s="375"/>
      <c r="S4964" s="376"/>
      <c r="T4964" s="377"/>
      <c r="U4964" s="378"/>
      <c r="V4964" s="379">
        <f ca="1">SUM(V4956:V4963)</f>
        <v>0</v>
      </c>
      <c r="W4964" s="256">
        <f ca="1">IF(LEFT(_xlfn.FORMULATEXT(V4964),3)="=SO",1,IF(COUNTA(A4964:U4964)=0,0,2))</f>
        <v>1</v>
      </c>
      <c r="X4964" s="256">
        <f ca="1">IF(COUNTA(OFFSET(A4963,1,0))-COUNTA(A4963)=-1,0,1)</f>
        <v>0</v>
      </c>
    </row>
    <row r="4965" spans="1:24" s="614" customFormat="1" ht="15.75" hidden="1" x14ac:dyDescent="0.25">
      <c r="A4965" s="276"/>
      <c r="B4965" s="1374" t="s">
        <v>1339</v>
      </c>
      <c r="C4965" s="1376" t="str">
        <f>VLOOKUP(A4972,'11 - FINANCEIRO'!_xlnm.Print_Area,3,FALSE)</f>
        <v xml:space="preserve">Guarda Corpo para barreira do canal </v>
      </c>
      <c r="D4965" s="1378" t="s">
        <v>500</v>
      </c>
      <c r="E4965" s="1379"/>
      <c r="F4965" s="1379"/>
      <c r="G4965" s="1379"/>
      <c r="H4965" s="1379"/>
      <c r="I4965" s="1380"/>
      <c r="J4965" s="1338" t="s">
        <v>478</v>
      </c>
      <c r="K4965" s="1338" t="s">
        <v>479</v>
      </c>
      <c r="L4965" s="1338" t="s">
        <v>480</v>
      </c>
      <c r="M4965" s="1338" t="s">
        <v>481</v>
      </c>
      <c r="N4965" s="1338" t="s">
        <v>482</v>
      </c>
      <c r="O4965" s="1338" t="s">
        <v>483</v>
      </c>
      <c r="P4965" s="1338" t="s">
        <v>484</v>
      </c>
      <c r="Q4965" s="1338" t="s">
        <v>296</v>
      </c>
      <c r="R4965" s="1336" t="s">
        <v>296</v>
      </c>
      <c r="S4965" s="1338" t="s">
        <v>486</v>
      </c>
      <c r="T4965" s="1338" t="s">
        <v>487</v>
      </c>
      <c r="U4965" s="1340" t="s">
        <v>488</v>
      </c>
      <c r="V4965" s="291">
        <f t="shared" ca="1" si="1426"/>
        <v>0</v>
      </c>
      <c r="W4965" s="256">
        <f t="shared" ref="W4965:W4972" ca="1" si="1437">IF(LEFT(_xlfn.FORMULATEXT(V4965),3)="=SO",1,IF(COUNTA(A4965:U4965)=0,0,2))</f>
        <v>2</v>
      </c>
      <c r="X4965" s="256">
        <f t="shared" ref="X4965:X4972" ca="1" si="1438">IF(COUNTA(OFFSET(A4964,1,0))-COUNTA(A4964)=-1,0,1)</f>
        <v>1</v>
      </c>
    </row>
    <row r="4966" spans="1:24" s="614" customFormat="1" ht="15.75" hidden="1" x14ac:dyDescent="0.25">
      <c r="A4966" s="276"/>
      <c r="B4966" s="1375"/>
      <c r="C4966" s="1377"/>
      <c r="D4966" s="1342" t="s">
        <v>489</v>
      </c>
      <c r="E4966" s="1343"/>
      <c r="F4966" s="1344"/>
      <c r="G4966" s="1345" t="s">
        <v>490</v>
      </c>
      <c r="H4966" s="1346"/>
      <c r="I4966" s="1347"/>
      <c r="J4966" s="1339"/>
      <c r="K4966" s="1339"/>
      <c r="L4966" s="1339"/>
      <c r="M4966" s="1339"/>
      <c r="N4966" s="1339"/>
      <c r="O4966" s="1339"/>
      <c r="P4966" s="1339" t="s">
        <v>491</v>
      </c>
      <c r="Q4966" s="1339"/>
      <c r="R4966" s="1337"/>
      <c r="S4966" s="1339"/>
      <c r="T4966" s="1339"/>
      <c r="U4966" s="1341"/>
      <c r="V4966" s="291">
        <f t="shared" ca="1" si="1426"/>
        <v>0</v>
      </c>
      <c r="W4966" s="256">
        <f t="shared" ca="1" si="1437"/>
        <v>2</v>
      </c>
      <c r="X4966" s="256">
        <f t="shared" ca="1" si="1438"/>
        <v>1</v>
      </c>
    </row>
    <row r="4967" spans="1:24" s="614" customFormat="1" ht="15.75" hidden="1" x14ac:dyDescent="0.25">
      <c r="A4967" s="276"/>
      <c r="B4967" s="296"/>
      <c r="C4967" s="297"/>
      <c r="D4967" s="417"/>
      <c r="E4967" s="314"/>
      <c r="F4967" s="418"/>
      <c r="G4967" s="419"/>
      <c r="H4967" s="316"/>
      <c r="I4967" s="420"/>
      <c r="J4967" s="304"/>
      <c r="K4967" s="747"/>
      <c r="L4967" s="304"/>
      <c r="M4967" s="304"/>
      <c r="N4967" s="304"/>
      <c r="O4967" s="304"/>
      <c r="P4967" s="306"/>
      <c r="Q4967" s="304"/>
      <c r="R4967" s="307"/>
      <c r="S4967" s="308"/>
      <c r="T4967" s="309"/>
      <c r="U4967" s="310"/>
      <c r="V4967" s="291">
        <f t="shared" ca="1" si="1426"/>
        <v>0</v>
      </c>
      <c r="W4967" s="256">
        <f t="shared" ca="1" si="1437"/>
        <v>0</v>
      </c>
      <c r="X4967" s="256">
        <f t="shared" ca="1" si="1438"/>
        <v>1</v>
      </c>
    </row>
    <row r="4968" spans="1:24" s="614" customFormat="1" ht="15.75" hidden="1" x14ac:dyDescent="0.25">
      <c r="A4968" s="276"/>
      <c r="B4968" s="785"/>
      <c r="C4968" s="312"/>
      <c r="D4968" s="417"/>
      <c r="E4968" s="314"/>
      <c r="F4968" s="418"/>
      <c r="G4968" s="417"/>
      <c r="H4968" s="314"/>
      <c r="I4968" s="418"/>
      <c r="J4968" s="317"/>
      <c r="K4968" s="421"/>
      <c r="L4968" s="774"/>
      <c r="M4968" s="786"/>
      <c r="N4968" s="787"/>
      <c r="O4968" s="788"/>
      <c r="P4968" s="789"/>
      <c r="Q4968" s="786"/>
      <c r="R4968" s="790"/>
      <c r="S4968" s="791"/>
      <c r="T4968" s="792"/>
      <c r="U4968" s="793"/>
      <c r="V4968" s="291">
        <f t="shared" ca="1" si="1426"/>
        <v>0</v>
      </c>
      <c r="W4968" s="256">
        <f t="shared" ca="1" si="1437"/>
        <v>0</v>
      </c>
      <c r="X4968" s="256">
        <f t="shared" ca="1" si="1438"/>
        <v>1</v>
      </c>
    </row>
    <row r="4969" spans="1:24" s="614" customFormat="1" ht="15" hidden="1" x14ac:dyDescent="0.25">
      <c r="A4969" s="276"/>
      <c r="B4969" s="338"/>
      <c r="C4969" s="339"/>
      <c r="D4969" s="1348"/>
      <c r="E4969" s="1349"/>
      <c r="F4969" s="1350"/>
      <c r="G4969" s="1351"/>
      <c r="H4969" s="1352"/>
      <c r="I4969" s="1353"/>
      <c r="J4969" s="343"/>
      <c r="K4969" s="344"/>
      <c r="L4969" s="345"/>
      <c r="M4969" s="346"/>
      <c r="N4969" s="347"/>
      <c r="O4969" s="348"/>
      <c r="P4969" s="345"/>
      <c r="Q4969" s="349"/>
      <c r="R4969" s="350"/>
      <c r="S4969" s="351"/>
      <c r="T4969" s="352"/>
      <c r="U4969" s="353"/>
      <c r="V4969" s="291">
        <f t="shared" ca="1" si="1426"/>
        <v>0</v>
      </c>
      <c r="W4969" s="256">
        <f t="shared" ca="1" si="1437"/>
        <v>0</v>
      </c>
      <c r="X4969" s="256">
        <f t="shared" ca="1" si="1438"/>
        <v>1</v>
      </c>
    </row>
    <row r="4970" spans="1:24" s="614" customFormat="1" ht="15.75" hidden="1" x14ac:dyDescent="0.2">
      <c r="A4970" s="276"/>
      <c r="B4970" s="354"/>
      <c r="C4970" s="355"/>
      <c r="D4970" s="1354" t="s">
        <v>492</v>
      </c>
      <c r="E4970" s="1355"/>
      <c r="F4970" s="1355"/>
      <c r="G4970" s="1355"/>
      <c r="H4970" s="1355"/>
      <c r="I4970" s="1356"/>
      <c r="J4970" s="1357">
        <f>VLOOKUP(A4972,'11 - FINANCEIRO'!_xlnm.Print_Area,6,FALSE)</f>
        <v>800</v>
      </c>
      <c r="K4970" s="1358"/>
      <c r="L4970" s="356" t="str">
        <f>VLOOKUP(A4972,'11 - FINANCEIRO'!_xlnm.Print_Area,4,FALSE)</f>
        <v>m</v>
      </c>
      <c r="M4970" s="1359" t="s">
        <v>493</v>
      </c>
      <c r="N4970" s="1360"/>
      <c r="O4970" s="1360"/>
      <c r="P4970" s="1360"/>
      <c r="Q4970" s="1361"/>
      <c r="R4970" s="357">
        <f>TRUNC(SUM(R4967:R4969),3)</f>
        <v>0</v>
      </c>
      <c r="S4970" s="358" t="str">
        <f>L4970</f>
        <v>m</v>
      </c>
      <c r="T4970" s="359"/>
      <c r="U4970" s="360"/>
      <c r="V4970" s="291">
        <f t="shared" ca="1" si="1426"/>
        <v>0</v>
      </c>
      <c r="W4970" s="256">
        <f t="shared" ca="1" si="1437"/>
        <v>2</v>
      </c>
      <c r="X4970" s="256">
        <f t="shared" ca="1" si="1438"/>
        <v>1</v>
      </c>
    </row>
    <row r="4971" spans="1:24" s="614" customFormat="1" ht="15.75" hidden="1" x14ac:dyDescent="0.2">
      <c r="A4971" s="276"/>
      <c r="B4971" s="354"/>
      <c r="C4971" s="361"/>
      <c r="D4971" s="1362" t="s">
        <v>494</v>
      </c>
      <c r="E4971" s="1363"/>
      <c r="F4971" s="1363"/>
      <c r="G4971" s="1363"/>
      <c r="H4971" s="1363"/>
      <c r="I4971" s="1364"/>
      <c r="J4971" s="1365">
        <f>R4970/J4970</f>
        <v>0</v>
      </c>
      <c r="K4971" s="1366"/>
      <c r="L4971" s="1369"/>
      <c r="M4971" s="1371" t="s">
        <v>495</v>
      </c>
      <c r="N4971" s="1372"/>
      <c r="O4971" s="1372"/>
      <c r="P4971" s="1372"/>
      <c r="Q4971" s="1373"/>
      <c r="R4971" s="362">
        <f>VLOOKUP(A4972,'11 - FINANCEIRO'!_xlnm.Print_Area,8,FALSE)</f>
        <v>0</v>
      </c>
      <c r="S4971" s="363" t="str">
        <f>L4970</f>
        <v>m</v>
      </c>
      <c r="T4971" s="359"/>
      <c r="U4971" s="360"/>
      <c r="V4971" s="291">
        <f t="shared" ca="1" si="1426"/>
        <v>0</v>
      </c>
      <c r="W4971" s="256">
        <f t="shared" ca="1" si="1437"/>
        <v>2</v>
      </c>
      <c r="X4971" s="256">
        <f t="shared" ca="1" si="1438"/>
        <v>1</v>
      </c>
    </row>
    <row r="4972" spans="1:24" s="614" customFormat="1" ht="15.75" hidden="1" x14ac:dyDescent="0.2">
      <c r="A4972" s="276" t="s">
        <v>1339</v>
      </c>
      <c r="B4972" s="364"/>
      <c r="C4972" s="365"/>
      <c r="D4972" s="1354"/>
      <c r="E4972" s="1355"/>
      <c r="F4972" s="1355"/>
      <c r="G4972" s="1355"/>
      <c r="H4972" s="1355"/>
      <c r="I4972" s="1356"/>
      <c r="J4972" s="1367"/>
      <c r="K4972" s="1368"/>
      <c r="L4972" s="1370"/>
      <c r="M4972" s="1371" t="s">
        <v>496</v>
      </c>
      <c r="N4972" s="1372"/>
      <c r="O4972" s="1372"/>
      <c r="P4972" s="1372"/>
      <c r="Q4972" s="1373"/>
      <c r="R4972" s="362">
        <f>R4970-R4971</f>
        <v>0</v>
      </c>
      <c r="S4972" s="363" t="str">
        <f>L4970</f>
        <v>m</v>
      </c>
      <c r="T4972" s="366"/>
      <c r="U4972" s="367"/>
      <c r="V4972" s="291">
        <f t="shared" ca="1" si="1426"/>
        <v>0</v>
      </c>
      <c r="W4972" s="256">
        <f t="shared" ca="1" si="1437"/>
        <v>2</v>
      </c>
      <c r="X4972" s="256">
        <f t="shared" ca="1" si="1438"/>
        <v>1</v>
      </c>
    </row>
    <row r="4973" spans="1:24" s="614" customFormat="1" ht="15.75" hidden="1" x14ac:dyDescent="0.2">
      <c r="A4973" s="276"/>
      <c r="B4973" s="368"/>
      <c r="C4973" s="365"/>
      <c r="D4973" s="369"/>
      <c r="E4973" s="370"/>
      <c r="F4973" s="369"/>
      <c r="G4973" s="369"/>
      <c r="H4973" s="369"/>
      <c r="I4973" s="369"/>
      <c r="J4973" s="371"/>
      <c r="K4973" s="372"/>
      <c r="L4973" s="373"/>
      <c r="M4973" s="374"/>
      <c r="N4973" s="374"/>
      <c r="O4973" s="374"/>
      <c r="P4973" s="374"/>
      <c r="Q4973" s="374"/>
      <c r="R4973" s="375"/>
      <c r="S4973" s="376"/>
      <c r="T4973" s="377"/>
      <c r="U4973" s="378"/>
      <c r="V4973" s="379">
        <f ca="1">SUM(V4965:V4972)</f>
        <v>0</v>
      </c>
      <c r="W4973" s="256">
        <f ca="1">IF(LEFT(_xlfn.FORMULATEXT(V4973),3)="=SO",1,IF(COUNTA(A4973:U4973)=0,0,2))</f>
        <v>1</v>
      </c>
      <c r="X4973" s="256">
        <f ca="1">IF(COUNTA(OFFSET(A4972,1,0))-COUNTA(A4972)=-1,0,1)</f>
        <v>0</v>
      </c>
    </row>
    <row r="4974" spans="1:24" s="614" customFormat="1" ht="15.75" x14ac:dyDescent="0.25">
      <c r="A4974" s="276"/>
      <c r="B4974" s="1374" t="s">
        <v>1340</v>
      </c>
      <c r="C4974" s="1376" t="str">
        <f>VLOOKUP(A5002,'11 - FINANCEIRO'!_xlnm.Print_Area,3,FALSE)</f>
        <v>Transporte com caminhão basculante com caçamba estanque com capacidade de 14 m³ - rodovia pavimentada</v>
      </c>
      <c r="D4974" s="1378" t="s">
        <v>500</v>
      </c>
      <c r="E4974" s="1379"/>
      <c r="F4974" s="1379"/>
      <c r="G4974" s="1379"/>
      <c r="H4974" s="1379"/>
      <c r="I4974" s="1380"/>
      <c r="J4974" s="1338" t="s">
        <v>478</v>
      </c>
      <c r="K4974" s="1338" t="s">
        <v>479</v>
      </c>
      <c r="L4974" s="1338" t="s">
        <v>480</v>
      </c>
      <c r="M4974" s="1338" t="s">
        <v>1393</v>
      </c>
      <c r="N4974" s="1338" t="s">
        <v>482</v>
      </c>
      <c r="O4974" s="1338" t="s">
        <v>483</v>
      </c>
      <c r="P4974" s="1338" t="s">
        <v>484</v>
      </c>
      <c r="Q4974" s="1338" t="s">
        <v>296</v>
      </c>
      <c r="R4974" s="1336" t="s">
        <v>296</v>
      </c>
      <c r="S4974" s="1338" t="s">
        <v>486</v>
      </c>
      <c r="T4974" s="1338" t="s">
        <v>487</v>
      </c>
      <c r="U4974" s="1340" t="s">
        <v>488</v>
      </c>
      <c r="V4974" s="291">
        <f t="shared" ca="1" si="1426"/>
        <v>1306374.8119999999</v>
      </c>
      <c r="W4974" s="256">
        <f t="shared" ref="W4974" ca="1" si="1439">IF(LEFT(_xlfn.FORMULATEXT(V4974),3)="=SO",1,IF(COUNTA(A4974:U4974)=0,0,2))</f>
        <v>2</v>
      </c>
      <c r="X4974" s="256">
        <f t="shared" ref="X4974" ca="1" si="1440">IF(COUNTA(OFFSET(A4973,1,0))-COUNTA(A4973)=-1,0,1)</f>
        <v>1</v>
      </c>
    </row>
    <row r="4975" spans="1:24" s="614" customFormat="1" ht="15.75" x14ac:dyDescent="0.25">
      <c r="A4975" s="276"/>
      <c r="B4975" s="1375"/>
      <c r="C4975" s="1377"/>
      <c r="D4975" s="1342" t="s">
        <v>489</v>
      </c>
      <c r="E4975" s="1343"/>
      <c r="F4975" s="1344"/>
      <c r="G4975" s="1345" t="s">
        <v>490</v>
      </c>
      <c r="H4975" s="1346"/>
      <c r="I4975" s="1347"/>
      <c r="J4975" s="1339"/>
      <c r="K4975" s="1339"/>
      <c r="L4975" s="1339"/>
      <c r="M4975" s="1339"/>
      <c r="N4975" s="1339"/>
      <c r="O4975" s="1339"/>
      <c r="P4975" s="1339" t="s">
        <v>491</v>
      </c>
      <c r="Q4975" s="1339"/>
      <c r="R4975" s="1337"/>
      <c r="S4975" s="1339"/>
      <c r="T4975" s="1339"/>
      <c r="U4975" s="1341"/>
      <c r="V4975" s="291">
        <f t="shared" ca="1" si="1426"/>
        <v>1306374.8119999999</v>
      </c>
      <c r="W4975" s="256">
        <f t="shared" ref="W4975:W5002" ca="1" si="1441">IF(LEFT(_xlfn.FORMULATEXT(V4975),3)="=SO",1,IF(COUNTA(A4975:U4975)=0,0,2))</f>
        <v>2</v>
      </c>
      <c r="X4975" s="256">
        <f t="shared" ref="X4975:X5002" ca="1" si="1442">IF(COUNTA(OFFSET(A4974,1,0))-COUNTA(A4974)=-1,0,1)</f>
        <v>1</v>
      </c>
    </row>
    <row r="4976" spans="1:24" s="614" customFormat="1" ht="15.75" x14ac:dyDescent="0.25">
      <c r="A4976" s="276"/>
      <c r="B4976" s="296"/>
      <c r="C4976" s="297" t="s">
        <v>616</v>
      </c>
      <c r="D4976" s="417">
        <v>28</v>
      </c>
      <c r="E4976" s="314" t="s">
        <v>518</v>
      </c>
      <c r="F4976" s="418">
        <v>10</v>
      </c>
      <c r="G4976" s="419">
        <v>32</v>
      </c>
      <c r="H4976" s="316" t="s">
        <v>518</v>
      </c>
      <c r="I4976" s="420">
        <v>0</v>
      </c>
      <c r="J4976" s="304"/>
      <c r="K4976" s="747"/>
      <c r="L4976" s="304"/>
      <c r="M4976" s="304">
        <v>18</v>
      </c>
      <c r="N4976" s="304">
        <v>3148.95</v>
      </c>
      <c r="O4976" s="304"/>
      <c r="P4976" s="306"/>
      <c r="Q4976" s="304"/>
      <c r="R4976" s="307">
        <v>56681.1</v>
      </c>
      <c r="S4976" s="308" t="s">
        <v>351</v>
      </c>
      <c r="T4976" s="309">
        <v>16</v>
      </c>
      <c r="U4976" s="310"/>
      <c r="V4976" s="291">
        <f t="shared" ca="1" si="1426"/>
        <v>1306374.8119999999</v>
      </c>
      <c r="W4976" s="256">
        <f t="shared" ca="1" si="1441"/>
        <v>2</v>
      </c>
      <c r="X4976" s="256">
        <f t="shared" ca="1" si="1442"/>
        <v>1</v>
      </c>
    </row>
    <row r="4977" spans="1:24" s="614" customFormat="1" ht="15.75" x14ac:dyDescent="0.25">
      <c r="A4977" s="276"/>
      <c r="B4977" s="785"/>
      <c r="C4977" s="312" t="s">
        <v>616</v>
      </c>
      <c r="D4977" s="417">
        <v>79</v>
      </c>
      <c r="E4977" s="314" t="s">
        <v>518</v>
      </c>
      <c r="F4977" s="418">
        <v>16</v>
      </c>
      <c r="G4977" s="417">
        <v>99</v>
      </c>
      <c r="H4977" s="314" t="s">
        <v>518</v>
      </c>
      <c r="I4977" s="418">
        <v>6.4</v>
      </c>
      <c r="J4977" s="317"/>
      <c r="K4977" s="421"/>
      <c r="L4977" s="774"/>
      <c r="M4977" s="786">
        <v>18</v>
      </c>
      <c r="N4977" s="787">
        <v>13154.050000000001</v>
      </c>
      <c r="O4977" s="788"/>
      <c r="P4977" s="789"/>
      <c r="Q4977" s="786"/>
      <c r="R4977" s="790">
        <v>236772.90000000002</v>
      </c>
      <c r="S4977" s="791" t="s">
        <v>351</v>
      </c>
      <c r="T4977" s="792">
        <v>27</v>
      </c>
      <c r="U4977" s="793"/>
      <c r="V4977" s="291">
        <f t="shared" ca="1" si="1426"/>
        <v>1306374.8119999999</v>
      </c>
      <c r="W4977" s="256">
        <f t="shared" ca="1" si="1441"/>
        <v>2</v>
      </c>
      <c r="X4977" s="256">
        <f t="shared" ca="1" si="1442"/>
        <v>1</v>
      </c>
    </row>
    <row r="4978" spans="1:24" s="614" customFormat="1" ht="15.75" x14ac:dyDescent="0.25">
      <c r="A4978" s="276"/>
      <c r="B4978" s="785"/>
      <c r="C4978" s="312" t="s">
        <v>616</v>
      </c>
      <c r="D4978" s="417">
        <v>73</v>
      </c>
      <c r="E4978" s="314" t="s">
        <v>518</v>
      </c>
      <c r="F4978" s="418">
        <v>10</v>
      </c>
      <c r="G4978" s="417">
        <v>79</v>
      </c>
      <c r="H4978" s="314" t="s">
        <v>518</v>
      </c>
      <c r="I4978" s="418">
        <v>16</v>
      </c>
      <c r="J4978" s="317"/>
      <c r="K4978" s="421"/>
      <c r="L4978" s="774"/>
      <c r="M4978" s="786">
        <v>18</v>
      </c>
      <c r="N4978" s="787">
        <v>990.15</v>
      </c>
      <c r="O4978" s="788"/>
      <c r="P4978" s="789"/>
      <c r="Q4978" s="786"/>
      <c r="R4978" s="790">
        <v>17822.7</v>
      </c>
      <c r="S4978" s="791" t="s">
        <v>351</v>
      </c>
      <c r="T4978" s="792">
        <v>31</v>
      </c>
      <c r="U4978" s="793"/>
      <c r="V4978" s="291">
        <f t="shared" ca="1" si="1426"/>
        <v>1306374.8119999999</v>
      </c>
      <c r="W4978" s="256">
        <f t="shared" ca="1" si="1441"/>
        <v>2</v>
      </c>
      <c r="X4978" s="256">
        <f t="shared" ca="1" si="1442"/>
        <v>1</v>
      </c>
    </row>
    <row r="4979" spans="1:24" s="614" customFormat="1" ht="15.75" x14ac:dyDescent="0.25">
      <c r="A4979" s="276"/>
      <c r="B4979" s="785"/>
      <c r="C4979" s="312" t="s">
        <v>616</v>
      </c>
      <c r="D4979" s="417">
        <v>71</v>
      </c>
      <c r="E4979" s="314" t="s">
        <v>518</v>
      </c>
      <c r="F4979" s="418">
        <v>7</v>
      </c>
      <c r="G4979" s="417">
        <v>73</v>
      </c>
      <c r="H4979" s="314" t="s">
        <v>518</v>
      </c>
      <c r="I4979" s="418">
        <v>10</v>
      </c>
      <c r="J4979" s="317"/>
      <c r="K4979" s="421"/>
      <c r="L4979" s="774"/>
      <c r="M4979" s="786">
        <v>18</v>
      </c>
      <c r="N4979" s="787">
        <v>2372.39</v>
      </c>
      <c r="O4979" s="788"/>
      <c r="P4979" s="789"/>
      <c r="Q4979" s="786"/>
      <c r="R4979" s="790">
        <v>42703.02</v>
      </c>
      <c r="S4979" s="791" t="s">
        <v>351</v>
      </c>
      <c r="T4979" s="792">
        <v>32</v>
      </c>
      <c r="U4979" s="793"/>
      <c r="V4979" s="291">
        <f t="shared" ca="1" si="1426"/>
        <v>1306374.8119999999</v>
      </c>
      <c r="W4979" s="256">
        <f t="shared" ca="1" si="1441"/>
        <v>2</v>
      </c>
      <c r="X4979" s="256">
        <f t="shared" ca="1" si="1442"/>
        <v>1</v>
      </c>
    </row>
    <row r="4980" spans="1:24" s="614" customFormat="1" ht="15.75" x14ac:dyDescent="0.25">
      <c r="A4980" s="276"/>
      <c r="B4980" s="785"/>
      <c r="C4980" s="312" t="s">
        <v>616</v>
      </c>
      <c r="D4980" s="417">
        <v>70</v>
      </c>
      <c r="E4980" s="314" t="s">
        <v>518</v>
      </c>
      <c r="F4980" s="418">
        <v>0</v>
      </c>
      <c r="G4980" s="417">
        <v>71</v>
      </c>
      <c r="H4980" s="314" t="s">
        <v>518</v>
      </c>
      <c r="I4980" s="418">
        <v>7</v>
      </c>
      <c r="J4980" s="317"/>
      <c r="K4980" s="421"/>
      <c r="L4980" s="774"/>
      <c r="M4980" s="786">
        <v>18</v>
      </c>
      <c r="N4980" s="787">
        <v>408.93</v>
      </c>
      <c r="O4980" s="788"/>
      <c r="P4980" s="789"/>
      <c r="Q4980" s="786"/>
      <c r="R4980" s="790">
        <v>7360.74</v>
      </c>
      <c r="S4980" s="791" t="s">
        <v>351</v>
      </c>
      <c r="T4980" s="792">
        <v>33</v>
      </c>
      <c r="U4980" s="793"/>
      <c r="V4980" s="291">
        <f t="shared" ca="1" si="1426"/>
        <v>1306374.8119999999</v>
      </c>
      <c r="W4980" s="256">
        <f t="shared" ca="1" si="1441"/>
        <v>2</v>
      </c>
      <c r="X4980" s="256">
        <f t="shared" ca="1" si="1442"/>
        <v>1</v>
      </c>
    </row>
    <row r="4981" spans="1:24" s="614" customFormat="1" ht="15.75" x14ac:dyDescent="0.25">
      <c r="A4981" s="276"/>
      <c r="B4981" s="785"/>
      <c r="C4981" s="312" t="s">
        <v>616</v>
      </c>
      <c r="D4981" s="417"/>
      <c r="E4981" s="314"/>
      <c r="F4981" s="418"/>
      <c r="G4981" s="417"/>
      <c r="H4981" s="314"/>
      <c r="I4981" s="418"/>
      <c r="J4981" s="317"/>
      <c r="K4981" s="421"/>
      <c r="L4981" s="774"/>
      <c r="M4981" s="786">
        <v>18</v>
      </c>
      <c r="N4981" s="787">
        <v>462.71</v>
      </c>
      <c r="O4981" s="788"/>
      <c r="P4981" s="789"/>
      <c r="Q4981" s="786"/>
      <c r="R4981" s="790">
        <v>8328.7799999999988</v>
      </c>
      <c r="S4981" s="791" t="s">
        <v>351</v>
      </c>
      <c r="T4981" s="792">
        <v>35</v>
      </c>
      <c r="U4981" s="793"/>
      <c r="V4981" s="291">
        <f t="shared" ca="1" si="1426"/>
        <v>1306374.8119999999</v>
      </c>
      <c r="W4981" s="256">
        <f t="shared" ca="1" si="1441"/>
        <v>2</v>
      </c>
      <c r="X4981" s="256">
        <f t="shared" ca="1" si="1442"/>
        <v>1</v>
      </c>
    </row>
    <row r="4982" spans="1:24" s="614" customFormat="1" ht="15.75" x14ac:dyDescent="0.25">
      <c r="A4982" s="276"/>
      <c r="B4982" s="785"/>
      <c r="C4982" s="312" t="s">
        <v>616</v>
      </c>
      <c r="D4982" s="417"/>
      <c r="E4982" s="314"/>
      <c r="F4982" s="418"/>
      <c r="G4982" s="417"/>
      <c r="H4982" s="314"/>
      <c r="I4982" s="418"/>
      <c r="J4982" s="317"/>
      <c r="K4982" s="421"/>
      <c r="L4982" s="774"/>
      <c r="M4982" s="786">
        <v>18</v>
      </c>
      <c r="N4982" s="787">
        <v>1276.67</v>
      </c>
      <c r="O4982" s="788"/>
      <c r="P4982" s="789"/>
      <c r="Q4982" s="786"/>
      <c r="R4982" s="790">
        <v>22980.06</v>
      </c>
      <c r="S4982" s="791" t="s">
        <v>351</v>
      </c>
      <c r="T4982" s="792">
        <v>35</v>
      </c>
      <c r="U4982" s="793"/>
      <c r="V4982" s="291">
        <f t="shared" ca="1" si="1426"/>
        <v>1306374.8119999999</v>
      </c>
      <c r="W4982" s="256">
        <f t="shared" ca="1" si="1441"/>
        <v>2</v>
      </c>
      <c r="X4982" s="256">
        <f t="shared" ca="1" si="1442"/>
        <v>1</v>
      </c>
    </row>
    <row r="4983" spans="1:24" s="614" customFormat="1" ht="15.75" x14ac:dyDescent="0.25">
      <c r="A4983" s="276"/>
      <c r="B4983" s="785"/>
      <c r="C4983" s="312" t="s">
        <v>616</v>
      </c>
      <c r="D4983" s="417"/>
      <c r="E4983" s="314"/>
      <c r="F4983" s="418"/>
      <c r="G4983" s="417"/>
      <c r="H4983" s="314"/>
      <c r="I4983" s="418"/>
      <c r="J4983" s="317"/>
      <c r="K4983" s="421"/>
      <c r="L4983" s="774"/>
      <c r="M4983" s="786">
        <v>18</v>
      </c>
      <c r="N4983" s="787">
        <v>1032.54</v>
      </c>
      <c r="O4983" s="788"/>
      <c r="P4983" s="789"/>
      <c r="Q4983" s="786"/>
      <c r="R4983" s="790">
        <v>18585.72</v>
      </c>
      <c r="S4983" s="791" t="s">
        <v>351</v>
      </c>
      <c r="T4983" s="792">
        <v>35</v>
      </c>
      <c r="U4983" s="793"/>
      <c r="V4983" s="291">
        <f t="shared" ca="1" si="1426"/>
        <v>1306374.8119999999</v>
      </c>
      <c r="W4983" s="256">
        <f t="shared" ca="1" si="1441"/>
        <v>2</v>
      </c>
      <c r="X4983" s="256">
        <f t="shared" ca="1" si="1442"/>
        <v>1</v>
      </c>
    </row>
    <row r="4984" spans="1:24" s="614" customFormat="1" ht="15.75" x14ac:dyDescent="0.25">
      <c r="A4984" s="276"/>
      <c r="B4984" s="785"/>
      <c r="C4984" s="312" t="s">
        <v>616</v>
      </c>
      <c r="D4984" s="417"/>
      <c r="E4984" s="314"/>
      <c r="F4984" s="418"/>
      <c r="G4984" s="417"/>
      <c r="H4984" s="314"/>
      <c r="I4984" s="418"/>
      <c r="J4984" s="317"/>
      <c r="K4984" s="421"/>
      <c r="L4984" s="774"/>
      <c r="M4984" s="786">
        <v>18</v>
      </c>
      <c r="N4984" s="787">
        <v>3498.48</v>
      </c>
      <c r="O4984" s="788"/>
      <c r="P4984" s="789"/>
      <c r="Q4984" s="786"/>
      <c r="R4984" s="790">
        <v>62972.639999999999</v>
      </c>
      <c r="S4984" s="791" t="s">
        <v>351</v>
      </c>
      <c r="T4984" s="792">
        <v>36</v>
      </c>
      <c r="U4984" s="793"/>
      <c r="V4984" s="291">
        <f t="shared" ca="1" si="1426"/>
        <v>1306374.8119999999</v>
      </c>
      <c r="W4984" s="256">
        <f t="shared" ca="1" si="1441"/>
        <v>2</v>
      </c>
      <c r="X4984" s="256">
        <f t="shared" ca="1" si="1442"/>
        <v>1</v>
      </c>
    </row>
    <row r="4985" spans="1:24" s="614" customFormat="1" ht="15.75" x14ac:dyDescent="0.25">
      <c r="A4985" s="276"/>
      <c r="B4985" s="785"/>
      <c r="C4985" s="312" t="s">
        <v>616</v>
      </c>
      <c r="D4985" s="417"/>
      <c r="E4985" s="314"/>
      <c r="F4985" s="418"/>
      <c r="G4985" s="417"/>
      <c r="H4985" s="314"/>
      <c r="I4985" s="418"/>
      <c r="J4985" s="317"/>
      <c r="K4985" s="421"/>
      <c r="L4985" s="774"/>
      <c r="M4985" s="786">
        <v>18</v>
      </c>
      <c r="N4985" s="787">
        <v>4549.0600000000004</v>
      </c>
      <c r="O4985" s="788"/>
      <c r="P4985" s="789"/>
      <c r="Q4985" s="786"/>
      <c r="R4985" s="790">
        <v>81883.08</v>
      </c>
      <c r="S4985" s="791" t="s">
        <v>351</v>
      </c>
      <c r="T4985" s="792">
        <v>37</v>
      </c>
      <c r="U4985" s="793"/>
      <c r="V4985" s="291">
        <f t="shared" ca="1" si="1426"/>
        <v>1306374.8119999999</v>
      </c>
      <c r="W4985" s="256">
        <f t="shared" ca="1" si="1441"/>
        <v>2</v>
      </c>
      <c r="X4985" s="256">
        <f t="shared" ca="1" si="1442"/>
        <v>1</v>
      </c>
    </row>
    <row r="4986" spans="1:24" s="614" customFormat="1" ht="15.75" x14ac:dyDescent="0.25">
      <c r="A4986" s="276"/>
      <c r="B4986" s="785"/>
      <c r="C4986" s="312" t="s">
        <v>616</v>
      </c>
      <c r="D4986" s="417"/>
      <c r="E4986" s="314"/>
      <c r="F4986" s="418"/>
      <c r="G4986" s="417"/>
      <c r="H4986" s="314"/>
      <c r="I4986" s="418"/>
      <c r="J4986" s="317"/>
      <c r="K4986" s="421"/>
      <c r="L4986" s="774"/>
      <c r="M4986" s="786">
        <v>18</v>
      </c>
      <c r="N4986" s="787">
        <v>4835.1499999999996</v>
      </c>
      <c r="O4986" s="788"/>
      <c r="P4986" s="789"/>
      <c r="Q4986" s="786"/>
      <c r="R4986" s="790">
        <v>87032.7</v>
      </c>
      <c r="S4986" s="791" t="s">
        <v>351</v>
      </c>
      <c r="T4986" s="792">
        <v>38</v>
      </c>
      <c r="U4986" s="793"/>
      <c r="V4986" s="291">
        <f t="shared" ca="1" si="1426"/>
        <v>1306374.8119999999</v>
      </c>
      <c r="W4986" s="256">
        <f t="shared" ca="1" si="1441"/>
        <v>2</v>
      </c>
      <c r="X4986" s="256">
        <f t="shared" ca="1" si="1442"/>
        <v>1</v>
      </c>
    </row>
    <row r="4987" spans="1:24" s="614" customFormat="1" ht="15.75" x14ac:dyDescent="0.25">
      <c r="A4987" s="276"/>
      <c r="B4987" s="785"/>
      <c r="C4987" s="312" t="s">
        <v>616</v>
      </c>
      <c r="D4987" s="417"/>
      <c r="E4987" s="314"/>
      <c r="F4987" s="418"/>
      <c r="G4987" s="417"/>
      <c r="H4987" s="314"/>
      <c r="I4987" s="418"/>
      <c r="J4987" s="317"/>
      <c r="K4987" s="421"/>
      <c r="L4987" s="774"/>
      <c r="M4987" s="786">
        <v>18</v>
      </c>
      <c r="N4987" s="787">
        <v>2771.24</v>
      </c>
      <c r="O4987" s="788"/>
      <c r="P4987" s="789"/>
      <c r="Q4987" s="786"/>
      <c r="R4987" s="790">
        <v>49882.319999999992</v>
      </c>
      <c r="S4987" s="791" t="s">
        <v>351</v>
      </c>
      <c r="T4987" s="792">
        <v>39</v>
      </c>
      <c r="U4987" s="793"/>
      <c r="V4987" s="291">
        <f t="shared" ca="1" si="1426"/>
        <v>1306374.8119999999</v>
      </c>
      <c r="W4987" s="256">
        <f t="shared" ca="1" si="1441"/>
        <v>2</v>
      </c>
      <c r="X4987" s="256">
        <f t="shared" ca="1" si="1442"/>
        <v>1</v>
      </c>
    </row>
    <row r="4988" spans="1:24" s="614" customFormat="1" ht="15.75" x14ac:dyDescent="0.25">
      <c r="A4988" s="276"/>
      <c r="B4988" s="785"/>
      <c r="C4988" s="312" t="s">
        <v>616</v>
      </c>
      <c r="D4988" s="417"/>
      <c r="E4988" s="314"/>
      <c r="F4988" s="418"/>
      <c r="G4988" s="417"/>
      <c r="H4988" s="314"/>
      <c r="I4988" s="418"/>
      <c r="J4988" s="317"/>
      <c r="K4988" s="421"/>
      <c r="L4988" s="774"/>
      <c r="M4988" s="786">
        <v>18</v>
      </c>
      <c r="N4988" s="787">
        <v>5492.71</v>
      </c>
      <c r="O4988" s="788"/>
      <c r="P4988" s="789"/>
      <c r="Q4988" s="786"/>
      <c r="R4988" s="790">
        <v>98868.78</v>
      </c>
      <c r="S4988" s="791" t="s">
        <v>351</v>
      </c>
      <c r="T4988" s="792">
        <v>40</v>
      </c>
      <c r="U4988" s="793"/>
      <c r="V4988" s="291">
        <f t="shared" ca="1" si="1426"/>
        <v>1306374.8119999999</v>
      </c>
      <c r="W4988" s="256">
        <f t="shared" ca="1" si="1441"/>
        <v>2</v>
      </c>
      <c r="X4988" s="256">
        <f t="shared" ca="1" si="1442"/>
        <v>1</v>
      </c>
    </row>
    <row r="4989" spans="1:24" s="614" customFormat="1" ht="15.75" x14ac:dyDescent="0.25">
      <c r="A4989" s="276"/>
      <c r="B4989" s="785"/>
      <c r="C4989" s="312" t="s">
        <v>616</v>
      </c>
      <c r="D4989" s="417"/>
      <c r="E4989" s="314"/>
      <c r="F4989" s="418"/>
      <c r="G4989" s="417"/>
      <c r="H4989" s="314"/>
      <c r="I4989" s="418"/>
      <c r="J4989" s="317"/>
      <c r="K4989" s="421"/>
      <c r="L4989" s="774"/>
      <c r="M4989" s="786">
        <v>18</v>
      </c>
      <c r="N4989" s="787">
        <v>4003.85</v>
      </c>
      <c r="O4989" s="788"/>
      <c r="P4989" s="789"/>
      <c r="Q4989" s="786"/>
      <c r="R4989" s="790">
        <v>48901.368999999999</v>
      </c>
      <c r="S4989" s="791" t="s">
        <v>351</v>
      </c>
      <c r="T4989" s="792">
        <v>41</v>
      </c>
      <c r="U4989" s="793"/>
      <c r="V4989" s="291">
        <f t="shared" ca="1" si="1426"/>
        <v>1306374.8119999999</v>
      </c>
      <c r="W4989" s="256">
        <f t="shared" ca="1" si="1441"/>
        <v>2</v>
      </c>
      <c r="X4989" s="256">
        <f t="shared" ca="1" si="1442"/>
        <v>1</v>
      </c>
    </row>
    <row r="4990" spans="1:24" s="614" customFormat="1" ht="30" x14ac:dyDescent="0.25">
      <c r="A4990" s="276"/>
      <c r="B4990" s="785"/>
      <c r="C4990" s="312" t="s">
        <v>1390</v>
      </c>
      <c r="D4990" s="819"/>
      <c r="E4990" s="820"/>
      <c r="F4990" s="822"/>
      <c r="G4990" s="819"/>
      <c r="H4990" s="820"/>
      <c r="I4990" s="822"/>
      <c r="J4990" s="1109"/>
      <c r="K4990" s="759"/>
      <c r="L4990" s="501"/>
      <c r="M4990" s="760"/>
      <c r="N4990" s="761"/>
      <c r="O4990" s="505"/>
      <c r="P4990" s="501"/>
      <c r="Q4990" s="739"/>
      <c r="R4990" s="1111">
        <v>23167.931</v>
      </c>
      <c r="S4990" s="433" t="s">
        <v>351</v>
      </c>
      <c r="T4990" s="506">
        <v>41</v>
      </c>
      <c r="U4990" s="793"/>
      <c r="V4990" s="291">
        <f t="shared" ca="1" si="1426"/>
        <v>1306374.8119999999</v>
      </c>
      <c r="W4990" s="256">
        <f t="shared" ca="1" si="1441"/>
        <v>2</v>
      </c>
      <c r="X4990" s="256">
        <f ca="1">IF(COUNTA(OFFSET(#REF!,1,0))-COUNTA(#REF!)=-1,0,1)</f>
        <v>1</v>
      </c>
    </row>
    <row r="4991" spans="1:24" s="614" customFormat="1" ht="30" x14ac:dyDescent="0.25">
      <c r="A4991" s="276"/>
      <c r="B4991" s="785"/>
      <c r="C4991" s="312" t="s">
        <v>1391</v>
      </c>
      <c r="D4991" s="819"/>
      <c r="E4991" s="820"/>
      <c r="F4991" s="822"/>
      <c r="G4991" s="819"/>
      <c r="H4991" s="820"/>
      <c r="I4991" s="822"/>
      <c r="J4991" s="1109"/>
      <c r="K4991" s="759"/>
      <c r="L4991" s="501"/>
      <c r="M4991" s="760"/>
      <c r="N4991" s="761"/>
      <c r="O4991" s="505"/>
      <c r="P4991" s="501"/>
      <c r="Q4991" s="739"/>
      <c r="R4991" s="1111">
        <v>128153.96799999999</v>
      </c>
      <c r="S4991" s="433" t="s">
        <v>351</v>
      </c>
      <c r="T4991" s="506">
        <v>42</v>
      </c>
      <c r="U4991" s="793"/>
      <c r="V4991" s="291">
        <f t="shared" ca="1" si="1426"/>
        <v>1306374.8119999999</v>
      </c>
      <c r="W4991" s="256">
        <f t="shared" ca="1" si="1441"/>
        <v>2</v>
      </c>
      <c r="X4991" s="256">
        <f t="shared" ca="1" si="1442"/>
        <v>1</v>
      </c>
    </row>
    <row r="4992" spans="1:24" s="614" customFormat="1" ht="30" x14ac:dyDescent="0.25">
      <c r="A4992" s="276"/>
      <c r="B4992" s="785"/>
      <c r="C4992" s="312" t="s">
        <v>1392</v>
      </c>
      <c r="D4992" s="819"/>
      <c r="E4992" s="820"/>
      <c r="F4992" s="822"/>
      <c r="G4992" s="819"/>
      <c r="H4992" s="820"/>
      <c r="I4992" s="822"/>
      <c r="J4992" s="1109"/>
      <c r="K4992" s="759"/>
      <c r="L4992" s="501"/>
      <c r="M4992" s="760"/>
      <c r="N4992" s="761"/>
      <c r="O4992" s="505"/>
      <c r="P4992" s="501"/>
      <c r="Q4992" s="739"/>
      <c r="R4992" s="1111">
        <v>89602.366999999998</v>
      </c>
      <c r="S4992" s="433" t="s">
        <v>351</v>
      </c>
      <c r="T4992" s="506">
        <v>43</v>
      </c>
      <c r="U4992" s="793"/>
      <c r="V4992" s="291">
        <f t="shared" ca="1" si="1426"/>
        <v>1306374.8119999999</v>
      </c>
      <c r="W4992" s="256">
        <f t="shared" ca="1" si="1441"/>
        <v>2</v>
      </c>
      <c r="X4992" s="256">
        <f t="shared" ca="1" si="1442"/>
        <v>1</v>
      </c>
    </row>
    <row r="4993" spans="1:24" s="614" customFormat="1" ht="15.75" x14ac:dyDescent="0.25">
      <c r="A4993" s="276"/>
      <c r="B4993" s="785"/>
      <c r="C4993" s="1108" t="s">
        <v>616</v>
      </c>
      <c r="D4993" s="551"/>
      <c r="E4993" s="552"/>
      <c r="F4993" s="834"/>
      <c r="G4993" s="551"/>
      <c r="H4993" s="552"/>
      <c r="I4993" s="553"/>
      <c r="J4993" s="738"/>
      <c r="K4993" s="570"/>
      <c r="L4993" s="571"/>
      <c r="M4993" s="572">
        <v>18</v>
      </c>
      <c r="N4993" s="1109">
        <v>1857.13</v>
      </c>
      <c r="O4993" s="1109"/>
      <c r="P4993" s="1109"/>
      <c r="Q4993" s="1109"/>
      <c r="R4993" s="1111">
        <f>N4993*M4993</f>
        <v>33428.340000000004</v>
      </c>
      <c r="S4993" s="433" t="s">
        <v>351</v>
      </c>
      <c r="T4993" s="506">
        <v>44</v>
      </c>
      <c r="U4993" s="793"/>
      <c r="V4993" s="291">
        <f t="shared" ca="1" si="1426"/>
        <v>1306374.8119999999</v>
      </c>
      <c r="W4993" s="256">
        <f t="shared" ca="1" si="1441"/>
        <v>2</v>
      </c>
      <c r="X4993" s="256">
        <f t="shared" ca="1" si="1442"/>
        <v>1</v>
      </c>
    </row>
    <row r="4994" spans="1:24" s="614" customFormat="1" ht="15.75" x14ac:dyDescent="0.25">
      <c r="A4994" s="276"/>
      <c r="B4994" s="785"/>
      <c r="C4994" s="312"/>
      <c r="D4994" s="417"/>
      <c r="E4994" s="314"/>
      <c r="F4994" s="418"/>
      <c r="G4994" s="417"/>
      <c r="H4994" s="314"/>
      <c r="I4994" s="418"/>
      <c r="J4994" s="317"/>
      <c r="K4994" s="421"/>
      <c r="L4994" s="774"/>
      <c r="M4994" s="786"/>
      <c r="N4994" s="787"/>
      <c r="O4994" s="788"/>
      <c r="P4994" s="789"/>
      <c r="Q4994" s="786"/>
      <c r="R4994" s="790"/>
      <c r="S4994" s="791"/>
      <c r="T4994" s="792"/>
      <c r="U4994" s="793"/>
      <c r="V4994" s="291">
        <f t="shared" ca="1" si="1426"/>
        <v>1306374.8119999999</v>
      </c>
      <c r="W4994" s="256">
        <f t="shared" ca="1" si="1441"/>
        <v>0</v>
      </c>
      <c r="X4994" s="256">
        <f t="shared" ca="1" si="1442"/>
        <v>1</v>
      </c>
    </row>
    <row r="4995" spans="1:24" s="614" customFormat="1" ht="15.75" x14ac:dyDescent="0.25">
      <c r="A4995" s="276"/>
      <c r="B4995" s="785"/>
      <c r="C4995" s="312" t="s">
        <v>1046</v>
      </c>
      <c r="D4995" s="417"/>
      <c r="E4995" s="314"/>
      <c r="F4995" s="418"/>
      <c r="G4995" s="417"/>
      <c r="H4995" s="314"/>
      <c r="I4995" s="418"/>
      <c r="J4995" s="317"/>
      <c r="K4995" s="421">
        <v>5923.3770000000004</v>
      </c>
      <c r="L4995" s="774">
        <v>1.7</v>
      </c>
      <c r="M4995" s="786">
        <v>2</v>
      </c>
      <c r="N4995" s="787">
        <v>20139.481800000001</v>
      </c>
      <c r="O4995" s="788"/>
      <c r="P4995" s="789"/>
      <c r="Q4995" s="786"/>
      <c r="R4995" s="790">
        <v>20139.481800000001</v>
      </c>
      <c r="S4995" s="791" t="s">
        <v>351</v>
      </c>
      <c r="T4995" s="792">
        <v>44</v>
      </c>
      <c r="U4995" s="793"/>
      <c r="V4995" s="291">
        <f t="shared" ca="1" si="1426"/>
        <v>1306374.8119999999</v>
      </c>
      <c r="W4995" s="256">
        <f t="shared" ca="1" si="1441"/>
        <v>2</v>
      </c>
      <c r="X4995" s="256">
        <f t="shared" ca="1" si="1442"/>
        <v>1</v>
      </c>
    </row>
    <row r="4996" spans="1:24" s="614" customFormat="1" ht="15.75" x14ac:dyDescent="0.25">
      <c r="A4996" s="276"/>
      <c r="B4996" s="785"/>
      <c r="C4996" s="312"/>
      <c r="D4996" s="417"/>
      <c r="E4996" s="314"/>
      <c r="F4996" s="418"/>
      <c r="G4996" s="417"/>
      <c r="H4996" s="314"/>
      <c r="I4996" s="418"/>
      <c r="J4996" s="317"/>
      <c r="K4996" s="421"/>
      <c r="L4996" s="774"/>
      <c r="M4996" s="786"/>
      <c r="N4996" s="787"/>
      <c r="O4996" s="788"/>
      <c r="P4996" s="789"/>
      <c r="Q4996" s="786"/>
      <c r="R4996" s="790"/>
      <c r="S4996" s="791"/>
      <c r="T4996" s="792"/>
      <c r="U4996" s="793"/>
      <c r="V4996" s="291">
        <f t="shared" ca="1" si="1426"/>
        <v>1306374.8119999999</v>
      </c>
      <c r="W4996" s="256">
        <f t="shared" ca="1" si="1441"/>
        <v>0</v>
      </c>
      <c r="X4996" s="256">
        <f t="shared" ca="1" si="1442"/>
        <v>1</v>
      </c>
    </row>
    <row r="4997" spans="1:24" s="614" customFormat="1" ht="15.75" x14ac:dyDescent="0.25">
      <c r="A4997" s="276"/>
      <c r="B4997" s="785"/>
      <c r="C4997" s="312" t="s">
        <v>614</v>
      </c>
      <c r="D4997" s="417"/>
      <c r="E4997" s="314"/>
      <c r="F4997" s="418"/>
      <c r="G4997" s="417"/>
      <c r="H4997" s="314"/>
      <c r="I4997" s="418"/>
      <c r="J4997" s="317"/>
      <c r="K4997" s="421">
        <v>16709.650000000001</v>
      </c>
      <c r="L4997" s="774">
        <v>1.6</v>
      </c>
      <c r="M4997" s="786">
        <v>6.4</v>
      </c>
      <c r="N4997" s="787">
        <v>171106.81600000002</v>
      </c>
      <c r="O4997" s="788"/>
      <c r="P4997" s="789"/>
      <c r="Q4997" s="786"/>
      <c r="R4997" s="790">
        <v>171106.81600000002</v>
      </c>
      <c r="S4997" s="791" t="s">
        <v>351</v>
      </c>
      <c r="T4997" s="792">
        <v>44</v>
      </c>
      <c r="U4997" s="793"/>
      <c r="V4997" s="291">
        <f t="shared" ca="1" si="1426"/>
        <v>1306374.8119999999</v>
      </c>
      <c r="W4997" s="256">
        <f t="shared" ca="1" si="1441"/>
        <v>2</v>
      </c>
      <c r="X4997" s="256">
        <f t="shared" ca="1" si="1442"/>
        <v>1</v>
      </c>
    </row>
    <row r="4998" spans="1:24" s="614" customFormat="1" ht="15.75" x14ac:dyDescent="0.25">
      <c r="A4998" s="276"/>
      <c r="B4998" s="785"/>
      <c r="C4998" s="312"/>
      <c r="D4998" s="417"/>
      <c r="E4998" s="314"/>
      <c r="F4998" s="418"/>
      <c r="G4998" s="417"/>
      <c r="H4998" s="314"/>
      <c r="I4998" s="418"/>
      <c r="J4998" s="317"/>
      <c r="K4998" s="421"/>
      <c r="L4998" s="774"/>
      <c r="M4998" s="786"/>
      <c r="N4998" s="787"/>
      <c r="O4998" s="788"/>
      <c r="P4998" s="789"/>
      <c r="Q4998" s="786"/>
      <c r="R4998" s="790"/>
      <c r="S4998" s="791"/>
      <c r="T4998" s="792"/>
      <c r="U4998" s="793"/>
      <c r="V4998" s="291">
        <f t="shared" ca="1" si="1426"/>
        <v>1306374.8119999999</v>
      </c>
      <c r="W4998" s="256">
        <f t="shared" ca="1" si="1441"/>
        <v>0</v>
      </c>
      <c r="X4998" s="256">
        <f t="shared" ca="1" si="1442"/>
        <v>1</v>
      </c>
    </row>
    <row r="4999" spans="1:24" s="614" customFormat="1" ht="15" x14ac:dyDescent="0.25">
      <c r="A4999" s="276"/>
      <c r="B4999" s="338"/>
      <c r="C4999" s="339"/>
      <c r="D4999" s="1348"/>
      <c r="E4999" s="1349"/>
      <c r="F4999" s="1350"/>
      <c r="G4999" s="1351"/>
      <c r="H4999" s="1352"/>
      <c r="I4999" s="1353"/>
      <c r="J4999" s="343"/>
      <c r="K4999" s="344"/>
      <c r="L4999" s="345"/>
      <c r="M4999" s="346"/>
      <c r="N4999" s="347"/>
      <c r="O4999" s="348"/>
      <c r="P4999" s="345"/>
      <c r="Q4999" s="349"/>
      <c r="R4999" s="350"/>
      <c r="S4999" s="351"/>
      <c r="T4999" s="352"/>
      <c r="U4999" s="353"/>
      <c r="V4999" s="291">
        <f t="shared" ca="1" si="1426"/>
        <v>1306374.8119999999</v>
      </c>
      <c r="W4999" s="256">
        <f t="shared" ca="1" si="1441"/>
        <v>0</v>
      </c>
      <c r="X4999" s="256">
        <f ca="1">IF(COUNTA(OFFSET(#REF!,1,0))-COUNTA(#REF!)=-1,0,1)</f>
        <v>1</v>
      </c>
    </row>
    <row r="5000" spans="1:24" s="614" customFormat="1" ht="15.75" x14ac:dyDescent="0.25">
      <c r="A5000" s="276"/>
      <c r="B5000" s="354"/>
      <c r="C5000" s="355"/>
      <c r="D5000" s="1354" t="s">
        <v>492</v>
      </c>
      <c r="E5000" s="1355"/>
      <c r="F5000" s="1355"/>
      <c r="G5000" s="1355"/>
      <c r="H5000" s="1355"/>
      <c r="I5000" s="1356"/>
      <c r="J5000" s="1357">
        <f>VLOOKUP(A5002,'11 - FINANCEIRO'!_xlnm.Print_Area,6,FALSE)</f>
        <v>2188345.9900000002</v>
      </c>
      <c r="K5000" s="1358"/>
      <c r="L5000" s="356" t="str">
        <f>VLOOKUP(A5002,'11 - FINANCEIRO'!_xlnm.Print_Area,4,FALSE)</f>
        <v>tkm</v>
      </c>
      <c r="M5000" s="1359" t="s">
        <v>493</v>
      </c>
      <c r="N5000" s="1360"/>
      <c r="O5000" s="1360"/>
      <c r="P5000" s="1360"/>
      <c r="Q5000" s="1361"/>
      <c r="R5000" s="357">
        <f>TRUNC(SUM(R4976:R4999),3)</f>
        <v>1306374.8119999999</v>
      </c>
      <c r="S5000" s="358" t="str">
        <f>L5000</f>
        <v>tkm</v>
      </c>
      <c r="T5000" s="1384"/>
      <c r="U5000" s="1385"/>
      <c r="V5000" s="291">
        <f t="shared" ca="1" si="1426"/>
        <v>1306374.8119999999</v>
      </c>
      <c r="W5000" s="256">
        <f t="shared" ca="1" si="1441"/>
        <v>2</v>
      </c>
      <c r="X5000" s="256">
        <f t="shared" ca="1" si="1442"/>
        <v>1</v>
      </c>
    </row>
    <row r="5001" spans="1:24" s="614" customFormat="1" ht="15.75" x14ac:dyDescent="0.25">
      <c r="A5001" s="276"/>
      <c r="B5001" s="354"/>
      <c r="C5001" s="361"/>
      <c r="D5001" s="1362" t="s">
        <v>494</v>
      </c>
      <c r="E5001" s="1363"/>
      <c r="F5001" s="1363"/>
      <c r="G5001" s="1363"/>
      <c r="H5001" s="1363"/>
      <c r="I5001" s="1364"/>
      <c r="J5001" s="1365">
        <f>R5000/J5000</f>
        <v>0.59696904327272293</v>
      </c>
      <c r="K5001" s="1366"/>
      <c r="L5001" s="1369"/>
      <c r="M5001" s="1371" t="s">
        <v>495</v>
      </c>
      <c r="N5001" s="1372"/>
      <c r="O5001" s="1372"/>
      <c r="P5001" s="1372"/>
      <c r="Q5001" s="1373"/>
      <c r="R5001" s="362">
        <f>VLOOKUP(A5002,'11 - FINANCEIRO'!_xlnm.Print_Area,8,FALSE)</f>
        <v>0</v>
      </c>
      <c r="S5001" s="363" t="str">
        <f>L5000</f>
        <v>tkm</v>
      </c>
      <c r="T5001" s="1386"/>
      <c r="U5001" s="1387"/>
      <c r="V5001" s="291">
        <f t="shared" ca="1" si="1426"/>
        <v>1306374.8119999999</v>
      </c>
      <c r="W5001" s="256">
        <f t="shared" ca="1" si="1441"/>
        <v>2</v>
      </c>
      <c r="X5001" s="256">
        <f t="shared" ca="1" si="1442"/>
        <v>1</v>
      </c>
    </row>
    <row r="5002" spans="1:24" s="614" customFormat="1" ht="15.75" x14ac:dyDescent="0.25">
      <c r="A5002" s="276" t="s">
        <v>1340</v>
      </c>
      <c r="B5002" s="364"/>
      <c r="C5002" s="365"/>
      <c r="D5002" s="1354"/>
      <c r="E5002" s="1355"/>
      <c r="F5002" s="1355"/>
      <c r="G5002" s="1355"/>
      <c r="H5002" s="1355"/>
      <c r="I5002" s="1356"/>
      <c r="J5002" s="1367"/>
      <c r="K5002" s="1368"/>
      <c r="L5002" s="1370"/>
      <c r="M5002" s="1371" t="s">
        <v>496</v>
      </c>
      <c r="N5002" s="1372"/>
      <c r="O5002" s="1372"/>
      <c r="P5002" s="1372"/>
      <c r="Q5002" s="1373"/>
      <c r="R5002" s="362">
        <f>R5000-R5001</f>
        <v>1306374.8119999999</v>
      </c>
      <c r="S5002" s="363" t="str">
        <f>L5000</f>
        <v>tkm</v>
      </c>
      <c r="T5002" s="1388"/>
      <c r="U5002" s="1389"/>
      <c r="V5002" s="291">
        <f t="shared" ca="1" si="1426"/>
        <v>1306374.8119999999</v>
      </c>
      <c r="W5002" s="256">
        <f t="shared" ca="1" si="1441"/>
        <v>2</v>
      </c>
      <c r="X5002" s="256">
        <f t="shared" ca="1" si="1442"/>
        <v>1</v>
      </c>
    </row>
    <row r="5003" spans="1:24" s="614" customFormat="1" ht="15.75" x14ac:dyDescent="0.2">
      <c r="A5003" s="276"/>
      <c r="B5003" s="368"/>
      <c r="C5003" s="365"/>
      <c r="D5003" s="369"/>
      <c r="E5003" s="370"/>
      <c r="F5003" s="369"/>
      <c r="G5003" s="369"/>
      <c r="H5003" s="369"/>
      <c r="I5003" s="369"/>
      <c r="J5003" s="371"/>
      <c r="K5003" s="372"/>
      <c r="L5003" s="373"/>
      <c r="M5003" s="374"/>
      <c r="N5003" s="374"/>
      <c r="O5003" s="374"/>
      <c r="P5003" s="374"/>
      <c r="Q5003" s="374"/>
      <c r="R5003" s="375"/>
      <c r="S5003" s="376"/>
      <c r="T5003" s="377"/>
      <c r="U5003" s="378"/>
      <c r="V5003" s="379">
        <f ca="1">SUM(V4974:V5002)</f>
        <v>37884869.547999978</v>
      </c>
      <c r="W5003" s="256">
        <f ca="1">IF(LEFT(_xlfn.FORMULATEXT(V5003),3)="=SO",1,IF(COUNTA(A5003:U5003)=0,0,2))</f>
        <v>1</v>
      </c>
      <c r="X5003" s="256">
        <f ca="1">IF(COUNTA(OFFSET(A5002,1,0))-COUNTA(A5002)=-1,0,1)</f>
        <v>0</v>
      </c>
    </row>
    <row r="5004" spans="1:24" s="614" customFormat="1" ht="15.75" hidden="1" x14ac:dyDescent="0.25">
      <c r="A5004" s="276"/>
      <c r="B5004" s="1374" t="s">
        <v>1341</v>
      </c>
      <c r="C5004" s="1376" t="str">
        <f>VLOOKUP(A5011,'11 - FINANCEIRO'!_xlnm.Print_Area,3,FALSE)</f>
        <v xml:space="preserve">MURO TIPO 5: BLOCO DE CONCRETO APARENTE </v>
      </c>
      <c r="D5004" s="1378" t="s">
        <v>500</v>
      </c>
      <c r="E5004" s="1379"/>
      <c r="F5004" s="1379"/>
      <c r="G5004" s="1379"/>
      <c r="H5004" s="1379"/>
      <c r="I5004" s="1380"/>
      <c r="J5004" s="1338" t="s">
        <v>478</v>
      </c>
      <c r="K5004" s="1338" t="s">
        <v>479</v>
      </c>
      <c r="L5004" s="1338" t="s">
        <v>480</v>
      </c>
      <c r="M5004" s="1338" t="s">
        <v>481</v>
      </c>
      <c r="N5004" s="1338" t="s">
        <v>482</v>
      </c>
      <c r="O5004" s="1338" t="s">
        <v>483</v>
      </c>
      <c r="P5004" s="1338" t="s">
        <v>484</v>
      </c>
      <c r="Q5004" s="1338" t="s">
        <v>296</v>
      </c>
      <c r="R5004" s="1336" t="s">
        <v>296</v>
      </c>
      <c r="S5004" s="1338" t="s">
        <v>486</v>
      </c>
      <c r="T5004" s="1338" t="s">
        <v>487</v>
      </c>
      <c r="U5004" s="1340" t="s">
        <v>488</v>
      </c>
      <c r="V5004" s="291">
        <f t="shared" ca="1" si="1426"/>
        <v>0</v>
      </c>
      <c r="W5004" s="256">
        <f t="shared" ref="W5004:W5011" ca="1" si="1443">IF(LEFT(_xlfn.FORMULATEXT(V5004),3)="=SO",1,IF(COUNTA(A5004:U5004)=0,0,2))</f>
        <v>2</v>
      </c>
      <c r="X5004" s="256">
        <f t="shared" ref="X5004:X5011" ca="1" si="1444">IF(COUNTA(OFFSET(A5003,1,0))-COUNTA(A5003)=-1,0,1)</f>
        <v>1</v>
      </c>
    </row>
    <row r="5005" spans="1:24" s="614" customFormat="1" ht="15.75" hidden="1" x14ac:dyDescent="0.25">
      <c r="A5005" s="276"/>
      <c r="B5005" s="1375"/>
      <c r="C5005" s="1377"/>
      <c r="D5005" s="1342" t="s">
        <v>489</v>
      </c>
      <c r="E5005" s="1343"/>
      <c r="F5005" s="1344"/>
      <c r="G5005" s="1345" t="s">
        <v>490</v>
      </c>
      <c r="H5005" s="1346"/>
      <c r="I5005" s="1347"/>
      <c r="J5005" s="1339"/>
      <c r="K5005" s="1339"/>
      <c r="L5005" s="1339"/>
      <c r="M5005" s="1339"/>
      <c r="N5005" s="1339"/>
      <c r="O5005" s="1339"/>
      <c r="P5005" s="1339" t="s">
        <v>491</v>
      </c>
      <c r="Q5005" s="1339"/>
      <c r="R5005" s="1337"/>
      <c r="S5005" s="1339"/>
      <c r="T5005" s="1339"/>
      <c r="U5005" s="1341"/>
      <c r="V5005" s="291">
        <f t="shared" ca="1" si="1426"/>
        <v>0</v>
      </c>
      <c r="W5005" s="256">
        <f t="shared" ca="1" si="1443"/>
        <v>2</v>
      </c>
      <c r="X5005" s="256">
        <f t="shared" ca="1" si="1444"/>
        <v>1</v>
      </c>
    </row>
    <row r="5006" spans="1:24" s="614" customFormat="1" ht="15.75" hidden="1" x14ac:dyDescent="0.25">
      <c r="A5006" s="276"/>
      <c r="B5006" s="296"/>
      <c r="C5006" s="297"/>
      <c r="D5006" s="417"/>
      <c r="E5006" s="314"/>
      <c r="F5006" s="418"/>
      <c r="G5006" s="419"/>
      <c r="H5006" s="316"/>
      <c r="I5006" s="420"/>
      <c r="J5006" s="304"/>
      <c r="K5006" s="747"/>
      <c r="L5006" s="304"/>
      <c r="M5006" s="304"/>
      <c r="N5006" s="304"/>
      <c r="O5006" s="304"/>
      <c r="P5006" s="306"/>
      <c r="Q5006" s="304"/>
      <c r="R5006" s="307"/>
      <c r="S5006" s="308"/>
      <c r="T5006" s="309"/>
      <c r="U5006" s="310"/>
      <c r="V5006" s="291">
        <f t="shared" ca="1" si="1426"/>
        <v>0</v>
      </c>
      <c r="W5006" s="256">
        <f t="shared" ca="1" si="1443"/>
        <v>0</v>
      </c>
      <c r="X5006" s="256">
        <f t="shared" ca="1" si="1444"/>
        <v>1</v>
      </c>
    </row>
    <row r="5007" spans="1:24" s="614" customFormat="1" ht="15.75" hidden="1" x14ac:dyDescent="0.25">
      <c r="A5007" s="276"/>
      <c r="B5007" s="785"/>
      <c r="C5007" s="312"/>
      <c r="D5007" s="417"/>
      <c r="E5007" s="314"/>
      <c r="F5007" s="418"/>
      <c r="G5007" s="417"/>
      <c r="H5007" s="314"/>
      <c r="I5007" s="418"/>
      <c r="J5007" s="317"/>
      <c r="K5007" s="421"/>
      <c r="L5007" s="774"/>
      <c r="M5007" s="786"/>
      <c r="N5007" s="787"/>
      <c r="O5007" s="788"/>
      <c r="P5007" s="789"/>
      <c r="Q5007" s="786"/>
      <c r="R5007" s="790"/>
      <c r="S5007" s="791"/>
      <c r="T5007" s="792"/>
      <c r="U5007" s="793"/>
      <c r="V5007" s="291">
        <f t="shared" ca="1" si="1426"/>
        <v>0</v>
      </c>
      <c r="W5007" s="256">
        <f t="shared" ca="1" si="1443"/>
        <v>0</v>
      </c>
      <c r="X5007" s="256">
        <f t="shared" ca="1" si="1444"/>
        <v>1</v>
      </c>
    </row>
    <row r="5008" spans="1:24" s="614" customFormat="1" ht="15" hidden="1" x14ac:dyDescent="0.25">
      <c r="A5008" s="276"/>
      <c r="B5008" s="338"/>
      <c r="C5008" s="339"/>
      <c r="D5008" s="1348"/>
      <c r="E5008" s="1349"/>
      <c r="F5008" s="1350"/>
      <c r="G5008" s="1351"/>
      <c r="H5008" s="1352"/>
      <c r="I5008" s="1353"/>
      <c r="J5008" s="343"/>
      <c r="K5008" s="344"/>
      <c r="L5008" s="345"/>
      <c r="M5008" s="346"/>
      <c r="N5008" s="347"/>
      <c r="O5008" s="348"/>
      <c r="P5008" s="345"/>
      <c r="Q5008" s="349"/>
      <c r="R5008" s="350"/>
      <c r="S5008" s="351"/>
      <c r="T5008" s="352"/>
      <c r="U5008" s="353"/>
      <c r="V5008" s="291">
        <f t="shared" ca="1" si="1426"/>
        <v>0</v>
      </c>
      <c r="W5008" s="256">
        <f t="shared" ca="1" si="1443"/>
        <v>0</v>
      </c>
      <c r="X5008" s="256">
        <f t="shared" ca="1" si="1444"/>
        <v>1</v>
      </c>
    </row>
    <row r="5009" spans="1:24" s="614" customFormat="1" ht="15.75" hidden="1" x14ac:dyDescent="0.2">
      <c r="A5009" s="276"/>
      <c r="B5009" s="354"/>
      <c r="C5009" s="355"/>
      <c r="D5009" s="1354" t="s">
        <v>492</v>
      </c>
      <c r="E5009" s="1355"/>
      <c r="F5009" s="1355"/>
      <c r="G5009" s="1355"/>
      <c r="H5009" s="1355"/>
      <c r="I5009" s="1356"/>
      <c r="J5009" s="1357">
        <f>VLOOKUP(A5011,'11 - FINANCEIRO'!_xlnm.Print_Area,6,FALSE)</f>
        <v>84</v>
      </c>
      <c r="K5009" s="1358"/>
      <c r="L5009" s="356" t="str">
        <f>VLOOKUP(A5011,'11 - FINANCEIRO'!_xlnm.Print_Area,4,FALSE)</f>
        <v>m</v>
      </c>
      <c r="M5009" s="1359" t="s">
        <v>493</v>
      </c>
      <c r="N5009" s="1360"/>
      <c r="O5009" s="1360"/>
      <c r="P5009" s="1360"/>
      <c r="Q5009" s="1361"/>
      <c r="R5009" s="357">
        <f>TRUNC(SUM(R5006:R5008),3)</f>
        <v>0</v>
      </c>
      <c r="S5009" s="358" t="str">
        <f>L5009</f>
        <v>m</v>
      </c>
      <c r="T5009" s="359"/>
      <c r="U5009" s="360"/>
      <c r="V5009" s="291">
        <f t="shared" ca="1" si="1426"/>
        <v>0</v>
      </c>
      <c r="W5009" s="256">
        <f t="shared" ca="1" si="1443"/>
        <v>2</v>
      </c>
      <c r="X5009" s="256">
        <f t="shared" ca="1" si="1444"/>
        <v>1</v>
      </c>
    </row>
    <row r="5010" spans="1:24" s="614" customFormat="1" ht="15.75" hidden="1" x14ac:dyDescent="0.2">
      <c r="A5010" s="276"/>
      <c r="B5010" s="354"/>
      <c r="C5010" s="361"/>
      <c r="D5010" s="1362" t="s">
        <v>494</v>
      </c>
      <c r="E5010" s="1363"/>
      <c r="F5010" s="1363"/>
      <c r="G5010" s="1363"/>
      <c r="H5010" s="1363"/>
      <c r="I5010" s="1364"/>
      <c r="J5010" s="1365">
        <f>R5009/J5009</f>
        <v>0</v>
      </c>
      <c r="K5010" s="1366"/>
      <c r="L5010" s="1369"/>
      <c r="M5010" s="1371" t="s">
        <v>495</v>
      </c>
      <c r="N5010" s="1372"/>
      <c r="O5010" s="1372"/>
      <c r="P5010" s="1372"/>
      <c r="Q5010" s="1373"/>
      <c r="R5010" s="362">
        <f>VLOOKUP(A5011,'11 - FINANCEIRO'!_xlnm.Print_Area,8,FALSE)</f>
        <v>0</v>
      </c>
      <c r="S5010" s="363" t="str">
        <f>L5009</f>
        <v>m</v>
      </c>
      <c r="T5010" s="359"/>
      <c r="U5010" s="360"/>
      <c r="V5010" s="291">
        <f t="shared" ca="1" si="1426"/>
        <v>0</v>
      </c>
      <c r="W5010" s="256">
        <f t="shared" ca="1" si="1443"/>
        <v>2</v>
      </c>
      <c r="X5010" s="256">
        <f t="shared" ca="1" si="1444"/>
        <v>1</v>
      </c>
    </row>
    <row r="5011" spans="1:24" s="614" customFormat="1" ht="15.75" hidden="1" x14ac:dyDescent="0.2">
      <c r="A5011" s="276" t="s">
        <v>1341</v>
      </c>
      <c r="B5011" s="364"/>
      <c r="C5011" s="365"/>
      <c r="D5011" s="1354"/>
      <c r="E5011" s="1355"/>
      <c r="F5011" s="1355"/>
      <c r="G5011" s="1355"/>
      <c r="H5011" s="1355"/>
      <c r="I5011" s="1356"/>
      <c r="J5011" s="1367"/>
      <c r="K5011" s="1368"/>
      <c r="L5011" s="1370"/>
      <c r="M5011" s="1371" t="s">
        <v>496</v>
      </c>
      <c r="N5011" s="1372"/>
      <c r="O5011" s="1372"/>
      <c r="P5011" s="1372"/>
      <c r="Q5011" s="1373"/>
      <c r="R5011" s="362">
        <f>R5009-R5010</f>
        <v>0</v>
      </c>
      <c r="S5011" s="363" t="str">
        <f>L5009</f>
        <v>m</v>
      </c>
      <c r="T5011" s="366"/>
      <c r="U5011" s="367"/>
      <c r="V5011" s="291">
        <f t="shared" ca="1" si="1426"/>
        <v>0</v>
      </c>
      <c r="W5011" s="256">
        <f t="shared" ca="1" si="1443"/>
        <v>2</v>
      </c>
      <c r="X5011" s="256">
        <f t="shared" ca="1" si="1444"/>
        <v>1</v>
      </c>
    </row>
    <row r="5012" spans="1:24" s="614" customFormat="1" ht="15.75" hidden="1" x14ac:dyDescent="0.2">
      <c r="A5012" s="276"/>
      <c r="B5012" s="368"/>
      <c r="C5012" s="365"/>
      <c r="D5012" s="369"/>
      <c r="E5012" s="370"/>
      <c r="F5012" s="369"/>
      <c r="G5012" s="369"/>
      <c r="H5012" s="369"/>
      <c r="I5012" s="369"/>
      <c r="J5012" s="371"/>
      <c r="K5012" s="372"/>
      <c r="L5012" s="373"/>
      <c r="M5012" s="374"/>
      <c r="N5012" s="374"/>
      <c r="O5012" s="374"/>
      <c r="P5012" s="374"/>
      <c r="Q5012" s="374"/>
      <c r="R5012" s="375"/>
      <c r="S5012" s="376"/>
      <c r="T5012" s="377"/>
      <c r="U5012" s="378"/>
      <c r="V5012" s="379">
        <f ca="1">SUM(V5004:V5011)</f>
        <v>0</v>
      </c>
      <c r="W5012" s="256">
        <f ca="1">IF(LEFT(_xlfn.FORMULATEXT(V5012),3)="=SO",1,IF(COUNTA(A5012:U5012)=0,0,2))</f>
        <v>1</v>
      </c>
      <c r="X5012" s="256">
        <f ca="1">IF(COUNTA(OFFSET(A5011,1,0))-COUNTA(A5011)=-1,0,1)</f>
        <v>0</v>
      </c>
    </row>
    <row r="5013" spans="1:24" s="614" customFormat="1" x14ac:dyDescent="0.25">
      <c r="A5013" s="276"/>
      <c r="B5013" s="626"/>
      <c r="C5013" s="287"/>
      <c r="D5013" s="627"/>
      <c r="E5013" s="628"/>
      <c r="F5013" s="629"/>
      <c r="G5013" s="627"/>
      <c r="H5013" s="287"/>
      <c r="I5013" s="629"/>
      <c r="J5013" s="287"/>
      <c r="K5013" s="630"/>
      <c r="L5013" s="630"/>
      <c r="M5013" s="287"/>
      <c r="N5013" s="631"/>
      <c r="O5013" s="628"/>
      <c r="P5013" s="287"/>
      <c r="Q5013" s="632"/>
      <c r="R5013" s="633"/>
      <c r="S5013" s="634"/>
      <c r="T5013" s="287"/>
      <c r="U5013" s="628"/>
    </row>
    <row r="5014" spans="1:24" s="614" customFormat="1" x14ac:dyDescent="0.25">
      <c r="A5014" s="276"/>
      <c r="B5014" s="626"/>
      <c r="C5014" s="287"/>
      <c r="D5014" s="627"/>
      <c r="E5014" s="628"/>
      <c r="F5014" s="629"/>
      <c r="G5014" s="627"/>
      <c r="H5014" s="287"/>
      <c r="I5014" s="629"/>
      <c r="J5014" s="287"/>
      <c r="K5014" s="630"/>
      <c r="L5014" s="630"/>
      <c r="M5014" s="287"/>
      <c r="N5014" s="631"/>
      <c r="O5014" s="628"/>
      <c r="P5014" s="287"/>
      <c r="Q5014" s="632"/>
      <c r="R5014" s="633"/>
      <c r="S5014" s="634"/>
      <c r="T5014" s="287"/>
      <c r="U5014" s="628"/>
    </row>
    <row r="5015" spans="1:24" s="614" customFormat="1" x14ac:dyDescent="0.25">
      <c r="A5015" s="276"/>
      <c r="B5015" s="626"/>
      <c r="C5015" s="287"/>
      <c r="D5015" s="627"/>
      <c r="E5015" s="628"/>
      <c r="F5015" s="629"/>
      <c r="G5015" s="627"/>
      <c r="H5015" s="287"/>
      <c r="I5015" s="629"/>
      <c r="J5015" s="287"/>
      <c r="K5015" s="630"/>
      <c r="L5015" s="630"/>
      <c r="M5015" s="287"/>
      <c r="N5015" s="631"/>
      <c r="O5015" s="628"/>
      <c r="P5015" s="287"/>
      <c r="Q5015" s="632"/>
      <c r="R5015" s="633"/>
      <c r="S5015" s="634"/>
      <c r="T5015" s="287"/>
      <c r="U5015" s="628"/>
    </row>
    <row r="5016" spans="1:24" s="614" customFormat="1" x14ac:dyDescent="0.25">
      <c r="A5016" s="276"/>
      <c r="B5016" s="626"/>
      <c r="C5016" s="287"/>
      <c r="D5016" s="627"/>
      <c r="E5016" s="628"/>
      <c r="F5016" s="629"/>
      <c r="G5016" s="627"/>
      <c r="H5016" s="287"/>
      <c r="I5016" s="629"/>
      <c r="J5016" s="287"/>
      <c r="K5016" s="630"/>
      <c r="L5016" s="630"/>
      <c r="M5016" s="287"/>
      <c r="N5016" s="631"/>
      <c r="O5016" s="628"/>
      <c r="P5016" s="287"/>
      <c r="Q5016" s="632"/>
      <c r="R5016" s="633"/>
      <c r="S5016" s="634"/>
      <c r="T5016" s="287"/>
      <c r="U5016" s="628"/>
    </row>
    <row r="5017" spans="1:24" s="614" customFormat="1" x14ac:dyDescent="0.25">
      <c r="A5017" s="276"/>
      <c r="B5017" s="626"/>
      <c r="C5017" s="287"/>
      <c r="D5017" s="627"/>
      <c r="E5017" s="628"/>
      <c r="F5017" s="629"/>
      <c r="G5017" s="627"/>
      <c r="H5017" s="287"/>
      <c r="I5017" s="629"/>
      <c r="J5017" s="287"/>
      <c r="K5017" s="630"/>
      <c r="L5017" s="630"/>
      <c r="M5017" s="287"/>
      <c r="N5017" s="631"/>
      <c r="O5017" s="628"/>
      <c r="P5017" s="287"/>
      <c r="Q5017" s="632"/>
      <c r="R5017" s="633"/>
      <c r="S5017" s="634"/>
      <c r="T5017" s="287"/>
      <c r="U5017" s="628"/>
    </row>
    <row r="5018" spans="1:24" s="614" customFormat="1" x14ac:dyDescent="0.25">
      <c r="A5018" s="276"/>
      <c r="B5018" s="626"/>
      <c r="C5018" s="287"/>
      <c r="D5018" s="627"/>
      <c r="E5018" s="628"/>
      <c r="F5018" s="629"/>
      <c r="G5018" s="627"/>
      <c r="H5018" s="287"/>
      <c r="I5018" s="629"/>
      <c r="J5018" s="287"/>
      <c r="K5018" s="630"/>
      <c r="L5018" s="630"/>
      <c r="M5018" s="287"/>
      <c r="N5018" s="631"/>
      <c r="O5018" s="628"/>
      <c r="P5018" s="287"/>
      <c r="Q5018" s="632"/>
      <c r="R5018" s="633"/>
      <c r="S5018" s="634"/>
      <c r="T5018" s="287"/>
      <c r="U5018" s="628"/>
    </row>
    <row r="5019" spans="1:24" s="614" customFormat="1" x14ac:dyDescent="0.25">
      <c r="A5019" s="276"/>
      <c r="B5019" s="626"/>
      <c r="C5019" s="287"/>
      <c r="D5019" s="627"/>
      <c r="E5019" s="628"/>
      <c r="F5019" s="629"/>
      <c r="G5019" s="627"/>
      <c r="H5019" s="287"/>
      <c r="I5019" s="629"/>
      <c r="J5019" s="287"/>
      <c r="K5019" s="630"/>
      <c r="L5019" s="630"/>
      <c r="M5019" s="287"/>
      <c r="N5019" s="631"/>
      <c r="O5019" s="628"/>
      <c r="P5019" s="287"/>
      <c r="Q5019" s="632"/>
      <c r="R5019" s="633"/>
      <c r="S5019" s="634"/>
      <c r="T5019" s="287"/>
      <c r="U5019" s="628"/>
    </row>
    <row r="5020" spans="1:24" s="614" customFormat="1" x14ac:dyDescent="0.25">
      <c r="A5020" s="276"/>
      <c r="B5020" s="626"/>
      <c r="C5020" s="287"/>
      <c r="D5020" s="627"/>
      <c r="E5020" s="628"/>
      <c r="F5020" s="629"/>
      <c r="G5020" s="627"/>
      <c r="H5020" s="287"/>
      <c r="I5020" s="629"/>
      <c r="J5020" s="287"/>
      <c r="K5020" s="630"/>
      <c r="L5020" s="630"/>
      <c r="M5020" s="287"/>
      <c r="N5020" s="631"/>
      <c r="O5020" s="628"/>
      <c r="P5020" s="287"/>
      <c r="Q5020" s="632"/>
      <c r="R5020" s="633"/>
      <c r="S5020" s="634"/>
      <c r="T5020" s="287"/>
      <c r="U5020" s="628"/>
    </row>
    <row r="5021" spans="1:24" s="614" customFormat="1" x14ac:dyDescent="0.25">
      <c r="A5021" s="276"/>
      <c r="B5021" s="626"/>
      <c r="C5021" s="287"/>
      <c r="D5021" s="627"/>
      <c r="E5021" s="628"/>
      <c r="F5021" s="629"/>
      <c r="G5021" s="627"/>
      <c r="H5021" s="287"/>
      <c r="I5021" s="629"/>
      <c r="J5021" s="287"/>
      <c r="K5021" s="630"/>
      <c r="L5021" s="630"/>
      <c r="M5021" s="287"/>
      <c r="N5021" s="631"/>
      <c r="O5021" s="628"/>
      <c r="P5021" s="287"/>
      <c r="Q5021" s="632"/>
      <c r="R5021" s="633"/>
      <c r="S5021" s="634"/>
      <c r="T5021" s="287"/>
      <c r="U5021" s="628"/>
    </row>
    <row r="5022" spans="1:24" s="614" customFormat="1" x14ac:dyDescent="0.25">
      <c r="A5022" s="276"/>
      <c r="B5022" s="626"/>
      <c r="C5022" s="287"/>
      <c r="D5022" s="627"/>
      <c r="E5022" s="628"/>
      <c r="F5022" s="629"/>
      <c r="G5022" s="627"/>
      <c r="H5022" s="287"/>
      <c r="I5022" s="629"/>
      <c r="J5022" s="287"/>
      <c r="K5022" s="630"/>
      <c r="L5022" s="630"/>
      <c r="M5022" s="287"/>
      <c r="N5022" s="631"/>
      <c r="O5022" s="628"/>
      <c r="P5022" s="287"/>
      <c r="Q5022" s="632"/>
      <c r="R5022" s="633"/>
      <c r="S5022" s="634"/>
      <c r="T5022" s="287"/>
      <c r="U5022" s="628"/>
    </row>
    <row r="5023" spans="1:24" s="614" customFormat="1" x14ac:dyDescent="0.25">
      <c r="A5023" s="276"/>
      <c r="B5023" s="626"/>
      <c r="C5023" s="287"/>
      <c r="D5023" s="627"/>
      <c r="E5023" s="628"/>
      <c r="F5023" s="629"/>
      <c r="G5023" s="627"/>
      <c r="H5023" s="287"/>
      <c r="I5023" s="629"/>
      <c r="J5023" s="287"/>
      <c r="K5023" s="630"/>
      <c r="L5023" s="630"/>
      <c r="M5023" s="287"/>
      <c r="N5023" s="631"/>
      <c r="O5023" s="628"/>
      <c r="P5023" s="287"/>
      <c r="Q5023" s="632"/>
      <c r="R5023" s="633"/>
      <c r="S5023" s="634"/>
      <c r="T5023" s="287"/>
      <c r="U5023" s="628"/>
    </row>
    <row r="5024" spans="1:24" s="614" customFormat="1" x14ac:dyDescent="0.25">
      <c r="A5024" s="276"/>
      <c r="B5024" s="626"/>
      <c r="C5024" s="287"/>
      <c r="D5024" s="627"/>
      <c r="E5024" s="628"/>
      <c r="F5024" s="629"/>
      <c r="G5024" s="627"/>
      <c r="H5024" s="287"/>
      <c r="I5024" s="629"/>
      <c r="J5024" s="287"/>
      <c r="K5024" s="630"/>
      <c r="L5024" s="630"/>
      <c r="M5024" s="287"/>
      <c r="N5024" s="631"/>
      <c r="O5024" s="628"/>
      <c r="P5024" s="287"/>
      <c r="Q5024" s="632"/>
      <c r="R5024" s="633"/>
      <c r="S5024" s="634"/>
      <c r="T5024" s="287"/>
      <c r="U5024" s="628"/>
    </row>
    <row r="5025" spans="1:21" s="614" customFormat="1" x14ac:dyDescent="0.25">
      <c r="A5025" s="276"/>
      <c r="B5025" s="626"/>
      <c r="C5025" s="287"/>
      <c r="D5025" s="627"/>
      <c r="E5025" s="628"/>
      <c r="F5025" s="629"/>
      <c r="G5025" s="627"/>
      <c r="H5025" s="287"/>
      <c r="I5025" s="629"/>
      <c r="J5025" s="287"/>
      <c r="K5025" s="630"/>
      <c r="L5025" s="630"/>
      <c r="M5025" s="287"/>
      <c r="N5025" s="631"/>
      <c r="O5025" s="628"/>
      <c r="P5025" s="287"/>
      <c r="Q5025" s="632"/>
      <c r="R5025" s="633"/>
      <c r="S5025" s="634"/>
      <c r="T5025" s="287"/>
      <c r="U5025" s="628"/>
    </row>
    <row r="5026" spans="1:21" s="614" customFormat="1" x14ac:dyDescent="0.25">
      <c r="A5026" s="276"/>
      <c r="B5026" s="626"/>
      <c r="C5026" s="287"/>
      <c r="D5026" s="627"/>
      <c r="E5026" s="628"/>
      <c r="F5026" s="629"/>
      <c r="G5026" s="627"/>
      <c r="H5026" s="287"/>
      <c r="I5026" s="629"/>
      <c r="J5026" s="287"/>
      <c r="K5026" s="630"/>
      <c r="L5026" s="630"/>
      <c r="M5026" s="287"/>
      <c r="N5026" s="631"/>
      <c r="O5026" s="628"/>
      <c r="P5026" s="287"/>
      <c r="Q5026" s="632"/>
      <c r="R5026" s="633"/>
      <c r="S5026" s="634"/>
      <c r="T5026" s="287"/>
      <c r="U5026" s="628"/>
    </row>
    <row r="5027" spans="1:21" s="614" customFormat="1" x14ac:dyDescent="0.25">
      <c r="A5027" s="276"/>
      <c r="B5027" s="626"/>
      <c r="C5027" s="287"/>
      <c r="D5027" s="627"/>
      <c r="E5027" s="628"/>
      <c r="F5027" s="629"/>
      <c r="G5027" s="627"/>
      <c r="H5027" s="287"/>
      <c r="I5027" s="629"/>
      <c r="J5027" s="287"/>
      <c r="K5027" s="630"/>
      <c r="L5027" s="630"/>
      <c r="M5027" s="287"/>
      <c r="N5027" s="631"/>
      <c r="O5027" s="628"/>
      <c r="P5027" s="287"/>
      <c r="Q5027" s="632"/>
      <c r="R5027" s="633"/>
      <c r="S5027" s="634"/>
      <c r="T5027" s="287"/>
      <c r="U5027" s="628"/>
    </row>
    <row r="5028" spans="1:21" s="614" customFormat="1" x14ac:dyDescent="0.25">
      <c r="A5028" s="276"/>
      <c r="B5028" s="626"/>
      <c r="C5028" s="287"/>
      <c r="D5028" s="627"/>
      <c r="E5028" s="628"/>
      <c r="F5028" s="629"/>
      <c r="G5028" s="627"/>
      <c r="H5028" s="287"/>
      <c r="I5028" s="629"/>
      <c r="J5028" s="287"/>
      <c r="K5028" s="630"/>
      <c r="L5028" s="630"/>
      <c r="M5028" s="287"/>
      <c r="N5028" s="631"/>
      <c r="O5028" s="628"/>
      <c r="P5028" s="287"/>
      <c r="Q5028" s="632"/>
      <c r="R5028" s="633"/>
      <c r="S5028" s="634"/>
      <c r="T5028" s="287"/>
      <c r="U5028" s="628"/>
    </row>
    <row r="5029" spans="1:21" s="614" customFormat="1" x14ac:dyDescent="0.25">
      <c r="A5029" s="276"/>
      <c r="B5029" s="626"/>
      <c r="C5029" s="287"/>
      <c r="D5029" s="627"/>
      <c r="E5029" s="628"/>
      <c r="F5029" s="629"/>
      <c r="G5029" s="627"/>
      <c r="H5029" s="287"/>
      <c r="I5029" s="629"/>
      <c r="J5029" s="287"/>
      <c r="K5029" s="630"/>
      <c r="L5029" s="630"/>
      <c r="M5029" s="287"/>
      <c r="N5029" s="631"/>
      <c r="O5029" s="628"/>
      <c r="P5029" s="287"/>
      <c r="Q5029" s="632"/>
      <c r="R5029" s="633"/>
      <c r="S5029" s="634"/>
      <c r="T5029" s="287"/>
      <c r="U5029" s="628"/>
    </row>
    <row r="5030" spans="1:21" s="614" customFormat="1" x14ac:dyDescent="0.25">
      <c r="A5030" s="276"/>
      <c r="B5030" s="626"/>
      <c r="C5030" s="287"/>
      <c r="D5030" s="627"/>
      <c r="E5030" s="628"/>
      <c r="F5030" s="629"/>
      <c r="G5030" s="627"/>
      <c r="H5030" s="287"/>
      <c r="I5030" s="629"/>
      <c r="J5030" s="287"/>
      <c r="K5030" s="630"/>
      <c r="L5030" s="630"/>
      <c r="M5030" s="287"/>
      <c r="N5030" s="631"/>
      <c r="O5030" s="628"/>
      <c r="P5030" s="287"/>
      <c r="Q5030" s="632"/>
      <c r="R5030" s="633"/>
      <c r="S5030" s="634"/>
      <c r="T5030" s="287"/>
      <c r="U5030" s="628"/>
    </row>
    <row r="5031" spans="1:21" s="614" customFormat="1" x14ac:dyDescent="0.25">
      <c r="A5031" s="276"/>
      <c r="B5031" s="626"/>
      <c r="C5031" s="287"/>
      <c r="D5031" s="627"/>
      <c r="E5031" s="628"/>
      <c r="F5031" s="629"/>
      <c r="G5031" s="627"/>
      <c r="H5031" s="287"/>
      <c r="I5031" s="629"/>
      <c r="J5031" s="287"/>
      <c r="K5031" s="630"/>
      <c r="L5031" s="630"/>
      <c r="M5031" s="287"/>
      <c r="N5031" s="631"/>
      <c r="O5031" s="628"/>
      <c r="P5031" s="287"/>
      <c r="Q5031" s="632"/>
      <c r="R5031" s="633"/>
      <c r="S5031" s="634"/>
      <c r="T5031" s="287"/>
      <c r="U5031" s="628"/>
    </row>
    <row r="5032" spans="1:21" s="614" customFormat="1" x14ac:dyDescent="0.25">
      <c r="A5032" s="276"/>
      <c r="B5032" s="626"/>
      <c r="C5032" s="287"/>
      <c r="D5032" s="627"/>
      <c r="E5032" s="628"/>
      <c r="F5032" s="629"/>
      <c r="G5032" s="627"/>
      <c r="H5032" s="287"/>
      <c r="I5032" s="629"/>
      <c r="J5032" s="287"/>
      <c r="K5032" s="630"/>
      <c r="L5032" s="630"/>
      <c r="M5032" s="287"/>
      <c r="N5032" s="631"/>
      <c r="O5032" s="628"/>
      <c r="P5032" s="287"/>
      <c r="Q5032" s="632"/>
      <c r="R5032" s="633"/>
      <c r="S5032" s="634"/>
      <c r="T5032" s="287"/>
      <c r="U5032" s="628"/>
    </row>
    <row r="5033" spans="1:21" s="614" customFormat="1" x14ac:dyDescent="0.25">
      <c r="A5033" s="276"/>
      <c r="B5033" s="626"/>
      <c r="C5033" s="287"/>
      <c r="D5033" s="627"/>
      <c r="E5033" s="628"/>
      <c r="F5033" s="629"/>
      <c r="G5033" s="627"/>
      <c r="H5033" s="287"/>
      <c r="I5033" s="629"/>
      <c r="J5033" s="287"/>
      <c r="K5033" s="630"/>
      <c r="L5033" s="630"/>
      <c r="M5033" s="287"/>
      <c r="N5033" s="631"/>
      <c r="O5033" s="628"/>
      <c r="P5033" s="287"/>
      <c r="Q5033" s="632"/>
      <c r="R5033" s="633"/>
      <c r="S5033" s="634"/>
      <c r="T5033" s="287"/>
      <c r="U5033" s="628"/>
    </row>
    <row r="5034" spans="1:21" s="614" customFormat="1" x14ac:dyDescent="0.25">
      <c r="A5034" s="276"/>
      <c r="B5034" s="626"/>
      <c r="C5034" s="287"/>
      <c r="D5034" s="627"/>
      <c r="E5034" s="628"/>
      <c r="F5034" s="629"/>
      <c r="G5034" s="627"/>
      <c r="H5034" s="287"/>
      <c r="I5034" s="629"/>
      <c r="J5034" s="287"/>
      <c r="K5034" s="630"/>
      <c r="L5034" s="630"/>
      <c r="M5034" s="287"/>
      <c r="N5034" s="631"/>
      <c r="O5034" s="628"/>
      <c r="P5034" s="287"/>
      <c r="Q5034" s="632"/>
      <c r="R5034" s="633"/>
      <c r="S5034" s="634"/>
      <c r="T5034" s="287"/>
      <c r="U5034" s="628"/>
    </row>
    <row r="5035" spans="1:21" s="614" customFormat="1" x14ac:dyDescent="0.25">
      <c r="A5035" s="276"/>
      <c r="B5035" s="626"/>
      <c r="C5035" s="287"/>
      <c r="D5035" s="627"/>
      <c r="E5035" s="628"/>
      <c r="F5035" s="629"/>
      <c r="G5035" s="627"/>
      <c r="H5035" s="287"/>
      <c r="I5035" s="629"/>
      <c r="J5035" s="287"/>
      <c r="K5035" s="630"/>
      <c r="L5035" s="630"/>
      <c r="M5035" s="287"/>
      <c r="N5035" s="631"/>
      <c r="O5035" s="628"/>
      <c r="P5035" s="287"/>
      <c r="Q5035" s="632"/>
      <c r="R5035" s="633"/>
      <c r="S5035" s="634"/>
      <c r="T5035" s="287"/>
      <c r="U5035" s="628"/>
    </row>
    <row r="5036" spans="1:21" s="614" customFormat="1" x14ac:dyDescent="0.25">
      <c r="A5036" s="276"/>
      <c r="B5036" s="626"/>
      <c r="C5036" s="287"/>
      <c r="D5036" s="627"/>
      <c r="E5036" s="628"/>
      <c r="F5036" s="629"/>
      <c r="G5036" s="627"/>
      <c r="H5036" s="287"/>
      <c r="I5036" s="629"/>
      <c r="J5036" s="287"/>
      <c r="K5036" s="630"/>
      <c r="L5036" s="630"/>
      <c r="M5036" s="287"/>
      <c r="N5036" s="631"/>
      <c r="O5036" s="628"/>
      <c r="P5036" s="287"/>
      <c r="Q5036" s="632"/>
      <c r="R5036" s="633"/>
      <c r="S5036" s="634"/>
      <c r="T5036" s="287"/>
      <c r="U5036" s="628"/>
    </row>
    <row r="5037" spans="1:21" s="614" customFormat="1" x14ac:dyDescent="0.25">
      <c r="A5037" s="276"/>
      <c r="B5037" s="626"/>
      <c r="C5037" s="287"/>
      <c r="D5037" s="627"/>
      <c r="E5037" s="628"/>
      <c r="F5037" s="629"/>
      <c r="G5037" s="627"/>
      <c r="H5037" s="287"/>
      <c r="I5037" s="629"/>
      <c r="J5037" s="287"/>
      <c r="K5037" s="630"/>
      <c r="L5037" s="630"/>
      <c r="M5037" s="287"/>
      <c r="N5037" s="631"/>
      <c r="O5037" s="628"/>
      <c r="P5037" s="287"/>
      <c r="Q5037" s="632"/>
      <c r="R5037" s="633"/>
      <c r="S5037" s="634"/>
      <c r="T5037" s="287"/>
      <c r="U5037" s="628"/>
    </row>
    <row r="5038" spans="1:21" s="614" customFormat="1" x14ac:dyDescent="0.25">
      <c r="A5038" s="276"/>
      <c r="B5038" s="626"/>
      <c r="C5038" s="287"/>
      <c r="D5038" s="627"/>
      <c r="E5038" s="628"/>
      <c r="F5038" s="629"/>
      <c r="G5038" s="627"/>
      <c r="H5038" s="287"/>
      <c r="I5038" s="629"/>
      <c r="J5038" s="287"/>
      <c r="K5038" s="630"/>
      <c r="L5038" s="630"/>
      <c r="M5038" s="287"/>
      <c r="N5038" s="631"/>
      <c r="O5038" s="628"/>
      <c r="P5038" s="287"/>
      <c r="Q5038" s="632"/>
      <c r="R5038" s="633"/>
      <c r="S5038" s="634"/>
      <c r="T5038" s="287"/>
      <c r="U5038" s="628"/>
    </row>
    <row r="5039" spans="1:21" s="614" customFormat="1" x14ac:dyDescent="0.25">
      <c r="A5039" s="276"/>
      <c r="B5039" s="626"/>
      <c r="C5039" s="287"/>
      <c r="D5039" s="627"/>
      <c r="E5039" s="628"/>
      <c r="F5039" s="629"/>
      <c r="G5039" s="627"/>
      <c r="H5039" s="287"/>
      <c r="I5039" s="629"/>
      <c r="J5039" s="287"/>
      <c r="K5039" s="630"/>
      <c r="L5039" s="630"/>
      <c r="M5039" s="287"/>
      <c r="N5039" s="631"/>
      <c r="O5039" s="628"/>
      <c r="P5039" s="287"/>
      <c r="Q5039" s="632"/>
      <c r="R5039" s="633"/>
      <c r="S5039" s="634"/>
      <c r="T5039" s="287"/>
      <c r="U5039" s="628"/>
    </row>
    <row r="5040" spans="1:21" s="614" customFormat="1" x14ac:dyDescent="0.25">
      <c r="A5040" s="276"/>
      <c r="B5040" s="626"/>
      <c r="C5040" s="287"/>
      <c r="D5040" s="627"/>
      <c r="E5040" s="628"/>
      <c r="F5040" s="629"/>
      <c r="G5040" s="627"/>
      <c r="H5040" s="287"/>
      <c r="I5040" s="629"/>
      <c r="J5040" s="287"/>
      <c r="K5040" s="630"/>
      <c r="L5040" s="630"/>
      <c r="M5040" s="287"/>
      <c r="N5040" s="631"/>
      <c r="O5040" s="628"/>
      <c r="P5040" s="287"/>
      <c r="Q5040" s="632"/>
      <c r="R5040" s="633"/>
      <c r="S5040" s="634"/>
      <c r="T5040" s="287"/>
      <c r="U5040" s="628"/>
    </row>
    <row r="5041" spans="1:21" s="614" customFormat="1" x14ac:dyDescent="0.25">
      <c r="A5041" s="276"/>
      <c r="B5041" s="626"/>
      <c r="C5041" s="287"/>
      <c r="D5041" s="627"/>
      <c r="E5041" s="628"/>
      <c r="F5041" s="629"/>
      <c r="G5041" s="627"/>
      <c r="H5041" s="287"/>
      <c r="I5041" s="629"/>
      <c r="J5041" s="287"/>
      <c r="K5041" s="630"/>
      <c r="L5041" s="630"/>
      <c r="M5041" s="287"/>
      <c r="N5041" s="631"/>
      <c r="O5041" s="628"/>
      <c r="P5041" s="287"/>
      <c r="Q5041" s="632"/>
      <c r="R5041" s="633"/>
      <c r="S5041" s="634"/>
      <c r="T5041" s="287"/>
      <c r="U5041" s="628"/>
    </row>
    <row r="5042" spans="1:21" s="614" customFormat="1" x14ac:dyDescent="0.25">
      <c r="A5042" s="276"/>
      <c r="B5042" s="626"/>
      <c r="C5042" s="287"/>
      <c r="D5042" s="627"/>
      <c r="E5042" s="628"/>
      <c r="F5042" s="629"/>
      <c r="G5042" s="627"/>
      <c r="H5042" s="287"/>
      <c r="I5042" s="629"/>
      <c r="J5042" s="287"/>
      <c r="K5042" s="630"/>
      <c r="L5042" s="630"/>
      <c r="M5042" s="287"/>
      <c r="N5042" s="631"/>
      <c r="O5042" s="628"/>
      <c r="P5042" s="287"/>
      <c r="Q5042" s="632"/>
      <c r="R5042" s="633"/>
      <c r="S5042" s="634"/>
      <c r="T5042" s="287"/>
      <c r="U5042" s="628"/>
    </row>
    <row r="5043" spans="1:21" s="614" customFormat="1" x14ac:dyDescent="0.25">
      <c r="A5043" s="276"/>
      <c r="B5043" s="626"/>
      <c r="C5043" s="287"/>
      <c r="D5043" s="627"/>
      <c r="E5043" s="628"/>
      <c r="F5043" s="629"/>
      <c r="G5043" s="627"/>
      <c r="H5043" s="287"/>
      <c r="I5043" s="629"/>
      <c r="J5043" s="287"/>
      <c r="K5043" s="630"/>
      <c r="L5043" s="630"/>
      <c r="M5043" s="287"/>
      <c r="N5043" s="631"/>
      <c r="O5043" s="628"/>
      <c r="P5043" s="287"/>
      <c r="Q5043" s="632"/>
      <c r="R5043" s="633"/>
      <c r="S5043" s="634"/>
      <c r="T5043" s="287"/>
      <c r="U5043" s="628"/>
    </row>
    <row r="5044" spans="1:21" s="614" customFormat="1" x14ac:dyDescent="0.25">
      <c r="A5044" s="276"/>
      <c r="B5044" s="626"/>
      <c r="C5044" s="287"/>
      <c r="D5044" s="627"/>
      <c r="E5044" s="628"/>
      <c r="F5044" s="629"/>
      <c r="G5044" s="627"/>
      <c r="H5044" s="287"/>
      <c r="I5044" s="629"/>
      <c r="J5044" s="287"/>
      <c r="K5044" s="630"/>
      <c r="L5044" s="630"/>
      <c r="M5044" s="287"/>
      <c r="N5044" s="631"/>
      <c r="O5044" s="628"/>
      <c r="P5044" s="287"/>
      <c r="Q5044" s="632"/>
      <c r="R5044" s="633"/>
      <c r="S5044" s="634"/>
      <c r="T5044" s="287"/>
      <c r="U5044" s="628"/>
    </row>
    <row r="5045" spans="1:21" s="614" customFormat="1" x14ac:dyDescent="0.25">
      <c r="A5045" s="276"/>
      <c r="B5045" s="626"/>
      <c r="C5045" s="287"/>
      <c r="D5045" s="627"/>
      <c r="E5045" s="628"/>
      <c r="F5045" s="629"/>
      <c r="G5045" s="627"/>
      <c r="H5045" s="287"/>
      <c r="I5045" s="629"/>
      <c r="J5045" s="287"/>
      <c r="K5045" s="630"/>
      <c r="L5045" s="630"/>
      <c r="M5045" s="287"/>
      <c r="N5045" s="631"/>
      <c r="O5045" s="628"/>
      <c r="P5045" s="287"/>
      <c r="Q5045" s="632"/>
      <c r="R5045" s="633"/>
      <c r="S5045" s="634"/>
      <c r="T5045" s="287"/>
      <c r="U5045" s="628"/>
    </row>
    <row r="5046" spans="1:21" s="614" customFormat="1" x14ac:dyDescent="0.25">
      <c r="A5046" s="276"/>
      <c r="B5046" s="626"/>
      <c r="C5046" s="287"/>
      <c r="D5046" s="627"/>
      <c r="E5046" s="628"/>
      <c r="F5046" s="629"/>
      <c r="G5046" s="627"/>
      <c r="H5046" s="287"/>
      <c r="I5046" s="629"/>
      <c r="J5046" s="287"/>
      <c r="K5046" s="630"/>
      <c r="L5046" s="630"/>
      <c r="M5046" s="287"/>
      <c r="N5046" s="631"/>
      <c r="O5046" s="628"/>
      <c r="P5046" s="287"/>
      <c r="Q5046" s="632"/>
      <c r="R5046" s="633"/>
      <c r="S5046" s="634"/>
      <c r="T5046" s="287"/>
      <c r="U5046" s="628"/>
    </row>
    <row r="5047" spans="1:21" s="614" customFormat="1" x14ac:dyDescent="0.25">
      <c r="A5047" s="276"/>
      <c r="B5047" s="626"/>
      <c r="C5047" s="287"/>
      <c r="D5047" s="627"/>
      <c r="E5047" s="628"/>
      <c r="F5047" s="629"/>
      <c r="G5047" s="627"/>
      <c r="H5047" s="287"/>
      <c r="I5047" s="629"/>
      <c r="J5047" s="287"/>
      <c r="K5047" s="630"/>
      <c r="L5047" s="630"/>
      <c r="M5047" s="287"/>
      <c r="N5047" s="631"/>
      <c r="O5047" s="628"/>
      <c r="P5047" s="287"/>
      <c r="Q5047" s="632"/>
      <c r="R5047" s="633"/>
      <c r="S5047" s="634"/>
      <c r="T5047" s="287"/>
      <c r="U5047" s="628"/>
    </row>
    <row r="5048" spans="1:21" s="614" customFormat="1" x14ac:dyDescent="0.25">
      <c r="A5048" s="276"/>
      <c r="B5048" s="626"/>
      <c r="C5048" s="287"/>
      <c r="D5048" s="627"/>
      <c r="E5048" s="628"/>
      <c r="F5048" s="629"/>
      <c r="G5048" s="627"/>
      <c r="H5048" s="287"/>
      <c r="I5048" s="629"/>
      <c r="J5048" s="287"/>
      <c r="K5048" s="630"/>
      <c r="L5048" s="630"/>
      <c r="M5048" s="287"/>
      <c r="N5048" s="631"/>
      <c r="O5048" s="628"/>
      <c r="P5048" s="287"/>
      <c r="Q5048" s="632"/>
      <c r="R5048" s="633"/>
      <c r="S5048" s="634"/>
      <c r="T5048" s="287"/>
      <c r="U5048" s="628"/>
    </row>
    <row r="5049" spans="1:21" s="614" customFormat="1" x14ac:dyDescent="0.25">
      <c r="A5049" s="276"/>
      <c r="B5049" s="626"/>
      <c r="C5049" s="287"/>
      <c r="D5049" s="627"/>
      <c r="E5049" s="628"/>
      <c r="F5049" s="629"/>
      <c r="G5049" s="627"/>
      <c r="H5049" s="287"/>
      <c r="I5049" s="629"/>
      <c r="J5049" s="287"/>
      <c r="K5049" s="630"/>
      <c r="L5049" s="630"/>
      <c r="M5049" s="287"/>
      <c r="N5049" s="631"/>
      <c r="O5049" s="628"/>
      <c r="P5049" s="287"/>
      <c r="Q5049" s="632"/>
      <c r="R5049" s="633"/>
      <c r="S5049" s="634"/>
      <c r="T5049" s="287"/>
      <c r="U5049" s="628"/>
    </row>
    <row r="5050" spans="1:21" s="614" customFormat="1" x14ac:dyDescent="0.25">
      <c r="A5050" s="276"/>
      <c r="B5050" s="626"/>
      <c r="C5050" s="287"/>
      <c r="D5050" s="627"/>
      <c r="E5050" s="628"/>
      <c r="F5050" s="629"/>
      <c r="G5050" s="627"/>
      <c r="H5050" s="287"/>
      <c r="I5050" s="629"/>
      <c r="J5050" s="287"/>
      <c r="K5050" s="630"/>
      <c r="L5050" s="630"/>
      <c r="M5050" s="287"/>
      <c r="N5050" s="631"/>
      <c r="O5050" s="628"/>
      <c r="P5050" s="287"/>
      <c r="Q5050" s="632"/>
      <c r="R5050" s="633"/>
      <c r="S5050" s="634"/>
      <c r="T5050" s="287"/>
      <c r="U5050" s="628"/>
    </row>
    <row r="5051" spans="1:21" s="614" customFormat="1" x14ac:dyDescent="0.25">
      <c r="A5051" s="276"/>
      <c r="B5051" s="626"/>
      <c r="C5051" s="287"/>
      <c r="D5051" s="627"/>
      <c r="E5051" s="628"/>
      <c r="F5051" s="629"/>
      <c r="G5051" s="627"/>
      <c r="H5051" s="287"/>
      <c r="I5051" s="629"/>
      <c r="J5051" s="287"/>
      <c r="K5051" s="630"/>
      <c r="L5051" s="630"/>
      <c r="M5051" s="287"/>
      <c r="N5051" s="631"/>
      <c r="O5051" s="628"/>
      <c r="P5051" s="287"/>
      <c r="Q5051" s="632"/>
      <c r="R5051" s="633"/>
      <c r="S5051" s="634"/>
      <c r="T5051" s="287"/>
      <c r="U5051" s="628"/>
    </row>
    <row r="5052" spans="1:21" s="614" customFormat="1" x14ac:dyDescent="0.25">
      <c r="A5052" s="276"/>
      <c r="B5052" s="626"/>
      <c r="C5052" s="287"/>
      <c r="D5052" s="627"/>
      <c r="E5052" s="628"/>
      <c r="F5052" s="629"/>
      <c r="G5052" s="627"/>
      <c r="H5052" s="287"/>
      <c r="I5052" s="629"/>
      <c r="J5052" s="287"/>
      <c r="K5052" s="630"/>
      <c r="L5052" s="630"/>
      <c r="M5052" s="287"/>
      <c r="N5052" s="631"/>
      <c r="O5052" s="628"/>
      <c r="P5052" s="287"/>
      <c r="Q5052" s="632"/>
      <c r="R5052" s="633"/>
      <c r="S5052" s="634"/>
      <c r="T5052" s="287"/>
      <c r="U5052" s="628"/>
    </row>
    <row r="5053" spans="1:21" s="614" customFormat="1" x14ac:dyDescent="0.25">
      <c r="A5053" s="276"/>
      <c r="B5053" s="626"/>
      <c r="C5053" s="287"/>
      <c r="D5053" s="627"/>
      <c r="E5053" s="628"/>
      <c r="F5053" s="629"/>
      <c r="G5053" s="627"/>
      <c r="H5053" s="287"/>
      <c r="I5053" s="629"/>
      <c r="J5053" s="287"/>
      <c r="K5053" s="630"/>
      <c r="L5053" s="630"/>
      <c r="M5053" s="287"/>
      <c r="N5053" s="631"/>
      <c r="O5053" s="628"/>
      <c r="P5053" s="287"/>
      <c r="Q5053" s="632"/>
      <c r="R5053" s="633"/>
      <c r="S5053" s="634"/>
      <c r="T5053" s="287"/>
      <c r="U5053" s="628"/>
    </row>
    <row r="5054" spans="1:21" s="614" customFormat="1" x14ac:dyDescent="0.25">
      <c r="A5054" s="276"/>
      <c r="B5054" s="626"/>
      <c r="C5054" s="287"/>
      <c r="D5054" s="627"/>
      <c r="E5054" s="628"/>
      <c r="F5054" s="629"/>
      <c r="G5054" s="627"/>
      <c r="H5054" s="287"/>
      <c r="I5054" s="629"/>
      <c r="J5054" s="287"/>
      <c r="K5054" s="630"/>
      <c r="L5054" s="630"/>
      <c r="M5054" s="287"/>
      <c r="N5054" s="631"/>
      <c r="O5054" s="628"/>
      <c r="P5054" s="287"/>
      <c r="Q5054" s="632"/>
      <c r="R5054" s="633"/>
      <c r="S5054" s="634"/>
      <c r="T5054" s="287"/>
      <c r="U5054" s="628"/>
    </row>
    <row r="5055" spans="1:21" s="614" customFormat="1" x14ac:dyDescent="0.25">
      <c r="A5055" s="276"/>
      <c r="B5055" s="626"/>
      <c r="C5055" s="287"/>
      <c r="D5055" s="627"/>
      <c r="E5055" s="628"/>
      <c r="F5055" s="629"/>
      <c r="G5055" s="627"/>
      <c r="H5055" s="287"/>
      <c r="I5055" s="629"/>
      <c r="J5055" s="287"/>
      <c r="K5055" s="630"/>
      <c r="L5055" s="630"/>
      <c r="M5055" s="287"/>
      <c r="N5055" s="631"/>
      <c r="O5055" s="628"/>
      <c r="P5055" s="287"/>
      <c r="Q5055" s="632"/>
      <c r="R5055" s="633"/>
      <c r="S5055" s="634"/>
      <c r="T5055" s="287"/>
      <c r="U5055" s="628"/>
    </row>
    <row r="5056" spans="1:21" s="614" customFormat="1" x14ac:dyDescent="0.25">
      <c r="A5056" s="276"/>
      <c r="B5056" s="626"/>
      <c r="C5056" s="287"/>
      <c r="D5056" s="627"/>
      <c r="E5056" s="628"/>
      <c r="F5056" s="629"/>
      <c r="G5056" s="627"/>
      <c r="H5056" s="287"/>
      <c r="I5056" s="629"/>
      <c r="J5056" s="287"/>
      <c r="K5056" s="630"/>
      <c r="L5056" s="630"/>
      <c r="M5056" s="287"/>
      <c r="N5056" s="631"/>
      <c r="O5056" s="628"/>
      <c r="P5056" s="287"/>
      <c r="Q5056" s="632"/>
      <c r="R5056" s="633"/>
      <c r="S5056" s="634"/>
      <c r="T5056" s="287"/>
      <c r="U5056" s="628"/>
    </row>
    <row r="5057" spans="1:21" s="614" customFormat="1" x14ac:dyDescent="0.25">
      <c r="A5057" s="276"/>
      <c r="B5057" s="626"/>
      <c r="C5057" s="287"/>
      <c r="D5057" s="627"/>
      <c r="E5057" s="628"/>
      <c r="F5057" s="629"/>
      <c r="G5057" s="627"/>
      <c r="H5057" s="287"/>
      <c r="I5057" s="629"/>
      <c r="J5057" s="287"/>
      <c r="K5057" s="630"/>
      <c r="L5057" s="630"/>
      <c r="M5057" s="287"/>
      <c r="N5057" s="631"/>
      <c r="O5057" s="628"/>
      <c r="P5057" s="287"/>
      <c r="Q5057" s="632"/>
      <c r="R5057" s="633"/>
      <c r="S5057" s="634"/>
      <c r="T5057" s="287"/>
      <c r="U5057" s="628"/>
    </row>
    <row r="5058" spans="1:21" s="614" customFormat="1" x14ac:dyDescent="0.25">
      <c r="A5058" s="276"/>
      <c r="B5058" s="626"/>
      <c r="C5058" s="287"/>
      <c r="D5058" s="627"/>
      <c r="E5058" s="628"/>
      <c r="F5058" s="629"/>
      <c r="G5058" s="627"/>
      <c r="H5058" s="287"/>
      <c r="I5058" s="629"/>
      <c r="J5058" s="287"/>
      <c r="K5058" s="630"/>
      <c r="L5058" s="630"/>
      <c r="M5058" s="287"/>
      <c r="N5058" s="631"/>
      <c r="O5058" s="628"/>
      <c r="P5058" s="287"/>
      <c r="Q5058" s="632"/>
      <c r="R5058" s="633"/>
      <c r="S5058" s="634"/>
      <c r="T5058" s="287"/>
      <c r="U5058" s="628"/>
    </row>
    <row r="5059" spans="1:21" s="614" customFormat="1" x14ac:dyDescent="0.25">
      <c r="A5059" s="276"/>
      <c r="B5059" s="626"/>
      <c r="C5059" s="287"/>
      <c r="D5059" s="627"/>
      <c r="E5059" s="628"/>
      <c r="F5059" s="629"/>
      <c r="G5059" s="627"/>
      <c r="H5059" s="287"/>
      <c r="I5059" s="629"/>
      <c r="J5059" s="287"/>
      <c r="K5059" s="630"/>
      <c r="L5059" s="630"/>
      <c r="M5059" s="287"/>
      <c r="N5059" s="631"/>
      <c r="O5059" s="628"/>
      <c r="P5059" s="287"/>
      <c r="Q5059" s="632"/>
      <c r="R5059" s="633"/>
      <c r="S5059" s="634"/>
      <c r="T5059" s="287"/>
      <c r="U5059" s="628"/>
    </row>
    <row r="5060" spans="1:21" s="614" customFormat="1" x14ac:dyDescent="0.25">
      <c r="A5060" s="276"/>
      <c r="B5060" s="626"/>
      <c r="C5060" s="287"/>
      <c r="D5060" s="627"/>
      <c r="E5060" s="628"/>
      <c r="F5060" s="629"/>
      <c r="G5060" s="627"/>
      <c r="H5060" s="287"/>
      <c r="I5060" s="629"/>
      <c r="J5060" s="287"/>
      <c r="K5060" s="630"/>
      <c r="L5060" s="630"/>
      <c r="M5060" s="287"/>
      <c r="N5060" s="631"/>
      <c r="O5060" s="628"/>
      <c r="P5060" s="287"/>
      <c r="Q5060" s="632"/>
      <c r="R5060" s="633"/>
      <c r="S5060" s="634"/>
      <c r="T5060" s="287"/>
      <c r="U5060" s="628"/>
    </row>
    <row r="5061" spans="1:21" s="614" customFormat="1" x14ac:dyDescent="0.25">
      <c r="A5061" s="276"/>
      <c r="B5061" s="626"/>
      <c r="C5061" s="287"/>
      <c r="D5061" s="627"/>
      <c r="E5061" s="628"/>
      <c r="F5061" s="629"/>
      <c r="G5061" s="627"/>
      <c r="H5061" s="287"/>
      <c r="I5061" s="629"/>
      <c r="J5061" s="287"/>
      <c r="K5061" s="630"/>
      <c r="L5061" s="630"/>
      <c r="M5061" s="287"/>
      <c r="N5061" s="631"/>
      <c r="O5061" s="628"/>
      <c r="P5061" s="287"/>
      <c r="Q5061" s="632"/>
      <c r="R5061" s="633"/>
      <c r="S5061" s="634"/>
      <c r="T5061" s="287"/>
      <c r="U5061" s="628"/>
    </row>
    <row r="5062" spans="1:21" s="614" customFormat="1" x14ac:dyDescent="0.25">
      <c r="A5062" s="276"/>
      <c r="B5062" s="626"/>
      <c r="C5062" s="287"/>
      <c r="D5062" s="627"/>
      <c r="E5062" s="628"/>
      <c r="F5062" s="629"/>
      <c r="G5062" s="627"/>
      <c r="H5062" s="287"/>
      <c r="I5062" s="629"/>
      <c r="J5062" s="287"/>
      <c r="K5062" s="630"/>
      <c r="L5062" s="630"/>
      <c r="M5062" s="287"/>
      <c r="N5062" s="631"/>
      <c r="O5062" s="628"/>
      <c r="P5062" s="287"/>
      <c r="Q5062" s="632"/>
      <c r="R5062" s="633"/>
      <c r="S5062" s="634"/>
      <c r="T5062" s="287"/>
      <c r="U5062" s="628"/>
    </row>
    <row r="5063" spans="1:21" s="614" customFormat="1" x14ac:dyDescent="0.25">
      <c r="A5063" s="276"/>
      <c r="B5063" s="626"/>
      <c r="C5063" s="287"/>
      <c r="D5063" s="627"/>
      <c r="E5063" s="628"/>
      <c r="F5063" s="629"/>
      <c r="G5063" s="627"/>
      <c r="H5063" s="287"/>
      <c r="I5063" s="629"/>
      <c r="J5063" s="287"/>
      <c r="K5063" s="630"/>
      <c r="L5063" s="630"/>
      <c r="M5063" s="287"/>
      <c r="N5063" s="631"/>
      <c r="O5063" s="628"/>
      <c r="P5063" s="287"/>
      <c r="Q5063" s="632"/>
      <c r="R5063" s="633"/>
      <c r="S5063" s="634"/>
      <c r="T5063" s="287"/>
      <c r="U5063" s="628"/>
    </row>
    <row r="5064" spans="1:21" s="614" customFormat="1" x14ac:dyDescent="0.25">
      <c r="A5064" s="276"/>
      <c r="B5064" s="626"/>
      <c r="C5064" s="287"/>
      <c r="D5064" s="627"/>
      <c r="E5064" s="628"/>
      <c r="F5064" s="629"/>
      <c r="G5064" s="627"/>
      <c r="H5064" s="287"/>
      <c r="I5064" s="629"/>
      <c r="J5064" s="287"/>
      <c r="K5064" s="630"/>
      <c r="L5064" s="630"/>
      <c r="M5064" s="287"/>
      <c r="N5064" s="631"/>
      <c r="O5064" s="628"/>
      <c r="P5064" s="287"/>
      <c r="Q5064" s="632"/>
      <c r="R5064" s="633"/>
      <c r="S5064" s="634"/>
      <c r="T5064" s="287"/>
      <c r="U5064" s="628"/>
    </row>
    <row r="5065" spans="1:21" s="614" customFormat="1" x14ac:dyDescent="0.25">
      <c r="A5065" s="276"/>
      <c r="B5065" s="626"/>
      <c r="C5065" s="287"/>
      <c r="D5065" s="627"/>
      <c r="E5065" s="628"/>
      <c r="F5065" s="629"/>
      <c r="G5065" s="627"/>
      <c r="H5065" s="287"/>
      <c r="I5065" s="629"/>
      <c r="J5065" s="287"/>
      <c r="K5065" s="630"/>
      <c r="L5065" s="630"/>
      <c r="M5065" s="287"/>
      <c r="N5065" s="631"/>
      <c r="O5065" s="628"/>
      <c r="P5065" s="287"/>
      <c r="Q5065" s="632"/>
      <c r="R5065" s="633"/>
      <c r="S5065" s="634"/>
      <c r="T5065" s="287"/>
      <c r="U5065" s="628"/>
    </row>
    <row r="5066" spans="1:21" s="614" customFormat="1" x14ac:dyDescent="0.25">
      <c r="A5066" s="276"/>
      <c r="B5066" s="626"/>
      <c r="C5066" s="287"/>
      <c r="D5066" s="627"/>
      <c r="E5066" s="628"/>
      <c r="F5066" s="629"/>
      <c r="G5066" s="627"/>
      <c r="H5066" s="287"/>
      <c r="I5066" s="629"/>
      <c r="J5066" s="287"/>
      <c r="K5066" s="630"/>
      <c r="L5066" s="630"/>
      <c r="M5066" s="287"/>
      <c r="N5066" s="631"/>
      <c r="O5066" s="628"/>
      <c r="P5066" s="287"/>
      <c r="Q5066" s="632"/>
      <c r="R5066" s="633"/>
      <c r="S5066" s="634"/>
      <c r="T5066" s="287"/>
      <c r="U5066" s="628"/>
    </row>
    <row r="5067" spans="1:21" s="614" customFormat="1" x14ac:dyDescent="0.25">
      <c r="A5067" s="276"/>
      <c r="B5067" s="626"/>
      <c r="C5067" s="287"/>
      <c r="D5067" s="627"/>
      <c r="E5067" s="628"/>
      <c r="F5067" s="629"/>
      <c r="G5067" s="627"/>
      <c r="H5067" s="287"/>
      <c r="I5067" s="629"/>
      <c r="J5067" s="287"/>
      <c r="K5067" s="630"/>
      <c r="L5067" s="630"/>
      <c r="M5067" s="287"/>
      <c r="N5067" s="631"/>
      <c r="O5067" s="628"/>
      <c r="P5067" s="287"/>
      <c r="Q5067" s="632"/>
      <c r="R5067" s="633"/>
      <c r="S5067" s="634"/>
      <c r="T5067" s="287"/>
      <c r="U5067" s="628"/>
    </row>
    <row r="5068" spans="1:21" s="614" customFormat="1" x14ac:dyDescent="0.25">
      <c r="A5068" s="276"/>
      <c r="B5068" s="626"/>
      <c r="C5068" s="287"/>
      <c r="D5068" s="627"/>
      <c r="E5068" s="628"/>
      <c r="F5068" s="629"/>
      <c r="G5068" s="627"/>
      <c r="H5068" s="287"/>
      <c r="I5068" s="629"/>
      <c r="J5068" s="287"/>
      <c r="K5068" s="630"/>
      <c r="L5068" s="630"/>
      <c r="M5068" s="287"/>
      <c r="N5068" s="631"/>
      <c r="O5068" s="628"/>
      <c r="P5068" s="287"/>
      <c r="Q5068" s="632"/>
      <c r="R5068" s="633"/>
      <c r="S5068" s="634"/>
      <c r="T5068" s="287"/>
      <c r="U5068" s="628"/>
    </row>
    <row r="5069" spans="1:21" s="614" customFormat="1" x14ac:dyDescent="0.25">
      <c r="A5069" s="276"/>
      <c r="B5069" s="626"/>
      <c r="C5069" s="287"/>
      <c r="D5069" s="627"/>
      <c r="E5069" s="628"/>
      <c r="F5069" s="629"/>
      <c r="G5069" s="627"/>
      <c r="H5069" s="287"/>
      <c r="I5069" s="629"/>
      <c r="J5069" s="287"/>
      <c r="K5069" s="630"/>
      <c r="L5069" s="630"/>
      <c r="M5069" s="287"/>
      <c r="N5069" s="631"/>
      <c r="O5069" s="628"/>
      <c r="P5069" s="287"/>
      <c r="Q5069" s="632"/>
      <c r="R5069" s="633"/>
      <c r="S5069" s="634"/>
      <c r="T5069" s="287"/>
      <c r="U5069" s="628"/>
    </row>
    <row r="5070" spans="1:21" s="614" customFormat="1" x14ac:dyDescent="0.25">
      <c r="A5070" s="276"/>
      <c r="B5070" s="626"/>
      <c r="C5070" s="287"/>
      <c r="D5070" s="627"/>
      <c r="E5070" s="628"/>
      <c r="F5070" s="629"/>
      <c r="G5070" s="627"/>
      <c r="H5070" s="287"/>
      <c r="I5070" s="629"/>
      <c r="J5070" s="287"/>
      <c r="K5070" s="630"/>
      <c r="L5070" s="630"/>
      <c r="M5070" s="287"/>
      <c r="N5070" s="631"/>
      <c r="O5070" s="628"/>
      <c r="P5070" s="287"/>
      <c r="Q5070" s="632"/>
      <c r="R5070" s="633"/>
      <c r="S5070" s="634"/>
      <c r="T5070" s="287"/>
      <c r="U5070" s="628"/>
    </row>
    <row r="5071" spans="1:21" s="614" customFormat="1" x14ac:dyDescent="0.25">
      <c r="A5071" s="276"/>
      <c r="B5071" s="626"/>
      <c r="C5071" s="287"/>
      <c r="D5071" s="627"/>
      <c r="E5071" s="628"/>
      <c r="F5071" s="629"/>
      <c r="G5071" s="627"/>
      <c r="H5071" s="287"/>
      <c r="I5071" s="629"/>
      <c r="J5071" s="287"/>
      <c r="K5071" s="630"/>
      <c r="L5071" s="630"/>
      <c r="M5071" s="287"/>
      <c r="N5071" s="631"/>
      <c r="O5071" s="628"/>
      <c r="P5071" s="287"/>
      <c r="Q5071" s="632"/>
      <c r="R5071" s="633"/>
      <c r="S5071" s="634"/>
      <c r="T5071" s="287"/>
      <c r="U5071" s="628"/>
    </row>
    <row r="5072" spans="1:21" s="614" customFormat="1" x14ac:dyDescent="0.25">
      <c r="A5072" s="276"/>
      <c r="B5072" s="626"/>
      <c r="C5072" s="287"/>
      <c r="D5072" s="627"/>
      <c r="E5072" s="628"/>
      <c r="F5072" s="629"/>
      <c r="G5072" s="627"/>
      <c r="H5072" s="287"/>
      <c r="I5072" s="629"/>
      <c r="J5072" s="287"/>
      <c r="K5072" s="630"/>
      <c r="L5072" s="630"/>
      <c r="M5072" s="287"/>
      <c r="N5072" s="631"/>
      <c r="O5072" s="628"/>
      <c r="P5072" s="287"/>
      <c r="Q5072" s="632"/>
      <c r="R5072" s="633"/>
      <c r="S5072" s="634"/>
      <c r="T5072" s="287"/>
      <c r="U5072" s="628"/>
    </row>
    <row r="5073" spans="1:21" s="614" customFormat="1" x14ac:dyDescent="0.25">
      <c r="A5073" s="276"/>
      <c r="B5073" s="626"/>
      <c r="C5073" s="287"/>
      <c r="D5073" s="627"/>
      <c r="E5073" s="628"/>
      <c r="F5073" s="629"/>
      <c r="G5073" s="627"/>
      <c r="H5073" s="287"/>
      <c r="I5073" s="629"/>
      <c r="J5073" s="287"/>
      <c r="K5073" s="630"/>
      <c r="L5073" s="630"/>
      <c r="M5073" s="287"/>
      <c r="N5073" s="631"/>
      <c r="O5073" s="628"/>
      <c r="P5073" s="287"/>
      <c r="Q5073" s="632"/>
      <c r="R5073" s="633"/>
      <c r="S5073" s="634"/>
      <c r="T5073" s="287"/>
      <c r="U5073" s="628"/>
    </row>
    <row r="5074" spans="1:21" s="614" customFormat="1" x14ac:dyDescent="0.25">
      <c r="A5074" s="276"/>
      <c r="B5074" s="626"/>
      <c r="C5074" s="287"/>
      <c r="D5074" s="627"/>
      <c r="E5074" s="628"/>
      <c r="F5074" s="629"/>
      <c r="G5074" s="627"/>
      <c r="H5074" s="287"/>
      <c r="I5074" s="629"/>
      <c r="J5074" s="287"/>
      <c r="K5074" s="630"/>
      <c r="L5074" s="630"/>
      <c r="M5074" s="287"/>
      <c r="N5074" s="631"/>
      <c r="O5074" s="628"/>
      <c r="P5074" s="287"/>
      <c r="Q5074" s="632"/>
      <c r="R5074" s="633"/>
      <c r="S5074" s="634"/>
      <c r="T5074" s="287"/>
      <c r="U5074" s="628"/>
    </row>
    <row r="5075" spans="1:21" s="614" customFormat="1" x14ac:dyDescent="0.25">
      <c r="A5075" s="276"/>
      <c r="B5075" s="626"/>
      <c r="C5075" s="287"/>
      <c r="D5075" s="627"/>
      <c r="E5075" s="628"/>
      <c r="F5075" s="629"/>
      <c r="G5075" s="627"/>
      <c r="H5075" s="287"/>
      <c r="I5075" s="629"/>
      <c r="J5075" s="287"/>
      <c r="K5075" s="630"/>
      <c r="L5075" s="630"/>
      <c r="M5075" s="287"/>
      <c r="N5075" s="631"/>
      <c r="O5075" s="628"/>
      <c r="P5075" s="287"/>
      <c r="Q5075" s="632"/>
      <c r="R5075" s="633"/>
      <c r="S5075" s="634"/>
      <c r="T5075" s="287"/>
      <c r="U5075" s="628"/>
    </row>
    <row r="5076" spans="1:21" s="614" customFormat="1" x14ac:dyDescent="0.25">
      <c r="A5076" s="276"/>
      <c r="B5076" s="626"/>
      <c r="C5076" s="287"/>
      <c r="D5076" s="627"/>
      <c r="E5076" s="628"/>
      <c r="F5076" s="629"/>
      <c r="G5076" s="627"/>
      <c r="H5076" s="287"/>
      <c r="I5076" s="629"/>
      <c r="J5076" s="287"/>
      <c r="K5076" s="630"/>
      <c r="L5076" s="630"/>
      <c r="M5076" s="287"/>
      <c r="N5076" s="631"/>
      <c r="O5076" s="628"/>
      <c r="P5076" s="287"/>
      <c r="Q5076" s="632"/>
      <c r="R5076" s="633"/>
      <c r="S5076" s="634"/>
      <c r="T5076" s="287"/>
      <c r="U5076" s="628"/>
    </row>
    <row r="5077" spans="1:21" s="614" customFormat="1" x14ac:dyDescent="0.25">
      <c r="A5077" s="276"/>
      <c r="B5077" s="626"/>
      <c r="C5077" s="287"/>
      <c r="D5077" s="627"/>
      <c r="E5077" s="628"/>
      <c r="F5077" s="629"/>
      <c r="G5077" s="627"/>
      <c r="H5077" s="287"/>
      <c r="I5077" s="629"/>
      <c r="J5077" s="287"/>
      <c r="K5077" s="630"/>
      <c r="L5077" s="630"/>
      <c r="M5077" s="287"/>
      <c r="N5077" s="631"/>
      <c r="O5077" s="628"/>
      <c r="P5077" s="287"/>
      <c r="Q5077" s="632"/>
      <c r="R5077" s="633"/>
      <c r="S5077" s="634"/>
      <c r="T5077" s="287"/>
      <c r="U5077" s="628"/>
    </row>
    <row r="5078" spans="1:21" s="614" customFormat="1" x14ac:dyDescent="0.25">
      <c r="A5078" s="276"/>
      <c r="B5078" s="626"/>
      <c r="C5078" s="287"/>
      <c r="D5078" s="627"/>
      <c r="E5078" s="628"/>
      <c r="F5078" s="629"/>
      <c r="G5078" s="627"/>
      <c r="H5078" s="287"/>
      <c r="I5078" s="629"/>
      <c r="J5078" s="287"/>
      <c r="K5078" s="630"/>
      <c r="L5078" s="630"/>
      <c r="M5078" s="287"/>
      <c r="N5078" s="631"/>
      <c r="O5078" s="628"/>
      <c r="P5078" s="287"/>
      <c r="Q5078" s="632"/>
      <c r="R5078" s="633"/>
      <c r="S5078" s="634"/>
      <c r="T5078" s="287"/>
      <c r="U5078" s="628"/>
    </row>
    <row r="5079" spans="1:21" s="614" customFormat="1" x14ac:dyDescent="0.25">
      <c r="A5079" s="276"/>
      <c r="B5079" s="626"/>
      <c r="C5079" s="287"/>
      <c r="D5079" s="627"/>
      <c r="E5079" s="628"/>
      <c r="F5079" s="629"/>
      <c r="G5079" s="627"/>
      <c r="H5079" s="287"/>
      <c r="I5079" s="629"/>
      <c r="J5079" s="287"/>
      <c r="K5079" s="630"/>
      <c r="L5079" s="630"/>
      <c r="M5079" s="287"/>
      <c r="N5079" s="631"/>
      <c r="O5079" s="628"/>
      <c r="P5079" s="287"/>
      <c r="Q5079" s="632"/>
      <c r="R5079" s="633"/>
      <c r="S5079" s="634"/>
      <c r="T5079" s="287"/>
      <c r="U5079" s="628"/>
    </row>
    <row r="5080" spans="1:21" s="614" customFormat="1" x14ac:dyDescent="0.25">
      <c r="A5080" s="276"/>
      <c r="B5080" s="626"/>
      <c r="C5080" s="287"/>
      <c r="D5080" s="627"/>
      <c r="E5080" s="628"/>
      <c r="F5080" s="629"/>
      <c r="G5080" s="627"/>
      <c r="H5080" s="287"/>
      <c r="I5080" s="629"/>
      <c r="J5080" s="287"/>
      <c r="K5080" s="630"/>
      <c r="L5080" s="630"/>
      <c r="M5080" s="287"/>
      <c r="N5080" s="631"/>
      <c r="O5080" s="628"/>
      <c r="P5080" s="287"/>
      <c r="Q5080" s="632"/>
      <c r="R5080" s="633"/>
      <c r="S5080" s="634"/>
      <c r="T5080" s="287"/>
      <c r="U5080" s="628"/>
    </row>
    <row r="5081" spans="1:21" s="614" customFormat="1" x14ac:dyDescent="0.25">
      <c r="A5081" s="276"/>
      <c r="B5081" s="626"/>
      <c r="C5081" s="287"/>
      <c r="D5081" s="627"/>
      <c r="E5081" s="628"/>
      <c r="F5081" s="629"/>
      <c r="G5081" s="627"/>
      <c r="H5081" s="287"/>
      <c r="I5081" s="629"/>
      <c r="J5081" s="287"/>
      <c r="K5081" s="630"/>
      <c r="L5081" s="630"/>
      <c r="M5081" s="287"/>
      <c r="N5081" s="631"/>
      <c r="O5081" s="628"/>
      <c r="P5081" s="287"/>
      <c r="Q5081" s="632"/>
      <c r="R5081" s="633"/>
      <c r="S5081" s="634"/>
      <c r="T5081" s="287"/>
      <c r="U5081" s="628"/>
    </row>
    <row r="5082" spans="1:21" s="614" customFormat="1" x14ac:dyDescent="0.25">
      <c r="A5082" s="276"/>
      <c r="B5082" s="626"/>
      <c r="C5082" s="287"/>
      <c r="D5082" s="627"/>
      <c r="E5082" s="628"/>
      <c r="F5082" s="629"/>
      <c r="G5082" s="627"/>
      <c r="H5082" s="287"/>
      <c r="I5082" s="629"/>
      <c r="J5082" s="287"/>
      <c r="K5082" s="630"/>
      <c r="L5082" s="630"/>
      <c r="M5082" s="287"/>
      <c r="N5082" s="631"/>
      <c r="O5082" s="628"/>
      <c r="P5082" s="287"/>
      <c r="Q5082" s="632"/>
      <c r="R5082" s="633"/>
      <c r="S5082" s="634"/>
      <c r="T5082" s="287"/>
      <c r="U5082" s="628"/>
    </row>
    <row r="5083" spans="1:21" s="614" customFormat="1" x14ac:dyDescent="0.25">
      <c r="A5083" s="276"/>
      <c r="B5083" s="626"/>
      <c r="C5083" s="287"/>
      <c r="D5083" s="627"/>
      <c r="E5083" s="628"/>
      <c r="F5083" s="629"/>
      <c r="G5083" s="627"/>
      <c r="H5083" s="287"/>
      <c r="I5083" s="629"/>
      <c r="J5083" s="287"/>
      <c r="K5083" s="630"/>
      <c r="L5083" s="630"/>
      <c r="M5083" s="287"/>
      <c r="N5083" s="631"/>
      <c r="O5083" s="628"/>
      <c r="P5083" s="287"/>
      <c r="Q5083" s="632"/>
      <c r="R5083" s="633"/>
      <c r="S5083" s="634"/>
      <c r="T5083" s="287"/>
      <c r="U5083" s="628"/>
    </row>
    <row r="5084" spans="1:21" s="614" customFormat="1" x14ac:dyDescent="0.25">
      <c r="A5084" s="276"/>
      <c r="B5084" s="626"/>
      <c r="C5084" s="287"/>
      <c r="D5084" s="627"/>
      <c r="E5084" s="628"/>
      <c r="F5084" s="629"/>
      <c r="G5084" s="627"/>
      <c r="H5084" s="287"/>
      <c r="I5084" s="629"/>
      <c r="J5084" s="287"/>
      <c r="K5084" s="630"/>
      <c r="L5084" s="630"/>
      <c r="M5084" s="287"/>
      <c r="N5084" s="631"/>
      <c r="O5084" s="628"/>
      <c r="P5084" s="287"/>
      <c r="Q5084" s="632"/>
      <c r="R5084" s="633"/>
      <c r="S5084" s="634"/>
      <c r="T5084" s="287"/>
      <c r="U5084" s="628"/>
    </row>
    <row r="5085" spans="1:21" s="614" customFormat="1" x14ac:dyDescent="0.25">
      <c r="A5085" s="276"/>
      <c r="B5085" s="626"/>
      <c r="C5085" s="287"/>
      <c r="D5085" s="627"/>
      <c r="E5085" s="628"/>
      <c r="F5085" s="629"/>
      <c r="G5085" s="627"/>
      <c r="H5085" s="287"/>
      <c r="I5085" s="629"/>
      <c r="J5085" s="287"/>
      <c r="K5085" s="630"/>
      <c r="L5085" s="630"/>
      <c r="M5085" s="287"/>
      <c r="N5085" s="631"/>
      <c r="O5085" s="628"/>
      <c r="P5085" s="287"/>
      <c r="Q5085" s="632"/>
      <c r="R5085" s="633"/>
      <c r="S5085" s="634"/>
      <c r="T5085" s="287"/>
      <c r="U5085" s="628"/>
    </row>
    <row r="5086" spans="1:21" s="614" customFormat="1" x14ac:dyDescent="0.25">
      <c r="A5086" s="276"/>
      <c r="B5086" s="626"/>
      <c r="C5086" s="287"/>
      <c r="D5086" s="627"/>
      <c r="E5086" s="628"/>
      <c r="F5086" s="629"/>
      <c r="G5086" s="627"/>
      <c r="H5086" s="287"/>
      <c r="I5086" s="629"/>
      <c r="J5086" s="287"/>
      <c r="K5086" s="630"/>
      <c r="L5086" s="630"/>
      <c r="M5086" s="287"/>
      <c r="N5086" s="631"/>
      <c r="O5086" s="628"/>
      <c r="P5086" s="287"/>
      <c r="Q5086" s="632"/>
      <c r="R5086" s="633"/>
      <c r="S5086" s="634"/>
      <c r="T5086" s="287"/>
      <c r="U5086" s="628"/>
    </row>
    <row r="5087" spans="1:21" s="614" customFormat="1" x14ac:dyDescent="0.25">
      <c r="A5087" s="276"/>
      <c r="B5087" s="626"/>
      <c r="C5087" s="287"/>
      <c r="D5087" s="627"/>
      <c r="E5087" s="628"/>
      <c r="F5087" s="629"/>
      <c r="G5087" s="627"/>
      <c r="H5087" s="287"/>
      <c r="I5087" s="629"/>
      <c r="J5087" s="287"/>
      <c r="K5087" s="630"/>
      <c r="L5087" s="630"/>
      <c r="M5087" s="287"/>
      <c r="N5087" s="631"/>
      <c r="O5087" s="628"/>
      <c r="P5087" s="287"/>
      <c r="Q5087" s="632"/>
      <c r="R5087" s="633"/>
      <c r="S5087" s="634"/>
      <c r="T5087" s="287"/>
      <c r="U5087" s="628"/>
    </row>
    <row r="5088" spans="1:21" s="614" customFormat="1" x14ac:dyDescent="0.25">
      <c r="A5088" s="276"/>
      <c r="B5088" s="626"/>
      <c r="C5088" s="287"/>
      <c r="D5088" s="627"/>
      <c r="E5088" s="628"/>
      <c r="F5088" s="629"/>
      <c r="G5088" s="627"/>
      <c r="H5088" s="287"/>
      <c r="I5088" s="629"/>
      <c r="J5088" s="287"/>
      <c r="K5088" s="630"/>
      <c r="L5088" s="630"/>
      <c r="M5088" s="287"/>
      <c r="N5088" s="631"/>
      <c r="O5088" s="628"/>
      <c r="P5088" s="287"/>
      <c r="Q5088" s="632"/>
      <c r="R5088" s="633"/>
      <c r="S5088" s="634"/>
      <c r="T5088" s="287"/>
      <c r="U5088" s="628"/>
    </row>
    <row r="5089" spans="1:21" s="614" customFormat="1" x14ac:dyDescent="0.25">
      <c r="A5089" s="276"/>
      <c r="B5089" s="626"/>
      <c r="C5089" s="287"/>
      <c r="D5089" s="627"/>
      <c r="E5089" s="628"/>
      <c r="F5089" s="629"/>
      <c r="G5089" s="627"/>
      <c r="H5089" s="287"/>
      <c r="I5089" s="629"/>
      <c r="J5089" s="287"/>
      <c r="K5089" s="630"/>
      <c r="L5089" s="630"/>
      <c r="M5089" s="287"/>
      <c r="N5089" s="631"/>
      <c r="O5089" s="628"/>
      <c r="P5089" s="287"/>
      <c r="Q5089" s="632"/>
      <c r="R5089" s="633"/>
      <c r="S5089" s="634"/>
      <c r="T5089" s="287"/>
      <c r="U5089" s="628"/>
    </row>
    <row r="5090" spans="1:21" s="614" customFormat="1" x14ac:dyDescent="0.25">
      <c r="A5090" s="276"/>
      <c r="B5090" s="626"/>
      <c r="C5090" s="287"/>
      <c r="D5090" s="627"/>
      <c r="E5090" s="628"/>
      <c r="F5090" s="629"/>
      <c r="G5090" s="627"/>
      <c r="H5090" s="287"/>
      <c r="I5090" s="629"/>
      <c r="J5090" s="287"/>
      <c r="K5090" s="630"/>
      <c r="L5090" s="630"/>
      <c r="M5090" s="287"/>
      <c r="N5090" s="631"/>
      <c r="O5090" s="628"/>
      <c r="P5090" s="287"/>
      <c r="Q5090" s="632"/>
      <c r="R5090" s="633"/>
      <c r="S5090" s="634"/>
      <c r="T5090" s="287"/>
      <c r="U5090" s="628"/>
    </row>
    <row r="5091" spans="1:21" s="614" customFormat="1" x14ac:dyDescent="0.25">
      <c r="A5091" s="276"/>
      <c r="B5091" s="626"/>
      <c r="C5091" s="287"/>
      <c r="D5091" s="627"/>
      <c r="E5091" s="628"/>
      <c r="F5091" s="629"/>
      <c r="G5091" s="627"/>
      <c r="H5091" s="287"/>
      <c r="I5091" s="629"/>
      <c r="J5091" s="287"/>
      <c r="K5091" s="630"/>
      <c r="L5091" s="630"/>
      <c r="M5091" s="287"/>
      <c r="N5091" s="631"/>
      <c r="O5091" s="628"/>
      <c r="P5091" s="287"/>
      <c r="Q5091" s="632"/>
      <c r="R5091" s="633"/>
      <c r="S5091" s="634"/>
      <c r="T5091" s="287"/>
      <c r="U5091" s="628"/>
    </row>
    <row r="5092" spans="1:21" s="614" customFormat="1" x14ac:dyDescent="0.25">
      <c r="A5092" s="276"/>
      <c r="B5092" s="626"/>
      <c r="C5092" s="287"/>
      <c r="D5092" s="627"/>
      <c r="E5092" s="628"/>
      <c r="F5092" s="629"/>
      <c r="G5092" s="627"/>
      <c r="H5092" s="287"/>
      <c r="I5092" s="629"/>
      <c r="J5092" s="287"/>
      <c r="K5092" s="630"/>
      <c r="L5092" s="630"/>
      <c r="M5092" s="287"/>
      <c r="N5092" s="631"/>
      <c r="O5092" s="628"/>
      <c r="P5092" s="287"/>
      <c r="Q5092" s="632"/>
      <c r="R5092" s="633"/>
      <c r="S5092" s="634"/>
      <c r="T5092" s="287"/>
      <c r="U5092" s="628"/>
    </row>
    <row r="5093" spans="1:21" s="614" customFormat="1" x14ac:dyDescent="0.25">
      <c r="A5093" s="276"/>
      <c r="B5093" s="626"/>
      <c r="C5093" s="287"/>
      <c r="D5093" s="627"/>
      <c r="E5093" s="628"/>
      <c r="F5093" s="629"/>
      <c r="G5093" s="627"/>
      <c r="H5093" s="287"/>
      <c r="I5093" s="629"/>
      <c r="J5093" s="287"/>
      <c r="K5093" s="630"/>
      <c r="L5093" s="630"/>
      <c r="M5093" s="287"/>
      <c r="N5093" s="631"/>
      <c r="O5093" s="628"/>
      <c r="P5093" s="287"/>
      <c r="Q5093" s="632"/>
      <c r="R5093" s="633"/>
      <c r="S5093" s="634"/>
      <c r="T5093" s="287"/>
      <c r="U5093" s="628"/>
    </row>
    <row r="5094" spans="1:21" s="614" customFormat="1" x14ac:dyDescent="0.25">
      <c r="A5094" s="276"/>
      <c r="B5094" s="626"/>
      <c r="C5094" s="287"/>
      <c r="D5094" s="627"/>
      <c r="E5094" s="628"/>
      <c r="F5094" s="629"/>
      <c r="G5094" s="627"/>
      <c r="H5094" s="287"/>
      <c r="I5094" s="629"/>
      <c r="J5094" s="287"/>
      <c r="K5094" s="630"/>
      <c r="L5094" s="630"/>
      <c r="M5094" s="287"/>
      <c r="N5094" s="631"/>
      <c r="O5094" s="628"/>
      <c r="P5094" s="287"/>
      <c r="Q5094" s="632"/>
      <c r="R5094" s="633"/>
      <c r="S5094" s="634"/>
      <c r="T5094" s="287"/>
      <c r="U5094" s="628"/>
    </row>
    <row r="5095" spans="1:21" s="614" customFormat="1" x14ac:dyDescent="0.25">
      <c r="A5095" s="276"/>
      <c r="B5095" s="626"/>
      <c r="C5095" s="287"/>
      <c r="D5095" s="627"/>
      <c r="E5095" s="628"/>
      <c r="F5095" s="629"/>
      <c r="G5095" s="627"/>
      <c r="H5095" s="287"/>
      <c r="I5095" s="629"/>
      <c r="J5095" s="287"/>
      <c r="K5095" s="630"/>
      <c r="L5095" s="630"/>
      <c r="M5095" s="287"/>
      <c r="N5095" s="631"/>
      <c r="O5095" s="628"/>
      <c r="P5095" s="287"/>
      <c r="Q5095" s="632"/>
      <c r="R5095" s="633"/>
      <c r="S5095" s="634"/>
      <c r="T5095" s="287"/>
      <c r="U5095" s="628"/>
    </row>
    <row r="5096" spans="1:21" s="614" customFormat="1" x14ac:dyDescent="0.25">
      <c r="A5096" s="276"/>
      <c r="B5096" s="626"/>
      <c r="C5096" s="287"/>
      <c r="D5096" s="627"/>
      <c r="E5096" s="628"/>
      <c r="F5096" s="629"/>
      <c r="G5096" s="627"/>
      <c r="H5096" s="287"/>
      <c r="I5096" s="629"/>
      <c r="J5096" s="287"/>
      <c r="K5096" s="630"/>
      <c r="L5096" s="630"/>
      <c r="M5096" s="287"/>
      <c r="N5096" s="631"/>
      <c r="O5096" s="628"/>
      <c r="P5096" s="287"/>
      <c r="Q5096" s="632"/>
      <c r="R5096" s="633"/>
      <c r="S5096" s="634"/>
      <c r="T5096" s="287"/>
      <c r="U5096" s="628"/>
    </row>
    <row r="5097" spans="1:21" s="614" customFormat="1" x14ac:dyDescent="0.25">
      <c r="A5097" s="276"/>
      <c r="B5097" s="626"/>
      <c r="C5097" s="287"/>
      <c r="D5097" s="627"/>
      <c r="E5097" s="628"/>
      <c r="F5097" s="629"/>
      <c r="G5097" s="627"/>
      <c r="H5097" s="287"/>
      <c r="I5097" s="629"/>
      <c r="J5097" s="287"/>
      <c r="K5097" s="630"/>
      <c r="L5097" s="630"/>
      <c r="M5097" s="287"/>
      <c r="N5097" s="631"/>
      <c r="O5097" s="628"/>
      <c r="P5097" s="287"/>
      <c r="Q5097" s="632"/>
      <c r="R5097" s="633"/>
      <c r="S5097" s="634"/>
      <c r="T5097" s="287"/>
      <c r="U5097" s="628"/>
    </row>
    <row r="5098" spans="1:21" s="614" customFormat="1" x14ac:dyDescent="0.25">
      <c r="A5098" s="276"/>
      <c r="B5098" s="626"/>
      <c r="C5098" s="287"/>
      <c r="D5098" s="627"/>
      <c r="E5098" s="628"/>
      <c r="F5098" s="629"/>
      <c r="G5098" s="627"/>
      <c r="H5098" s="287"/>
      <c r="I5098" s="629"/>
      <c r="J5098" s="287"/>
      <c r="K5098" s="630"/>
      <c r="L5098" s="630"/>
      <c r="M5098" s="287"/>
      <c r="N5098" s="631"/>
      <c r="O5098" s="628"/>
      <c r="P5098" s="287"/>
      <c r="Q5098" s="632"/>
      <c r="R5098" s="633"/>
      <c r="S5098" s="634"/>
      <c r="T5098" s="287"/>
      <c r="U5098" s="628"/>
    </row>
    <row r="5099" spans="1:21" s="614" customFormat="1" x14ac:dyDescent="0.25">
      <c r="A5099" s="276"/>
      <c r="B5099" s="626"/>
      <c r="C5099" s="287"/>
      <c r="D5099" s="627"/>
      <c r="E5099" s="628"/>
      <c r="F5099" s="629"/>
      <c r="G5099" s="627"/>
      <c r="H5099" s="287"/>
      <c r="I5099" s="629"/>
      <c r="J5099" s="287"/>
      <c r="K5099" s="630"/>
      <c r="L5099" s="630"/>
      <c r="M5099" s="287"/>
      <c r="N5099" s="631"/>
      <c r="O5099" s="628"/>
      <c r="P5099" s="287"/>
      <c r="Q5099" s="632"/>
      <c r="R5099" s="633"/>
      <c r="S5099" s="634"/>
      <c r="T5099" s="287"/>
      <c r="U5099" s="628"/>
    </row>
    <row r="5100" spans="1:21" s="614" customFormat="1" x14ac:dyDescent="0.25">
      <c r="A5100" s="276"/>
      <c r="B5100" s="626"/>
      <c r="C5100" s="287"/>
      <c r="D5100" s="627"/>
      <c r="E5100" s="628"/>
      <c r="F5100" s="629"/>
      <c r="G5100" s="627"/>
      <c r="H5100" s="287"/>
      <c r="I5100" s="629"/>
      <c r="J5100" s="287"/>
      <c r="K5100" s="630"/>
      <c r="L5100" s="630"/>
      <c r="M5100" s="287"/>
      <c r="N5100" s="631"/>
      <c r="O5100" s="628"/>
      <c r="P5100" s="287"/>
      <c r="Q5100" s="632"/>
      <c r="R5100" s="633"/>
      <c r="S5100" s="634"/>
      <c r="T5100" s="287"/>
      <c r="U5100" s="628"/>
    </row>
    <row r="5101" spans="1:21" s="614" customFormat="1" x14ac:dyDescent="0.25">
      <c r="A5101" s="276"/>
      <c r="B5101" s="626"/>
      <c r="C5101" s="287"/>
      <c r="D5101" s="627"/>
      <c r="E5101" s="628"/>
      <c r="F5101" s="629"/>
      <c r="G5101" s="627"/>
      <c r="H5101" s="287"/>
      <c r="I5101" s="629"/>
      <c r="J5101" s="287"/>
      <c r="K5101" s="630"/>
      <c r="L5101" s="630"/>
      <c r="M5101" s="287"/>
      <c r="N5101" s="631"/>
      <c r="O5101" s="628"/>
      <c r="P5101" s="287"/>
      <c r="Q5101" s="632"/>
      <c r="R5101" s="633"/>
      <c r="S5101" s="634"/>
      <c r="T5101" s="287"/>
      <c r="U5101" s="628"/>
    </row>
    <row r="5102" spans="1:21" s="614" customFormat="1" x14ac:dyDescent="0.25">
      <c r="A5102" s="276"/>
      <c r="B5102" s="626"/>
      <c r="C5102" s="287"/>
      <c r="D5102" s="627"/>
      <c r="E5102" s="628"/>
      <c r="F5102" s="629"/>
      <c r="G5102" s="627"/>
      <c r="H5102" s="287"/>
      <c r="I5102" s="629"/>
      <c r="J5102" s="287"/>
      <c r="K5102" s="630"/>
      <c r="L5102" s="630"/>
      <c r="M5102" s="287"/>
      <c r="N5102" s="631"/>
      <c r="O5102" s="628"/>
      <c r="P5102" s="287"/>
      <c r="Q5102" s="632"/>
      <c r="R5102" s="633"/>
      <c r="S5102" s="634"/>
      <c r="T5102" s="287"/>
      <c r="U5102" s="628"/>
    </row>
    <row r="5103" spans="1:21" s="614" customFormat="1" x14ac:dyDescent="0.25">
      <c r="A5103" s="276"/>
      <c r="B5103" s="626"/>
      <c r="C5103" s="287"/>
      <c r="D5103" s="627"/>
      <c r="E5103" s="628"/>
      <c r="F5103" s="629"/>
      <c r="G5103" s="627"/>
      <c r="H5103" s="287"/>
      <c r="I5103" s="629"/>
      <c r="J5103" s="287"/>
      <c r="K5103" s="630"/>
      <c r="L5103" s="630"/>
      <c r="M5103" s="287"/>
      <c r="N5103" s="631"/>
      <c r="O5103" s="628"/>
      <c r="P5103" s="287"/>
      <c r="Q5103" s="632"/>
      <c r="R5103" s="633"/>
      <c r="S5103" s="634"/>
      <c r="T5103" s="287"/>
      <c r="U5103" s="628"/>
    </row>
    <row r="5104" spans="1:21" s="614" customFormat="1" x14ac:dyDescent="0.25">
      <c r="A5104" s="276"/>
      <c r="B5104" s="626"/>
      <c r="C5104" s="287"/>
      <c r="D5104" s="627"/>
      <c r="E5104" s="628"/>
      <c r="F5104" s="629"/>
      <c r="G5104" s="627"/>
      <c r="H5104" s="287"/>
      <c r="I5104" s="629"/>
      <c r="J5104" s="287"/>
      <c r="K5104" s="630"/>
      <c r="L5104" s="630"/>
      <c r="M5104" s="287"/>
      <c r="N5104" s="631"/>
      <c r="O5104" s="628"/>
      <c r="P5104" s="287"/>
      <c r="Q5104" s="632"/>
      <c r="R5104" s="633"/>
      <c r="S5104" s="634"/>
      <c r="T5104" s="287"/>
      <c r="U5104" s="628"/>
    </row>
    <row r="5105" spans="1:21" s="614" customFormat="1" x14ac:dyDescent="0.25">
      <c r="A5105" s="276"/>
      <c r="B5105" s="626"/>
      <c r="C5105" s="287"/>
      <c r="D5105" s="627"/>
      <c r="E5105" s="628"/>
      <c r="F5105" s="629"/>
      <c r="G5105" s="627"/>
      <c r="H5105" s="287"/>
      <c r="I5105" s="629"/>
      <c r="J5105" s="287"/>
      <c r="K5105" s="630"/>
      <c r="L5105" s="630"/>
      <c r="M5105" s="287"/>
      <c r="N5105" s="631"/>
      <c r="O5105" s="628"/>
      <c r="P5105" s="287"/>
      <c r="Q5105" s="632"/>
      <c r="R5105" s="633"/>
      <c r="S5105" s="634"/>
      <c r="T5105" s="287"/>
      <c r="U5105" s="628"/>
    </row>
    <row r="5106" spans="1:21" s="614" customFormat="1" x14ac:dyDescent="0.25">
      <c r="A5106" s="276"/>
      <c r="B5106" s="626"/>
      <c r="C5106" s="287"/>
      <c r="D5106" s="627"/>
      <c r="E5106" s="628"/>
      <c r="F5106" s="629"/>
      <c r="G5106" s="627"/>
      <c r="H5106" s="287"/>
      <c r="I5106" s="629"/>
      <c r="J5106" s="287"/>
      <c r="K5106" s="630"/>
      <c r="L5106" s="630"/>
      <c r="M5106" s="287"/>
      <c r="N5106" s="631"/>
      <c r="O5106" s="628"/>
      <c r="P5106" s="287"/>
      <c r="Q5106" s="632"/>
      <c r="R5106" s="633"/>
      <c r="S5106" s="634"/>
      <c r="T5106" s="287"/>
      <c r="U5106" s="628"/>
    </row>
    <row r="5107" spans="1:21" s="614" customFormat="1" x14ac:dyDescent="0.25">
      <c r="A5107" s="276"/>
      <c r="B5107" s="626"/>
      <c r="C5107" s="287"/>
      <c r="D5107" s="627"/>
      <c r="E5107" s="628"/>
      <c r="F5107" s="629"/>
      <c r="G5107" s="627"/>
      <c r="H5107" s="287"/>
      <c r="I5107" s="629"/>
      <c r="J5107" s="287"/>
      <c r="K5107" s="630"/>
      <c r="L5107" s="630"/>
      <c r="M5107" s="287"/>
      <c r="N5107" s="631"/>
      <c r="O5107" s="628"/>
      <c r="P5107" s="287"/>
      <c r="Q5107" s="632"/>
      <c r="R5107" s="633"/>
      <c r="S5107" s="634"/>
      <c r="T5107" s="287"/>
      <c r="U5107" s="628"/>
    </row>
    <row r="5108" spans="1:21" s="614" customFormat="1" x14ac:dyDescent="0.25">
      <c r="A5108" s="276"/>
      <c r="B5108" s="626"/>
      <c r="C5108" s="287"/>
      <c r="D5108" s="627"/>
      <c r="E5108" s="628"/>
      <c r="F5108" s="629"/>
      <c r="G5108" s="627"/>
      <c r="H5108" s="287"/>
      <c r="I5108" s="629"/>
      <c r="J5108" s="287"/>
      <c r="K5108" s="630"/>
      <c r="L5108" s="630"/>
      <c r="M5108" s="287"/>
      <c r="N5108" s="631"/>
      <c r="O5108" s="628"/>
      <c r="P5108" s="287"/>
      <c r="Q5108" s="632"/>
      <c r="R5108" s="633"/>
      <c r="S5108" s="634"/>
      <c r="T5108" s="287"/>
      <c r="U5108" s="628"/>
    </row>
    <row r="5109" spans="1:21" s="614" customFormat="1" x14ac:dyDescent="0.25">
      <c r="A5109" s="276"/>
      <c r="B5109" s="626"/>
      <c r="C5109" s="287"/>
      <c r="D5109" s="627"/>
      <c r="E5109" s="628"/>
      <c r="F5109" s="629"/>
      <c r="G5109" s="627"/>
      <c r="H5109" s="287"/>
      <c r="I5109" s="629"/>
      <c r="J5109" s="287"/>
      <c r="K5109" s="630"/>
      <c r="L5109" s="630"/>
      <c r="M5109" s="287"/>
      <c r="N5109" s="631"/>
      <c r="O5109" s="628"/>
      <c r="P5109" s="287"/>
      <c r="Q5109" s="632"/>
      <c r="R5109" s="633"/>
      <c r="S5109" s="634"/>
      <c r="T5109" s="287"/>
      <c r="U5109" s="628"/>
    </row>
    <row r="5110" spans="1:21" s="614" customFormat="1" x14ac:dyDescent="0.25">
      <c r="A5110" s="276"/>
      <c r="B5110" s="626"/>
      <c r="C5110" s="287"/>
      <c r="D5110" s="627"/>
      <c r="E5110" s="628"/>
      <c r="F5110" s="629"/>
      <c r="G5110" s="627"/>
      <c r="H5110" s="287"/>
      <c r="I5110" s="629"/>
      <c r="J5110" s="287"/>
      <c r="K5110" s="630"/>
      <c r="L5110" s="630"/>
      <c r="M5110" s="287"/>
      <c r="N5110" s="631"/>
      <c r="O5110" s="628"/>
      <c r="P5110" s="287"/>
      <c r="Q5110" s="632"/>
      <c r="R5110" s="633"/>
      <c r="S5110" s="634"/>
      <c r="T5110" s="287"/>
      <c r="U5110" s="628"/>
    </row>
    <row r="5111" spans="1:21" s="614" customFormat="1" x14ac:dyDescent="0.25">
      <c r="A5111" s="276"/>
      <c r="B5111" s="626"/>
      <c r="C5111" s="287"/>
      <c r="D5111" s="627"/>
      <c r="E5111" s="628"/>
      <c r="F5111" s="629"/>
      <c r="G5111" s="627"/>
      <c r="H5111" s="287"/>
      <c r="I5111" s="629"/>
      <c r="J5111" s="287"/>
      <c r="K5111" s="630"/>
      <c r="L5111" s="630"/>
      <c r="M5111" s="287"/>
      <c r="N5111" s="631"/>
      <c r="O5111" s="628"/>
      <c r="P5111" s="287"/>
      <c r="Q5111" s="632"/>
      <c r="R5111" s="633"/>
      <c r="S5111" s="634"/>
      <c r="T5111" s="287"/>
      <c r="U5111" s="628"/>
    </row>
    <row r="5112" spans="1:21" s="614" customFormat="1" x14ac:dyDescent="0.25">
      <c r="A5112" s="276"/>
      <c r="B5112" s="626"/>
      <c r="C5112" s="287"/>
      <c r="D5112" s="627"/>
      <c r="E5112" s="628"/>
      <c r="F5112" s="629"/>
      <c r="G5112" s="627"/>
      <c r="H5112" s="287"/>
      <c r="I5112" s="629"/>
      <c r="J5112" s="287"/>
      <c r="K5112" s="630"/>
      <c r="L5112" s="630"/>
      <c r="M5112" s="287"/>
      <c r="N5112" s="631"/>
      <c r="O5112" s="628"/>
      <c r="P5112" s="287"/>
      <c r="Q5112" s="632"/>
      <c r="R5112" s="633"/>
      <c r="S5112" s="634"/>
      <c r="T5112" s="287"/>
      <c r="U5112" s="628"/>
    </row>
    <row r="5113" spans="1:21" s="614" customFormat="1" x14ac:dyDescent="0.25">
      <c r="A5113" s="276"/>
      <c r="B5113" s="626"/>
      <c r="C5113" s="287"/>
      <c r="D5113" s="627"/>
      <c r="E5113" s="628"/>
      <c r="F5113" s="629"/>
      <c r="G5113" s="627"/>
      <c r="H5113" s="287"/>
      <c r="I5113" s="629"/>
      <c r="J5113" s="287"/>
      <c r="K5113" s="630"/>
      <c r="L5113" s="630"/>
      <c r="M5113" s="287"/>
      <c r="N5113" s="631"/>
      <c r="O5113" s="628"/>
      <c r="P5113" s="287"/>
      <c r="Q5113" s="632"/>
      <c r="R5113" s="633"/>
      <c r="S5113" s="634"/>
      <c r="T5113" s="287"/>
      <c r="U5113" s="628"/>
    </row>
    <row r="5114" spans="1:21" s="614" customFormat="1" x14ac:dyDescent="0.25">
      <c r="A5114" s="276"/>
      <c r="B5114" s="626"/>
      <c r="C5114" s="287"/>
      <c r="D5114" s="627"/>
      <c r="E5114" s="628"/>
      <c r="F5114" s="629"/>
      <c r="G5114" s="627"/>
      <c r="H5114" s="287"/>
      <c r="I5114" s="629"/>
      <c r="J5114" s="287"/>
      <c r="K5114" s="630"/>
      <c r="L5114" s="630"/>
      <c r="M5114" s="287"/>
      <c r="N5114" s="631"/>
      <c r="O5114" s="628"/>
      <c r="P5114" s="287"/>
      <c r="Q5114" s="632"/>
      <c r="R5114" s="633"/>
      <c r="S5114" s="634"/>
      <c r="T5114" s="287"/>
      <c r="U5114" s="628"/>
    </row>
    <row r="5115" spans="1:21" s="614" customFormat="1" x14ac:dyDescent="0.25">
      <c r="A5115" s="276"/>
      <c r="B5115" s="626"/>
      <c r="C5115" s="287"/>
      <c r="D5115" s="627"/>
      <c r="E5115" s="628"/>
      <c r="F5115" s="629"/>
      <c r="G5115" s="627"/>
      <c r="H5115" s="287"/>
      <c r="I5115" s="629"/>
      <c r="J5115" s="287"/>
      <c r="K5115" s="630"/>
      <c r="L5115" s="630"/>
      <c r="M5115" s="287"/>
      <c r="N5115" s="631"/>
      <c r="O5115" s="628"/>
      <c r="P5115" s="287"/>
      <c r="Q5115" s="632"/>
      <c r="R5115" s="633"/>
      <c r="S5115" s="634"/>
      <c r="T5115" s="287"/>
      <c r="U5115" s="628"/>
    </row>
    <row r="5116" spans="1:21" s="614" customFormat="1" x14ac:dyDescent="0.25">
      <c r="A5116" s="276"/>
      <c r="B5116" s="626"/>
      <c r="C5116" s="287"/>
      <c r="D5116" s="627"/>
      <c r="E5116" s="628"/>
      <c r="F5116" s="629"/>
      <c r="G5116" s="627"/>
      <c r="H5116" s="287"/>
      <c r="I5116" s="629"/>
      <c r="J5116" s="287"/>
      <c r="K5116" s="630"/>
      <c r="L5116" s="630"/>
      <c r="M5116" s="287"/>
      <c r="N5116" s="631"/>
      <c r="O5116" s="628"/>
      <c r="P5116" s="287"/>
      <c r="Q5116" s="632"/>
      <c r="R5116" s="633"/>
      <c r="S5116" s="634"/>
      <c r="T5116" s="287"/>
      <c r="U5116" s="628"/>
    </row>
    <row r="5117" spans="1:21" s="614" customFormat="1" x14ac:dyDescent="0.25">
      <c r="A5117" s="276"/>
      <c r="B5117" s="626"/>
      <c r="C5117" s="287"/>
      <c r="D5117" s="627"/>
      <c r="E5117" s="628"/>
      <c r="F5117" s="629"/>
      <c r="G5117" s="627"/>
      <c r="H5117" s="287"/>
      <c r="I5117" s="629"/>
      <c r="J5117" s="287"/>
      <c r="K5117" s="630"/>
      <c r="L5117" s="630"/>
      <c r="M5117" s="287"/>
      <c r="N5117" s="631"/>
      <c r="O5117" s="628"/>
      <c r="P5117" s="287"/>
      <c r="Q5117" s="632"/>
      <c r="R5117" s="633"/>
      <c r="S5117" s="634"/>
      <c r="T5117" s="287"/>
      <c r="U5117" s="628"/>
    </row>
    <row r="5118" spans="1:21" s="614" customFormat="1" x14ac:dyDescent="0.25">
      <c r="A5118" s="276"/>
      <c r="B5118" s="626"/>
      <c r="C5118" s="287"/>
      <c r="D5118" s="627"/>
      <c r="E5118" s="628"/>
      <c r="F5118" s="629"/>
      <c r="G5118" s="627"/>
      <c r="H5118" s="287"/>
      <c r="I5118" s="629"/>
      <c r="J5118" s="287"/>
      <c r="K5118" s="630"/>
      <c r="L5118" s="630"/>
      <c r="M5118" s="287"/>
      <c r="N5118" s="631"/>
      <c r="O5118" s="628"/>
      <c r="P5118" s="287"/>
      <c r="Q5118" s="632"/>
      <c r="R5118" s="633"/>
      <c r="S5118" s="634"/>
      <c r="T5118" s="287"/>
      <c r="U5118" s="628"/>
    </row>
    <row r="5119" spans="1:21" s="614" customFormat="1" x14ac:dyDescent="0.25">
      <c r="A5119" s="276"/>
      <c r="B5119" s="626"/>
      <c r="C5119" s="287"/>
      <c r="D5119" s="627"/>
      <c r="E5119" s="628"/>
      <c r="F5119" s="629"/>
      <c r="G5119" s="627"/>
      <c r="H5119" s="287"/>
      <c r="I5119" s="629"/>
      <c r="J5119" s="287"/>
      <c r="K5119" s="630"/>
      <c r="L5119" s="630"/>
      <c r="M5119" s="287"/>
      <c r="N5119" s="631"/>
      <c r="O5119" s="628"/>
      <c r="P5119" s="287"/>
      <c r="Q5119" s="632"/>
      <c r="R5119" s="633"/>
      <c r="S5119" s="634"/>
      <c r="T5119" s="287"/>
      <c r="U5119" s="628"/>
    </row>
    <row r="5120" spans="1:21" s="614" customFormat="1" x14ac:dyDescent="0.25">
      <c r="A5120" s="276"/>
      <c r="B5120" s="626"/>
      <c r="C5120" s="287"/>
      <c r="D5120" s="627"/>
      <c r="E5120" s="628"/>
      <c r="F5120" s="629"/>
      <c r="G5120" s="627"/>
      <c r="H5120" s="287"/>
      <c r="I5120" s="629"/>
      <c r="J5120" s="287"/>
      <c r="K5120" s="630"/>
      <c r="L5120" s="630"/>
      <c r="M5120" s="287"/>
      <c r="N5120" s="631"/>
      <c r="O5120" s="628"/>
      <c r="P5120" s="287"/>
      <c r="Q5120" s="632"/>
      <c r="R5120" s="633"/>
      <c r="S5120" s="634"/>
      <c r="T5120" s="287"/>
      <c r="U5120" s="628"/>
    </row>
    <row r="5121" spans="1:21" s="614" customFormat="1" x14ac:dyDescent="0.25">
      <c r="A5121" s="276"/>
      <c r="B5121" s="626"/>
      <c r="C5121" s="287"/>
      <c r="D5121" s="627"/>
      <c r="E5121" s="628"/>
      <c r="F5121" s="629"/>
      <c r="G5121" s="627"/>
      <c r="H5121" s="287"/>
      <c r="I5121" s="629"/>
      <c r="J5121" s="287"/>
      <c r="K5121" s="630"/>
      <c r="L5121" s="630"/>
      <c r="M5121" s="287"/>
      <c r="N5121" s="631"/>
      <c r="O5121" s="628"/>
      <c r="P5121" s="287"/>
      <c r="Q5121" s="632"/>
      <c r="R5121" s="633"/>
      <c r="S5121" s="634"/>
      <c r="T5121" s="287"/>
      <c r="U5121" s="628"/>
    </row>
    <row r="5122" spans="1:21" s="614" customFormat="1" x14ac:dyDescent="0.25">
      <c r="A5122" s="276"/>
      <c r="B5122" s="626"/>
      <c r="C5122" s="287"/>
      <c r="D5122" s="627"/>
      <c r="E5122" s="628"/>
      <c r="F5122" s="629"/>
      <c r="G5122" s="627"/>
      <c r="H5122" s="287"/>
      <c r="I5122" s="629"/>
      <c r="J5122" s="287"/>
      <c r="K5122" s="630"/>
      <c r="L5122" s="630"/>
      <c r="M5122" s="287"/>
      <c r="N5122" s="631"/>
      <c r="O5122" s="628"/>
      <c r="P5122" s="287"/>
      <c r="Q5122" s="632"/>
      <c r="R5122" s="633"/>
      <c r="S5122" s="634"/>
      <c r="T5122" s="287"/>
      <c r="U5122" s="628"/>
    </row>
    <row r="5123" spans="1:21" s="614" customFormat="1" x14ac:dyDescent="0.25">
      <c r="A5123" s="276"/>
      <c r="B5123" s="626"/>
      <c r="C5123" s="287"/>
      <c r="D5123" s="627"/>
      <c r="E5123" s="628"/>
      <c r="F5123" s="629"/>
      <c r="G5123" s="627"/>
      <c r="H5123" s="287"/>
      <c r="I5123" s="629"/>
      <c r="J5123" s="287"/>
      <c r="K5123" s="630"/>
      <c r="L5123" s="630"/>
      <c r="M5123" s="287"/>
      <c r="N5123" s="631"/>
      <c r="O5123" s="628"/>
      <c r="P5123" s="287"/>
      <c r="Q5123" s="632"/>
      <c r="R5123" s="633"/>
      <c r="S5123" s="634"/>
      <c r="T5123" s="287"/>
      <c r="U5123" s="628"/>
    </row>
    <row r="5124" spans="1:21" s="614" customFormat="1" x14ac:dyDescent="0.25">
      <c r="A5124" s="276"/>
      <c r="B5124" s="626"/>
      <c r="C5124" s="287"/>
      <c r="D5124" s="627"/>
      <c r="E5124" s="628"/>
      <c r="F5124" s="629"/>
      <c r="G5124" s="627"/>
      <c r="H5124" s="287"/>
      <c r="I5124" s="629"/>
      <c r="J5124" s="287"/>
      <c r="K5124" s="630"/>
      <c r="L5124" s="630"/>
      <c r="M5124" s="287"/>
      <c r="N5124" s="631"/>
      <c r="O5124" s="628"/>
      <c r="P5124" s="287"/>
      <c r="Q5124" s="632"/>
      <c r="R5124" s="633"/>
      <c r="S5124" s="634"/>
      <c r="T5124" s="287"/>
      <c r="U5124" s="628"/>
    </row>
    <row r="5125" spans="1:21" s="614" customFormat="1" x14ac:dyDescent="0.25">
      <c r="A5125" s="276"/>
      <c r="B5125" s="626"/>
      <c r="C5125" s="287"/>
      <c r="D5125" s="627"/>
      <c r="E5125" s="628"/>
      <c r="F5125" s="629"/>
      <c r="G5125" s="627"/>
      <c r="H5125" s="287"/>
      <c r="I5125" s="629"/>
      <c r="J5125" s="287"/>
      <c r="K5125" s="630"/>
      <c r="L5125" s="630"/>
      <c r="M5125" s="287"/>
      <c r="N5125" s="631"/>
      <c r="O5125" s="628"/>
      <c r="P5125" s="287"/>
      <c r="Q5125" s="632"/>
      <c r="R5125" s="633"/>
      <c r="S5125" s="634"/>
      <c r="T5125" s="287"/>
      <c r="U5125" s="628"/>
    </row>
    <row r="5126" spans="1:21" s="614" customFormat="1" x14ac:dyDescent="0.25">
      <c r="A5126" s="276"/>
      <c r="B5126" s="626"/>
      <c r="C5126" s="287"/>
      <c r="D5126" s="627"/>
      <c r="E5126" s="628"/>
      <c r="F5126" s="629"/>
      <c r="G5126" s="627"/>
      <c r="H5126" s="287"/>
      <c r="I5126" s="629"/>
      <c r="J5126" s="287"/>
      <c r="K5126" s="630"/>
      <c r="L5126" s="630"/>
      <c r="M5126" s="287"/>
      <c r="N5126" s="631"/>
      <c r="O5126" s="628"/>
      <c r="P5126" s="287"/>
      <c r="Q5126" s="632"/>
      <c r="R5126" s="633"/>
      <c r="S5126" s="634"/>
      <c r="T5126" s="287"/>
      <c r="U5126" s="628"/>
    </row>
    <row r="5127" spans="1:21" s="614" customFormat="1" x14ac:dyDescent="0.25">
      <c r="A5127" s="276"/>
      <c r="B5127" s="626"/>
      <c r="C5127" s="287"/>
      <c r="D5127" s="627"/>
      <c r="E5127" s="628"/>
      <c r="F5127" s="629"/>
      <c r="G5127" s="627"/>
      <c r="H5127" s="287"/>
      <c r="I5127" s="629"/>
      <c r="J5127" s="287"/>
      <c r="K5127" s="630"/>
      <c r="L5127" s="630"/>
      <c r="M5127" s="287"/>
      <c r="N5127" s="631"/>
      <c r="O5127" s="628"/>
      <c r="P5127" s="287"/>
      <c r="Q5127" s="632"/>
      <c r="R5127" s="633"/>
      <c r="S5127" s="634"/>
      <c r="T5127" s="287"/>
      <c r="U5127" s="628"/>
    </row>
    <row r="5128" spans="1:21" s="614" customFormat="1" x14ac:dyDescent="0.25">
      <c r="A5128" s="276"/>
      <c r="B5128" s="626"/>
      <c r="C5128" s="287"/>
      <c r="D5128" s="627"/>
      <c r="E5128" s="628"/>
      <c r="F5128" s="629"/>
      <c r="G5128" s="627"/>
      <c r="H5128" s="287"/>
      <c r="I5128" s="629"/>
      <c r="J5128" s="287"/>
      <c r="K5128" s="630"/>
      <c r="L5128" s="630"/>
      <c r="M5128" s="287"/>
      <c r="N5128" s="631"/>
      <c r="O5128" s="628"/>
      <c r="P5128" s="287"/>
      <c r="Q5128" s="632"/>
      <c r="R5128" s="633"/>
      <c r="S5128" s="634"/>
      <c r="T5128" s="287"/>
      <c r="U5128" s="628"/>
    </row>
    <row r="5129" spans="1:21" s="614" customFormat="1" x14ac:dyDescent="0.25">
      <c r="A5129" s="276"/>
      <c r="B5129" s="626"/>
      <c r="C5129" s="287"/>
      <c r="D5129" s="627"/>
      <c r="E5129" s="628"/>
      <c r="F5129" s="629"/>
      <c r="G5129" s="627"/>
      <c r="H5129" s="287"/>
      <c r="I5129" s="629"/>
      <c r="J5129" s="287"/>
      <c r="K5129" s="630"/>
      <c r="L5129" s="630"/>
      <c r="M5129" s="287"/>
      <c r="N5129" s="631"/>
      <c r="O5129" s="628"/>
      <c r="P5129" s="287"/>
      <c r="Q5129" s="632"/>
      <c r="R5129" s="633"/>
      <c r="S5129" s="634"/>
      <c r="T5129" s="287"/>
      <c r="U5129" s="628"/>
    </row>
    <row r="5130" spans="1:21" s="614" customFormat="1" x14ac:dyDescent="0.25">
      <c r="A5130" s="276"/>
      <c r="B5130" s="626"/>
      <c r="C5130" s="287"/>
      <c r="D5130" s="627"/>
      <c r="E5130" s="628"/>
      <c r="F5130" s="629"/>
      <c r="G5130" s="627"/>
      <c r="H5130" s="287"/>
      <c r="I5130" s="629"/>
      <c r="J5130" s="287"/>
      <c r="K5130" s="630"/>
      <c r="L5130" s="630"/>
      <c r="M5130" s="287"/>
      <c r="N5130" s="631"/>
      <c r="O5130" s="628"/>
      <c r="P5130" s="287"/>
      <c r="Q5130" s="632"/>
      <c r="R5130" s="633"/>
      <c r="S5130" s="634"/>
      <c r="T5130" s="287"/>
      <c r="U5130" s="628"/>
    </row>
    <row r="5131" spans="1:21" s="614" customFormat="1" x14ac:dyDescent="0.25">
      <c r="A5131" s="276"/>
      <c r="B5131" s="626"/>
      <c r="C5131" s="287"/>
      <c r="D5131" s="627"/>
      <c r="E5131" s="628"/>
      <c r="F5131" s="629"/>
      <c r="G5131" s="627"/>
      <c r="H5131" s="287"/>
      <c r="I5131" s="629"/>
      <c r="J5131" s="287"/>
      <c r="K5131" s="630"/>
      <c r="L5131" s="630"/>
      <c r="M5131" s="287"/>
      <c r="N5131" s="631"/>
      <c r="O5131" s="628"/>
      <c r="P5131" s="287"/>
      <c r="Q5131" s="632"/>
      <c r="R5131" s="633"/>
      <c r="S5131" s="634"/>
      <c r="T5131" s="287"/>
      <c r="U5131" s="628"/>
    </row>
    <row r="5132" spans="1:21" s="614" customFormat="1" x14ac:dyDescent="0.25">
      <c r="A5132" s="276"/>
      <c r="B5132" s="626"/>
      <c r="C5132" s="287"/>
      <c r="D5132" s="627"/>
      <c r="E5132" s="628"/>
      <c r="F5132" s="629"/>
      <c r="G5132" s="627"/>
      <c r="H5132" s="287"/>
      <c r="I5132" s="629"/>
      <c r="J5132" s="287"/>
      <c r="K5132" s="630"/>
      <c r="L5132" s="630"/>
      <c r="M5132" s="287"/>
      <c r="N5132" s="631"/>
      <c r="O5132" s="628"/>
      <c r="P5132" s="287"/>
      <c r="Q5132" s="632"/>
      <c r="R5132" s="633"/>
      <c r="S5132" s="634"/>
      <c r="T5132" s="287"/>
      <c r="U5132" s="628"/>
    </row>
    <row r="5133" spans="1:21" s="614" customFormat="1" x14ac:dyDescent="0.25">
      <c r="A5133" s="276"/>
      <c r="B5133" s="626"/>
      <c r="C5133" s="287"/>
      <c r="D5133" s="627"/>
      <c r="E5133" s="628"/>
      <c r="F5133" s="629"/>
      <c r="G5133" s="627"/>
      <c r="H5133" s="287"/>
      <c r="I5133" s="629"/>
      <c r="J5133" s="287"/>
      <c r="K5133" s="630"/>
      <c r="L5133" s="630"/>
      <c r="M5133" s="287"/>
      <c r="N5133" s="631"/>
      <c r="O5133" s="628"/>
      <c r="P5133" s="287"/>
      <c r="Q5133" s="632"/>
      <c r="R5133" s="633"/>
      <c r="S5133" s="634"/>
      <c r="T5133" s="287"/>
      <c r="U5133" s="628"/>
    </row>
    <row r="5134" spans="1:21" s="614" customFormat="1" x14ac:dyDescent="0.25">
      <c r="A5134" s="276"/>
      <c r="B5134" s="626"/>
      <c r="C5134" s="287"/>
      <c r="D5134" s="627"/>
      <c r="E5134" s="628"/>
      <c r="F5134" s="629"/>
      <c r="G5134" s="627"/>
      <c r="H5134" s="287"/>
      <c r="I5134" s="629"/>
      <c r="J5134" s="287"/>
      <c r="K5134" s="630"/>
      <c r="L5134" s="630"/>
      <c r="M5134" s="287"/>
      <c r="N5134" s="631"/>
      <c r="O5134" s="628"/>
      <c r="P5134" s="287"/>
      <c r="Q5134" s="632"/>
      <c r="R5134" s="633"/>
      <c r="S5134" s="634"/>
      <c r="T5134" s="287"/>
      <c r="U5134" s="628"/>
    </row>
    <row r="5135" spans="1:21" s="614" customFormat="1" x14ac:dyDescent="0.25">
      <c r="A5135" s="276"/>
      <c r="B5135" s="626"/>
      <c r="C5135" s="287"/>
      <c r="D5135" s="627"/>
      <c r="E5135" s="628"/>
      <c r="F5135" s="629"/>
      <c r="G5135" s="627"/>
      <c r="H5135" s="287"/>
      <c r="I5135" s="629"/>
      <c r="J5135" s="287"/>
      <c r="K5135" s="630"/>
      <c r="L5135" s="630"/>
      <c r="M5135" s="287"/>
      <c r="N5135" s="631"/>
      <c r="O5135" s="628"/>
      <c r="P5135" s="287"/>
      <c r="Q5135" s="632"/>
      <c r="R5135" s="633"/>
      <c r="S5135" s="634"/>
      <c r="T5135" s="287"/>
      <c r="U5135" s="628"/>
    </row>
    <row r="5136" spans="1:21" s="614" customFormat="1" x14ac:dyDescent="0.25">
      <c r="A5136" s="276"/>
      <c r="B5136" s="626"/>
      <c r="C5136" s="287"/>
      <c r="D5136" s="627"/>
      <c r="E5136" s="628"/>
      <c r="F5136" s="629"/>
      <c r="G5136" s="627"/>
      <c r="H5136" s="287"/>
      <c r="I5136" s="629"/>
      <c r="J5136" s="287"/>
      <c r="K5136" s="630"/>
      <c r="L5136" s="630"/>
      <c r="M5136" s="287"/>
      <c r="N5136" s="631"/>
      <c r="O5136" s="628"/>
      <c r="P5136" s="287"/>
      <c r="Q5136" s="632"/>
      <c r="R5136" s="633"/>
      <c r="S5136" s="634"/>
      <c r="T5136" s="287"/>
      <c r="U5136" s="628"/>
    </row>
    <row r="5137" spans="1:22" s="614" customFormat="1" x14ac:dyDescent="0.25">
      <c r="A5137" s="276"/>
      <c r="B5137" s="626"/>
      <c r="C5137" s="287"/>
      <c r="D5137" s="627"/>
      <c r="E5137" s="628"/>
      <c r="F5137" s="629"/>
      <c r="G5137" s="627"/>
      <c r="H5137" s="287"/>
      <c r="I5137" s="629"/>
      <c r="J5137" s="287"/>
      <c r="K5137" s="630"/>
      <c r="L5137" s="630"/>
      <c r="M5137" s="287"/>
      <c r="N5137" s="631"/>
      <c r="O5137" s="628"/>
      <c r="P5137" s="287"/>
      <c r="Q5137" s="632"/>
      <c r="R5137" s="633"/>
      <c r="S5137" s="634"/>
      <c r="T5137" s="287"/>
      <c r="U5137" s="628"/>
    </row>
    <row r="5138" spans="1:22" s="614" customFormat="1" x14ac:dyDescent="0.25">
      <c r="A5138" s="276"/>
      <c r="B5138" s="626"/>
      <c r="C5138" s="287"/>
      <c r="D5138" s="627"/>
      <c r="E5138" s="628"/>
      <c r="F5138" s="629"/>
      <c r="G5138" s="627"/>
      <c r="H5138" s="287"/>
      <c r="I5138" s="629"/>
      <c r="J5138" s="287"/>
      <c r="K5138" s="630"/>
      <c r="L5138" s="630"/>
      <c r="M5138" s="287"/>
      <c r="N5138" s="631"/>
      <c r="O5138" s="628"/>
      <c r="P5138" s="287"/>
      <c r="Q5138" s="632"/>
      <c r="R5138" s="633"/>
      <c r="S5138" s="634"/>
      <c r="T5138" s="287"/>
      <c r="U5138" s="628"/>
    </row>
    <row r="5139" spans="1:22" s="614" customFormat="1" x14ac:dyDescent="0.25">
      <c r="A5139" s="276"/>
      <c r="B5139" s="626"/>
      <c r="C5139" s="287"/>
      <c r="D5139" s="627"/>
      <c r="E5139" s="628"/>
      <c r="F5139" s="629"/>
      <c r="G5139" s="627"/>
      <c r="H5139" s="287"/>
      <c r="I5139" s="629"/>
      <c r="J5139" s="287"/>
      <c r="K5139" s="630"/>
      <c r="L5139" s="630"/>
      <c r="M5139" s="287"/>
      <c r="N5139" s="631"/>
      <c r="O5139" s="628"/>
      <c r="P5139" s="287"/>
      <c r="Q5139" s="632"/>
      <c r="R5139" s="633"/>
      <c r="S5139" s="634"/>
      <c r="T5139" s="287"/>
      <c r="U5139" s="628"/>
    </row>
    <row r="5140" spans="1:22" s="614" customFormat="1" x14ac:dyDescent="0.25">
      <c r="A5140" s="276"/>
      <c r="B5140" s="626"/>
      <c r="C5140" s="287"/>
      <c r="D5140" s="627"/>
      <c r="E5140" s="628"/>
      <c r="F5140" s="629"/>
      <c r="G5140" s="627"/>
      <c r="H5140" s="287"/>
      <c r="I5140" s="629"/>
      <c r="J5140" s="287"/>
      <c r="K5140" s="630"/>
      <c r="L5140" s="630"/>
      <c r="M5140" s="287"/>
      <c r="N5140" s="631"/>
      <c r="O5140" s="628"/>
      <c r="P5140" s="287"/>
      <c r="Q5140" s="632"/>
      <c r="R5140" s="633"/>
      <c r="S5140" s="634"/>
      <c r="T5140" s="287"/>
      <c r="U5140" s="628"/>
    </row>
    <row r="5141" spans="1:22" s="614" customFormat="1" x14ac:dyDescent="0.25">
      <c r="A5141" s="276"/>
      <c r="B5141" s="626"/>
      <c r="C5141" s="287"/>
      <c r="D5141" s="627"/>
      <c r="E5141" s="628"/>
      <c r="F5141" s="629"/>
      <c r="G5141" s="627"/>
      <c r="H5141" s="287"/>
      <c r="I5141" s="629"/>
      <c r="J5141" s="287"/>
      <c r="K5141" s="630"/>
      <c r="L5141" s="630"/>
      <c r="M5141" s="287"/>
      <c r="N5141" s="631"/>
      <c r="O5141" s="628"/>
      <c r="P5141" s="287"/>
      <c r="Q5141" s="632"/>
      <c r="R5141" s="633"/>
      <c r="S5141" s="634"/>
      <c r="T5141" s="287"/>
      <c r="U5141" s="628"/>
    </row>
    <row r="5142" spans="1:22" s="614" customFormat="1" x14ac:dyDescent="0.25">
      <c r="A5142" s="276"/>
      <c r="B5142" s="626"/>
      <c r="C5142" s="287"/>
      <c r="D5142" s="627"/>
      <c r="E5142" s="628"/>
      <c r="F5142" s="629"/>
      <c r="G5142" s="627"/>
      <c r="H5142" s="287"/>
      <c r="I5142" s="629"/>
      <c r="J5142" s="287"/>
      <c r="K5142" s="630"/>
      <c r="L5142" s="630"/>
      <c r="M5142" s="287"/>
      <c r="N5142" s="631"/>
      <c r="O5142" s="628"/>
      <c r="P5142" s="287"/>
      <c r="Q5142" s="632"/>
      <c r="R5142" s="633"/>
      <c r="S5142" s="634"/>
      <c r="T5142" s="287"/>
      <c r="U5142" s="628"/>
    </row>
    <row r="5143" spans="1:22" s="614" customFormat="1" x14ac:dyDescent="0.25">
      <c r="A5143" s="276"/>
      <c r="B5143" s="626"/>
      <c r="C5143" s="287"/>
      <c r="D5143" s="627"/>
      <c r="E5143" s="628"/>
      <c r="F5143" s="629"/>
      <c r="G5143" s="627"/>
      <c r="H5143" s="287"/>
      <c r="I5143" s="629"/>
      <c r="J5143" s="287"/>
      <c r="K5143" s="630"/>
      <c r="L5143" s="630"/>
      <c r="M5143" s="287"/>
      <c r="N5143" s="631"/>
      <c r="O5143" s="628"/>
      <c r="P5143" s="287"/>
      <c r="Q5143" s="632"/>
      <c r="R5143" s="633"/>
      <c r="S5143" s="634"/>
      <c r="T5143" s="287"/>
      <c r="U5143" s="628"/>
    </row>
    <row r="5144" spans="1:22" s="614" customFormat="1" x14ac:dyDescent="0.25">
      <c r="A5144" s="276"/>
      <c r="B5144" s="626"/>
      <c r="C5144" s="287"/>
      <c r="D5144" s="627"/>
      <c r="E5144" s="628"/>
      <c r="F5144" s="629"/>
      <c r="G5144" s="627"/>
      <c r="H5144" s="287"/>
      <c r="I5144" s="629"/>
      <c r="J5144" s="287"/>
      <c r="K5144" s="630"/>
      <c r="L5144" s="630"/>
      <c r="M5144" s="287"/>
      <c r="N5144" s="631"/>
      <c r="O5144" s="628"/>
      <c r="P5144" s="287"/>
      <c r="Q5144" s="632"/>
      <c r="R5144" s="633"/>
      <c r="S5144" s="634"/>
      <c r="T5144" s="287"/>
      <c r="U5144" s="628"/>
    </row>
    <row r="5145" spans="1:22" x14ac:dyDescent="0.25">
      <c r="B5145" s="626"/>
      <c r="C5145" s="287"/>
      <c r="D5145" s="627"/>
      <c r="G5145" s="627"/>
      <c r="J5145" s="287"/>
      <c r="K5145" s="630"/>
      <c r="L5145" s="630"/>
      <c r="M5145" s="287"/>
      <c r="N5145" s="631"/>
      <c r="O5145" s="628"/>
      <c r="R5145" s="633"/>
      <c r="V5145" s="287"/>
    </row>
    <row r="5146" spans="1:22" x14ac:dyDescent="0.25">
      <c r="B5146" s="626"/>
      <c r="C5146" s="287"/>
      <c r="D5146" s="627"/>
      <c r="G5146" s="627"/>
      <c r="J5146" s="287"/>
      <c r="K5146" s="630"/>
      <c r="L5146" s="630"/>
      <c r="M5146" s="287"/>
      <c r="N5146" s="631"/>
      <c r="O5146" s="628"/>
      <c r="R5146" s="633"/>
      <c r="V5146" s="287"/>
    </row>
    <row r="5147" spans="1:22" x14ac:dyDescent="0.25">
      <c r="B5147" s="626"/>
      <c r="C5147" s="287"/>
      <c r="D5147" s="627"/>
      <c r="G5147" s="627"/>
      <c r="J5147" s="287"/>
      <c r="K5147" s="630"/>
      <c r="L5147" s="630"/>
      <c r="M5147" s="287"/>
      <c r="N5147" s="631"/>
      <c r="O5147" s="628"/>
      <c r="R5147" s="633"/>
      <c r="V5147" s="287"/>
    </row>
    <row r="5148" spans="1:22" x14ac:dyDescent="0.25">
      <c r="B5148" s="626"/>
      <c r="C5148" s="287"/>
      <c r="D5148" s="627"/>
      <c r="G5148" s="627"/>
      <c r="J5148" s="287"/>
      <c r="K5148" s="630"/>
      <c r="L5148" s="630"/>
      <c r="M5148" s="287"/>
      <c r="N5148" s="631"/>
      <c r="O5148" s="628"/>
      <c r="R5148" s="633"/>
      <c r="V5148" s="287"/>
    </row>
    <row r="5149" spans="1:22" x14ac:dyDescent="0.25">
      <c r="B5149" s="626"/>
      <c r="C5149" s="287"/>
      <c r="D5149" s="627"/>
      <c r="G5149" s="627"/>
      <c r="J5149" s="287"/>
      <c r="K5149" s="630"/>
      <c r="L5149" s="630"/>
      <c r="M5149" s="287"/>
      <c r="N5149" s="631"/>
      <c r="O5149" s="628"/>
      <c r="R5149" s="633"/>
      <c r="V5149" s="287"/>
    </row>
    <row r="5150" spans="1:22" x14ac:dyDescent="0.25">
      <c r="B5150" s="626"/>
      <c r="C5150" s="287"/>
      <c r="D5150" s="627"/>
      <c r="G5150" s="627"/>
      <c r="J5150" s="287"/>
      <c r="K5150" s="630"/>
      <c r="L5150" s="630"/>
      <c r="M5150" s="287"/>
      <c r="N5150" s="631"/>
      <c r="O5150" s="628"/>
      <c r="R5150" s="633"/>
      <c r="V5150" s="287"/>
    </row>
    <row r="5151" spans="1:22" x14ac:dyDescent="0.25">
      <c r="B5151" s="626"/>
      <c r="C5151" s="287"/>
      <c r="D5151" s="627"/>
      <c r="G5151" s="627"/>
      <c r="J5151" s="287"/>
      <c r="K5151" s="630"/>
      <c r="L5151" s="630"/>
      <c r="M5151" s="287"/>
      <c r="N5151" s="631"/>
      <c r="O5151" s="628"/>
      <c r="R5151" s="633"/>
      <c r="V5151" s="287"/>
    </row>
    <row r="5152" spans="1:22" x14ac:dyDescent="0.25">
      <c r="A5152" s="287"/>
      <c r="B5152" s="626"/>
      <c r="C5152" s="287"/>
      <c r="D5152" s="627"/>
      <c r="G5152" s="627"/>
      <c r="J5152" s="287"/>
      <c r="K5152" s="630"/>
      <c r="L5152" s="630"/>
      <c r="M5152" s="287"/>
      <c r="N5152" s="631"/>
      <c r="O5152" s="628"/>
      <c r="R5152" s="633"/>
      <c r="S5152" s="287"/>
      <c r="U5152" s="287"/>
      <c r="V5152" s="287"/>
    </row>
    <row r="5153" spans="1:22" x14ac:dyDescent="0.25">
      <c r="A5153" s="287"/>
      <c r="B5153" s="626"/>
      <c r="C5153" s="287"/>
      <c r="D5153" s="627"/>
      <c r="G5153" s="627"/>
      <c r="J5153" s="287"/>
      <c r="K5153" s="630"/>
      <c r="L5153" s="630"/>
      <c r="M5153" s="287"/>
      <c r="N5153" s="631"/>
      <c r="O5153" s="628"/>
      <c r="R5153" s="633"/>
      <c r="S5153" s="287"/>
      <c r="U5153" s="287"/>
      <c r="V5153" s="287"/>
    </row>
    <row r="5154" spans="1:22" x14ac:dyDescent="0.25">
      <c r="A5154" s="287"/>
      <c r="B5154" s="626"/>
      <c r="C5154" s="287"/>
      <c r="D5154" s="627"/>
      <c r="G5154" s="627"/>
      <c r="J5154" s="287"/>
      <c r="K5154" s="630"/>
      <c r="L5154" s="630"/>
      <c r="M5154" s="287"/>
      <c r="N5154" s="631"/>
      <c r="O5154" s="628"/>
      <c r="R5154" s="633"/>
      <c r="S5154" s="287"/>
      <c r="U5154" s="287"/>
      <c r="V5154" s="287"/>
    </row>
    <row r="5155" spans="1:22" x14ac:dyDescent="0.25">
      <c r="A5155" s="287"/>
      <c r="B5155" s="626"/>
      <c r="C5155" s="287"/>
      <c r="D5155" s="627"/>
      <c r="G5155" s="627"/>
      <c r="J5155" s="287"/>
      <c r="K5155" s="630"/>
      <c r="L5155" s="630"/>
      <c r="M5155" s="287"/>
      <c r="N5155" s="631"/>
      <c r="O5155" s="628"/>
      <c r="R5155" s="633"/>
      <c r="S5155" s="287"/>
      <c r="U5155" s="287"/>
      <c r="V5155" s="287"/>
    </row>
    <row r="5156" spans="1:22" x14ac:dyDescent="0.25">
      <c r="A5156" s="287"/>
      <c r="B5156" s="626"/>
      <c r="C5156" s="287"/>
      <c r="D5156" s="627"/>
      <c r="G5156" s="627"/>
      <c r="J5156" s="287"/>
      <c r="K5156" s="630"/>
      <c r="L5156" s="630"/>
      <c r="M5156" s="287"/>
      <c r="N5156" s="631"/>
      <c r="O5156" s="628"/>
      <c r="R5156" s="633"/>
      <c r="S5156" s="287"/>
      <c r="U5156" s="287"/>
      <c r="V5156" s="287"/>
    </row>
    <row r="5157" spans="1:22" x14ac:dyDescent="0.25">
      <c r="A5157" s="287"/>
      <c r="B5157" s="626"/>
      <c r="C5157" s="287"/>
      <c r="D5157" s="627"/>
      <c r="G5157" s="627"/>
      <c r="J5157" s="287"/>
      <c r="K5157" s="630"/>
      <c r="L5157" s="630"/>
      <c r="M5157" s="287"/>
      <c r="N5157" s="631"/>
      <c r="O5157" s="628"/>
      <c r="R5157" s="633"/>
      <c r="S5157" s="287"/>
      <c r="U5157" s="287"/>
      <c r="V5157" s="287"/>
    </row>
    <row r="5158" spans="1:22" x14ac:dyDescent="0.25">
      <c r="A5158" s="287"/>
      <c r="B5158" s="626"/>
      <c r="C5158" s="287"/>
      <c r="D5158" s="627"/>
      <c r="G5158" s="627"/>
      <c r="J5158" s="287"/>
      <c r="K5158" s="630"/>
      <c r="L5158" s="630"/>
      <c r="M5158" s="287"/>
      <c r="N5158" s="631"/>
      <c r="O5158" s="628"/>
      <c r="R5158" s="633"/>
      <c r="S5158" s="287"/>
      <c r="U5158" s="287"/>
      <c r="V5158" s="287"/>
    </row>
    <row r="5159" spans="1:22" x14ac:dyDescent="0.25">
      <c r="A5159" s="287"/>
      <c r="B5159" s="626"/>
      <c r="C5159" s="287"/>
      <c r="D5159" s="627"/>
      <c r="G5159" s="627"/>
      <c r="J5159" s="287"/>
      <c r="K5159" s="630"/>
      <c r="L5159" s="630"/>
      <c r="M5159" s="287"/>
      <c r="N5159" s="631"/>
      <c r="O5159" s="628"/>
      <c r="R5159" s="633"/>
      <c r="S5159" s="287"/>
      <c r="U5159" s="287"/>
      <c r="V5159" s="287"/>
    </row>
    <row r="5160" spans="1:22" x14ac:dyDescent="0.25">
      <c r="A5160" s="287"/>
      <c r="B5160" s="626"/>
      <c r="C5160" s="287"/>
      <c r="D5160" s="627"/>
      <c r="G5160" s="627"/>
      <c r="J5160" s="287"/>
      <c r="K5160" s="630"/>
      <c r="L5160" s="630"/>
      <c r="M5160" s="287"/>
      <c r="N5160" s="631"/>
      <c r="O5160" s="628"/>
      <c r="R5160" s="633"/>
      <c r="S5160" s="287"/>
      <c r="U5160" s="287"/>
      <c r="V5160" s="287"/>
    </row>
    <row r="5161" spans="1:22" x14ac:dyDescent="0.25">
      <c r="A5161" s="287"/>
      <c r="B5161" s="626"/>
      <c r="C5161" s="287"/>
      <c r="D5161" s="627"/>
      <c r="G5161" s="627"/>
      <c r="J5161" s="287"/>
      <c r="K5161" s="630"/>
      <c r="L5161" s="630"/>
      <c r="M5161" s="287"/>
      <c r="N5161" s="631"/>
      <c r="O5161" s="628"/>
      <c r="R5161" s="633"/>
      <c r="S5161" s="287"/>
      <c r="U5161" s="287"/>
      <c r="V5161" s="287"/>
    </row>
    <row r="5162" spans="1:22" x14ac:dyDescent="0.25">
      <c r="A5162" s="287"/>
      <c r="B5162" s="626"/>
      <c r="C5162" s="287"/>
      <c r="D5162" s="627"/>
      <c r="G5162" s="627"/>
      <c r="J5162" s="287"/>
      <c r="K5162" s="630"/>
      <c r="L5162" s="630"/>
      <c r="M5162" s="287"/>
      <c r="N5162" s="631"/>
      <c r="O5162" s="628"/>
      <c r="R5162" s="633"/>
      <c r="S5162" s="287"/>
      <c r="U5162" s="287"/>
      <c r="V5162" s="287"/>
    </row>
    <row r="5163" spans="1:22" x14ac:dyDescent="0.25">
      <c r="A5163" s="287"/>
      <c r="B5163" s="626"/>
      <c r="C5163" s="287"/>
      <c r="D5163" s="627"/>
      <c r="G5163" s="627"/>
      <c r="J5163" s="287"/>
      <c r="K5163" s="630"/>
      <c r="L5163" s="630"/>
      <c r="M5163" s="287"/>
      <c r="N5163" s="631"/>
      <c r="O5163" s="628"/>
      <c r="R5163" s="633"/>
      <c r="S5163" s="287"/>
      <c r="U5163" s="287"/>
      <c r="V5163" s="287"/>
    </row>
    <row r="5164" spans="1:22" x14ac:dyDescent="0.25">
      <c r="A5164" s="287"/>
      <c r="B5164" s="626"/>
      <c r="C5164" s="287"/>
      <c r="D5164" s="627"/>
      <c r="G5164" s="627"/>
      <c r="J5164" s="287"/>
      <c r="K5164" s="630"/>
      <c r="L5164" s="630"/>
      <c r="M5164" s="287"/>
      <c r="N5164" s="631"/>
      <c r="O5164" s="628"/>
      <c r="R5164" s="633"/>
      <c r="S5164" s="287"/>
      <c r="U5164" s="287"/>
      <c r="V5164" s="287"/>
    </row>
    <row r="5165" spans="1:22" x14ac:dyDescent="0.25">
      <c r="A5165" s="287"/>
      <c r="B5165" s="626"/>
      <c r="C5165" s="287"/>
      <c r="D5165" s="627"/>
      <c r="G5165" s="627"/>
      <c r="J5165" s="287"/>
      <c r="K5165" s="630"/>
      <c r="L5165" s="630"/>
      <c r="M5165" s="287"/>
      <c r="N5165" s="631"/>
      <c r="O5165" s="628"/>
      <c r="R5165" s="633"/>
      <c r="S5165" s="287"/>
      <c r="U5165" s="287"/>
      <c r="V5165" s="287"/>
    </row>
    <row r="5166" spans="1:22" x14ac:dyDescent="0.25">
      <c r="A5166" s="287"/>
      <c r="B5166" s="626"/>
      <c r="C5166" s="287"/>
      <c r="D5166" s="627"/>
      <c r="G5166" s="627"/>
      <c r="J5166" s="287"/>
      <c r="K5166" s="630"/>
      <c r="L5166" s="630"/>
      <c r="M5166" s="287"/>
      <c r="N5166" s="631"/>
      <c r="O5166" s="628"/>
      <c r="R5166" s="633"/>
      <c r="S5166" s="287"/>
      <c r="U5166" s="287"/>
      <c r="V5166" s="287"/>
    </row>
    <row r="5167" spans="1:22" x14ac:dyDescent="0.25">
      <c r="A5167" s="287"/>
      <c r="B5167" s="626"/>
      <c r="C5167" s="287"/>
      <c r="D5167" s="627"/>
      <c r="G5167" s="627"/>
      <c r="J5167" s="287"/>
      <c r="K5167" s="630"/>
      <c r="L5167" s="630"/>
      <c r="M5167" s="287"/>
      <c r="N5167" s="631"/>
      <c r="O5167" s="628"/>
      <c r="R5167" s="633"/>
      <c r="S5167" s="287"/>
      <c r="U5167" s="287"/>
      <c r="V5167" s="287"/>
    </row>
    <row r="5168" spans="1:22" x14ac:dyDescent="0.25">
      <c r="A5168" s="287"/>
      <c r="B5168" s="626"/>
      <c r="C5168" s="287"/>
      <c r="D5168" s="627"/>
      <c r="G5168" s="627"/>
      <c r="J5168" s="287"/>
      <c r="K5168" s="630"/>
      <c r="L5168" s="630"/>
      <c r="M5168" s="287"/>
      <c r="N5168" s="631"/>
      <c r="O5168" s="628"/>
      <c r="R5168" s="633"/>
      <c r="S5168" s="287"/>
      <c r="U5168" s="287"/>
      <c r="V5168" s="287"/>
    </row>
    <row r="5169" spans="1:22" x14ac:dyDescent="0.25">
      <c r="A5169" s="287"/>
      <c r="B5169" s="626"/>
      <c r="C5169" s="287"/>
      <c r="D5169" s="627"/>
      <c r="G5169" s="627"/>
      <c r="J5169" s="287"/>
      <c r="K5169" s="630"/>
      <c r="L5169" s="630"/>
      <c r="M5169" s="287"/>
      <c r="N5169" s="631"/>
      <c r="O5169" s="628"/>
      <c r="R5169" s="633"/>
      <c r="S5169" s="287"/>
      <c r="U5169" s="287"/>
      <c r="V5169" s="287"/>
    </row>
    <row r="5170" spans="1:22" x14ac:dyDescent="0.25">
      <c r="A5170" s="287"/>
      <c r="B5170" s="626"/>
      <c r="C5170" s="287"/>
      <c r="D5170" s="627"/>
      <c r="G5170" s="627"/>
      <c r="J5170" s="287"/>
      <c r="K5170" s="630"/>
      <c r="L5170" s="630"/>
      <c r="M5170" s="287"/>
      <c r="N5170" s="631"/>
      <c r="O5170" s="628"/>
      <c r="R5170" s="633"/>
      <c r="S5170" s="287"/>
      <c r="U5170" s="287"/>
      <c r="V5170" s="287"/>
    </row>
    <row r="5171" spans="1:22" x14ac:dyDescent="0.25">
      <c r="A5171" s="287"/>
      <c r="B5171" s="626"/>
      <c r="C5171" s="287"/>
      <c r="D5171" s="627"/>
      <c r="G5171" s="627"/>
      <c r="J5171" s="287"/>
      <c r="K5171" s="630"/>
      <c r="L5171" s="630"/>
      <c r="M5171" s="287"/>
      <c r="N5171" s="631"/>
      <c r="O5171" s="628"/>
      <c r="R5171" s="633"/>
      <c r="S5171" s="287"/>
      <c r="U5171" s="287"/>
      <c r="V5171" s="287"/>
    </row>
    <row r="5172" spans="1:22" x14ac:dyDescent="0.25">
      <c r="A5172" s="287"/>
      <c r="B5172" s="626"/>
      <c r="C5172" s="287"/>
      <c r="D5172" s="627"/>
      <c r="G5172" s="627"/>
      <c r="J5172" s="287"/>
      <c r="K5172" s="630"/>
      <c r="L5172" s="630"/>
      <c r="M5172" s="287"/>
      <c r="N5172" s="631"/>
      <c r="O5172" s="628"/>
      <c r="R5172" s="633"/>
      <c r="S5172" s="287"/>
      <c r="U5172" s="287"/>
      <c r="V5172" s="287"/>
    </row>
    <row r="5173" spans="1:22" x14ac:dyDescent="0.25">
      <c r="A5173" s="287"/>
      <c r="B5173" s="626"/>
      <c r="C5173" s="287"/>
      <c r="D5173" s="627"/>
      <c r="G5173" s="627"/>
      <c r="J5173" s="287"/>
      <c r="K5173" s="630"/>
      <c r="L5173" s="630"/>
      <c r="M5173" s="287"/>
      <c r="N5173" s="631"/>
      <c r="O5173" s="628"/>
      <c r="R5173" s="633"/>
      <c r="S5173" s="287"/>
      <c r="U5173" s="287"/>
      <c r="V5173" s="287"/>
    </row>
    <row r="5174" spans="1:22" x14ac:dyDescent="0.25">
      <c r="A5174" s="287"/>
      <c r="B5174" s="626"/>
      <c r="C5174" s="287"/>
      <c r="D5174" s="627"/>
      <c r="G5174" s="627"/>
      <c r="J5174" s="287"/>
      <c r="K5174" s="630"/>
      <c r="L5174" s="630"/>
      <c r="M5174" s="287"/>
      <c r="N5174" s="631"/>
      <c r="O5174" s="628"/>
      <c r="R5174" s="633"/>
      <c r="S5174" s="287"/>
      <c r="U5174" s="287"/>
      <c r="V5174" s="287"/>
    </row>
    <row r="5175" spans="1:22" x14ac:dyDescent="0.25">
      <c r="A5175" s="287"/>
      <c r="B5175" s="626"/>
      <c r="C5175" s="287"/>
      <c r="D5175" s="627"/>
      <c r="G5175" s="627"/>
      <c r="J5175" s="287"/>
      <c r="K5175" s="630"/>
      <c r="L5175" s="630"/>
      <c r="M5175" s="287"/>
      <c r="N5175" s="631"/>
      <c r="O5175" s="628"/>
      <c r="R5175" s="633"/>
      <c r="S5175" s="287"/>
      <c r="U5175" s="287"/>
      <c r="V5175" s="287"/>
    </row>
    <row r="5176" spans="1:22" x14ac:dyDescent="0.25">
      <c r="A5176" s="287"/>
      <c r="B5176" s="626"/>
      <c r="C5176" s="287"/>
      <c r="D5176" s="627"/>
      <c r="G5176" s="627"/>
      <c r="J5176" s="287"/>
      <c r="K5176" s="630"/>
      <c r="L5176" s="630"/>
      <c r="M5176" s="287"/>
      <c r="N5176" s="631"/>
      <c r="O5176" s="628"/>
      <c r="R5176" s="633"/>
      <c r="S5176" s="287"/>
      <c r="U5176" s="287"/>
      <c r="V5176" s="287"/>
    </row>
    <row r="5177" spans="1:22" x14ac:dyDescent="0.25">
      <c r="A5177" s="287"/>
      <c r="B5177" s="626"/>
      <c r="C5177" s="287"/>
      <c r="D5177" s="627"/>
      <c r="G5177" s="627"/>
      <c r="J5177" s="287"/>
      <c r="K5177" s="630"/>
      <c r="L5177" s="630"/>
      <c r="M5177" s="287"/>
      <c r="N5177" s="631"/>
      <c r="O5177" s="628"/>
      <c r="R5177" s="633"/>
      <c r="S5177" s="287"/>
      <c r="U5177" s="287"/>
      <c r="V5177" s="287"/>
    </row>
    <row r="5178" spans="1:22" x14ac:dyDescent="0.25">
      <c r="A5178" s="287"/>
      <c r="B5178" s="626"/>
      <c r="C5178" s="287"/>
      <c r="D5178" s="627"/>
      <c r="G5178" s="627"/>
      <c r="J5178" s="287"/>
      <c r="K5178" s="630"/>
      <c r="L5178" s="630"/>
      <c r="M5178" s="287"/>
      <c r="N5178" s="631"/>
      <c r="O5178" s="628"/>
      <c r="R5178" s="633"/>
      <c r="S5178" s="287"/>
      <c r="U5178" s="287"/>
      <c r="V5178" s="287"/>
    </row>
    <row r="5179" spans="1:22" x14ac:dyDescent="0.25">
      <c r="A5179" s="287"/>
      <c r="B5179" s="626"/>
      <c r="C5179" s="287"/>
      <c r="D5179" s="627"/>
      <c r="G5179" s="627"/>
      <c r="J5179" s="287"/>
      <c r="K5179" s="630"/>
      <c r="L5179" s="630"/>
      <c r="M5179" s="287"/>
      <c r="N5179" s="631"/>
      <c r="O5179" s="628"/>
      <c r="R5179" s="633"/>
      <c r="S5179" s="287"/>
      <c r="U5179" s="287"/>
      <c r="V5179" s="287"/>
    </row>
    <row r="5180" spans="1:22" x14ac:dyDescent="0.25">
      <c r="A5180" s="287"/>
      <c r="B5180" s="626"/>
      <c r="C5180" s="287"/>
      <c r="D5180" s="627"/>
      <c r="G5180" s="627"/>
      <c r="J5180" s="287"/>
      <c r="K5180" s="630"/>
      <c r="L5180" s="630"/>
      <c r="M5180" s="287"/>
      <c r="N5180" s="631"/>
      <c r="O5180" s="628"/>
      <c r="R5180" s="633"/>
      <c r="S5180" s="287"/>
      <c r="U5180" s="287"/>
      <c r="V5180" s="287"/>
    </row>
    <row r="5181" spans="1:22" x14ac:dyDescent="0.25">
      <c r="A5181" s="287"/>
      <c r="B5181" s="626"/>
      <c r="C5181" s="287"/>
      <c r="D5181" s="627"/>
      <c r="G5181" s="627"/>
      <c r="J5181" s="287"/>
      <c r="K5181" s="630"/>
      <c r="L5181" s="630"/>
      <c r="M5181" s="287"/>
      <c r="N5181" s="631"/>
      <c r="O5181" s="628"/>
      <c r="R5181" s="633"/>
      <c r="S5181" s="287"/>
      <c r="U5181" s="287"/>
      <c r="V5181" s="287"/>
    </row>
    <row r="5182" spans="1:22" x14ac:dyDescent="0.25">
      <c r="A5182" s="287"/>
      <c r="B5182" s="626"/>
      <c r="C5182" s="287"/>
      <c r="D5182" s="627"/>
      <c r="G5182" s="627"/>
      <c r="J5182" s="287"/>
      <c r="K5182" s="630"/>
      <c r="L5182" s="630"/>
      <c r="M5182" s="287"/>
      <c r="N5182" s="631"/>
      <c r="O5182" s="628"/>
      <c r="R5182" s="633"/>
      <c r="S5182" s="287"/>
      <c r="U5182" s="287"/>
      <c r="V5182" s="287"/>
    </row>
    <row r="5183" spans="1:22" x14ac:dyDescent="0.25">
      <c r="A5183" s="287"/>
      <c r="B5183" s="626"/>
      <c r="C5183" s="287"/>
      <c r="D5183" s="627"/>
      <c r="G5183" s="627"/>
      <c r="J5183" s="287"/>
      <c r="K5183" s="630"/>
      <c r="L5183" s="630"/>
      <c r="M5183" s="287"/>
      <c r="N5183" s="631"/>
      <c r="O5183" s="628"/>
      <c r="R5183" s="633"/>
      <c r="S5183" s="287"/>
      <c r="U5183" s="287"/>
      <c r="V5183" s="287"/>
    </row>
    <row r="5184" spans="1:22" x14ac:dyDescent="0.25">
      <c r="A5184" s="287"/>
      <c r="B5184" s="626"/>
      <c r="C5184" s="287"/>
      <c r="D5184" s="627"/>
      <c r="G5184" s="627"/>
      <c r="J5184" s="287"/>
      <c r="K5184" s="630"/>
      <c r="L5184" s="630"/>
      <c r="M5184" s="287"/>
      <c r="N5184" s="631"/>
      <c r="O5184" s="628"/>
      <c r="R5184" s="633"/>
      <c r="S5184" s="287"/>
      <c r="U5184" s="287"/>
      <c r="V5184" s="287"/>
    </row>
    <row r="5185" spans="1:22" x14ac:dyDescent="0.25">
      <c r="A5185" s="287"/>
      <c r="B5185" s="626"/>
      <c r="C5185" s="287"/>
      <c r="D5185" s="627"/>
      <c r="G5185" s="627"/>
      <c r="J5185" s="287"/>
      <c r="K5185" s="630"/>
      <c r="L5185" s="630"/>
      <c r="M5185" s="287"/>
      <c r="N5185" s="631"/>
      <c r="O5185" s="628"/>
      <c r="R5185" s="633"/>
      <c r="S5185" s="287"/>
      <c r="U5185" s="287"/>
      <c r="V5185" s="287"/>
    </row>
    <row r="5186" spans="1:22" x14ac:dyDescent="0.25">
      <c r="A5186" s="287"/>
      <c r="B5186" s="626"/>
      <c r="C5186" s="287"/>
      <c r="D5186" s="627"/>
      <c r="G5186" s="627"/>
      <c r="J5186" s="287"/>
      <c r="K5186" s="630"/>
      <c r="L5186" s="630"/>
      <c r="M5186" s="287"/>
      <c r="N5186" s="631"/>
      <c r="O5186" s="628"/>
      <c r="R5186" s="633"/>
      <c r="S5186" s="287"/>
      <c r="U5186" s="287"/>
      <c r="V5186" s="287"/>
    </row>
    <row r="5187" spans="1:22" x14ac:dyDescent="0.25">
      <c r="A5187" s="287"/>
      <c r="B5187" s="626"/>
      <c r="C5187" s="287"/>
      <c r="D5187" s="627"/>
      <c r="G5187" s="627"/>
      <c r="J5187" s="287"/>
      <c r="K5187" s="630"/>
      <c r="L5187" s="630"/>
      <c r="M5187" s="287"/>
      <c r="N5187" s="631"/>
      <c r="O5187" s="628"/>
      <c r="R5187" s="633"/>
      <c r="S5187" s="287"/>
      <c r="U5187" s="287"/>
      <c r="V5187" s="287"/>
    </row>
    <row r="5188" spans="1:22" x14ac:dyDescent="0.25">
      <c r="A5188" s="287"/>
      <c r="B5188" s="626"/>
      <c r="C5188" s="287"/>
      <c r="D5188" s="627"/>
      <c r="G5188" s="627"/>
      <c r="J5188" s="287"/>
      <c r="K5188" s="630"/>
      <c r="L5188" s="630"/>
      <c r="M5188" s="287"/>
      <c r="N5188" s="631"/>
      <c r="O5188" s="628"/>
      <c r="R5188" s="633"/>
      <c r="S5188" s="287"/>
      <c r="U5188" s="287"/>
      <c r="V5188" s="287"/>
    </row>
    <row r="5189" spans="1:22" x14ac:dyDescent="0.25">
      <c r="A5189" s="287"/>
      <c r="B5189" s="626"/>
      <c r="C5189" s="287"/>
      <c r="D5189" s="627"/>
      <c r="G5189" s="627"/>
      <c r="J5189" s="287"/>
      <c r="K5189" s="630"/>
      <c r="L5189" s="630"/>
      <c r="M5189" s="287"/>
      <c r="N5189" s="631"/>
      <c r="O5189" s="628"/>
      <c r="R5189" s="633"/>
      <c r="S5189" s="287"/>
      <c r="U5189" s="287"/>
      <c r="V5189" s="287"/>
    </row>
    <row r="5190" spans="1:22" x14ac:dyDescent="0.25">
      <c r="A5190" s="287"/>
      <c r="B5190" s="626"/>
      <c r="C5190" s="287"/>
      <c r="D5190" s="627"/>
      <c r="G5190" s="627"/>
      <c r="J5190" s="287"/>
      <c r="K5190" s="630"/>
      <c r="L5190" s="630"/>
      <c r="M5190" s="287"/>
      <c r="N5190" s="631"/>
      <c r="O5190" s="628"/>
      <c r="R5190" s="633"/>
      <c r="S5190" s="287"/>
      <c r="U5190" s="287"/>
      <c r="V5190" s="287"/>
    </row>
    <row r="5191" spans="1:22" x14ac:dyDescent="0.25">
      <c r="A5191" s="287"/>
      <c r="B5191" s="626"/>
      <c r="C5191" s="287"/>
      <c r="D5191" s="627"/>
      <c r="G5191" s="627"/>
      <c r="J5191" s="287"/>
      <c r="K5191" s="630"/>
      <c r="L5191" s="630"/>
      <c r="M5191" s="287"/>
      <c r="N5191" s="631"/>
      <c r="O5191" s="628"/>
      <c r="R5191" s="633"/>
      <c r="S5191" s="287"/>
      <c r="U5191" s="287"/>
      <c r="V5191" s="287"/>
    </row>
    <row r="5192" spans="1:22" x14ac:dyDescent="0.25">
      <c r="A5192" s="287"/>
      <c r="B5192" s="626"/>
      <c r="C5192" s="287"/>
      <c r="D5192" s="627"/>
      <c r="G5192" s="627"/>
      <c r="J5192" s="287"/>
      <c r="K5192" s="630"/>
      <c r="L5192" s="630"/>
      <c r="M5192" s="287"/>
      <c r="N5192" s="631"/>
      <c r="O5192" s="628"/>
      <c r="R5192" s="633"/>
      <c r="S5192" s="287"/>
      <c r="U5192" s="287"/>
      <c r="V5192" s="287"/>
    </row>
    <row r="5193" spans="1:22" x14ac:dyDescent="0.25">
      <c r="A5193" s="287"/>
      <c r="B5193" s="626"/>
      <c r="C5193" s="287"/>
      <c r="D5193" s="627"/>
      <c r="G5193" s="627"/>
      <c r="J5193" s="287"/>
      <c r="K5193" s="630"/>
      <c r="L5193" s="630"/>
      <c r="M5193" s="287"/>
      <c r="N5193" s="631"/>
      <c r="O5193" s="628"/>
      <c r="R5193" s="633"/>
      <c r="S5193" s="287"/>
      <c r="U5193" s="287"/>
      <c r="V5193" s="287"/>
    </row>
    <row r="5194" spans="1:22" x14ac:dyDescent="0.25">
      <c r="A5194" s="287"/>
      <c r="B5194" s="626"/>
      <c r="C5194" s="287"/>
      <c r="D5194" s="627"/>
      <c r="G5194" s="627"/>
      <c r="J5194" s="287"/>
      <c r="K5194" s="630"/>
      <c r="L5194" s="630"/>
      <c r="M5194" s="287"/>
      <c r="N5194" s="631"/>
      <c r="O5194" s="628"/>
      <c r="R5194" s="633"/>
      <c r="S5194" s="287"/>
      <c r="U5194" s="287"/>
      <c r="V5194" s="287"/>
    </row>
    <row r="5195" spans="1:22" x14ac:dyDescent="0.25">
      <c r="A5195" s="287"/>
      <c r="B5195" s="626"/>
      <c r="C5195" s="287"/>
      <c r="D5195" s="627"/>
      <c r="G5195" s="627"/>
      <c r="J5195" s="287"/>
      <c r="K5195" s="630"/>
      <c r="L5195" s="630"/>
      <c r="M5195" s="287"/>
      <c r="N5195" s="631"/>
      <c r="O5195" s="628"/>
      <c r="R5195" s="633"/>
      <c r="S5195" s="287"/>
      <c r="U5195" s="287"/>
      <c r="V5195" s="287"/>
    </row>
    <row r="5196" spans="1:22" x14ac:dyDescent="0.25">
      <c r="A5196" s="287"/>
      <c r="B5196" s="626"/>
      <c r="C5196" s="287"/>
      <c r="D5196" s="627"/>
      <c r="G5196" s="627"/>
      <c r="J5196" s="287"/>
      <c r="K5196" s="630"/>
      <c r="L5196" s="630"/>
      <c r="M5196" s="287"/>
      <c r="N5196" s="631"/>
      <c r="O5196" s="628"/>
      <c r="R5196" s="633"/>
      <c r="S5196" s="287"/>
      <c r="U5196" s="287"/>
      <c r="V5196" s="287"/>
    </row>
    <row r="5197" spans="1:22" x14ac:dyDescent="0.25">
      <c r="A5197" s="287"/>
      <c r="B5197" s="626"/>
      <c r="C5197" s="287"/>
      <c r="D5197" s="627"/>
      <c r="G5197" s="627"/>
      <c r="J5197" s="287"/>
      <c r="K5197" s="630"/>
      <c r="L5197" s="630"/>
      <c r="M5197" s="287"/>
      <c r="N5197" s="631"/>
      <c r="O5197" s="628"/>
      <c r="R5197" s="633"/>
      <c r="S5197" s="287"/>
      <c r="U5197" s="287"/>
      <c r="V5197" s="287"/>
    </row>
    <row r="5198" spans="1:22" x14ac:dyDescent="0.25">
      <c r="A5198" s="287"/>
      <c r="B5198" s="626"/>
      <c r="C5198" s="287"/>
      <c r="D5198" s="627"/>
      <c r="G5198" s="627"/>
      <c r="J5198" s="287"/>
      <c r="K5198" s="630"/>
      <c r="L5198" s="630"/>
      <c r="M5198" s="287"/>
      <c r="N5198" s="631"/>
      <c r="O5198" s="628"/>
      <c r="R5198" s="633"/>
      <c r="S5198" s="287"/>
      <c r="U5198" s="287"/>
      <c r="V5198" s="287"/>
    </row>
    <row r="5199" spans="1:22" x14ac:dyDescent="0.25">
      <c r="A5199" s="287"/>
      <c r="B5199" s="626"/>
      <c r="C5199" s="287"/>
      <c r="D5199" s="627"/>
      <c r="G5199" s="627"/>
      <c r="J5199" s="287"/>
      <c r="K5199" s="630"/>
      <c r="L5199" s="630"/>
      <c r="M5199" s="287"/>
      <c r="N5199" s="631"/>
      <c r="O5199" s="628"/>
      <c r="R5199" s="633"/>
      <c r="S5199" s="287"/>
      <c r="U5199" s="287"/>
      <c r="V5199" s="287"/>
    </row>
    <row r="5200" spans="1:22" x14ac:dyDescent="0.25">
      <c r="A5200" s="287"/>
      <c r="B5200" s="626"/>
      <c r="C5200" s="287"/>
      <c r="D5200" s="627"/>
      <c r="G5200" s="627"/>
      <c r="J5200" s="287"/>
      <c r="K5200" s="630"/>
      <c r="L5200" s="630"/>
      <c r="M5200" s="287"/>
      <c r="N5200" s="631"/>
      <c r="O5200" s="628"/>
      <c r="R5200" s="633"/>
      <c r="S5200" s="287"/>
      <c r="U5200" s="287"/>
      <c r="V5200" s="287"/>
    </row>
    <row r="5201" spans="1:22" x14ac:dyDescent="0.25">
      <c r="A5201" s="287"/>
      <c r="B5201" s="626"/>
      <c r="C5201" s="287"/>
      <c r="D5201" s="627"/>
      <c r="G5201" s="627"/>
      <c r="J5201" s="287"/>
      <c r="K5201" s="630"/>
      <c r="L5201" s="630"/>
      <c r="M5201" s="287"/>
      <c r="N5201" s="631"/>
      <c r="O5201" s="628"/>
      <c r="R5201" s="633"/>
      <c r="S5201" s="287"/>
      <c r="U5201" s="287"/>
      <c r="V5201" s="287"/>
    </row>
    <row r="5202" spans="1:22" x14ac:dyDescent="0.25">
      <c r="A5202" s="287"/>
      <c r="B5202" s="626"/>
      <c r="C5202" s="287"/>
      <c r="D5202" s="627"/>
      <c r="G5202" s="627"/>
      <c r="J5202" s="287"/>
      <c r="K5202" s="630"/>
      <c r="L5202" s="630"/>
      <c r="M5202" s="287"/>
      <c r="N5202" s="631"/>
      <c r="O5202" s="628"/>
      <c r="R5202" s="633"/>
      <c r="S5202" s="287"/>
      <c r="U5202" s="287"/>
      <c r="V5202" s="287"/>
    </row>
    <row r="5203" spans="1:22" x14ac:dyDescent="0.25">
      <c r="A5203" s="287"/>
      <c r="B5203" s="626"/>
      <c r="C5203" s="287"/>
      <c r="D5203" s="627"/>
      <c r="G5203" s="627"/>
      <c r="J5203" s="287"/>
      <c r="K5203" s="630"/>
      <c r="L5203" s="630"/>
      <c r="M5203" s="287"/>
      <c r="N5203" s="631"/>
      <c r="O5203" s="628"/>
      <c r="R5203" s="633"/>
      <c r="S5203" s="287"/>
      <c r="U5203" s="287"/>
      <c r="V5203" s="287"/>
    </row>
    <row r="5204" spans="1:22" x14ac:dyDescent="0.25">
      <c r="A5204" s="287"/>
      <c r="B5204" s="626"/>
      <c r="C5204" s="287"/>
      <c r="D5204" s="627"/>
      <c r="G5204" s="627"/>
      <c r="J5204" s="287"/>
      <c r="K5204" s="630"/>
      <c r="L5204" s="630"/>
      <c r="M5204" s="287"/>
      <c r="N5204" s="631"/>
      <c r="O5204" s="628"/>
      <c r="R5204" s="633"/>
      <c r="S5204" s="287"/>
      <c r="U5204" s="287"/>
      <c r="V5204" s="287"/>
    </row>
    <row r="5205" spans="1:22" x14ac:dyDescent="0.25">
      <c r="A5205" s="287"/>
      <c r="B5205" s="626"/>
      <c r="C5205" s="287"/>
      <c r="D5205" s="627"/>
      <c r="G5205" s="627"/>
      <c r="J5205" s="287"/>
      <c r="K5205" s="630"/>
      <c r="L5205" s="630"/>
      <c r="M5205" s="287"/>
      <c r="N5205" s="631"/>
      <c r="O5205" s="628"/>
      <c r="R5205" s="633"/>
      <c r="S5205" s="287"/>
      <c r="U5205" s="287"/>
      <c r="V5205" s="287"/>
    </row>
    <row r="5206" spans="1:22" x14ac:dyDescent="0.25">
      <c r="A5206" s="287"/>
      <c r="B5206" s="626"/>
      <c r="C5206" s="287"/>
      <c r="D5206" s="627"/>
      <c r="G5206" s="627"/>
      <c r="J5206" s="287"/>
      <c r="K5206" s="630"/>
      <c r="L5206" s="630"/>
      <c r="M5206" s="287"/>
      <c r="N5206" s="631"/>
      <c r="O5206" s="628"/>
      <c r="R5206" s="633"/>
      <c r="S5206" s="287"/>
      <c r="U5206" s="287"/>
      <c r="V5206" s="287"/>
    </row>
    <row r="5207" spans="1:22" x14ac:dyDescent="0.25">
      <c r="A5207" s="287"/>
      <c r="B5207" s="626"/>
      <c r="C5207" s="287"/>
      <c r="D5207" s="627"/>
      <c r="G5207" s="627"/>
      <c r="J5207" s="287"/>
      <c r="K5207" s="630"/>
      <c r="L5207" s="630"/>
      <c r="M5207" s="287"/>
      <c r="N5207" s="631"/>
      <c r="O5207" s="628"/>
      <c r="R5207" s="633"/>
      <c r="S5207" s="287"/>
      <c r="U5207" s="287"/>
      <c r="V5207" s="287"/>
    </row>
    <row r="5208" spans="1:22" x14ac:dyDescent="0.25">
      <c r="A5208" s="287"/>
      <c r="B5208" s="626"/>
      <c r="C5208" s="287"/>
      <c r="D5208" s="627"/>
      <c r="G5208" s="627"/>
      <c r="J5208" s="287"/>
      <c r="K5208" s="630"/>
      <c r="L5208" s="630"/>
      <c r="M5208" s="287"/>
      <c r="N5208" s="631"/>
      <c r="O5208" s="628"/>
      <c r="R5208" s="633"/>
      <c r="S5208" s="287"/>
      <c r="U5208" s="287"/>
      <c r="V5208" s="287"/>
    </row>
    <row r="5209" spans="1:22" x14ac:dyDescent="0.25">
      <c r="A5209" s="287"/>
      <c r="B5209" s="626"/>
      <c r="C5209" s="287"/>
      <c r="D5209" s="627"/>
      <c r="G5209" s="627"/>
      <c r="J5209" s="287"/>
      <c r="K5209" s="630"/>
      <c r="L5209" s="630"/>
      <c r="M5209" s="287"/>
      <c r="N5209" s="631"/>
      <c r="O5209" s="628"/>
      <c r="R5209" s="633"/>
      <c r="S5209" s="287"/>
      <c r="U5209" s="287"/>
      <c r="V5209" s="287"/>
    </row>
    <row r="5210" spans="1:22" x14ac:dyDescent="0.25">
      <c r="A5210" s="287"/>
      <c r="B5210" s="626"/>
      <c r="C5210" s="287"/>
      <c r="D5210" s="627"/>
      <c r="G5210" s="627"/>
      <c r="J5210" s="287"/>
      <c r="K5210" s="630"/>
      <c r="L5210" s="630"/>
      <c r="M5210" s="287"/>
      <c r="N5210" s="631"/>
      <c r="O5210" s="628"/>
      <c r="R5210" s="633"/>
      <c r="S5210" s="287"/>
      <c r="U5210" s="287"/>
      <c r="V5210" s="287"/>
    </row>
    <row r="5211" spans="1:22" x14ac:dyDescent="0.25">
      <c r="A5211" s="287"/>
      <c r="B5211" s="626"/>
      <c r="C5211" s="287"/>
      <c r="D5211" s="627"/>
      <c r="G5211" s="627"/>
      <c r="J5211" s="287"/>
      <c r="K5211" s="630"/>
      <c r="L5211" s="630"/>
      <c r="M5211" s="287"/>
      <c r="N5211" s="631"/>
      <c r="O5211" s="628"/>
      <c r="R5211" s="633"/>
      <c r="S5211" s="287"/>
      <c r="U5211" s="287"/>
      <c r="V5211" s="287"/>
    </row>
    <row r="5212" spans="1:22" x14ac:dyDescent="0.25">
      <c r="A5212" s="287"/>
      <c r="B5212" s="626"/>
      <c r="C5212" s="287"/>
      <c r="D5212" s="627"/>
      <c r="G5212" s="627"/>
      <c r="J5212" s="287"/>
      <c r="K5212" s="630"/>
      <c r="L5212" s="630"/>
      <c r="M5212" s="287"/>
      <c r="N5212" s="631"/>
      <c r="O5212" s="628"/>
      <c r="R5212" s="633"/>
      <c r="S5212" s="287"/>
      <c r="U5212" s="287"/>
      <c r="V5212" s="287"/>
    </row>
    <row r="5213" spans="1:22" x14ac:dyDescent="0.25">
      <c r="A5213" s="287"/>
      <c r="B5213" s="626"/>
      <c r="C5213" s="287"/>
      <c r="D5213" s="627"/>
      <c r="G5213" s="627"/>
      <c r="J5213" s="287"/>
      <c r="K5213" s="630"/>
      <c r="L5213" s="630"/>
      <c r="M5213" s="287"/>
      <c r="N5213" s="631"/>
      <c r="O5213" s="628"/>
      <c r="R5213" s="633"/>
      <c r="S5213" s="287"/>
      <c r="U5213" s="287"/>
      <c r="V5213" s="287"/>
    </row>
    <row r="5214" spans="1:22" x14ac:dyDescent="0.25">
      <c r="A5214" s="287"/>
      <c r="B5214" s="626"/>
      <c r="C5214" s="287"/>
      <c r="D5214" s="627"/>
      <c r="G5214" s="627"/>
      <c r="J5214" s="287"/>
      <c r="K5214" s="630"/>
      <c r="L5214" s="630"/>
      <c r="M5214" s="287"/>
      <c r="N5214" s="631"/>
      <c r="O5214" s="628"/>
      <c r="R5214" s="633"/>
      <c r="S5214" s="287"/>
      <c r="U5214" s="287"/>
      <c r="V5214" s="287"/>
    </row>
    <row r="5215" spans="1:22" x14ac:dyDescent="0.25">
      <c r="A5215" s="287"/>
      <c r="B5215" s="626"/>
      <c r="C5215" s="287"/>
      <c r="D5215" s="627"/>
      <c r="G5215" s="627"/>
      <c r="J5215" s="287"/>
      <c r="K5215" s="630"/>
      <c r="L5215" s="630"/>
      <c r="M5215" s="287"/>
      <c r="N5215" s="631"/>
      <c r="O5215" s="628"/>
      <c r="R5215" s="633"/>
      <c r="S5215" s="287"/>
      <c r="U5215" s="287"/>
      <c r="V5215" s="287"/>
    </row>
    <row r="5216" spans="1:22" x14ac:dyDescent="0.25">
      <c r="A5216" s="287"/>
      <c r="B5216" s="626"/>
      <c r="C5216" s="287"/>
      <c r="D5216" s="627"/>
      <c r="G5216" s="627"/>
      <c r="J5216" s="287"/>
      <c r="K5216" s="630"/>
      <c r="L5216" s="630"/>
      <c r="M5216" s="287"/>
      <c r="N5216" s="631"/>
      <c r="O5216" s="628"/>
      <c r="R5216" s="633"/>
      <c r="S5216" s="287"/>
      <c r="U5216" s="287"/>
      <c r="V5216" s="287"/>
    </row>
    <row r="5217" spans="1:22" x14ac:dyDescent="0.25">
      <c r="A5217" s="287"/>
      <c r="B5217" s="626"/>
      <c r="C5217" s="287"/>
      <c r="D5217" s="627"/>
      <c r="G5217" s="627"/>
      <c r="J5217" s="287"/>
      <c r="K5217" s="630"/>
      <c r="L5217" s="630"/>
      <c r="M5217" s="287"/>
      <c r="N5217" s="631"/>
      <c r="O5217" s="628"/>
      <c r="R5217" s="633"/>
      <c r="S5217" s="287"/>
      <c r="U5217" s="287"/>
      <c r="V5217" s="287"/>
    </row>
    <row r="5218" spans="1:22" x14ac:dyDescent="0.25">
      <c r="A5218" s="287"/>
      <c r="B5218" s="626"/>
      <c r="C5218" s="287"/>
      <c r="D5218" s="627"/>
      <c r="G5218" s="627"/>
      <c r="J5218" s="287"/>
      <c r="K5218" s="630"/>
      <c r="L5218" s="630"/>
      <c r="M5218" s="287"/>
      <c r="N5218" s="631"/>
      <c r="O5218" s="628"/>
      <c r="R5218" s="633"/>
      <c r="S5218" s="287"/>
      <c r="U5218" s="287"/>
      <c r="V5218" s="287"/>
    </row>
    <row r="5219" spans="1:22" x14ac:dyDescent="0.25">
      <c r="A5219" s="287"/>
      <c r="B5219" s="626"/>
      <c r="C5219" s="287"/>
      <c r="D5219" s="627"/>
      <c r="G5219" s="627"/>
      <c r="J5219" s="287"/>
      <c r="K5219" s="630"/>
      <c r="L5219" s="630"/>
      <c r="M5219" s="287"/>
      <c r="N5219" s="631"/>
      <c r="O5219" s="628"/>
      <c r="R5219" s="633"/>
      <c r="S5219" s="287"/>
      <c r="U5219" s="287"/>
      <c r="V5219" s="287"/>
    </row>
    <row r="5220" spans="1:22" x14ac:dyDescent="0.25">
      <c r="A5220" s="287"/>
      <c r="B5220" s="626"/>
      <c r="C5220" s="287"/>
      <c r="D5220" s="627"/>
      <c r="G5220" s="627"/>
      <c r="J5220" s="287"/>
      <c r="K5220" s="630"/>
      <c r="L5220" s="630"/>
      <c r="M5220" s="287"/>
      <c r="N5220" s="631"/>
      <c r="O5220" s="628"/>
      <c r="R5220" s="633"/>
      <c r="S5220" s="287"/>
      <c r="U5220" s="287"/>
      <c r="V5220" s="287"/>
    </row>
    <row r="5221" spans="1:22" x14ac:dyDescent="0.25">
      <c r="A5221" s="287"/>
      <c r="B5221" s="626"/>
      <c r="C5221" s="287"/>
      <c r="D5221" s="627"/>
      <c r="G5221" s="627"/>
      <c r="J5221" s="287"/>
      <c r="K5221" s="630"/>
      <c r="L5221" s="630"/>
      <c r="M5221" s="287"/>
      <c r="N5221" s="631"/>
      <c r="O5221" s="628"/>
      <c r="R5221" s="633"/>
      <c r="S5221" s="287"/>
      <c r="U5221" s="287"/>
      <c r="V5221" s="287"/>
    </row>
    <row r="5222" spans="1:22" x14ac:dyDescent="0.25">
      <c r="A5222" s="287"/>
      <c r="B5222" s="626"/>
      <c r="C5222" s="287"/>
      <c r="D5222" s="627"/>
      <c r="G5222" s="627"/>
      <c r="J5222" s="287"/>
      <c r="K5222" s="630"/>
      <c r="L5222" s="630"/>
      <c r="M5222" s="287"/>
      <c r="N5222" s="631"/>
      <c r="O5222" s="628"/>
      <c r="R5222" s="633"/>
      <c r="S5222" s="287"/>
      <c r="U5222" s="287"/>
      <c r="V5222" s="287"/>
    </row>
    <row r="5223" spans="1:22" x14ac:dyDescent="0.25">
      <c r="A5223" s="287"/>
      <c r="B5223" s="626"/>
      <c r="C5223" s="287"/>
      <c r="D5223" s="627"/>
      <c r="G5223" s="627"/>
      <c r="J5223" s="287"/>
      <c r="K5223" s="630"/>
      <c r="L5223" s="630"/>
      <c r="M5223" s="287"/>
      <c r="N5223" s="631"/>
      <c r="O5223" s="628"/>
      <c r="R5223" s="633"/>
      <c r="S5223" s="287"/>
      <c r="U5223" s="287"/>
      <c r="V5223" s="287"/>
    </row>
    <row r="5224" spans="1:22" x14ac:dyDescent="0.25">
      <c r="A5224" s="287"/>
      <c r="B5224" s="626"/>
      <c r="C5224" s="287"/>
      <c r="D5224" s="627"/>
      <c r="G5224" s="627"/>
      <c r="J5224" s="287"/>
      <c r="K5224" s="630"/>
      <c r="L5224" s="630"/>
      <c r="M5224" s="287"/>
      <c r="N5224" s="631"/>
      <c r="O5224" s="628"/>
      <c r="R5224" s="633"/>
      <c r="S5224" s="287"/>
      <c r="U5224" s="287"/>
      <c r="V5224" s="287"/>
    </row>
    <row r="5225" spans="1:22" x14ac:dyDescent="0.25">
      <c r="A5225" s="287"/>
      <c r="B5225" s="626"/>
      <c r="C5225" s="287"/>
      <c r="D5225" s="627"/>
      <c r="G5225" s="627"/>
      <c r="J5225" s="287"/>
      <c r="K5225" s="630"/>
      <c r="L5225" s="630"/>
      <c r="M5225" s="287"/>
      <c r="N5225" s="631"/>
      <c r="O5225" s="628"/>
      <c r="R5225" s="633"/>
      <c r="S5225" s="287"/>
      <c r="U5225" s="287"/>
      <c r="V5225" s="287"/>
    </row>
    <row r="5226" spans="1:22" x14ac:dyDescent="0.25">
      <c r="A5226" s="287"/>
      <c r="B5226" s="626"/>
      <c r="C5226" s="287"/>
      <c r="D5226" s="627"/>
      <c r="G5226" s="627"/>
      <c r="J5226" s="287"/>
      <c r="K5226" s="630"/>
      <c r="L5226" s="630"/>
      <c r="M5226" s="287"/>
      <c r="N5226" s="631"/>
      <c r="O5226" s="628"/>
      <c r="R5226" s="633"/>
      <c r="S5226" s="287"/>
      <c r="U5226" s="287"/>
      <c r="V5226" s="287"/>
    </row>
    <row r="5227" spans="1:22" x14ac:dyDescent="0.25">
      <c r="A5227" s="287"/>
      <c r="B5227" s="626"/>
      <c r="C5227" s="287"/>
      <c r="D5227" s="627"/>
      <c r="G5227" s="627"/>
      <c r="J5227" s="287"/>
      <c r="K5227" s="630"/>
      <c r="L5227" s="630"/>
      <c r="M5227" s="287"/>
      <c r="N5227" s="631"/>
      <c r="O5227" s="628"/>
      <c r="R5227" s="633"/>
      <c r="S5227" s="287"/>
      <c r="U5227" s="287"/>
      <c r="V5227" s="287"/>
    </row>
    <row r="5228" spans="1:22" x14ac:dyDescent="0.25">
      <c r="A5228" s="287"/>
      <c r="B5228" s="626"/>
      <c r="C5228" s="287"/>
      <c r="D5228" s="627"/>
      <c r="G5228" s="627"/>
      <c r="J5228" s="287"/>
      <c r="K5228" s="630"/>
      <c r="L5228" s="630"/>
      <c r="M5228" s="287"/>
      <c r="N5228" s="631"/>
      <c r="O5228" s="628"/>
      <c r="R5228" s="633"/>
      <c r="S5228" s="287"/>
      <c r="U5228" s="287"/>
      <c r="V5228" s="287"/>
    </row>
    <row r="5229" spans="1:22" x14ac:dyDescent="0.25">
      <c r="A5229" s="287"/>
      <c r="B5229" s="626"/>
      <c r="C5229" s="287"/>
      <c r="D5229" s="627"/>
      <c r="G5229" s="627"/>
      <c r="J5229" s="287"/>
      <c r="K5229" s="630"/>
      <c r="L5229" s="630"/>
      <c r="M5229" s="287"/>
      <c r="N5229" s="631"/>
      <c r="O5229" s="628"/>
      <c r="R5229" s="633"/>
      <c r="S5229" s="287"/>
      <c r="U5229" s="287"/>
      <c r="V5229" s="287"/>
    </row>
    <row r="5230" spans="1:22" x14ac:dyDescent="0.25">
      <c r="A5230" s="287"/>
      <c r="B5230" s="626"/>
      <c r="C5230" s="287"/>
      <c r="D5230" s="627"/>
      <c r="G5230" s="627"/>
      <c r="J5230" s="287"/>
      <c r="K5230" s="630"/>
      <c r="L5230" s="630"/>
      <c r="M5230" s="287"/>
      <c r="N5230" s="631"/>
      <c r="O5230" s="628"/>
      <c r="R5230" s="633"/>
      <c r="S5230" s="287"/>
      <c r="U5230" s="287"/>
      <c r="V5230" s="287"/>
    </row>
    <row r="5231" spans="1:22" x14ac:dyDescent="0.25">
      <c r="A5231" s="287"/>
      <c r="B5231" s="626"/>
      <c r="C5231" s="287"/>
      <c r="D5231" s="627"/>
      <c r="G5231" s="627"/>
      <c r="J5231" s="287"/>
      <c r="K5231" s="630"/>
      <c r="L5231" s="630"/>
      <c r="M5231" s="287"/>
      <c r="N5231" s="631"/>
      <c r="O5231" s="628"/>
      <c r="R5231" s="633"/>
      <c r="S5231" s="287"/>
      <c r="U5231" s="287"/>
      <c r="V5231" s="287"/>
    </row>
    <row r="5232" spans="1:22" x14ac:dyDescent="0.25">
      <c r="A5232" s="287"/>
      <c r="B5232" s="626"/>
      <c r="C5232" s="287"/>
      <c r="D5232" s="627"/>
      <c r="G5232" s="627"/>
      <c r="J5232" s="287"/>
      <c r="K5232" s="630"/>
      <c r="L5232" s="630"/>
      <c r="M5232" s="287"/>
      <c r="N5232" s="631"/>
      <c r="O5232" s="628"/>
      <c r="R5232" s="633"/>
      <c r="S5232" s="287"/>
      <c r="U5232" s="287"/>
      <c r="V5232" s="287"/>
    </row>
    <row r="5233" spans="1:22" x14ac:dyDescent="0.25">
      <c r="A5233" s="287"/>
      <c r="B5233" s="626"/>
      <c r="C5233" s="287"/>
      <c r="D5233" s="627"/>
      <c r="G5233" s="627"/>
      <c r="J5233" s="287"/>
      <c r="K5233" s="630"/>
      <c r="L5233" s="630"/>
      <c r="M5233" s="287"/>
      <c r="N5233" s="631"/>
      <c r="O5233" s="628"/>
      <c r="R5233" s="633"/>
      <c r="S5233" s="287"/>
      <c r="U5233" s="287"/>
      <c r="V5233" s="287"/>
    </row>
    <row r="5234" spans="1:22" x14ac:dyDescent="0.25">
      <c r="A5234" s="287"/>
      <c r="B5234" s="626"/>
      <c r="C5234" s="287"/>
      <c r="D5234" s="627"/>
      <c r="G5234" s="627"/>
      <c r="J5234" s="287"/>
      <c r="K5234" s="630"/>
      <c r="L5234" s="630"/>
      <c r="M5234" s="287"/>
      <c r="N5234" s="631"/>
      <c r="O5234" s="628"/>
      <c r="R5234" s="633"/>
      <c r="S5234" s="287"/>
      <c r="U5234" s="287"/>
      <c r="V5234" s="287"/>
    </row>
    <row r="5235" spans="1:22" x14ac:dyDescent="0.25">
      <c r="A5235" s="287"/>
      <c r="B5235" s="626"/>
      <c r="C5235" s="287"/>
      <c r="D5235" s="627"/>
      <c r="G5235" s="627"/>
      <c r="J5235" s="287"/>
      <c r="K5235" s="630"/>
      <c r="L5235" s="630"/>
      <c r="M5235" s="287"/>
      <c r="N5235" s="631"/>
      <c r="O5235" s="628"/>
      <c r="R5235" s="633"/>
      <c r="S5235" s="287"/>
      <c r="U5235" s="287"/>
      <c r="V5235" s="287"/>
    </row>
    <row r="5236" spans="1:22" x14ac:dyDescent="0.25">
      <c r="A5236" s="287"/>
      <c r="B5236" s="626"/>
      <c r="C5236" s="287"/>
      <c r="D5236" s="627"/>
      <c r="G5236" s="627"/>
      <c r="J5236" s="287"/>
      <c r="K5236" s="630"/>
      <c r="L5236" s="630"/>
      <c r="M5236" s="287"/>
      <c r="N5236" s="631"/>
      <c r="O5236" s="628"/>
      <c r="R5236" s="633"/>
      <c r="S5236" s="287"/>
      <c r="U5236" s="287"/>
      <c r="V5236" s="287"/>
    </row>
    <row r="5237" spans="1:22" x14ac:dyDescent="0.25">
      <c r="A5237" s="287"/>
      <c r="B5237" s="626"/>
      <c r="C5237" s="287"/>
      <c r="D5237" s="627"/>
      <c r="G5237" s="627"/>
      <c r="J5237" s="287"/>
      <c r="K5237" s="630"/>
      <c r="L5237" s="630"/>
      <c r="M5237" s="287"/>
      <c r="N5237" s="631"/>
      <c r="O5237" s="628"/>
      <c r="R5237" s="633"/>
      <c r="S5237" s="287"/>
      <c r="U5237" s="287"/>
      <c r="V5237" s="287"/>
    </row>
    <row r="5238" spans="1:22" x14ac:dyDescent="0.25">
      <c r="A5238" s="287"/>
      <c r="B5238" s="626"/>
      <c r="C5238" s="287"/>
      <c r="D5238" s="627"/>
      <c r="G5238" s="627"/>
      <c r="J5238" s="287"/>
      <c r="K5238" s="630"/>
      <c r="L5238" s="630"/>
      <c r="M5238" s="287"/>
      <c r="N5238" s="631"/>
      <c r="O5238" s="628"/>
      <c r="R5238" s="633"/>
      <c r="S5238" s="287"/>
      <c r="U5238" s="287"/>
      <c r="V5238" s="287"/>
    </row>
    <row r="5239" spans="1:22" x14ac:dyDescent="0.25">
      <c r="A5239" s="287"/>
      <c r="B5239" s="626"/>
      <c r="C5239" s="287"/>
      <c r="D5239" s="627"/>
      <c r="G5239" s="627"/>
      <c r="J5239" s="287"/>
      <c r="K5239" s="630"/>
      <c r="L5239" s="630"/>
      <c r="M5239" s="287"/>
      <c r="N5239" s="631"/>
      <c r="O5239" s="628"/>
      <c r="R5239" s="633"/>
      <c r="S5239" s="287"/>
      <c r="U5239" s="287"/>
      <c r="V5239" s="287"/>
    </row>
    <row r="5240" spans="1:22" x14ac:dyDescent="0.25">
      <c r="A5240" s="287"/>
      <c r="B5240" s="626"/>
      <c r="C5240" s="287"/>
      <c r="D5240" s="627"/>
      <c r="G5240" s="627"/>
      <c r="J5240" s="287"/>
      <c r="K5240" s="630"/>
      <c r="L5240" s="630"/>
      <c r="M5240" s="287"/>
      <c r="N5240" s="631"/>
      <c r="O5240" s="628"/>
      <c r="R5240" s="633"/>
      <c r="S5240" s="287"/>
      <c r="U5240" s="287"/>
      <c r="V5240" s="287"/>
    </row>
    <row r="5241" spans="1:22" x14ac:dyDescent="0.25">
      <c r="A5241" s="287"/>
      <c r="B5241" s="626"/>
      <c r="C5241" s="287"/>
      <c r="D5241" s="627"/>
      <c r="G5241" s="627"/>
      <c r="J5241" s="287"/>
      <c r="K5241" s="630"/>
      <c r="L5241" s="630"/>
      <c r="M5241" s="287"/>
      <c r="N5241" s="631"/>
      <c r="O5241" s="628"/>
      <c r="R5241" s="633"/>
      <c r="S5241" s="287"/>
      <c r="U5241" s="287"/>
      <c r="V5241" s="287"/>
    </row>
    <row r="5242" spans="1:22" x14ac:dyDescent="0.25">
      <c r="A5242" s="287"/>
      <c r="B5242" s="626"/>
      <c r="C5242" s="287"/>
      <c r="D5242" s="627"/>
      <c r="G5242" s="627"/>
      <c r="J5242" s="287"/>
      <c r="K5242" s="630"/>
      <c r="L5242" s="630"/>
      <c r="M5242" s="287"/>
      <c r="N5242" s="631"/>
      <c r="O5242" s="628"/>
      <c r="R5242" s="633"/>
      <c r="S5242" s="287"/>
      <c r="U5242" s="287"/>
      <c r="V5242" s="287"/>
    </row>
    <row r="5243" spans="1:22" x14ac:dyDescent="0.25">
      <c r="A5243" s="287"/>
      <c r="B5243" s="626"/>
      <c r="C5243" s="287"/>
      <c r="D5243" s="627"/>
      <c r="G5243" s="627"/>
      <c r="J5243" s="287"/>
      <c r="K5243" s="630"/>
      <c r="L5243" s="630"/>
      <c r="M5243" s="287"/>
      <c r="N5243" s="631"/>
      <c r="O5243" s="628"/>
      <c r="R5243" s="633"/>
      <c r="S5243" s="287"/>
      <c r="U5243" s="287"/>
      <c r="V5243" s="287"/>
    </row>
    <row r="5244" spans="1:22" x14ac:dyDescent="0.25">
      <c r="A5244" s="287"/>
      <c r="B5244" s="626"/>
      <c r="C5244" s="287"/>
      <c r="D5244" s="627"/>
      <c r="G5244" s="627"/>
      <c r="J5244" s="287"/>
      <c r="K5244" s="630"/>
      <c r="L5244" s="630"/>
      <c r="M5244" s="287"/>
      <c r="N5244" s="631"/>
      <c r="O5244" s="628"/>
      <c r="R5244" s="633"/>
      <c r="S5244" s="287"/>
      <c r="U5244" s="287"/>
      <c r="V5244" s="287"/>
    </row>
    <row r="5245" spans="1:22" x14ac:dyDescent="0.25">
      <c r="A5245" s="287"/>
      <c r="B5245" s="626"/>
      <c r="C5245" s="287"/>
      <c r="D5245" s="627"/>
      <c r="G5245" s="627"/>
      <c r="J5245" s="287"/>
      <c r="K5245" s="630"/>
      <c r="L5245" s="630"/>
      <c r="M5245" s="287"/>
      <c r="N5245" s="631"/>
      <c r="O5245" s="628"/>
      <c r="R5245" s="633"/>
      <c r="S5245" s="287"/>
      <c r="U5245" s="287"/>
      <c r="V5245" s="287"/>
    </row>
    <row r="5246" spans="1:22" x14ac:dyDescent="0.25">
      <c r="A5246" s="287"/>
      <c r="B5246" s="626"/>
      <c r="C5246" s="287"/>
      <c r="D5246" s="627"/>
      <c r="G5246" s="627"/>
      <c r="J5246" s="287"/>
      <c r="K5246" s="630"/>
      <c r="L5246" s="630"/>
      <c r="M5246" s="287"/>
      <c r="N5246" s="631"/>
      <c r="O5246" s="628"/>
      <c r="R5246" s="633"/>
      <c r="S5246" s="287"/>
      <c r="U5246" s="287"/>
      <c r="V5246" s="287"/>
    </row>
    <row r="5247" spans="1:22" x14ac:dyDescent="0.25">
      <c r="A5247" s="287"/>
      <c r="B5247" s="626"/>
      <c r="C5247" s="287"/>
      <c r="D5247" s="627"/>
      <c r="G5247" s="627"/>
      <c r="J5247" s="287"/>
      <c r="K5247" s="630"/>
      <c r="L5247" s="630"/>
      <c r="M5247" s="287"/>
      <c r="N5247" s="631"/>
      <c r="O5247" s="628"/>
      <c r="R5247" s="633"/>
      <c r="S5247" s="287"/>
      <c r="U5247" s="287"/>
      <c r="V5247" s="287"/>
    </row>
    <row r="5248" spans="1:22" x14ac:dyDescent="0.25">
      <c r="A5248" s="287"/>
      <c r="B5248" s="626"/>
      <c r="C5248" s="287"/>
      <c r="D5248" s="627"/>
      <c r="G5248" s="627"/>
      <c r="J5248" s="287"/>
      <c r="K5248" s="630"/>
      <c r="L5248" s="630"/>
      <c r="M5248" s="287"/>
      <c r="N5248" s="631"/>
      <c r="O5248" s="628"/>
      <c r="R5248" s="633"/>
      <c r="S5248" s="287"/>
      <c r="U5248" s="287"/>
      <c r="V5248" s="287"/>
    </row>
    <row r="5249" spans="1:22" x14ac:dyDescent="0.25">
      <c r="A5249" s="287"/>
      <c r="B5249" s="626"/>
      <c r="C5249" s="287"/>
      <c r="D5249" s="627"/>
      <c r="G5249" s="627"/>
      <c r="J5249" s="287"/>
      <c r="K5249" s="630"/>
      <c r="L5249" s="630"/>
      <c r="M5249" s="287"/>
      <c r="N5249" s="631"/>
      <c r="O5249" s="628"/>
      <c r="R5249" s="633"/>
      <c r="S5249" s="287"/>
      <c r="U5249" s="287"/>
      <c r="V5249" s="287"/>
    </row>
    <row r="5250" spans="1:22" x14ac:dyDescent="0.25">
      <c r="A5250" s="287"/>
      <c r="B5250" s="626"/>
      <c r="C5250" s="287"/>
      <c r="D5250" s="627"/>
      <c r="G5250" s="627"/>
      <c r="J5250" s="287"/>
      <c r="K5250" s="630"/>
      <c r="L5250" s="630"/>
      <c r="M5250" s="287"/>
      <c r="N5250" s="631"/>
      <c r="O5250" s="628"/>
      <c r="R5250" s="633"/>
      <c r="S5250" s="287"/>
      <c r="U5250" s="287"/>
      <c r="V5250" s="287"/>
    </row>
    <row r="5251" spans="1:22" x14ac:dyDescent="0.25">
      <c r="A5251" s="287"/>
      <c r="B5251" s="626"/>
      <c r="C5251" s="287"/>
      <c r="D5251" s="627"/>
      <c r="G5251" s="627"/>
      <c r="J5251" s="287"/>
      <c r="K5251" s="630"/>
      <c r="L5251" s="630"/>
      <c r="M5251" s="287"/>
      <c r="N5251" s="631"/>
      <c r="O5251" s="628"/>
      <c r="R5251" s="633"/>
      <c r="S5251" s="287"/>
      <c r="U5251" s="287"/>
      <c r="V5251" s="287"/>
    </row>
    <row r="5252" spans="1:22" x14ac:dyDescent="0.25">
      <c r="A5252" s="287"/>
      <c r="B5252" s="626"/>
      <c r="C5252" s="287"/>
      <c r="D5252" s="627"/>
      <c r="G5252" s="627"/>
      <c r="J5252" s="287"/>
      <c r="K5252" s="630"/>
      <c r="L5252" s="630"/>
      <c r="M5252" s="287"/>
      <c r="N5252" s="631"/>
      <c r="O5252" s="628"/>
      <c r="R5252" s="633"/>
      <c r="S5252" s="287"/>
      <c r="U5252" s="287"/>
      <c r="V5252" s="287"/>
    </row>
    <row r="5253" spans="1:22" x14ac:dyDescent="0.25">
      <c r="A5253" s="287"/>
      <c r="B5253" s="626"/>
      <c r="C5253" s="287"/>
      <c r="D5253" s="627"/>
      <c r="G5253" s="627"/>
      <c r="J5253" s="287"/>
      <c r="K5253" s="630"/>
      <c r="L5253" s="630"/>
      <c r="M5253" s="287"/>
      <c r="N5253" s="631"/>
      <c r="O5253" s="628"/>
      <c r="R5253" s="633"/>
      <c r="S5253" s="287"/>
      <c r="U5253" s="287"/>
      <c r="V5253" s="287"/>
    </row>
    <row r="5254" spans="1:22" x14ac:dyDescent="0.25">
      <c r="A5254" s="287"/>
      <c r="B5254" s="626"/>
      <c r="C5254" s="287"/>
      <c r="D5254" s="627"/>
      <c r="G5254" s="627"/>
      <c r="J5254" s="287"/>
      <c r="K5254" s="630"/>
      <c r="L5254" s="630"/>
      <c r="M5254" s="287"/>
      <c r="N5254" s="631"/>
      <c r="O5254" s="628"/>
      <c r="R5254" s="633"/>
      <c r="S5254" s="287"/>
      <c r="U5254" s="287"/>
      <c r="V5254" s="287"/>
    </row>
    <row r="5255" spans="1:22" x14ac:dyDescent="0.25">
      <c r="A5255" s="287"/>
      <c r="B5255" s="626"/>
      <c r="C5255" s="287"/>
      <c r="D5255" s="627"/>
      <c r="G5255" s="627"/>
      <c r="J5255" s="287"/>
      <c r="K5255" s="630"/>
      <c r="L5255" s="630"/>
      <c r="M5255" s="287"/>
      <c r="N5255" s="631"/>
      <c r="O5255" s="628"/>
      <c r="R5255" s="633"/>
      <c r="S5255" s="287"/>
      <c r="U5255" s="287"/>
      <c r="V5255" s="287"/>
    </row>
    <row r="5256" spans="1:22" x14ac:dyDescent="0.25">
      <c r="A5256" s="287"/>
      <c r="B5256" s="626"/>
      <c r="C5256" s="287"/>
      <c r="D5256" s="627"/>
      <c r="G5256" s="627"/>
      <c r="J5256" s="287"/>
      <c r="K5256" s="630"/>
      <c r="L5256" s="630"/>
      <c r="M5256" s="287"/>
      <c r="N5256" s="631"/>
      <c r="O5256" s="628"/>
      <c r="R5256" s="633"/>
      <c r="S5256" s="287"/>
      <c r="U5256" s="287"/>
      <c r="V5256" s="287"/>
    </row>
    <row r="5257" spans="1:22" x14ac:dyDescent="0.25">
      <c r="A5257" s="287"/>
      <c r="B5257" s="626"/>
      <c r="C5257" s="287"/>
      <c r="D5257" s="627"/>
      <c r="G5257" s="627"/>
      <c r="J5257" s="287"/>
      <c r="K5257" s="630"/>
      <c r="L5257" s="630"/>
      <c r="M5257" s="287"/>
      <c r="N5257" s="631"/>
      <c r="O5257" s="628"/>
      <c r="R5257" s="633"/>
      <c r="S5257" s="287"/>
      <c r="U5257" s="287"/>
      <c r="V5257" s="287"/>
    </row>
    <row r="5258" spans="1:22" x14ac:dyDescent="0.25">
      <c r="A5258" s="287"/>
      <c r="B5258" s="626"/>
      <c r="C5258" s="287"/>
      <c r="D5258" s="627"/>
      <c r="G5258" s="627"/>
      <c r="J5258" s="287"/>
      <c r="K5258" s="630"/>
      <c r="L5258" s="630"/>
      <c r="M5258" s="287"/>
      <c r="N5258" s="631"/>
      <c r="O5258" s="628"/>
      <c r="R5258" s="633"/>
      <c r="S5258" s="287"/>
      <c r="U5258" s="287"/>
      <c r="V5258" s="287"/>
    </row>
    <row r="5259" spans="1:22" x14ac:dyDescent="0.25">
      <c r="A5259" s="287"/>
      <c r="B5259" s="626"/>
      <c r="C5259" s="287"/>
      <c r="D5259" s="627"/>
      <c r="G5259" s="627"/>
      <c r="J5259" s="287"/>
      <c r="K5259" s="630"/>
      <c r="L5259" s="630"/>
      <c r="M5259" s="287"/>
      <c r="N5259" s="631"/>
      <c r="O5259" s="628"/>
      <c r="R5259" s="633"/>
      <c r="S5259" s="287"/>
      <c r="U5259" s="287"/>
      <c r="V5259" s="287"/>
    </row>
    <row r="5260" spans="1:22" x14ac:dyDescent="0.25">
      <c r="A5260" s="287"/>
      <c r="B5260" s="626"/>
      <c r="C5260" s="287"/>
      <c r="D5260" s="627"/>
      <c r="G5260" s="627"/>
      <c r="J5260" s="287"/>
      <c r="K5260" s="630"/>
      <c r="L5260" s="630"/>
      <c r="M5260" s="287"/>
      <c r="N5260" s="631"/>
      <c r="O5260" s="628"/>
      <c r="R5260" s="633"/>
      <c r="S5260" s="287"/>
      <c r="U5260" s="287"/>
      <c r="V5260" s="287"/>
    </row>
    <row r="5261" spans="1:22" x14ac:dyDescent="0.25">
      <c r="A5261" s="287"/>
      <c r="B5261" s="626"/>
      <c r="C5261" s="287"/>
      <c r="D5261" s="627"/>
      <c r="G5261" s="627"/>
      <c r="J5261" s="287"/>
      <c r="K5261" s="630"/>
      <c r="L5261" s="630"/>
      <c r="M5261" s="287"/>
      <c r="N5261" s="631"/>
      <c r="O5261" s="628"/>
      <c r="R5261" s="633"/>
      <c r="S5261" s="287"/>
      <c r="U5261" s="287"/>
      <c r="V5261" s="287"/>
    </row>
    <row r="5262" spans="1:22" x14ac:dyDescent="0.25">
      <c r="A5262" s="287"/>
      <c r="B5262" s="626"/>
      <c r="C5262" s="287"/>
      <c r="D5262" s="627"/>
      <c r="G5262" s="627"/>
      <c r="J5262" s="287"/>
      <c r="K5262" s="630"/>
      <c r="L5262" s="630"/>
      <c r="M5262" s="287"/>
      <c r="N5262" s="631"/>
      <c r="O5262" s="628"/>
      <c r="R5262" s="633"/>
      <c r="S5262" s="287"/>
      <c r="U5262" s="287"/>
      <c r="V5262" s="287"/>
    </row>
    <row r="5263" spans="1:22" x14ac:dyDescent="0.25">
      <c r="A5263" s="287"/>
      <c r="B5263" s="626"/>
      <c r="C5263" s="287"/>
      <c r="D5263" s="627"/>
      <c r="G5263" s="627"/>
      <c r="J5263" s="287"/>
      <c r="K5263" s="630"/>
      <c r="L5263" s="630"/>
      <c r="M5263" s="287"/>
      <c r="N5263" s="631"/>
      <c r="O5263" s="628"/>
      <c r="R5263" s="633"/>
      <c r="S5263" s="287"/>
      <c r="U5263" s="287"/>
      <c r="V5263" s="287"/>
    </row>
    <row r="5264" spans="1:22" x14ac:dyDescent="0.25">
      <c r="A5264" s="287"/>
      <c r="B5264" s="626"/>
      <c r="C5264" s="287"/>
      <c r="D5264" s="627"/>
      <c r="G5264" s="627"/>
      <c r="J5264" s="287"/>
      <c r="K5264" s="630"/>
      <c r="L5264" s="630"/>
      <c r="M5264" s="287"/>
      <c r="N5264" s="631"/>
      <c r="O5264" s="628"/>
      <c r="R5264" s="633"/>
      <c r="S5264" s="287"/>
      <c r="U5264" s="287"/>
      <c r="V5264" s="287"/>
    </row>
    <row r="5265" spans="1:22" x14ac:dyDescent="0.25">
      <c r="A5265" s="287"/>
      <c r="B5265" s="626"/>
      <c r="C5265" s="287"/>
      <c r="D5265" s="627"/>
      <c r="G5265" s="627"/>
      <c r="J5265" s="287"/>
      <c r="K5265" s="630"/>
      <c r="L5265" s="630"/>
      <c r="M5265" s="287"/>
      <c r="N5265" s="631"/>
      <c r="O5265" s="628"/>
      <c r="R5265" s="633"/>
      <c r="S5265" s="287"/>
      <c r="U5265" s="287"/>
      <c r="V5265" s="287"/>
    </row>
    <row r="5266" spans="1:22" x14ac:dyDescent="0.25">
      <c r="A5266" s="287"/>
      <c r="B5266" s="626"/>
      <c r="C5266" s="287"/>
      <c r="D5266" s="627"/>
      <c r="G5266" s="627"/>
      <c r="J5266" s="287"/>
      <c r="K5266" s="630"/>
      <c r="L5266" s="630"/>
      <c r="M5266" s="287"/>
      <c r="N5266" s="631"/>
      <c r="O5266" s="628"/>
      <c r="R5266" s="633"/>
      <c r="S5266" s="287"/>
      <c r="U5266" s="287"/>
      <c r="V5266" s="287"/>
    </row>
    <row r="5267" spans="1:22" x14ac:dyDescent="0.25">
      <c r="A5267" s="287"/>
      <c r="B5267" s="626"/>
      <c r="C5267" s="287"/>
      <c r="D5267" s="627"/>
      <c r="G5267" s="627"/>
      <c r="J5267" s="287"/>
      <c r="K5267" s="630"/>
      <c r="L5267" s="630"/>
      <c r="M5267" s="287"/>
      <c r="N5267" s="631"/>
      <c r="O5267" s="628"/>
      <c r="R5267" s="633"/>
      <c r="S5267" s="287"/>
      <c r="U5267" s="287"/>
      <c r="V5267" s="287"/>
    </row>
    <row r="5268" spans="1:22" x14ac:dyDescent="0.25">
      <c r="A5268" s="287"/>
      <c r="B5268" s="626"/>
      <c r="C5268" s="287"/>
      <c r="D5268" s="627"/>
      <c r="G5268" s="627"/>
      <c r="J5268" s="287"/>
      <c r="K5268" s="630"/>
      <c r="L5268" s="630"/>
      <c r="M5268" s="287"/>
      <c r="N5268" s="631"/>
      <c r="O5268" s="628"/>
      <c r="R5268" s="633"/>
      <c r="S5268" s="287"/>
      <c r="U5268" s="287"/>
      <c r="V5268" s="287"/>
    </row>
    <row r="5269" spans="1:22" x14ac:dyDescent="0.25">
      <c r="A5269" s="287"/>
      <c r="B5269" s="626"/>
      <c r="C5269" s="287"/>
      <c r="D5269" s="627"/>
      <c r="G5269" s="627"/>
      <c r="J5269" s="287"/>
      <c r="K5269" s="630"/>
      <c r="L5269" s="630"/>
      <c r="M5269" s="287"/>
      <c r="N5269" s="631"/>
      <c r="O5269" s="628"/>
      <c r="R5269" s="633"/>
      <c r="S5269" s="287"/>
      <c r="U5269" s="287"/>
      <c r="V5269" s="287"/>
    </row>
    <row r="5270" spans="1:22" x14ac:dyDescent="0.25">
      <c r="A5270" s="287"/>
      <c r="B5270" s="626"/>
      <c r="C5270" s="287"/>
      <c r="D5270" s="627"/>
      <c r="G5270" s="627"/>
      <c r="J5270" s="287"/>
      <c r="K5270" s="630"/>
      <c r="L5270" s="630"/>
      <c r="M5270" s="287"/>
      <c r="N5270" s="631"/>
      <c r="O5270" s="628"/>
      <c r="R5270" s="633"/>
      <c r="S5270" s="287"/>
      <c r="U5270" s="287"/>
      <c r="V5270" s="287"/>
    </row>
    <row r="5271" spans="1:22" x14ac:dyDescent="0.25">
      <c r="A5271" s="287"/>
      <c r="B5271" s="626"/>
      <c r="C5271" s="287"/>
      <c r="D5271" s="627"/>
      <c r="G5271" s="627"/>
      <c r="J5271" s="287"/>
      <c r="K5271" s="630"/>
      <c r="L5271" s="630"/>
      <c r="M5271" s="287"/>
      <c r="N5271" s="631"/>
      <c r="O5271" s="628"/>
      <c r="R5271" s="633"/>
      <c r="S5271" s="287"/>
      <c r="U5271" s="287"/>
      <c r="V5271" s="287"/>
    </row>
    <row r="5272" spans="1:22" x14ac:dyDescent="0.25">
      <c r="A5272" s="287"/>
      <c r="B5272" s="626"/>
      <c r="C5272" s="287"/>
      <c r="D5272" s="627"/>
      <c r="G5272" s="627"/>
      <c r="J5272" s="287"/>
      <c r="K5272" s="630"/>
      <c r="L5272" s="630"/>
      <c r="M5272" s="287"/>
      <c r="N5272" s="631"/>
      <c r="O5272" s="628"/>
      <c r="R5272" s="633"/>
      <c r="S5272" s="287"/>
      <c r="U5272" s="287"/>
      <c r="V5272" s="287"/>
    </row>
    <row r="5273" spans="1:22" x14ac:dyDescent="0.25">
      <c r="A5273" s="287"/>
      <c r="B5273" s="626"/>
      <c r="C5273" s="287"/>
      <c r="D5273" s="627"/>
      <c r="G5273" s="627"/>
      <c r="J5273" s="287"/>
      <c r="K5273" s="630"/>
      <c r="L5273" s="630"/>
      <c r="M5273" s="287"/>
      <c r="N5273" s="631"/>
      <c r="O5273" s="628"/>
      <c r="R5273" s="633"/>
      <c r="S5273" s="287"/>
      <c r="U5273" s="287"/>
      <c r="V5273" s="287"/>
    </row>
    <row r="5274" spans="1:22" x14ac:dyDescent="0.25">
      <c r="A5274" s="287"/>
      <c r="B5274" s="626"/>
      <c r="C5274" s="287"/>
      <c r="D5274" s="627"/>
      <c r="G5274" s="627"/>
      <c r="J5274" s="287"/>
      <c r="K5274" s="630"/>
      <c r="L5274" s="630"/>
      <c r="M5274" s="287"/>
      <c r="N5274" s="631"/>
      <c r="O5274" s="628"/>
      <c r="R5274" s="633"/>
      <c r="S5274" s="287"/>
      <c r="U5274" s="287"/>
      <c r="V5274" s="287"/>
    </row>
    <row r="5275" spans="1:22" x14ac:dyDescent="0.25">
      <c r="A5275" s="287"/>
      <c r="B5275" s="626"/>
      <c r="C5275" s="287"/>
      <c r="D5275" s="627"/>
      <c r="G5275" s="627"/>
      <c r="J5275" s="287"/>
      <c r="K5275" s="630"/>
      <c r="L5275" s="630"/>
      <c r="M5275" s="287"/>
      <c r="N5275" s="631"/>
      <c r="O5275" s="628"/>
      <c r="R5275" s="633"/>
      <c r="S5275" s="287"/>
      <c r="U5275" s="287"/>
      <c r="V5275" s="287"/>
    </row>
    <row r="5276" spans="1:22" x14ac:dyDescent="0.25">
      <c r="A5276" s="287"/>
      <c r="B5276" s="626"/>
      <c r="C5276" s="287"/>
      <c r="D5276" s="627"/>
      <c r="G5276" s="627"/>
      <c r="J5276" s="287"/>
      <c r="K5276" s="630"/>
      <c r="L5276" s="630"/>
      <c r="M5276" s="287"/>
      <c r="N5276" s="631"/>
      <c r="O5276" s="628"/>
      <c r="R5276" s="633"/>
      <c r="S5276" s="287"/>
      <c r="U5276" s="287"/>
      <c r="V5276" s="287"/>
    </row>
    <row r="5277" spans="1:22" x14ac:dyDescent="0.25">
      <c r="A5277" s="287"/>
      <c r="B5277" s="626"/>
      <c r="C5277" s="287"/>
      <c r="D5277" s="627"/>
      <c r="G5277" s="627"/>
      <c r="J5277" s="287"/>
      <c r="K5277" s="630"/>
      <c r="L5277" s="630"/>
      <c r="M5277" s="287"/>
      <c r="N5277" s="631"/>
      <c r="O5277" s="628"/>
      <c r="R5277" s="633"/>
      <c r="S5277" s="287"/>
      <c r="U5277" s="287"/>
      <c r="V5277" s="287"/>
    </row>
    <row r="5278" spans="1:22" x14ac:dyDescent="0.25">
      <c r="A5278" s="287"/>
      <c r="B5278" s="626"/>
      <c r="C5278" s="287"/>
      <c r="D5278" s="627"/>
      <c r="G5278" s="627"/>
      <c r="J5278" s="287"/>
      <c r="K5278" s="630"/>
      <c r="L5278" s="630"/>
      <c r="M5278" s="287"/>
      <c r="N5278" s="631"/>
      <c r="O5278" s="628"/>
      <c r="R5278" s="633"/>
      <c r="S5278" s="287"/>
      <c r="U5278" s="287"/>
      <c r="V5278" s="287"/>
    </row>
    <row r="5279" spans="1:22" x14ac:dyDescent="0.25">
      <c r="A5279" s="287"/>
      <c r="B5279" s="626"/>
      <c r="C5279" s="287"/>
      <c r="D5279" s="627"/>
      <c r="G5279" s="627"/>
      <c r="J5279" s="287"/>
      <c r="K5279" s="630"/>
      <c r="L5279" s="630"/>
      <c r="M5279" s="287"/>
      <c r="N5279" s="631"/>
      <c r="O5279" s="628"/>
      <c r="R5279" s="633"/>
      <c r="S5279" s="287"/>
      <c r="U5279" s="287"/>
      <c r="V5279" s="287"/>
    </row>
    <row r="5280" spans="1:22" x14ac:dyDescent="0.25">
      <c r="A5280" s="287"/>
      <c r="B5280" s="626"/>
      <c r="C5280" s="287"/>
      <c r="D5280" s="627"/>
      <c r="G5280" s="627"/>
      <c r="J5280" s="287"/>
      <c r="K5280" s="630"/>
      <c r="L5280" s="630"/>
      <c r="M5280" s="287"/>
      <c r="N5280" s="631"/>
      <c r="O5280" s="628"/>
      <c r="R5280" s="633"/>
      <c r="S5280" s="287"/>
      <c r="U5280" s="287"/>
      <c r="V5280" s="287"/>
    </row>
    <row r="5281" spans="1:22" x14ac:dyDescent="0.25">
      <c r="A5281" s="287"/>
      <c r="B5281" s="626"/>
      <c r="C5281" s="287"/>
      <c r="D5281" s="627"/>
      <c r="G5281" s="627"/>
      <c r="J5281" s="287"/>
      <c r="K5281" s="630"/>
      <c r="L5281" s="630"/>
      <c r="M5281" s="287"/>
      <c r="N5281" s="631"/>
      <c r="O5281" s="628"/>
      <c r="R5281" s="633"/>
      <c r="S5281" s="287"/>
      <c r="U5281" s="287"/>
      <c r="V5281" s="287"/>
    </row>
    <row r="5282" spans="1:22" x14ac:dyDescent="0.25">
      <c r="A5282" s="287"/>
      <c r="B5282" s="626"/>
      <c r="C5282" s="287"/>
      <c r="D5282" s="627"/>
      <c r="G5282" s="627"/>
      <c r="J5282" s="287"/>
      <c r="K5282" s="630"/>
      <c r="L5282" s="630"/>
      <c r="M5282" s="287"/>
      <c r="N5282" s="631"/>
      <c r="O5282" s="628"/>
      <c r="R5282" s="633"/>
      <c r="S5282" s="287"/>
      <c r="U5282" s="287"/>
      <c r="V5282" s="287"/>
    </row>
    <row r="5283" spans="1:22" x14ac:dyDescent="0.25">
      <c r="A5283" s="287"/>
      <c r="B5283" s="626"/>
      <c r="C5283" s="287"/>
      <c r="D5283" s="627"/>
      <c r="G5283" s="627"/>
      <c r="J5283" s="287"/>
      <c r="K5283" s="630"/>
      <c r="L5283" s="630"/>
      <c r="M5283" s="287"/>
      <c r="N5283" s="631"/>
      <c r="O5283" s="628"/>
      <c r="R5283" s="633"/>
      <c r="S5283" s="287"/>
      <c r="U5283" s="287"/>
      <c r="V5283" s="287"/>
    </row>
    <row r="5284" spans="1:22" x14ac:dyDescent="0.25">
      <c r="A5284" s="287"/>
      <c r="B5284" s="626"/>
      <c r="C5284" s="287"/>
      <c r="D5284" s="627"/>
      <c r="G5284" s="627"/>
      <c r="J5284" s="287"/>
      <c r="K5284" s="630"/>
      <c r="L5284" s="630"/>
      <c r="M5284" s="287"/>
      <c r="N5284" s="631"/>
      <c r="O5284" s="628"/>
      <c r="R5284" s="633"/>
      <c r="S5284" s="287"/>
      <c r="U5284" s="287"/>
      <c r="V5284" s="287"/>
    </row>
    <row r="5285" spans="1:22" x14ac:dyDescent="0.25">
      <c r="A5285" s="287"/>
      <c r="B5285" s="626"/>
      <c r="C5285" s="287"/>
      <c r="D5285" s="627"/>
      <c r="G5285" s="627"/>
      <c r="J5285" s="287"/>
      <c r="K5285" s="630"/>
      <c r="L5285" s="630"/>
      <c r="M5285" s="287"/>
      <c r="N5285" s="631"/>
      <c r="O5285" s="628"/>
      <c r="R5285" s="633"/>
      <c r="S5285" s="287"/>
      <c r="U5285" s="287"/>
      <c r="V5285" s="287"/>
    </row>
    <row r="5286" spans="1:22" x14ac:dyDescent="0.25">
      <c r="A5286" s="287"/>
      <c r="B5286" s="626"/>
      <c r="C5286" s="287"/>
      <c r="D5286" s="627"/>
      <c r="G5286" s="627"/>
      <c r="J5286" s="287"/>
      <c r="K5286" s="630"/>
      <c r="L5286" s="630"/>
      <c r="M5286" s="287"/>
      <c r="N5286" s="631"/>
      <c r="O5286" s="628"/>
      <c r="R5286" s="633"/>
      <c r="S5286" s="287"/>
      <c r="U5286" s="287"/>
      <c r="V5286" s="287"/>
    </row>
    <row r="5287" spans="1:22" x14ac:dyDescent="0.25">
      <c r="A5287" s="287"/>
      <c r="B5287" s="626"/>
      <c r="C5287" s="287"/>
      <c r="D5287" s="627"/>
      <c r="G5287" s="627"/>
      <c r="J5287" s="287"/>
      <c r="K5287" s="630"/>
      <c r="L5287" s="630"/>
      <c r="M5287" s="287"/>
      <c r="N5287" s="631"/>
      <c r="O5287" s="628"/>
      <c r="R5287" s="633"/>
      <c r="S5287" s="287"/>
      <c r="U5287" s="287"/>
      <c r="V5287" s="287"/>
    </row>
    <row r="5288" spans="1:22" x14ac:dyDescent="0.25">
      <c r="A5288" s="287"/>
      <c r="B5288" s="626"/>
      <c r="C5288" s="287"/>
      <c r="D5288" s="627"/>
      <c r="G5288" s="627"/>
      <c r="J5288" s="287"/>
      <c r="K5288" s="630"/>
      <c r="L5288" s="630"/>
      <c r="M5288" s="287"/>
      <c r="N5288" s="631"/>
      <c r="O5288" s="628"/>
      <c r="R5288" s="633"/>
      <c r="S5288" s="287"/>
      <c r="U5288" s="287"/>
      <c r="V5288" s="287"/>
    </row>
    <row r="5289" spans="1:22" x14ac:dyDescent="0.25">
      <c r="A5289" s="287"/>
      <c r="B5289" s="626"/>
      <c r="C5289" s="287"/>
      <c r="D5289" s="627"/>
      <c r="G5289" s="627"/>
      <c r="J5289" s="287"/>
      <c r="K5289" s="630"/>
      <c r="L5289" s="630"/>
      <c r="M5289" s="287"/>
      <c r="N5289" s="631"/>
      <c r="O5289" s="628"/>
      <c r="R5289" s="633"/>
      <c r="S5289" s="287"/>
      <c r="U5289" s="287"/>
      <c r="V5289" s="287"/>
    </row>
    <row r="5290" spans="1:22" x14ac:dyDescent="0.25">
      <c r="A5290" s="287"/>
      <c r="B5290" s="626"/>
      <c r="C5290" s="287"/>
      <c r="D5290" s="627"/>
      <c r="G5290" s="627"/>
      <c r="J5290" s="287"/>
      <c r="K5290" s="630"/>
      <c r="L5290" s="630"/>
      <c r="M5290" s="287"/>
      <c r="N5290" s="631"/>
      <c r="O5290" s="628"/>
      <c r="R5290" s="633"/>
      <c r="S5290" s="287"/>
      <c r="U5290" s="287"/>
      <c r="V5290" s="287"/>
    </row>
    <row r="5291" spans="1:22" x14ac:dyDescent="0.25">
      <c r="A5291" s="287"/>
      <c r="B5291" s="626"/>
      <c r="C5291" s="287"/>
      <c r="D5291" s="627"/>
      <c r="G5291" s="627"/>
      <c r="J5291" s="287"/>
      <c r="K5291" s="630"/>
      <c r="L5291" s="630"/>
      <c r="M5291" s="287"/>
      <c r="N5291" s="631"/>
      <c r="O5291" s="628"/>
      <c r="R5291" s="633"/>
      <c r="S5291" s="287"/>
      <c r="U5291" s="287"/>
      <c r="V5291" s="287"/>
    </row>
    <row r="5292" spans="1:22" x14ac:dyDescent="0.25">
      <c r="A5292" s="287"/>
      <c r="B5292" s="626"/>
      <c r="C5292" s="287"/>
      <c r="D5292" s="627"/>
      <c r="G5292" s="627"/>
      <c r="J5292" s="287"/>
      <c r="K5292" s="630"/>
      <c r="L5292" s="630"/>
      <c r="M5292" s="287"/>
      <c r="N5292" s="631"/>
      <c r="O5292" s="628"/>
      <c r="R5292" s="633"/>
      <c r="S5292" s="287"/>
      <c r="U5292" s="287"/>
      <c r="V5292" s="287"/>
    </row>
    <row r="5293" spans="1:22" x14ac:dyDescent="0.25">
      <c r="A5293" s="287"/>
      <c r="B5293" s="626"/>
      <c r="C5293" s="287"/>
      <c r="D5293" s="627"/>
      <c r="G5293" s="627"/>
      <c r="J5293" s="287"/>
      <c r="K5293" s="630"/>
      <c r="L5293" s="630"/>
      <c r="M5293" s="287"/>
      <c r="N5293" s="631"/>
      <c r="O5293" s="628"/>
      <c r="R5293" s="633"/>
      <c r="S5293" s="287"/>
      <c r="U5293" s="287"/>
      <c r="V5293" s="287"/>
    </row>
    <row r="5294" spans="1:22" x14ac:dyDescent="0.25">
      <c r="A5294" s="287"/>
      <c r="B5294" s="626"/>
      <c r="C5294" s="287"/>
      <c r="D5294" s="627"/>
      <c r="G5294" s="627"/>
      <c r="J5294" s="287"/>
      <c r="K5294" s="630"/>
      <c r="L5294" s="630"/>
      <c r="M5294" s="287"/>
      <c r="N5294" s="631"/>
      <c r="O5294" s="628"/>
      <c r="R5294" s="633"/>
      <c r="S5294" s="287"/>
      <c r="U5294" s="287"/>
      <c r="V5294" s="287"/>
    </row>
    <row r="5295" spans="1:22" x14ac:dyDescent="0.25">
      <c r="A5295" s="287"/>
      <c r="B5295" s="626"/>
      <c r="C5295" s="287"/>
      <c r="D5295" s="627"/>
      <c r="G5295" s="627"/>
      <c r="J5295" s="287"/>
      <c r="K5295" s="630"/>
      <c r="L5295" s="630"/>
      <c r="M5295" s="287"/>
      <c r="N5295" s="631"/>
      <c r="O5295" s="628"/>
      <c r="R5295" s="633"/>
      <c r="S5295" s="287"/>
      <c r="U5295" s="287"/>
      <c r="V5295" s="287"/>
    </row>
    <row r="5296" spans="1:22" x14ac:dyDescent="0.25">
      <c r="A5296" s="287"/>
      <c r="B5296" s="626"/>
      <c r="C5296" s="287"/>
      <c r="D5296" s="627"/>
      <c r="G5296" s="627"/>
      <c r="J5296" s="287"/>
      <c r="K5296" s="630"/>
      <c r="L5296" s="630"/>
      <c r="M5296" s="287"/>
      <c r="N5296" s="631"/>
      <c r="O5296" s="628"/>
      <c r="R5296" s="633"/>
      <c r="S5296" s="287"/>
      <c r="U5296" s="287"/>
      <c r="V5296" s="287"/>
    </row>
    <row r="5297" spans="1:22" x14ac:dyDescent="0.25">
      <c r="A5297" s="287"/>
      <c r="B5297" s="626"/>
      <c r="C5297" s="287"/>
      <c r="D5297" s="627"/>
      <c r="G5297" s="627"/>
      <c r="J5297" s="287"/>
      <c r="K5297" s="630"/>
      <c r="L5297" s="630"/>
      <c r="M5297" s="287"/>
      <c r="N5297" s="631"/>
      <c r="O5297" s="628"/>
      <c r="R5297" s="633"/>
      <c r="S5297" s="287"/>
      <c r="U5297" s="287"/>
      <c r="V5297" s="287"/>
    </row>
    <row r="5298" spans="1:22" x14ac:dyDescent="0.25">
      <c r="A5298" s="287"/>
      <c r="B5298" s="626"/>
      <c r="C5298" s="287"/>
      <c r="D5298" s="627"/>
      <c r="G5298" s="627"/>
      <c r="J5298" s="287"/>
      <c r="K5298" s="630"/>
      <c r="L5298" s="630"/>
      <c r="M5298" s="287"/>
      <c r="N5298" s="631"/>
      <c r="O5298" s="628"/>
      <c r="R5298" s="633"/>
      <c r="S5298" s="287"/>
      <c r="U5298" s="287"/>
      <c r="V5298" s="287"/>
    </row>
    <row r="5299" spans="1:22" x14ac:dyDescent="0.25">
      <c r="A5299" s="287"/>
      <c r="B5299" s="626"/>
      <c r="C5299" s="287"/>
      <c r="D5299" s="627"/>
      <c r="G5299" s="627"/>
      <c r="J5299" s="287"/>
      <c r="K5299" s="630"/>
      <c r="L5299" s="630"/>
      <c r="M5299" s="287"/>
      <c r="N5299" s="631"/>
      <c r="O5299" s="628"/>
      <c r="R5299" s="633"/>
      <c r="S5299" s="287"/>
      <c r="U5299" s="287"/>
      <c r="V5299" s="287"/>
    </row>
    <row r="5300" spans="1:22" x14ac:dyDescent="0.25">
      <c r="A5300" s="287"/>
      <c r="B5300" s="626"/>
      <c r="C5300" s="287"/>
      <c r="D5300" s="627"/>
      <c r="G5300" s="627"/>
      <c r="J5300" s="287"/>
      <c r="K5300" s="630"/>
      <c r="L5300" s="630"/>
      <c r="M5300" s="287"/>
      <c r="N5300" s="631"/>
      <c r="O5300" s="628"/>
      <c r="R5300" s="633"/>
      <c r="S5300" s="287"/>
      <c r="U5300" s="287"/>
      <c r="V5300" s="287"/>
    </row>
    <row r="5301" spans="1:22" x14ac:dyDescent="0.25">
      <c r="A5301" s="287"/>
      <c r="B5301" s="626"/>
      <c r="C5301" s="287"/>
      <c r="D5301" s="627"/>
      <c r="G5301" s="627"/>
      <c r="J5301" s="287"/>
      <c r="K5301" s="630"/>
      <c r="L5301" s="630"/>
      <c r="M5301" s="287"/>
      <c r="N5301" s="631"/>
      <c r="O5301" s="628"/>
      <c r="R5301" s="633"/>
      <c r="S5301" s="287"/>
      <c r="U5301" s="287"/>
      <c r="V5301" s="287"/>
    </row>
    <row r="5302" spans="1:22" x14ac:dyDescent="0.25">
      <c r="A5302" s="287"/>
      <c r="B5302" s="626"/>
      <c r="C5302" s="287"/>
      <c r="D5302" s="627"/>
      <c r="G5302" s="627"/>
      <c r="J5302" s="287"/>
      <c r="K5302" s="630"/>
      <c r="L5302" s="630"/>
      <c r="M5302" s="287"/>
      <c r="N5302" s="631"/>
      <c r="O5302" s="628"/>
      <c r="R5302" s="633"/>
      <c r="S5302" s="287"/>
      <c r="U5302" s="287"/>
      <c r="V5302" s="287"/>
    </row>
    <row r="5303" spans="1:22" x14ac:dyDescent="0.25">
      <c r="A5303" s="287"/>
      <c r="B5303" s="626"/>
      <c r="C5303" s="287"/>
      <c r="D5303" s="627"/>
      <c r="G5303" s="627"/>
      <c r="J5303" s="287"/>
      <c r="K5303" s="630"/>
      <c r="L5303" s="630"/>
      <c r="M5303" s="287"/>
      <c r="N5303" s="631"/>
      <c r="O5303" s="628"/>
      <c r="R5303" s="633"/>
      <c r="S5303" s="287"/>
      <c r="U5303" s="287"/>
      <c r="V5303" s="287"/>
    </row>
    <row r="5304" spans="1:22" x14ac:dyDescent="0.25">
      <c r="A5304" s="287"/>
      <c r="B5304" s="626"/>
      <c r="C5304" s="287"/>
      <c r="D5304" s="627"/>
      <c r="G5304" s="627"/>
      <c r="J5304" s="287"/>
      <c r="K5304" s="630"/>
      <c r="L5304" s="630"/>
      <c r="M5304" s="287"/>
      <c r="N5304" s="631"/>
      <c r="O5304" s="628"/>
      <c r="R5304" s="633"/>
      <c r="S5304" s="287"/>
      <c r="U5304" s="287"/>
      <c r="V5304" s="287"/>
    </row>
    <row r="5305" spans="1:22" x14ac:dyDescent="0.25">
      <c r="A5305" s="287"/>
      <c r="B5305" s="626"/>
      <c r="C5305" s="287"/>
      <c r="D5305" s="627"/>
      <c r="G5305" s="627"/>
      <c r="J5305" s="287"/>
      <c r="K5305" s="630"/>
      <c r="L5305" s="630"/>
      <c r="M5305" s="287"/>
      <c r="N5305" s="631"/>
      <c r="O5305" s="628"/>
      <c r="R5305" s="633"/>
      <c r="S5305" s="287"/>
      <c r="U5305" s="287"/>
      <c r="V5305" s="287"/>
    </row>
    <row r="5306" spans="1:22" x14ac:dyDescent="0.25">
      <c r="A5306" s="287"/>
      <c r="B5306" s="626"/>
      <c r="C5306" s="287"/>
      <c r="D5306" s="627"/>
      <c r="G5306" s="627"/>
      <c r="J5306" s="287"/>
      <c r="K5306" s="630"/>
      <c r="L5306" s="630"/>
      <c r="M5306" s="287"/>
      <c r="N5306" s="631"/>
      <c r="O5306" s="628"/>
      <c r="R5306" s="633"/>
      <c r="S5306" s="287"/>
      <c r="U5306" s="287"/>
      <c r="V5306" s="287"/>
    </row>
    <row r="5307" spans="1:22" x14ac:dyDescent="0.25">
      <c r="A5307" s="287"/>
      <c r="B5307" s="626"/>
      <c r="C5307" s="287"/>
      <c r="D5307" s="627"/>
      <c r="G5307" s="627"/>
      <c r="J5307" s="287"/>
      <c r="K5307" s="630"/>
      <c r="L5307" s="630"/>
      <c r="M5307" s="287"/>
      <c r="N5307" s="631"/>
      <c r="O5307" s="628"/>
      <c r="R5307" s="633"/>
      <c r="S5307" s="287"/>
      <c r="U5307" s="287"/>
      <c r="V5307" s="287"/>
    </row>
    <row r="5308" spans="1:22" x14ac:dyDescent="0.25">
      <c r="A5308" s="287"/>
      <c r="B5308" s="626"/>
      <c r="C5308" s="287"/>
      <c r="D5308" s="627"/>
      <c r="G5308" s="627"/>
      <c r="J5308" s="287"/>
      <c r="K5308" s="630"/>
      <c r="L5308" s="630"/>
      <c r="M5308" s="287"/>
      <c r="N5308" s="631"/>
      <c r="O5308" s="628"/>
      <c r="R5308" s="633"/>
      <c r="S5308" s="287"/>
      <c r="U5308" s="287"/>
      <c r="V5308" s="287"/>
    </row>
    <row r="5309" spans="1:22" x14ac:dyDescent="0.25">
      <c r="A5309" s="287"/>
      <c r="B5309" s="626"/>
      <c r="C5309" s="287"/>
      <c r="D5309" s="627"/>
      <c r="G5309" s="627"/>
      <c r="J5309" s="287"/>
      <c r="K5309" s="630"/>
      <c r="L5309" s="630"/>
      <c r="M5309" s="287"/>
      <c r="N5309" s="631"/>
      <c r="O5309" s="628"/>
      <c r="R5309" s="633"/>
      <c r="S5309" s="287"/>
      <c r="U5309" s="287"/>
      <c r="V5309" s="287"/>
    </row>
    <row r="5310" spans="1:22" x14ac:dyDescent="0.25">
      <c r="A5310" s="287"/>
      <c r="B5310" s="626"/>
      <c r="C5310" s="287"/>
      <c r="D5310" s="627"/>
      <c r="G5310" s="627"/>
      <c r="J5310" s="287"/>
      <c r="K5310" s="630"/>
      <c r="L5310" s="630"/>
      <c r="M5310" s="287"/>
      <c r="N5310" s="631"/>
      <c r="O5310" s="628"/>
      <c r="R5310" s="633"/>
      <c r="S5310" s="287"/>
      <c r="U5310" s="287"/>
      <c r="V5310" s="287"/>
    </row>
    <row r="5311" spans="1:22" x14ac:dyDescent="0.25">
      <c r="A5311" s="287"/>
      <c r="B5311" s="626"/>
      <c r="C5311" s="287"/>
      <c r="D5311" s="627"/>
      <c r="G5311" s="627"/>
      <c r="J5311" s="287"/>
      <c r="K5311" s="630"/>
      <c r="L5311" s="630"/>
      <c r="M5311" s="287"/>
      <c r="N5311" s="631"/>
      <c r="O5311" s="628"/>
      <c r="R5311" s="633"/>
      <c r="S5311" s="287"/>
      <c r="U5311" s="287"/>
      <c r="V5311" s="287"/>
    </row>
    <row r="5312" spans="1:22" x14ac:dyDescent="0.25">
      <c r="A5312" s="287"/>
      <c r="B5312" s="626"/>
      <c r="C5312" s="287"/>
      <c r="D5312" s="627"/>
      <c r="G5312" s="627"/>
      <c r="J5312" s="287"/>
      <c r="K5312" s="630"/>
      <c r="L5312" s="630"/>
      <c r="M5312" s="287"/>
      <c r="N5312" s="631"/>
      <c r="O5312" s="628"/>
      <c r="R5312" s="633"/>
      <c r="S5312" s="287"/>
      <c r="U5312" s="287"/>
      <c r="V5312" s="287"/>
    </row>
    <row r="5313" spans="1:22" x14ac:dyDescent="0.25">
      <c r="A5313" s="287"/>
      <c r="B5313" s="626"/>
      <c r="C5313" s="287"/>
      <c r="D5313" s="627"/>
      <c r="G5313" s="627"/>
      <c r="J5313" s="287"/>
      <c r="K5313" s="630"/>
      <c r="L5313" s="630"/>
      <c r="M5313" s="287"/>
      <c r="N5313" s="631"/>
      <c r="O5313" s="628"/>
      <c r="R5313" s="633"/>
      <c r="S5313" s="287"/>
      <c r="U5313" s="287"/>
      <c r="V5313" s="287"/>
    </row>
    <row r="5314" spans="1:22" x14ac:dyDescent="0.25">
      <c r="A5314" s="287"/>
      <c r="B5314" s="626"/>
      <c r="C5314" s="287"/>
      <c r="D5314" s="627"/>
      <c r="G5314" s="627"/>
      <c r="J5314" s="287"/>
      <c r="K5314" s="630"/>
      <c r="L5314" s="630"/>
      <c r="M5314" s="287"/>
      <c r="N5314" s="631"/>
      <c r="O5314" s="628"/>
      <c r="R5314" s="633"/>
      <c r="S5314" s="287"/>
      <c r="U5314" s="287"/>
      <c r="V5314" s="287"/>
    </row>
    <row r="5315" spans="1:22" x14ac:dyDescent="0.25">
      <c r="A5315" s="287"/>
      <c r="B5315" s="626"/>
      <c r="C5315" s="287"/>
      <c r="D5315" s="627"/>
      <c r="G5315" s="627"/>
      <c r="J5315" s="287"/>
      <c r="K5315" s="630"/>
      <c r="L5315" s="630"/>
      <c r="M5315" s="287"/>
      <c r="N5315" s="631"/>
      <c r="O5315" s="628"/>
      <c r="R5315" s="633"/>
      <c r="S5315" s="287"/>
      <c r="U5315" s="287"/>
      <c r="V5315" s="287"/>
    </row>
    <row r="5316" spans="1:22" x14ac:dyDescent="0.25">
      <c r="A5316" s="287"/>
      <c r="B5316" s="626"/>
      <c r="C5316" s="287"/>
      <c r="D5316" s="627"/>
      <c r="G5316" s="627"/>
      <c r="J5316" s="287"/>
      <c r="K5316" s="630"/>
      <c r="L5316" s="630"/>
      <c r="M5316" s="287"/>
      <c r="N5316" s="631"/>
      <c r="O5316" s="628"/>
      <c r="R5316" s="633"/>
      <c r="S5316" s="287"/>
      <c r="U5316" s="287"/>
      <c r="V5316" s="287"/>
    </row>
    <row r="5317" spans="1:22" x14ac:dyDescent="0.25">
      <c r="A5317" s="287"/>
      <c r="B5317" s="626"/>
      <c r="C5317" s="287"/>
      <c r="D5317" s="627"/>
      <c r="G5317" s="627"/>
      <c r="J5317" s="287"/>
      <c r="K5317" s="630"/>
      <c r="L5317" s="630"/>
      <c r="M5317" s="287"/>
      <c r="N5317" s="631"/>
      <c r="O5317" s="628"/>
      <c r="R5317" s="633"/>
      <c r="S5317" s="287"/>
      <c r="U5317" s="287"/>
      <c r="V5317" s="287"/>
    </row>
    <row r="5318" spans="1:22" x14ac:dyDescent="0.25">
      <c r="A5318" s="287"/>
      <c r="B5318" s="626"/>
      <c r="C5318" s="287"/>
      <c r="D5318" s="627"/>
      <c r="G5318" s="627"/>
      <c r="J5318" s="287"/>
      <c r="K5318" s="630"/>
      <c r="L5318" s="630"/>
      <c r="M5318" s="287"/>
      <c r="N5318" s="631"/>
      <c r="O5318" s="628"/>
      <c r="R5318" s="633"/>
      <c r="S5318" s="287"/>
      <c r="U5318" s="287"/>
      <c r="V5318" s="287"/>
    </row>
    <row r="5319" spans="1:22" x14ac:dyDescent="0.25">
      <c r="A5319" s="287"/>
      <c r="B5319" s="626"/>
      <c r="C5319" s="287"/>
      <c r="D5319" s="627"/>
      <c r="G5319" s="627"/>
      <c r="J5319" s="287"/>
      <c r="K5319" s="630"/>
      <c r="L5319" s="630"/>
      <c r="M5319" s="287"/>
      <c r="N5319" s="631"/>
      <c r="O5319" s="628"/>
      <c r="R5319" s="633"/>
      <c r="S5319" s="287"/>
      <c r="U5319" s="287"/>
      <c r="V5319" s="287"/>
    </row>
    <row r="5320" spans="1:22" x14ac:dyDescent="0.25">
      <c r="A5320" s="287"/>
      <c r="B5320" s="626"/>
      <c r="C5320" s="287"/>
      <c r="D5320" s="627"/>
      <c r="G5320" s="627"/>
      <c r="J5320" s="287"/>
      <c r="K5320" s="630"/>
      <c r="L5320" s="630"/>
      <c r="M5320" s="287"/>
      <c r="N5320" s="631"/>
      <c r="O5320" s="628"/>
      <c r="R5320" s="633"/>
      <c r="S5320" s="287"/>
      <c r="U5320" s="287"/>
      <c r="V5320" s="287"/>
    </row>
    <row r="5321" spans="1:22" x14ac:dyDescent="0.25">
      <c r="A5321" s="287"/>
      <c r="B5321" s="626"/>
      <c r="C5321" s="287"/>
      <c r="D5321" s="627"/>
      <c r="G5321" s="627"/>
      <c r="J5321" s="287"/>
      <c r="K5321" s="630"/>
      <c r="L5321" s="630"/>
      <c r="M5321" s="287"/>
      <c r="N5321" s="631"/>
      <c r="O5321" s="628"/>
      <c r="R5321" s="633"/>
      <c r="S5321" s="287"/>
      <c r="U5321" s="287"/>
      <c r="V5321" s="287"/>
    </row>
    <row r="5322" spans="1:22" x14ac:dyDescent="0.25">
      <c r="A5322" s="287"/>
      <c r="B5322" s="626"/>
      <c r="C5322" s="287"/>
      <c r="D5322" s="627"/>
      <c r="G5322" s="627"/>
      <c r="J5322" s="287"/>
      <c r="K5322" s="630"/>
      <c r="L5322" s="630"/>
      <c r="M5322" s="287"/>
      <c r="N5322" s="631"/>
      <c r="O5322" s="628"/>
      <c r="R5322" s="633"/>
      <c r="S5322" s="287"/>
      <c r="U5322" s="287"/>
      <c r="V5322" s="287"/>
    </row>
    <row r="5323" spans="1:22" x14ac:dyDescent="0.25">
      <c r="A5323" s="287"/>
      <c r="B5323" s="626"/>
      <c r="C5323" s="287"/>
      <c r="D5323" s="627"/>
      <c r="G5323" s="627"/>
      <c r="J5323" s="287"/>
      <c r="K5323" s="630"/>
      <c r="L5323" s="630"/>
      <c r="M5323" s="287"/>
      <c r="N5323" s="631"/>
      <c r="O5323" s="628"/>
      <c r="R5323" s="633"/>
      <c r="S5323" s="287"/>
      <c r="U5323" s="287"/>
      <c r="V5323" s="287"/>
    </row>
    <row r="5324" spans="1:22" x14ac:dyDescent="0.25">
      <c r="A5324" s="287"/>
      <c r="B5324" s="626"/>
      <c r="C5324" s="287"/>
      <c r="D5324" s="627"/>
      <c r="G5324" s="627"/>
      <c r="J5324" s="287"/>
      <c r="K5324" s="630"/>
      <c r="L5324" s="630"/>
      <c r="M5324" s="287"/>
      <c r="N5324" s="631"/>
      <c r="O5324" s="628"/>
      <c r="R5324" s="633"/>
      <c r="S5324" s="287"/>
      <c r="U5324" s="287"/>
      <c r="V5324" s="287"/>
    </row>
    <row r="5325" spans="1:22" x14ac:dyDescent="0.25">
      <c r="A5325" s="287"/>
      <c r="B5325" s="626"/>
      <c r="C5325" s="287"/>
      <c r="D5325" s="627"/>
      <c r="G5325" s="627"/>
      <c r="J5325" s="287"/>
      <c r="K5325" s="630"/>
      <c r="L5325" s="630"/>
      <c r="M5325" s="287"/>
      <c r="N5325" s="631"/>
      <c r="O5325" s="628"/>
      <c r="R5325" s="633"/>
      <c r="S5325" s="287"/>
      <c r="U5325" s="287"/>
      <c r="V5325" s="287"/>
    </row>
    <row r="5326" spans="1:22" x14ac:dyDescent="0.25">
      <c r="A5326" s="287"/>
      <c r="B5326" s="626"/>
      <c r="C5326" s="287"/>
      <c r="D5326" s="627"/>
      <c r="G5326" s="627"/>
      <c r="J5326" s="287"/>
      <c r="K5326" s="630"/>
      <c r="L5326" s="630"/>
      <c r="M5326" s="287"/>
      <c r="N5326" s="631"/>
      <c r="O5326" s="628"/>
      <c r="R5326" s="633"/>
      <c r="S5326" s="287"/>
      <c r="U5326" s="287"/>
      <c r="V5326" s="287"/>
    </row>
    <row r="5327" spans="1:22" x14ac:dyDescent="0.25">
      <c r="A5327" s="287"/>
      <c r="B5327" s="626"/>
      <c r="C5327" s="287"/>
      <c r="D5327" s="627"/>
      <c r="G5327" s="627"/>
      <c r="J5327" s="287"/>
      <c r="K5327" s="630"/>
      <c r="L5327" s="630"/>
      <c r="M5327" s="287"/>
      <c r="N5327" s="631"/>
      <c r="O5327" s="628"/>
      <c r="R5327" s="633"/>
      <c r="S5327" s="287"/>
      <c r="U5327" s="287"/>
      <c r="V5327" s="287"/>
    </row>
    <row r="5328" spans="1:22" x14ac:dyDescent="0.25">
      <c r="A5328" s="287"/>
      <c r="B5328" s="626"/>
      <c r="C5328" s="287"/>
      <c r="D5328" s="627"/>
      <c r="G5328" s="627"/>
      <c r="J5328" s="287"/>
      <c r="K5328" s="630"/>
      <c r="L5328" s="630"/>
      <c r="M5328" s="287"/>
      <c r="N5328" s="631"/>
      <c r="O5328" s="628"/>
      <c r="R5328" s="633"/>
      <c r="S5328" s="287"/>
      <c r="U5328" s="287"/>
      <c r="V5328" s="287"/>
    </row>
    <row r="5329" spans="1:22" x14ac:dyDescent="0.25">
      <c r="A5329" s="287"/>
      <c r="B5329" s="626"/>
      <c r="C5329" s="287"/>
      <c r="D5329" s="627"/>
      <c r="G5329" s="627"/>
      <c r="J5329" s="287"/>
      <c r="K5329" s="630"/>
      <c r="L5329" s="630"/>
      <c r="M5329" s="287"/>
      <c r="N5329" s="631"/>
      <c r="O5329" s="628"/>
      <c r="R5329" s="633"/>
      <c r="S5329" s="287"/>
      <c r="U5329" s="287"/>
      <c r="V5329" s="287"/>
    </row>
    <row r="5330" spans="1:22" x14ac:dyDescent="0.25">
      <c r="A5330" s="287"/>
      <c r="B5330" s="626"/>
      <c r="C5330" s="287"/>
      <c r="D5330" s="627"/>
      <c r="G5330" s="627"/>
      <c r="J5330" s="287"/>
      <c r="K5330" s="630"/>
      <c r="L5330" s="630"/>
      <c r="M5330" s="287"/>
      <c r="N5330" s="631"/>
      <c r="O5330" s="628"/>
      <c r="R5330" s="633"/>
      <c r="S5330" s="287"/>
      <c r="U5330" s="287"/>
      <c r="V5330" s="287"/>
    </row>
    <row r="5331" spans="1:22" x14ac:dyDescent="0.25">
      <c r="A5331" s="287"/>
      <c r="B5331" s="626"/>
      <c r="C5331" s="287"/>
      <c r="D5331" s="627"/>
      <c r="G5331" s="627"/>
      <c r="J5331" s="287"/>
      <c r="K5331" s="630"/>
      <c r="L5331" s="630"/>
      <c r="M5331" s="287"/>
      <c r="N5331" s="631"/>
      <c r="O5331" s="628"/>
      <c r="R5331" s="633"/>
      <c r="S5331" s="287"/>
      <c r="U5331" s="287"/>
      <c r="V5331" s="287"/>
    </row>
    <row r="5332" spans="1:22" x14ac:dyDescent="0.25">
      <c r="A5332" s="287"/>
      <c r="B5332" s="626"/>
      <c r="C5332" s="287"/>
      <c r="D5332" s="627"/>
      <c r="G5332" s="627"/>
      <c r="J5332" s="287"/>
      <c r="K5332" s="630"/>
      <c r="L5332" s="630"/>
      <c r="M5332" s="287"/>
      <c r="N5332" s="631"/>
      <c r="O5332" s="628"/>
      <c r="R5332" s="633"/>
      <c r="S5332" s="287"/>
      <c r="U5332" s="287"/>
      <c r="V5332" s="287"/>
    </row>
    <row r="5333" spans="1:22" x14ac:dyDescent="0.25">
      <c r="A5333" s="287"/>
      <c r="B5333" s="626"/>
      <c r="C5333" s="287"/>
      <c r="D5333" s="627"/>
      <c r="G5333" s="627"/>
      <c r="J5333" s="287"/>
      <c r="K5333" s="630"/>
      <c r="L5333" s="630"/>
      <c r="M5333" s="287"/>
      <c r="N5333" s="631"/>
      <c r="O5333" s="628"/>
      <c r="R5333" s="633"/>
      <c r="S5333" s="287"/>
      <c r="U5333" s="287"/>
      <c r="V5333" s="287"/>
    </row>
    <row r="5334" spans="1:22" x14ac:dyDescent="0.25">
      <c r="A5334" s="287"/>
      <c r="B5334" s="626"/>
      <c r="C5334" s="287"/>
      <c r="D5334" s="627"/>
      <c r="G5334" s="627"/>
      <c r="J5334" s="287"/>
      <c r="K5334" s="630"/>
      <c r="L5334" s="630"/>
      <c r="M5334" s="287"/>
      <c r="N5334" s="631"/>
      <c r="O5334" s="628"/>
      <c r="R5334" s="633"/>
      <c r="S5334" s="287"/>
      <c r="U5334" s="287"/>
      <c r="V5334" s="287"/>
    </row>
    <row r="5335" spans="1:22" x14ac:dyDescent="0.25">
      <c r="A5335" s="287"/>
      <c r="B5335" s="626"/>
      <c r="C5335" s="287"/>
      <c r="D5335" s="627"/>
      <c r="G5335" s="627"/>
      <c r="J5335" s="287"/>
      <c r="K5335" s="630"/>
      <c r="L5335" s="630"/>
      <c r="M5335" s="287"/>
      <c r="N5335" s="631"/>
      <c r="O5335" s="628"/>
      <c r="R5335" s="633"/>
      <c r="S5335" s="287"/>
      <c r="U5335" s="287"/>
      <c r="V5335" s="287"/>
    </row>
    <row r="5336" spans="1:22" x14ac:dyDescent="0.25">
      <c r="A5336" s="287"/>
      <c r="B5336" s="626"/>
      <c r="C5336" s="287"/>
      <c r="D5336" s="627"/>
      <c r="G5336" s="627"/>
      <c r="J5336" s="287"/>
      <c r="K5336" s="630"/>
      <c r="L5336" s="630"/>
      <c r="M5336" s="287"/>
      <c r="N5336" s="631"/>
      <c r="O5336" s="628"/>
      <c r="R5336" s="633"/>
      <c r="S5336" s="287"/>
      <c r="U5336" s="287"/>
      <c r="V5336" s="287"/>
    </row>
    <row r="5337" spans="1:22" x14ac:dyDescent="0.25">
      <c r="A5337" s="287"/>
      <c r="B5337" s="626"/>
      <c r="C5337" s="287"/>
      <c r="D5337" s="627"/>
      <c r="G5337" s="627"/>
      <c r="J5337" s="287"/>
      <c r="K5337" s="630"/>
      <c r="L5337" s="630"/>
      <c r="M5337" s="287"/>
      <c r="N5337" s="631"/>
      <c r="O5337" s="628"/>
      <c r="R5337" s="633"/>
      <c r="S5337" s="287"/>
      <c r="U5337" s="287"/>
      <c r="V5337" s="287"/>
    </row>
    <row r="5338" spans="1:22" x14ac:dyDescent="0.25">
      <c r="A5338" s="287"/>
      <c r="B5338" s="626"/>
      <c r="C5338" s="287"/>
      <c r="D5338" s="627"/>
      <c r="G5338" s="627"/>
      <c r="J5338" s="287"/>
      <c r="K5338" s="630"/>
      <c r="L5338" s="630"/>
      <c r="M5338" s="287"/>
      <c r="N5338" s="631"/>
      <c r="O5338" s="628"/>
      <c r="R5338" s="633"/>
      <c r="S5338" s="287"/>
      <c r="U5338" s="287"/>
      <c r="V5338" s="287"/>
    </row>
    <row r="5339" spans="1:22" x14ac:dyDescent="0.25">
      <c r="A5339" s="287"/>
      <c r="B5339" s="626"/>
      <c r="C5339" s="287"/>
      <c r="D5339" s="627"/>
      <c r="G5339" s="627"/>
      <c r="J5339" s="287"/>
      <c r="K5339" s="630"/>
      <c r="L5339" s="630"/>
      <c r="M5339" s="287"/>
      <c r="N5339" s="631"/>
      <c r="O5339" s="628"/>
      <c r="R5339" s="633"/>
      <c r="S5339" s="287"/>
      <c r="U5339" s="287"/>
      <c r="V5339" s="287"/>
    </row>
    <row r="5340" spans="1:22" x14ac:dyDescent="0.25">
      <c r="A5340" s="287"/>
      <c r="B5340" s="626"/>
      <c r="C5340" s="287"/>
      <c r="D5340" s="627"/>
      <c r="G5340" s="627"/>
      <c r="J5340" s="287"/>
      <c r="K5340" s="630"/>
      <c r="L5340" s="630"/>
      <c r="M5340" s="287"/>
      <c r="N5340" s="631"/>
      <c r="O5340" s="628"/>
      <c r="R5340" s="633"/>
      <c r="S5340" s="287"/>
      <c r="U5340" s="287"/>
      <c r="V5340" s="287"/>
    </row>
    <row r="5341" spans="1:22" x14ac:dyDescent="0.25">
      <c r="A5341" s="287"/>
      <c r="B5341" s="626"/>
      <c r="C5341" s="287"/>
      <c r="D5341" s="627"/>
      <c r="G5341" s="627"/>
      <c r="J5341" s="287"/>
      <c r="K5341" s="630"/>
      <c r="L5341" s="630"/>
      <c r="M5341" s="287"/>
      <c r="N5341" s="631"/>
      <c r="O5341" s="628"/>
      <c r="R5341" s="633"/>
      <c r="S5341" s="287"/>
      <c r="U5341" s="287"/>
      <c r="V5341" s="287"/>
    </row>
    <row r="5342" spans="1:22" x14ac:dyDescent="0.25">
      <c r="A5342" s="287"/>
      <c r="B5342" s="626"/>
      <c r="C5342" s="287"/>
      <c r="D5342" s="627"/>
      <c r="G5342" s="627"/>
      <c r="J5342" s="287"/>
      <c r="K5342" s="630"/>
      <c r="L5342" s="630"/>
      <c r="M5342" s="287"/>
      <c r="N5342" s="631"/>
      <c r="O5342" s="628"/>
      <c r="R5342" s="633"/>
      <c r="S5342" s="287"/>
      <c r="U5342" s="287"/>
      <c r="V5342" s="287"/>
    </row>
    <row r="5343" spans="1:22" x14ac:dyDescent="0.25">
      <c r="A5343" s="287"/>
      <c r="B5343" s="626"/>
      <c r="C5343" s="287"/>
      <c r="D5343" s="627"/>
      <c r="G5343" s="627"/>
      <c r="J5343" s="287"/>
      <c r="K5343" s="630"/>
      <c r="L5343" s="630"/>
      <c r="M5343" s="287"/>
      <c r="N5343" s="631"/>
      <c r="O5343" s="628"/>
      <c r="R5343" s="633"/>
      <c r="S5343" s="287"/>
      <c r="U5343" s="287"/>
      <c r="V5343" s="287"/>
    </row>
    <row r="5344" spans="1:22" x14ac:dyDescent="0.25">
      <c r="A5344" s="287"/>
      <c r="B5344" s="626"/>
      <c r="C5344" s="287"/>
      <c r="D5344" s="627"/>
      <c r="G5344" s="627"/>
      <c r="J5344" s="287"/>
      <c r="K5344" s="630"/>
      <c r="L5344" s="630"/>
      <c r="M5344" s="287"/>
      <c r="N5344" s="631"/>
      <c r="O5344" s="628"/>
      <c r="R5344" s="633"/>
      <c r="S5344" s="287"/>
      <c r="U5344" s="287"/>
      <c r="V5344" s="287"/>
    </row>
    <row r="5345" spans="1:22" x14ac:dyDescent="0.25">
      <c r="A5345" s="287"/>
      <c r="B5345" s="626"/>
      <c r="C5345" s="287"/>
      <c r="D5345" s="627"/>
      <c r="G5345" s="627"/>
      <c r="J5345" s="287"/>
      <c r="K5345" s="630"/>
      <c r="L5345" s="630"/>
      <c r="M5345" s="287"/>
      <c r="N5345" s="631"/>
      <c r="O5345" s="628"/>
      <c r="R5345" s="633"/>
      <c r="S5345" s="287"/>
      <c r="U5345" s="287"/>
      <c r="V5345" s="287"/>
    </row>
    <row r="5346" spans="1:22" x14ac:dyDescent="0.25">
      <c r="A5346" s="287"/>
      <c r="B5346" s="626"/>
      <c r="C5346" s="287"/>
      <c r="D5346" s="627"/>
      <c r="G5346" s="627"/>
      <c r="J5346" s="287"/>
      <c r="K5346" s="630"/>
      <c r="L5346" s="630"/>
      <c r="M5346" s="287"/>
      <c r="N5346" s="631"/>
      <c r="O5346" s="628"/>
      <c r="R5346" s="633"/>
      <c r="S5346" s="287"/>
      <c r="U5346" s="287"/>
      <c r="V5346" s="287"/>
    </row>
    <row r="5347" spans="1:22" x14ac:dyDescent="0.25">
      <c r="A5347" s="287"/>
      <c r="B5347" s="626"/>
      <c r="C5347" s="287"/>
      <c r="D5347" s="627"/>
      <c r="G5347" s="627"/>
      <c r="J5347" s="287"/>
      <c r="K5347" s="630"/>
      <c r="L5347" s="630"/>
      <c r="M5347" s="287"/>
      <c r="N5347" s="631"/>
      <c r="O5347" s="628"/>
      <c r="R5347" s="633"/>
      <c r="S5347" s="287"/>
      <c r="U5347" s="287"/>
      <c r="V5347" s="287"/>
    </row>
    <row r="5348" spans="1:22" x14ac:dyDescent="0.25">
      <c r="A5348" s="287"/>
      <c r="B5348" s="626"/>
      <c r="C5348" s="287"/>
      <c r="D5348" s="627"/>
      <c r="G5348" s="627"/>
      <c r="J5348" s="287"/>
      <c r="K5348" s="630"/>
      <c r="L5348" s="630"/>
      <c r="M5348" s="287"/>
      <c r="N5348" s="631"/>
      <c r="O5348" s="628"/>
      <c r="R5348" s="633"/>
      <c r="S5348" s="287"/>
      <c r="U5348" s="287"/>
      <c r="V5348" s="287"/>
    </row>
    <row r="5349" spans="1:22" x14ac:dyDescent="0.25">
      <c r="A5349" s="287"/>
      <c r="B5349" s="626"/>
      <c r="C5349" s="287"/>
      <c r="D5349" s="627"/>
      <c r="G5349" s="627"/>
      <c r="J5349" s="287"/>
      <c r="K5349" s="630"/>
      <c r="L5349" s="630"/>
      <c r="M5349" s="287"/>
      <c r="N5349" s="631"/>
      <c r="O5349" s="628"/>
      <c r="R5349" s="633"/>
      <c r="S5349" s="287"/>
      <c r="U5349" s="287"/>
      <c r="V5349" s="287"/>
    </row>
    <row r="5350" spans="1:22" x14ac:dyDescent="0.25">
      <c r="A5350" s="287"/>
      <c r="B5350" s="626"/>
      <c r="C5350" s="287"/>
      <c r="D5350" s="627"/>
      <c r="G5350" s="627"/>
      <c r="J5350" s="287"/>
      <c r="K5350" s="630"/>
      <c r="L5350" s="630"/>
      <c r="M5350" s="287"/>
      <c r="N5350" s="631"/>
      <c r="O5350" s="628"/>
      <c r="R5350" s="633"/>
      <c r="S5350" s="287"/>
      <c r="U5350" s="287"/>
      <c r="V5350" s="287"/>
    </row>
    <row r="5351" spans="1:22" x14ac:dyDescent="0.25">
      <c r="A5351" s="287"/>
      <c r="B5351" s="626"/>
      <c r="C5351" s="287"/>
      <c r="D5351" s="627"/>
      <c r="G5351" s="627"/>
      <c r="J5351" s="287"/>
      <c r="K5351" s="630"/>
      <c r="L5351" s="630"/>
      <c r="M5351" s="287"/>
      <c r="N5351" s="631"/>
      <c r="O5351" s="628"/>
      <c r="R5351" s="633"/>
      <c r="S5351" s="287"/>
      <c r="U5351" s="287"/>
      <c r="V5351" s="287"/>
    </row>
    <row r="5352" spans="1:22" x14ac:dyDescent="0.25">
      <c r="A5352" s="287"/>
      <c r="B5352" s="626"/>
      <c r="C5352" s="287"/>
      <c r="D5352" s="627"/>
      <c r="G5352" s="627"/>
      <c r="J5352" s="287"/>
      <c r="K5352" s="630"/>
      <c r="L5352" s="630"/>
      <c r="M5352" s="287"/>
      <c r="N5352" s="631"/>
      <c r="O5352" s="628"/>
      <c r="R5352" s="633"/>
      <c r="S5352" s="287"/>
      <c r="U5352" s="287"/>
      <c r="V5352" s="287"/>
    </row>
    <row r="5353" spans="1:22" x14ac:dyDescent="0.25">
      <c r="A5353" s="287"/>
      <c r="B5353" s="626"/>
      <c r="C5353" s="287"/>
      <c r="D5353" s="627"/>
      <c r="G5353" s="627"/>
      <c r="J5353" s="287"/>
      <c r="K5353" s="630"/>
      <c r="L5353" s="630"/>
      <c r="M5353" s="287"/>
      <c r="N5353" s="631"/>
      <c r="O5353" s="628"/>
      <c r="R5353" s="633"/>
      <c r="S5353" s="287"/>
      <c r="U5353" s="287"/>
      <c r="V5353" s="287"/>
    </row>
    <row r="5354" spans="1:22" x14ac:dyDescent="0.25">
      <c r="A5354" s="287"/>
      <c r="B5354" s="626"/>
      <c r="C5354" s="287"/>
      <c r="D5354" s="627"/>
      <c r="G5354" s="627"/>
      <c r="J5354" s="287"/>
      <c r="K5354" s="630"/>
      <c r="L5354" s="630"/>
      <c r="M5354" s="287"/>
      <c r="N5354" s="631"/>
      <c r="O5354" s="628"/>
      <c r="R5354" s="633"/>
      <c r="S5354" s="287"/>
      <c r="U5354" s="287"/>
      <c r="V5354" s="287"/>
    </row>
    <row r="5355" spans="1:22" x14ac:dyDescent="0.25">
      <c r="A5355" s="287"/>
      <c r="B5355" s="626"/>
      <c r="C5355" s="287"/>
      <c r="D5355" s="627"/>
      <c r="G5355" s="627"/>
      <c r="J5355" s="287"/>
      <c r="K5355" s="630"/>
      <c r="L5355" s="630"/>
      <c r="M5355" s="287"/>
      <c r="N5355" s="631"/>
      <c r="O5355" s="628"/>
      <c r="R5355" s="633"/>
      <c r="S5355" s="287"/>
      <c r="U5355" s="287"/>
      <c r="V5355" s="287"/>
    </row>
    <row r="5356" spans="1:22" x14ac:dyDescent="0.25">
      <c r="A5356" s="287"/>
      <c r="B5356" s="626"/>
      <c r="C5356" s="287"/>
      <c r="D5356" s="627"/>
      <c r="G5356" s="627"/>
      <c r="J5356" s="287"/>
      <c r="K5356" s="630"/>
      <c r="L5356" s="630"/>
      <c r="M5356" s="287"/>
      <c r="N5356" s="631"/>
      <c r="O5356" s="628"/>
      <c r="R5356" s="633"/>
      <c r="S5356" s="287"/>
      <c r="U5356" s="287"/>
      <c r="V5356" s="287"/>
    </row>
    <row r="5357" spans="1:22" x14ac:dyDescent="0.25">
      <c r="A5357" s="287"/>
      <c r="B5357" s="626"/>
      <c r="C5357" s="287"/>
      <c r="D5357" s="627"/>
      <c r="G5357" s="627"/>
      <c r="J5357" s="287"/>
      <c r="K5357" s="630"/>
      <c r="L5357" s="630"/>
      <c r="M5357" s="287"/>
      <c r="N5357" s="631"/>
      <c r="O5357" s="628"/>
      <c r="R5357" s="633"/>
      <c r="S5357" s="287"/>
      <c r="U5357" s="287"/>
      <c r="V5357" s="287"/>
    </row>
    <row r="5358" spans="1:22" x14ac:dyDescent="0.25">
      <c r="A5358" s="287"/>
      <c r="B5358" s="626"/>
      <c r="C5358" s="287"/>
      <c r="D5358" s="627"/>
      <c r="G5358" s="627"/>
      <c r="J5358" s="287"/>
      <c r="K5358" s="630"/>
      <c r="L5358" s="630"/>
      <c r="M5358" s="287"/>
      <c r="N5358" s="631"/>
      <c r="O5358" s="628"/>
      <c r="R5358" s="633"/>
      <c r="S5358" s="287"/>
      <c r="U5358" s="287"/>
      <c r="V5358" s="287"/>
    </row>
    <row r="5359" spans="1:22" x14ac:dyDescent="0.25">
      <c r="A5359" s="287"/>
      <c r="B5359" s="626"/>
      <c r="C5359" s="287"/>
      <c r="D5359" s="627"/>
      <c r="G5359" s="627"/>
      <c r="J5359" s="287"/>
      <c r="K5359" s="630"/>
      <c r="L5359" s="630"/>
      <c r="M5359" s="287"/>
      <c r="N5359" s="631"/>
      <c r="O5359" s="628"/>
      <c r="R5359" s="633"/>
      <c r="S5359" s="287"/>
      <c r="U5359" s="287"/>
      <c r="V5359" s="287"/>
    </row>
    <row r="5360" spans="1:22" x14ac:dyDescent="0.25">
      <c r="A5360" s="287"/>
      <c r="B5360" s="626"/>
      <c r="C5360" s="287"/>
      <c r="D5360" s="627"/>
      <c r="G5360" s="627"/>
      <c r="J5360" s="287"/>
      <c r="K5360" s="630"/>
      <c r="L5360" s="630"/>
      <c r="M5360" s="287"/>
      <c r="N5360" s="631"/>
      <c r="O5360" s="628"/>
      <c r="R5360" s="633"/>
      <c r="S5360" s="287"/>
      <c r="U5360" s="287"/>
      <c r="V5360" s="287"/>
    </row>
    <row r="5361" spans="1:22" x14ac:dyDescent="0.25">
      <c r="A5361" s="287"/>
      <c r="B5361" s="626"/>
      <c r="C5361" s="287"/>
      <c r="D5361" s="627"/>
      <c r="G5361" s="627"/>
      <c r="J5361" s="287"/>
      <c r="K5361" s="630"/>
      <c r="L5361" s="630"/>
      <c r="M5361" s="287"/>
      <c r="N5361" s="631"/>
      <c r="O5361" s="628"/>
      <c r="R5361" s="633"/>
      <c r="S5361" s="287"/>
      <c r="U5361" s="287"/>
      <c r="V5361" s="287"/>
    </row>
    <row r="5362" spans="1:22" x14ac:dyDescent="0.25">
      <c r="A5362" s="287"/>
      <c r="B5362" s="626"/>
      <c r="C5362" s="287"/>
      <c r="D5362" s="627"/>
      <c r="G5362" s="627"/>
      <c r="J5362" s="287"/>
      <c r="K5362" s="630"/>
      <c r="L5362" s="630"/>
      <c r="M5362" s="287"/>
      <c r="N5362" s="631"/>
      <c r="O5362" s="628"/>
      <c r="R5362" s="633"/>
      <c r="S5362" s="287"/>
      <c r="U5362" s="287"/>
      <c r="V5362" s="287"/>
    </row>
    <row r="5363" spans="1:22" x14ac:dyDescent="0.25">
      <c r="A5363" s="287"/>
      <c r="B5363" s="626"/>
      <c r="C5363" s="287"/>
      <c r="D5363" s="627"/>
      <c r="G5363" s="627"/>
      <c r="J5363" s="287"/>
      <c r="K5363" s="630"/>
      <c r="L5363" s="630"/>
      <c r="M5363" s="287"/>
      <c r="N5363" s="631"/>
      <c r="O5363" s="628"/>
      <c r="R5363" s="633"/>
      <c r="S5363" s="287"/>
      <c r="U5363" s="287"/>
      <c r="V5363" s="287"/>
    </row>
    <row r="5364" spans="1:22" x14ac:dyDescent="0.25">
      <c r="A5364" s="287"/>
      <c r="B5364" s="626"/>
      <c r="C5364" s="287"/>
      <c r="D5364" s="627"/>
      <c r="G5364" s="627"/>
      <c r="J5364" s="287"/>
      <c r="K5364" s="630"/>
      <c r="L5364" s="630"/>
      <c r="M5364" s="287"/>
      <c r="N5364" s="631"/>
      <c r="O5364" s="628"/>
      <c r="R5364" s="633"/>
      <c r="S5364" s="287"/>
      <c r="U5364" s="287"/>
      <c r="V5364" s="287"/>
    </row>
    <row r="5365" spans="1:22" x14ac:dyDescent="0.25">
      <c r="A5365" s="287"/>
      <c r="B5365" s="626"/>
      <c r="C5365" s="287"/>
      <c r="D5365" s="627"/>
      <c r="G5365" s="627"/>
      <c r="J5365" s="287"/>
      <c r="K5365" s="630"/>
      <c r="L5365" s="630"/>
      <c r="M5365" s="287"/>
      <c r="N5365" s="631"/>
      <c r="O5365" s="628"/>
      <c r="R5365" s="633"/>
      <c r="S5365" s="287"/>
      <c r="U5365" s="287"/>
      <c r="V5365" s="287"/>
    </row>
    <row r="5366" spans="1:22" x14ac:dyDescent="0.25">
      <c r="A5366" s="287"/>
      <c r="B5366" s="626"/>
      <c r="C5366" s="287"/>
      <c r="D5366" s="627"/>
      <c r="G5366" s="627"/>
      <c r="J5366" s="287"/>
      <c r="K5366" s="630"/>
      <c r="L5366" s="630"/>
      <c r="M5366" s="287"/>
      <c r="N5366" s="631"/>
      <c r="O5366" s="628"/>
      <c r="R5366" s="633"/>
      <c r="S5366" s="287"/>
      <c r="U5366" s="287"/>
      <c r="V5366" s="287"/>
    </row>
    <row r="5367" spans="1:22" x14ac:dyDescent="0.25">
      <c r="A5367" s="287"/>
      <c r="B5367" s="626"/>
      <c r="C5367" s="287"/>
      <c r="D5367" s="627"/>
      <c r="G5367" s="627"/>
      <c r="J5367" s="287"/>
      <c r="K5367" s="630"/>
      <c r="L5367" s="630"/>
      <c r="M5367" s="287"/>
      <c r="N5367" s="631"/>
      <c r="O5367" s="628"/>
      <c r="R5367" s="633"/>
      <c r="S5367" s="287"/>
      <c r="U5367" s="287"/>
      <c r="V5367" s="287"/>
    </row>
    <row r="5368" spans="1:22" x14ac:dyDescent="0.25">
      <c r="A5368" s="287"/>
      <c r="B5368" s="626"/>
      <c r="C5368" s="287"/>
      <c r="D5368" s="627"/>
      <c r="G5368" s="627"/>
      <c r="J5368" s="287"/>
      <c r="K5368" s="630"/>
      <c r="L5368" s="630"/>
      <c r="M5368" s="287"/>
      <c r="N5368" s="631"/>
      <c r="O5368" s="628"/>
      <c r="R5368" s="633"/>
      <c r="S5368" s="287"/>
      <c r="U5368" s="287"/>
      <c r="V5368" s="287"/>
    </row>
    <row r="5369" spans="1:22" x14ac:dyDescent="0.25">
      <c r="A5369" s="287"/>
      <c r="B5369" s="626"/>
      <c r="C5369" s="287"/>
      <c r="D5369" s="627"/>
      <c r="G5369" s="627"/>
      <c r="J5369" s="287"/>
      <c r="K5369" s="630"/>
      <c r="L5369" s="630"/>
      <c r="M5369" s="287"/>
      <c r="N5369" s="631"/>
      <c r="O5369" s="628"/>
      <c r="R5369" s="633"/>
      <c r="S5369" s="287"/>
      <c r="U5369" s="287"/>
      <c r="V5369" s="287"/>
    </row>
    <row r="5370" spans="1:22" x14ac:dyDescent="0.25">
      <c r="A5370" s="287"/>
      <c r="B5370" s="626"/>
      <c r="C5370" s="287"/>
      <c r="D5370" s="627"/>
      <c r="G5370" s="627"/>
      <c r="J5370" s="287"/>
      <c r="K5370" s="630"/>
      <c r="L5370" s="630"/>
      <c r="M5370" s="287"/>
      <c r="N5370" s="631"/>
      <c r="O5370" s="628"/>
      <c r="R5370" s="633"/>
      <c r="S5370" s="287"/>
      <c r="U5370" s="287"/>
      <c r="V5370" s="287"/>
    </row>
    <row r="5371" spans="1:22" x14ac:dyDescent="0.25">
      <c r="A5371" s="287"/>
      <c r="B5371" s="626"/>
      <c r="C5371" s="287"/>
      <c r="D5371" s="627"/>
      <c r="G5371" s="627"/>
      <c r="J5371" s="287"/>
      <c r="K5371" s="630"/>
      <c r="L5371" s="630"/>
      <c r="M5371" s="287"/>
      <c r="N5371" s="631"/>
      <c r="O5371" s="628"/>
      <c r="R5371" s="633"/>
      <c r="S5371" s="287"/>
      <c r="U5371" s="287"/>
      <c r="V5371" s="287"/>
    </row>
    <row r="5372" spans="1:22" x14ac:dyDescent="0.25">
      <c r="A5372" s="287"/>
      <c r="B5372" s="626"/>
      <c r="C5372" s="287"/>
      <c r="D5372" s="627"/>
      <c r="G5372" s="627"/>
      <c r="J5372" s="287"/>
      <c r="K5372" s="630"/>
      <c r="L5372" s="630"/>
      <c r="M5372" s="287"/>
      <c r="N5372" s="631"/>
      <c r="O5372" s="628"/>
      <c r="R5372" s="633"/>
      <c r="S5372" s="287"/>
      <c r="U5372" s="287"/>
      <c r="V5372" s="287"/>
    </row>
    <row r="5373" spans="1:22" x14ac:dyDescent="0.25">
      <c r="A5373" s="287"/>
      <c r="B5373" s="626"/>
      <c r="C5373" s="287"/>
      <c r="D5373" s="627"/>
      <c r="G5373" s="627"/>
      <c r="J5373" s="287"/>
      <c r="K5373" s="630"/>
      <c r="L5373" s="630"/>
      <c r="M5373" s="287"/>
      <c r="N5373" s="631"/>
      <c r="O5373" s="628"/>
      <c r="R5373" s="633"/>
      <c r="S5373" s="287"/>
      <c r="U5373" s="287"/>
      <c r="V5373" s="287"/>
    </row>
    <row r="5374" spans="1:22" x14ac:dyDescent="0.25">
      <c r="A5374" s="287"/>
      <c r="B5374" s="626"/>
      <c r="C5374" s="287"/>
      <c r="D5374" s="627"/>
      <c r="G5374" s="627"/>
      <c r="J5374" s="287"/>
      <c r="K5374" s="630"/>
      <c r="L5374" s="630"/>
      <c r="M5374" s="287"/>
      <c r="N5374" s="631"/>
      <c r="O5374" s="628"/>
      <c r="R5374" s="633"/>
      <c r="S5374" s="287"/>
      <c r="U5374" s="287"/>
      <c r="V5374" s="287"/>
    </row>
    <row r="5375" spans="1:22" x14ac:dyDescent="0.25">
      <c r="A5375" s="287"/>
      <c r="B5375" s="626"/>
      <c r="C5375" s="287"/>
      <c r="D5375" s="627"/>
      <c r="G5375" s="627"/>
      <c r="J5375" s="287"/>
      <c r="K5375" s="630"/>
      <c r="L5375" s="630"/>
      <c r="M5375" s="287"/>
      <c r="N5375" s="631"/>
      <c r="O5375" s="628"/>
      <c r="R5375" s="633"/>
      <c r="S5375" s="287"/>
      <c r="U5375" s="287"/>
      <c r="V5375" s="287"/>
    </row>
    <row r="5376" spans="1:22" x14ac:dyDescent="0.25">
      <c r="A5376" s="287"/>
      <c r="B5376" s="626"/>
      <c r="C5376" s="287"/>
      <c r="D5376" s="627"/>
      <c r="G5376" s="627"/>
      <c r="J5376" s="287"/>
      <c r="K5376" s="630"/>
      <c r="L5376" s="630"/>
      <c r="M5376" s="287"/>
      <c r="N5376" s="631"/>
      <c r="O5376" s="628"/>
      <c r="R5376" s="633"/>
      <c r="S5376" s="287"/>
      <c r="U5376" s="287"/>
      <c r="V5376" s="287"/>
    </row>
    <row r="5377" spans="1:22" x14ac:dyDescent="0.25">
      <c r="A5377" s="287"/>
      <c r="B5377" s="626"/>
      <c r="C5377" s="287"/>
      <c r="D5377" s="627"/>
      <c r="G5377" s="627"/>
      <c r="J5377" s="287"/>
      <c r="K5377" s="630"/>
      <c r="L5377" s="630"/>
      <c r="M5377" s="287"/>
      <c r="N5377" s="631"/>
      <c r="O5377" s="628"/>
      <c r="R5377" s="633"/>
      <c r="S5377" s="287"/>
      <c r="U5377" s="287"/>
      <c r="V5377" s="287"/>
    </row>
    <row r="5378" spans="1:22" x14ac:dyDescent="0.25">
      <c r="A5378" s="287"/>
      <c r="B5378" s="626"/>
      <c r="C5378" s="287"/>
      <c r="D5378" s="627"/>
      <c r="G5378" s="627"/>
      <c r="J5378" s="287"/>
      <c r="K5378" s="630"/>
      <c r="L5378" s="630"/>
      <c r="M5378" s="287"/>
      <c r="N5378" s="631"/>
      <c r="O5378" s="628"/>
      <c r="R5378" s="633"/>
      <c r="S5378" s="287"/>
      <c r="U5378" s="287"/>
      <c r="V5378" s="287"/>
    </row>
    <row r="5379" spans="1:22" x14ac:dyDescent="0.25">
      <c r="A5379" s="287"/>
      <c r="B5379" s="626"/>
      <c r="C5379" s="287"/>
      <c r="D5379" s="627"/>
      <c r="G5379" s="627"/>
      <c r="J5379" s="287"/>
      <c r="K5379" s="630"/>
      <c r="L5379" s="630"/>
      <c r="M5379" s="287"/>
      <c r="N5379" s="631"/>
      <c r="O5379" s="628"/>
      <c r="R5379" s="633"/>
      <c r="S5379" s="287"/>
      <c r="U5379" s="287"/>
      <c r="V5379" s="287"/>
    </row>
    <row r="5380" spans="1:22" x14ac:dyDescent="0.25">
      <c r="A5380" s="287"/>
      <c r="B5380" s="626"/>
      <c r="C5380" s="287"/>
      <c r="D5380" s="627"/>
      <c r="G5380" s="627"/>
      <c r="J5380" s="287"/>
      <c r="K5380" s="630"/>
      <c r="L5380" s="630"/>
      <c r="M5380" s="287"/>
      <c r="N5380" s="631"/>
      <c r="O5380" s="628"/>
      <c r="R5380" s="633"/>
      <c r="S5380" s="287"/>
      <c r="U5380" s="287"/>
      <c r="V5380" s="287"/>
    </row>
    <row r="5381" spans="1:22" x14ac:dyDescent="0.25">
      <c r="A5381" s="287"/>
      <c r="B5381" s="626"/>
      <c r="C5381" s="287"/>
      <c r="D5381" s="627"/>
      <c r="G5381" s="627"/>
      <c r="J5381" s="287"/>
      <c r="K5381" s="630"/>
      <c r="L5381" s="630"/>
      <c r="M5381" s="287"/>
      <c r="N5381" s="631"/>
      <c r="O5381" s="628"/>
      <c r="R5381" s="633"/>
      <c r="S5381" s="287"/>
      <c r="U5381" s="287"/>
      <c r="V5381" s="287"/>
    </row>
    <row r="5382" spans="1:22" x14ac:dyDescent="0.25">
      <c r="A5382" s="287"/>
      <c r="B5382" s="626"/>
      <c r="C5382" s="287"/>
      <c r="D5382" s="627"/>
      <c r="G5382" s="627"/>
      <c r="J5382" s="287"/>
      <c r="K5382" s="630"/>
      <c r="L5382" s="630"/>
      <c r="M5382" s="287"/>
      <c r="N5382" s="631"/>
      <c r="O5382" s="628"/>
      <c r="R5382" s="633"/>
      <c r="S5382" s="287"/>
      <c r="U5382" s="287"/>
      <c r="V5382" s="287"/>
    </row>
    <row r="5383" spans="1:22" x14ac:dyDescent="0.25">
      <c r="A5383" s="287"/>
      <c r="B5383" s="626"/>
      <c r="C5383" s="287"/>
      <c r="D5383" s="627"/>
      <c r="G5383" s="627"/>
      <c r="J5383" s="287"/>
      <c r="K5383" s="630"/>
      <c r="L5383" s="630"/>
      <c r="M5383" s="287"/>
      <c r="N5383" s="631"/>
      <c r="O5383" s="628"/>
      <c r="R5383" s="633"/>
      <c r="S5383" s="287"/>
      <c r="U5383" s="287"/>
      <c r="V5383" s="287"/>
    </row>
    <row r="5384" spans="1:22" x14ac:dyDescent="0.25">
      <c r="A5384" s="287"/>
      <c r="B5384" s="626"/>
      <c r="C5384" s="287"/>
      <c r="D5384" s="627"/>
      <c r="G5384" s="627"/>
      <c r="J5384" s="287"/>
      <c r="K5384" s="630"/>
      <c r="L5384" s="630"/>
      <c r="M5384" s="287"/>
      <c r="N5384" s="631"/>
      <c r="O5384" s="628"/>
      <c r="R5384" s="633"/>
      <c r="S5384" s="287"/>
      <c r="U5384" s="287"/>
      <c r="V5384" s="287"/>
    </row>
    <row r="5385" spans="1:22" x14ac:dyDescent="0.25">
      <c r="A5385" s="287"/>
      <c r="B5385" s="626"/>
      <c r="C5385" s="287"/>
      <c r="D5385" s="627"/>
      <c r="G5385" s="627"/>
      <c r="J5385" s="287"/>
      <c r="K5385" s="630"/>
      <c r="L5385" s="630"/>
      <c r="M5385" s="287"/>
      <c r="N5385" s="631"/>
      <c r="O5385" s="628"/>
      <c r="R5385" s="633"/>
      <c r="S5385" s="287"/>
      <c r="U5385" s="287"/>
      <c r="V5385" s="287"/>
    </row>
    <row r="5386" spans="1:22" x14ac:dyDescent="0.25">
      <c r="A5386" s="287"/>
      <c r="B5386" s="626"/>
      <c r="C5386" s="287"/>
      <c r="D5386" s="627"/>
      <c r="G5386" s="627"/>
      <c r="J5386" s="287"/>
      <c r="K5386" s="630"/>
      <c r="L5386" s="630"/>
      <c r="M5386" s="287"/>
      <c r="N5386" s="631"/>
      <c r="O5386" s="628"/>
      <c r="R5386" s="633"/>
      <c r="S5386" s="287"/>
      <c r="U5386" s="287"/>
      <c r="V5386" s="287"/>
    </row>
    <row r="5387" spans="1:22" x14ac:dyDescent="0.25">
      <c r="A5387" s="287"/>
      <c r="B5387" s="626"/>
      <c r="C5387" s="287"/>
      <c r="D5387" s="627"/>
      <c r="G5387" s="627"/>
      <c r="J5387" s="287"/>
      <c r="K5387" s="630"/>
      <c r="L5387" s="630"/>
      <c r="M5387" s="287"/>
      <c r="N5387" s="631"/>
      <c r="O5387" s="628"/>
      <c r="R5387" s="633"/>
      <c r="S5387" s="287"/>
      <c r="U5387" s="287"/>
      <c r="V5387" s="287"/>
    </row>
    <row r="5388" spans="1:22" x14ac:dyDescent="0.25">
      <c r="A5388" s="287"/>
      <c r="B5388" s="626"/>
      <c r="C5388" s="287"/>
      <c r="D5388" s="627"/>
      <c r="G5388" s="627"/>
      <c r="J5388" s="287"/>
      <c r="K5388" s="630"/>
      <c r="L5388" s="630"/>
      <c r="M5388" s="287"/>
      <c r="N5388" s="631"/>
      <c r="O5388" s="628"/>
      <c r="R5388" s="633"/>
      <c r="S5388" s="287"/>
      <c r="U5388" s="287"/>
      <c r="V5388" s="287"/>
    </row>
    <row r="5389" spans="1:22" x14ac:dyDescent="0.25">
      <c r="A5389" s="287"/>
      <c r="B5389" s="626"/>
      <c r="C5389" s="287"/>
      <c r="D5389" s="627"/>
      <c r="G5389" s="627"/>
      <c r="J5389" s="287"/>
      <c r="K5389" s="630"/>
      <c r="L5389" s="630"/>
      <c r="M5389" s="287"/>
      <c r="N5389" s="631"/>
      <c r="O5389" s="628"/>
      <c r="R5389" s="633"/>
      <c r="S5389" s="287"/>
      <c r="U5389" s="287"/>
      <c r="V5389" s="287"/>
    </row>
    <row r="5390" spans="1:22" x14ac:dyDescent="0.25">
      <c r="A5390" s="287"/>
      <c r="B5390" s="626"/>
      <c r="C5390" s="287"/>
      <c r="D5390" s="627"/>
      <c r="G5390" s="627"/>
      <c r="J5390" s="287"/>
      <c r="K5390" s="630"/>
      <c r="L5390" s="630"/>
      <c r="M5390" s="287"/>
      <c r="N5390" s="631"/>
      <c r="O5390" s="628"/>
      <c r="R5390" s="633"/>
      <c r="S5390" s="287"/>
      <c r="U5390" s="287"/>
      <c r="V5390" s="287"/>
    </row>
    <row r="5391" spans="1:22" x14ac:dyDescent="0.25">
      <c r="A5391" s="287"/>
      <c r="B5391" s="626"/>
      <c r="C5391" s="287"/>
      <c r="D5391" s="627"/>
      <c r="G5391" s="627"/>
      <c r="J5391" s="287"/>
      <c r="K5391" s="630"/>
      <c r="L5391" s="630"/>
      <c r="M5391" s="287"/>
      <c r="N5391" s="631"/>
      <c r="O5391" s="628"/>
      <c r="R5391" s="633"/>
      <c r="S5391" s="287"/>
      <c r="U5391" s="287"/>
      <c r="V5391" s="287"/>
    </row>
    <row r="5392" spans="1:22" x14ac:dyDescent="0.25">
      <c r="A5392" s="287"/>
      <c r="B5392" s="626"/>
      <c r="C5392" s="287"/>
      <c r="D5392" s="627"/>
      <c r="G5392" s="627"/>
      <c r="J5392" s="287"/>
      <c r="K5392" s="630"/>
      <c r="L5392" s="630"/>
      <c r="M5392" s="287"/>
      <c r="N5392" s="631"/>
      <c r="O5392" s="628"/>
      <c r="R5392" s="633"/>
      <c r="S5392" s="287"/>
      <c r="U5392" s="287"/>
      <c r="V5392" s="287"/>
    </row>
    <row r="5393" spans="1:22" x14ac:dyDescent="0.25">
      <c r="A5393" s="287"/>
      <c r="B5393" s="626"/>
      <c r="C5393" s="287"/>
      <c r="D5393" s="627"/>
      <c r="G5393" s="627"/>
      <c r="J5393" s="287"/>
      <c r="K5393" s="630"/>
      <c r="L5393" s="630"/>
      <c r="M5393" s="287"/>
      <c r="N5393" s="631"/>
      <c r="O5393" s="628"/>
      <c r="R5393" s="633"/>
      <c r="S5393" s="287"/>
      <c r="U5393" s="287"/>
      <c r="V5393" s="287"/>
    </row>
    <row r="5394" spans="1:22" x14ac:dyDescent="0.25">
      <c r="A5394" s="287"/>
      <c r="B5394" s="626"/>
      <c r="C5394" s="287"/>
      <c r="D5394" s="627"/>
      <c r="G5394" s="627"/>
      <c r="J5394" s="287"/>
      <c r="K5394" s="630"/>
      <c r="L5394" s="630"/>
      <c r="M5394" s="287"/>
      <c r="N5394" s="631"/>
      <c r="O5394" s="628"/>
      <c r="R5394" s="633"/>
      <c r="S5394" s="287"/>
      <c r="U5394" s="287"/>
      <c r="V5394" s="287"/>
    </row>
    <row r="5395" spans="1:22" x14ac:dyDescent="0.25">
      <c r="A5395" s="287"/>
      <c r="B5395" s="626"/>
      <c r="C5395" s="287"/>
      <c r="D5395" s="627"/>
      <c r="G5395" s="627"/>
      <c r="J5395" s="287"/>
      <c r="K5395" s="630"/>
      <c r="L5395" s="630"/>
      <c r="M5395" s="287"/>
      <c r="N5395" s="631"/>
      <c r="O5395" s="628"/>
      <c r="R5395" s="633"/>
      <c r="S5395" s="287"/>
      <c r="U5395" s="287"/>
      <c r="V5395" s="287"/>
    </row>
    <row r="5396" spans="1:22" x14ac:dyDescent="0.25">
      <c r="A5396" s="287"/>
      <c r="B5396" s="626"/>
      <c r="C5396" s="287"/>
      <c r="D5396" s="627"/>
      <c r="G5396" s="627"/>
      <c r="J5396" s="287"/>
      <c r="K5396" s="630"/>
      <c r="L5396" s="630"/>
      <c r="M5396" s="287"/>
      <c r="N5396" s="631"/>
      <c r="O5396" s="628"/>
      <c r="R5396" s="633"/>
      <c r="S5396" s="287"/>
      <c r="U5396" s="287"/>
      <c r="V5396" s="287"/>
    </row>
    <row r="5397" spans="1:22" x14ac:dyDescent="0.25">
      <c r="A5397" s="287"/>
      <c r="B5397" s="626"/>
      <c r="C5397" s="287"/>
      <c r="D5397" s="627"/>
      <c r="G5397" s="627"/>
      <c r="J5397" s="287"/>
      <c r="K5397" s="630"/>
      <c r="L5397" s="630"/>
      <c r="M5397" s="287"/>
      <c r="N5397" s="631"/>
      <c r="O5397" s="628"/>
      <c r="R5397" s="633"/>
      <c r="S5397" s="287"/>
      <c r="U5397" s="287"/>
      <c r="V5397" s="287"/>
    </row>
    <row r="5398" spans="1:22" x14ac:dyDescent="0.25">
      <c r="A5398" s="287"/>
      <c r="B5398" s="626"/>
      <c r="C5398" s="287"/>
      <c r="D5398" s="627"/>
      <c r="G5398" s="627"/>
      <c r="J5398" s="287"/>
      <c r="K5398" s="630"/>
      <c r="L5398" s="630"/>
      <c r="M5398" s="287"/>
      <c r="N5398" s="631"/>
      <c r="O5398" s="628"/>
      <c r="R5398" s="633"/>
      <c r="S5398" s="287"/>
      <c r="U5398" s="287"/>
      <c r="V5398" s="287"/>
    </row>
    <row r="5399" spans="1:22" x14ac:dyDescent="0.25">
      <c r="A5399" s="287"/>
      <c r="B5399" s="626"/>
      <c r="C5399" s="287"/>
      <c r="D5399" s="627"/>
      <c r="G5399" s="627"/>
      <c r="J5399" s="287"/>
      <c r="K5399" s="630"/>
      <c r="L5399" s="630"/>
      <c r="M5399" s="287"/>
      <c r="N5399" s="631"/>
      <c r="O5399" s="628"/>
      <c r="R5399" s="633"/>
      <c r="S5399" s="287"/>
      <c r="U5399" s="287"/>
      <c r="V5399" s="287"/>
    </row>
    <row r="5400" spans="1:22" x14ac:dyDescent="0.25">
      <c r="A5400" s="287"/>
      <c r="B5400" s="626"/>
      <c r="C5400" s="287"/>
      <c r="D5400" s="627"/>
      <c r="G5400" s="627"/>
      <c r="J5400" s="287"/>
      <c r="K5400" s="630"/>
      <c r="L5400" s="630"/>
      <c r="M5400" s="287"/>
      <c r="N5400" s="631"/>
      <c r="O5400" s="628"/>
      <c r="R5400" s="633"/>
      <c r="S5400" s="287"/>
      <c r="U5400" s="287"/>
      <c r="V5400" s="287"/>
    </row>
    <row r="5401" spans="1:22" x14ac:dyDescent="0.25">
      <c r="A5401" s="287"/>
      <c r="B5401" s="626"/>
      <c r="C5401" s="287"/>
      <c r="D5401" s="627"/>
      <c r="G5401" s="627"/>
      <c r="J5401" s="287"/>
      <c r="K5401" s="630"/>
      <c r="L5401" s="630"/>
      <c r="M5401" s="287"/>
      <c r="N5401" s="631"/>
      <c r="O5401" s="628"/>
      <c r="R5401" s="633"/>
      <c r="S5401" s="287"/>
      <c r="U5401" s="287"/>
      <c r="V5401" s="287"/>
    </row>
    <row r="5402" spans="1:22" x14ac:dyDescent="0.25">
      <c r="A5402" s="287"/>
      <c r="B5402" s="626"/>
      <c r="C5402" s="287"/>
      <c r="D5402" s="627"/>
      <c r="G5402" s="627"/>
      <c r="J5402" s="287"/>
      <c r="K5402" s="630"/>
      <c r="L5402" s="630"/>
      <c r="M5402" s="287"/>
      <c r="N5402" s="631"/>
      <c r="O5402" s="628"/>
      <c r="R5402" s="633"/>
      <c r="S5402" s="287"/>
      <c r="U5402" s="287"/>
      <c r="V5402" s="287"/>
    </row>
    <row r="5403" spans="1:22" x14ac:dyDescent="0.25">
      <c r="A5403" s="287"/>
      <c r="B5403" s="626"/>
      <c r="C5403" s="287"/>
      <c r="D5403" s="627"/>
      <c r="G5403" s="627"/>
      <c r="J5403" s="287"/>
      <c r="K5403" s="630"/>
      <c r="L5403" s="630"/>
      <c r="M5403" s="287"/>
      <c r="N5403" s="631"/>
      <c r="O5403" s="628"/>
      <c r="R5403" s="633"/>
      <c r="S5403" s="287"/>
      <c r="U5403" s="287"/>
      <c r="V5403" s="287"/>
    </row>
    <row r="5404" spans="1:22" x14ac:dyDescent="0.25">
      <c r="A5404" s="287"/>
      <c r="B5404" s="626"/>
      <c r="C5404" s="287"/>
      <c r="D5404" s="627"/>
      <c r="G5404" s="627"/>
      <c r="J5404" s="287"/>
      <c r="K5404" s="630"/>
      <c r="L5404" s="630"/>
      <c r="M5404" s="287"/>
      <c r="N5404" s="631"/>
      <c r="O5404" s="628"/>
      <c r="R5404" s="633"/>
      <c r="S5404" s="287"/>
      <c r="U5404" s="287"/>
      <c r="V5404" s="287"/>
    </row>
    <row r="5405" spans="1:22" x14ac:dyDescent="0.25">
      <c r="A5405" s="287"/>
      <c r="B5405" s="626"/>
      <c r="C5405" s="287"/>
      <c r="D5405" s="627"/>
      <c r="G5405" s="627"/>
      <c r="J5405" s="287"/>
      <c r="K5405" s="630"/>
      <c r="L5405" s="630"/>
      <c r="M5405" s="287"/>
      <c r="N5405" s="631"/>
      <c r="O5405" s="628"/>
      <c r="R5405" s="633"/>
      <c r="S5405" s="287"/>
      <c r="U5405" s="287"/>
      <c r="V5405" s="287"/>
    </row>
    <row r="5406" spans="1:22" x14ac:dyDescent="0.25">
      <c r="A5406" s="287"/>
      <c r="B5406" s="626"/>
      <c r="C5406" s="287"/>
      <c r="D5406" s="627"/>
      <c r="G5406" s="627"/>
      <c r="J5406" s="287"/>
      <c r="K5406" s="630"/>
      <c r="L5406" s="630"/>
      <c r="M5406" s="287"/>
      <c r="N5406" s="631"/>
      <c r="O5406" s="628"/>
      <c r="R5406" s="633"/>
      <c r="S5406" s="287"/>
      <c r="U5406" s="287"/>
      <c r="V5406" s="287"/>
    </row>
    <row r="5407" spans="1:22" x14ac:dyDescent="0.25">
      <c r="A5407" s="287"/>
      <c r="B5407" s="626"/>
      <c r="C5407" s="287"/>
      <c r="D5407" s="627"/>
      <c r="G5407" s="627"/>
      <c r="J5407" s="287"/>
      <c r="K5407" s="630"/>
      <c r="L5407" s="630"/>
      <c r="M5407" s="287"/>
      <c r="N5407" s="631"/>
      <c r="O5407" s="628"/>
      <c r="R5407" s="633"/>
      <c r="S5407" s="287"/>
      <c r="U5407" s="287"/>
      <c r="V5407" s="287"/>
    </row>
    <row r="5408" spans="1:22" x14ac:dyDescent="0.25">
      <c r="A5408" s="287"/>
      <c r="B5408" s="626"/>
      <c r="C5408" s="287"/>
      <c r="D5408" s="627"/>
      <c r="G5408" s="627"/>
      <c r="J5408" s="287"/>
      <c r="K5408" s="630"/>
      <c r="L5408" s="630"/>
      <c r="M5408" s="287"/>
      <c r="N5408" s="631"/>
      <c r="O5408" s="628"/>
      <c r="R5408" s="633"/>
      <c r="S5408" s="287"/>
      <c r="U5408" s="287"/>
      <c r="V5408" s="287"/>
    </row>
    <row r="5409" spans="1:22" x14ac:dyDescent="0.25">
      <c r="A5409" s="287"/>
      <c r="B5409" s="626"/>
      <c r="C5409" s="287"/>
      <c r="D5409" s="627"/>
      <c r="G5409" s="627"/>
      <c r="J5409" s="287"/>
      <c r="K5409" s="630"/>
      <c r="L5409" s="630"/>
      <c r="M5409" s="287"/>
      <c r="N5409" s="631"/>
      <c r="O5409" s="628"/>
      <c r="R5409" s="633"/>
      <c r="S5409" s="287"/>
      <c r="U5409" s="287"/>
      <c r="V5409" s="287"/>
    </row>
    <row r="5410" spans="1:22" x14ac:dyDescent="0.25">
      <c r="A5410" s="287"/>
      <c r="B5410" s="626"/>
      <c r="C5410" s="287"/>
      <c r="D5410" s="627"/>
      <c r="G5410" s="627"/>
      <c r="J5410" s="287"/>
      <c r="K5410" s="630"/>
      <c r="L5410" s="630"/>
      <c r="M5410" s="287"/>
      <c r="N5410" s="631"/>
      <c r="O5410" s="628"/>
      <c r="R5410" s="633"/>
      <c r="S5410" s="287"/>
      <c r="U5410" s="287"/>
      <c r="V5410" s="287"/>
    </row>
    <row r="5411" spans="1:22" x14ac:dyDescent="0.25">
      <c r="A5411" s="287"/>
      <c r="B5411" s="626"/>
      <c r="C5411" s="287"/>
      <c r="D5411" s="627"/>
      <c r="G5411" s="627"/>
      <c r="J5411" s="287"/>
      <c r="K5411" s="630"/>
      <c r="L5411" s="630"/>
      <c r="M5411" s="287"/>
      <c r="N5411" s="631"/>
      <c r="O5411" s="628"/>
      <c r="R5411" s="633"/>
      <c r="S5411" s="287"/>
      <c r="U5411" s="287"/>
      <c r="V5411" s="287"/>
    </row>
    <row r="5412" spans="1:22" x14ac:dyDescent="0.25">
      <c r="A5412" s="287"/>
      <c r="B5412" s="626"/>
      <c r="C5412" s="287"/>
      <c r="D5412" s="627"/>
      <c r="G5412" s="627"/>
      <c r="J5412" s="287"/>
      <c r="K5412" s="630"/>
      <c r="L5412" s="630"/>
      <c r="M5412" s="287"/>
      <c r="N5412" s="631"/>
      <c r="O5412" s="628"/>
      <c r="R5412" s="633"/>
      <c r="S5412" s="287"/>
      <c r="U5412" s="287"/>
      <c r="V5412" s="287"/>
    </row>
    <row r="5413" spans="1:22" x14ac:dyDescent="0.25">
      <c r="A5413" s="287"/>
      <c r="B5413" s="626"/>
      <c r="C5413" s="287"/>
      <c r="D5413" s="627"/>
      <c r="G5413" s="627"/>
      <c r="J5413" s="287"/>
      <c r="K5413" s="630"/>
      <c r="L5413" s="630"/>
      <c r="M5413" s="287"/>
      <c r="N5413" s="631"/>
      <c r="O5413" s="628"/>
      <c r="R5413" s="633"/>
      <c r="S5413" s="287"/>
      <c r="U5413" s="287"/>
      <c r="V5413" s="287"/>
    </row>
    <row r="5414" spans="1:22" x14ac:dyDescent="0.25">
      <c r="A5414" s="287"/>
      <c r="B5414" s="626"/>
      <c r="C5414" s="287"/>
      <c r="D5414" s="627"/>
      <c r="G5414" s="627"/>
      <c r="J5414" s="287"/>
      <c r="K5414" s="630"/>
      <c r="L5414" s="630"/>
      <c r="M5414" s="287"/>
      <c r="N5414" s="631"/>
      <c r="O5414" s="628"/>
      <c r="R5414" s="633"/>
      <c r="S5414" s="287"/>
      <c r="U5414" s="287"/>
      <c r="V5414" s="287"/>
    </row>
    <row r="5415" spans="1:22" x14ac:dyDescent="0.25">
      <c r="A5415" s="287"/>
      <c r="B5415" s="626"/>
      <c r="C5415" s="287"/>
      <c r="D5415" s="627"/>
      <c r="G5415" s="627"/>
      <c r="J5415" s="287"/>
      <c r="K5415" s="630"/>
      <c r="L5415" s="630"/>
      <c r="M5415" s="287"/>
      <c r="N5415" s="631"/>
      <c r="O5415" s="628"/>
      <c r="R5415" s="633"/>
      <c r="S5415" s="287"/>
      <c r="U5415" s="287"/>
      <c r="V5415" s="287"/>
    </row>
    <row r="5416" spans="1:22" x14ac:dyDescent="0.25">
      <c r="A5416" s="287"/>
      <c r="B5416" s="626"/>
      <c r="C5416" s="287"/>
      <c r="D5416" s="627"/>
      <c r="G5416" s="627"/>
      <c r="J5416" s="287"/>
      <c r="K5416" s="630"/>
      <c r="L5416" s="630"/>
      <c r="M5416" s="287"/>
      <c r="N5416" s="631"/>
      <c r="O5416" s="628"/>
      <c r="R5416" s="633"/>
      <c r="S5416" s="287"/>
      <c r="U5416" s="287"/>
      <c r="V5416" s="287"/>
    </row>
    <row r="5417" spans="1:22" x14ac:dyDescent="0.25">
      <c r="A5417" s="287"/>
      <c r="B5417" s="626"/>
      <c r="C5417" s="287"/>
      <c r="D5417" s="627"/>
      <c r="G5417" s="627"/>
      <c r="J5417" s="287"/>
      <c r="K5417" s="630"/>
      <c r="L5417" s="630"/>
      <c r="M5417" s="287"/>
      <c r="N5417" s="631"/>
      <c r="O5417" s="628"/>
      <c r="R5417" s="633"/>
      <c r="S5417" s="287"/>
      <c r="U5417" s="287"/>
      <c r="V5417" s="287"/>
    </row>
    <row r="5418" spans="1:22" x14ac:dyDescent="0.25">
      <c r="A5418" s="287"/>
      <c r="B5418" s="626"/>
      <c r="C5418" s="287"/>
      <c r="D5418" s="627"/>
      <c r="G5418" s="627"/>
      <c r="J5418" s="287"/>
      <c r="K5418" s="630"/>
      <c r="L5418" s="630"/>
      <c r="M5418" s="287"/>
      <c r="N5418" s="631"/>
      <c r="O5418" s="628"/>
      <c r="R5418" s="633"/>
      <c r="S5418" s="287"/>
      <c r="U5418" s="287"/>
      <c r="V5418" s="287"/>
    </row>
    <row r="5419" spans="1:22" x14ac:dyDescent="0.25">
      <c r="A5419" s="287"/>
      <c r="B5419" s="626"/>
      <c r="C5419" s="287"/>
      <c r="D5419" s="627"/>
      <c r="G5419" s="627"/>
      <c r="J5419" s="287"/>
      <c r="K5419" s="630"/>
      <c r="L5419" s="630"/>
      <c r="M5419" s="287"/>
      <c r="N5419" s="631"/>
      <c r="O5419" s="628"/>
      <c r="R5419" s="633"/>
      <c r="S5419" s="287"/>
      <c r="U5419" s="287"/>
      <c r="V5419" s="287"/>
    </row>
    <row r="5420" spans="1:22" x14ac:dyDescent="0.25">
      <c r="A5420" s="287"/>
      <c r="B5420" s="626"/>
      <c r="C5420" s="287"/>
      <c r="D5420" s="627"/>
      <c r="G5420" s="627"/>
      <c r="J5420" s="287"/>
      <c r="K5420" s="630"/>
      <c r="L5420" s="630"/>
      <c r="M5420" s="287"/>
      <c r="N5420" s="631"/>
      <c r="O5420" s="628"/>
      <c r="R5420" s="633"/>
      <c r="S5420" s="287"/>
      <c r="U5420" s="287"/>
      <c r="V5420" s="287"/>
    </row>
    <row r="5421" spans="1:22" x14ac:dyDescent="0.25">
      <c r="A5421" s="287"/>
      <c r="B5421" s="626"/>
      <c r="C5421" s="287"/>
      <c r="D5421" s="627"/>
      <c r="G5421" s="627"/>
      <c r="J5421" s="287"/>
      <c r="K5421" s="630"/>
      <c r="L5421" s="630"/>
      <c r="M5421" s="287"/>
      <c r="N5421" s="631"/>
      <c r="O5421" s="628"/>
      <c r="R5421" s="633"/>
      <c r="S5421" s="287"/>
      <c r="U5421" s="287"/>
      <c r="V5421" s="287"/>
    </row>
    <row r="5422" spans="1:22" x14ac:dyDescent="0.25">
      <c r="A5422" s="287"/>
      <c r="B5422" s="626"/>
      <c r="C5422" s="287"/>
      <c r="D5422" s="627"/>
      <c r="G5422" s="627"/>
      <c r="J5422" s="287"/>
      <c r="K5422" s="630"/>
      <c r="L5422" s="630"/>
      <c r="M5422" s="287"/>
      <c r="N5422" s="631"/>
      <c r="O5422" s="628"/>
      <c r="R5422" s="633"/>
      <c r="S5422" s="287"/>
      <c r="U5422" s="287"/>
      <c r="V5422" s="287"/>
    </row>
    <row r="5423" spans="1:22" x14ac:dyDescent="0.25">
      <c r="A5423" s="287"/>
      <c r="B5423" s="626"/>
      <c r="C5423" s="287"/>
      <c r="D5423" s="627"/>
      <c r="G5423" s="627"/>
      <c r="J5423" s="287"/>
      <c r="K5423" s="630"/>
      <c r="L5423" s="630"/>
      <c r="M5423" s="287"/>
      <c r="N5423" s="631"/>
      <c r="O5423" s="628"/>
      <c r="R5423" s="633"/>
      <c r="S5423" s="287"/>
      <c r="U5423" s="287"/>
      <c r="V5423" s="287"/>
    </row>
    <row r="5424" spans="1:22" x14ac:dyDescent="0.25">
      <c r="A5424" s="287"/>
      <c r="B5424" s="626"/>
      <c r="C5424" s="287"/>
      <c r="D5424" s="627"/>
      <c r="G5424" s="627"/>
      <c r="J5424" s="287"/>
      <c r="K5424" s="630"/>
      <c r="L5424" s="630"/>
      <c r="M5424" s="287"/>
      <c r="N5424" s="631"/>
      <c r="O5424" s="628"/>
      <c r="R5424" s="633"/>
      <c r="S5424" s="287"/>
      <c r="U5424" s="287"/>
      <c r="V5424" s="287"/>
    </row>
    <row r="5425" spans="1:22" x14ac:dyDescent="0.25">
      <c r="A5425" s="287"/>
      <c r="B5425" s="626"/>
      <c r="C5425" s="287"/>
      <c r="D5425" s="627"/>
      <c r="G5425" s="627"/>
      <c r="J5425" s="287"/>
      <c r="K5425" s="630"/>
      <c r="L5425" s="630"/>
      <c r="M5425" s="287"/>
      <c r="N5425" s="631"/>
      <c r="O5425" s="628"/>
      <c r="R5425" s="633"/>
      <c r="S5425" s="287"/>
      <c r="U5425" s="287"/>
      <c r="V5425" s="287"/>
    </row>
    <row r="5426" spans="1:22" x14ac:dyDescent="0.25">
      <c r="A5426" s="287"/>
      <c r="B5426" s="626"/>
      <c r="C5426" s="287"/>
      <c r="D5426" s="627"/>
      <c r="G5426" s="627"/>
      <c r="J5426" s="287"/>
      <c r="K5426" s="630"/>
      <c r="L5426" s="630"/>
      <c r="M5426" s="287"/>
      <c r="N5426" s="631"/>
      <c r="O5426" s="628"/>
      <c r="R5426" s="633"/>
      <c r="S5426" s="287"/>
      <c r="U5426" s="287"/>
      <c r="V5426" s="287"/>
    </row>
    <row r="5427" spans="1:22" x14ac:dyDescent="0.25">
      <c r="A5427" s="287"/>
      <c r="B5427" s="626"/>
      <c r="C5427" s="287"/>
      <c r="D5427" s="627"/>
      <c r="G5427" s="627"/>
      <c r="J5427" s="287"/>
      <c r="K5427" s="630"/>
      <c r="L5427" s="630"/>
      <c r="M5427" s="287"/>
      <c r="N5427" s="631"/>
      <c r="O5427" s="628"/>
      <c r="R5427" s="633"/>
      <c r="S5427" s="287"/>
      <c r="U5427" s="287"/>
      <c r="V5427" s="287"/>
    </row>
    <row r="5428" spans="1:22" x14ac:dyDescent="0.25">
      <c r="A5428" s="287"/>
      <c r="B5428" s="626"/>
      <c r="C5428" s="287"/>
      <c r="D5428" s="627"/>
      <c r="G5428" s="627"/>
      <c r="J5428" s="287"/>
      <c r="K5428" s="630"/>
      <c r="L5428" s="630"/>
      <c r="M5428" s="287"/>
      <c r="N5428" s="631"/>
      <c r="O5428" s="628"/>
      <c r="R5428" s="633"/>
      <c r="S5428" s="287"/>
      <c r="U5428" s="287"/>
      <c r="V5428" s="287"/>
    </row>
    <row r="5429" spans="1:22" x14ac:dyDescent="0.25">
      <c r="A5429" s="287"/>
      <c r="B5429" s="626"/>
      <c r="C5429" s="287"/>
      <c r="D5429" s="627"/>
      <c r="G5429" s="627"/>
      <c r="J5429" s="287"/>
      <c r="K5429" s="630"/>
      <c r="L5429" s="630"/>
      <c r="M5429" s="287"/>
      <c r="N5429" s="631"/>
      <c r="O5429" s="628"/>
      <c r="R5429" s="633"/>
      <c r="S5429" s="287"/>
      <c r="U5429" s="287"/>
      <c r="V5429" s="287"/>
    </row>
    <row r="5430" spans="1:22" x14ac:dyDescent="0.25">
      <c r="A5430" s="287"/>
      <c r="B5430" s="626"/>
      <c r="C5430" s="287"/>
      <c r="D5430" s="627"/>
      <c r="G5430" s="627"/>
      <c r="J5430" s="287"/>
      <c r="K5430" s="630"/>
      <c r="L5430" s="630"/>
      <c r="M5430" s="287"/>
      <c r="N5430" s="631"/>
      <c r="O5430" s="628"/>
      <c r="R5430" s="633"/>
      <c r="S5430" s="287"/>
      <c r="U5430" s="287"/>
      <c r="V5430" s="287"/>
    </row>
    <row r="5431" spans="1:22" x14ac:dyDescent="0.25">
      <c r="A5431" s="287"/>
      <c r="B5431" s="626"/>
      <c r="C5431" s="287"/>
      <c r="D5431" s="627"/>
      <c r="G5431" s="627"/>
      <c r="J5431" s="287"/>
      <c r="K5431" s="630"/>
      <c r="L5431" s="630"/>
      <c r="M5431" s="287"/>
      <c r="N5431" s="631"/>
      <c r="O5431" s="628"/>
      <c r="R5431" s="633"/>
      <c r="S5431" s="287"/>
      <c r="U5431" s="287"/>
      <c r="V5431" s="287"/>
    </row>
    <row r="5432" spans="1:22" x14ac:dyDescent="0.25">
      <c r="A5432" s="287"/>
      <c r="B5432" s="626"/>
      <c r="C5432" s="287"/>
      <c r="D5432" s="627"/>
      <c r="G5432" s="627"/>
      <c r="J5432" s="287"/>
      <c r="K5432" s="630"/>
      <c r="L5432" s="630"/>
      <c r="M5432" s="287"/>
      <c r="N5432" s="631"/>
      <c r="O5432" s="628"/>
      <c r="R5432" s="633"/>
      <c r="S5432" s="287"/>
      <c r="U5432" s="287"/>
      <c r="V5432" s="287"/>
    </row>
    <row r="5433" spans="1:22" x14ac:dyDescent="0.25">
      <c r="A5433" s="287"/>
      <c r="B5433" s="626"/>
      <c r="C5433" s="287"/>
      <c r="D5433" s="627"/>
      <c r="G5433" s="627"/>
      <c r="J5433" s="287"/>
      <c r="K5433" s="630"/>
      <c r="L5433" s="630"/>
      <c r="M5433" s="287"/>
      <c r="N5433" s="631"/>
      <c r="O5433" s="628"/>
      <c r="R5433" s="633"/>
      <c r="S5433" s="287"/>
      <c r="U5433" s="287"/>
      <c r="V5433" s="287"/>
    </row>
    <row r="5434" spans="1:22" x14ac:dyDescent="0.25">
      <c r="A5434" s="287"/>
      <c r="B5434" s="626"/>
      <c r="C5434" s="287"/>
      <c r="D5434" s="627"/>
      <c r="G5434" s="627"/>
      <c r="J5434" s="287"/>
      <c r="K5434" s="630"/>
      <c r="L5434" s="630"/>
      <c r="M5434" s="287"/>
      <c r="N5434" s="631"/>
      <c r="O5434" s="628"/>
      <c r="R5434" s="633"/>
      <c r="S5434" s="287"/>
      <c r="U5434" s="287"/>
      <c r="V5434" s="287"/>
    </row>
    <row r="5435" spans="1:22" x14ac:dyDescent="0.25">
      <c r="A5435" s="287"/>
      <c r="B5435" s="626"/>
      <c r="C5435" s="287"/>
      <c r="D5435" s="627"/>
      <c r="G5435" s="627"/>
      <c r="J5435" s="287"/>
      <c r="K5435" s="630"/>
      <c r="L5435" s="630"/>
      <c r="M5435" s="287"/>
      <c r="N5435" s="631"/>
      <c r="O5435" s="628"/>
      <c r="R5435" s="633"/>
      <c r="S5435" s="287"/>
      <c r="U5435" s="287"/>
      <c r="V5435" s="287"/>
    </row>
    <row r="5436" spans="1:22" x14ac:dyDescent="0.25">
      <c r="A5436" s="287"/>
      <c r="B5436" s="626"/>
      <c r="C5436" s="287"/>
      <c r="D5436" s="627"/>
      <c r="G5436" s="627"/>
      <c r="J5436" s="287"/>
      <c r="K5436" s="630"/>
      <c r="L5436" s="630"/>
      <c r="M5436" s="287"/>
      <c r="N5436" s="631"/>
      <c r="O5436" s="628"/>
      <c r="R5436" s="633"/>
      <c r="S5436" s="287"/>
      <c r="U5436" s="287"/>
      <c r="V5436" s="287"/>
    </row>
    <row r="5437" spans="1:22" x14ac:dyDescent="0.25">
      <c r="A5437" s="287"/>
      <c r="B5437" s="626"/>
      <c r="C5437" s="287"/>
      <c r="D5437" s="627"/>
      <c r="G5437" s="627"/>
      <c r="J5437" s="287"/>
      <c r="K5437" s="630"/>
      <c r="L5437" s="630"/>
      <c r="M5437" s="287"/>
      <c r="N5437" s="631"/>
      <c r="O5437" s="628"/>
      <c r="R5437" s="633"/>
      <c r="S5437" s="287"/>
      <c r="U5437" s="287"/>
      <c r="V5437" s="287"/>
    </row>
    <row r="5438" spans="1:22" x14ac:dyDescent="0.25">
      <c r="A5438" s="287"/>
      <c r="B5438" s="626"/>
      <c r="C5438" s="287"/>
      <c r="D5438" s="627"/>
      <c r="G5438" s="627"/>
      <c r="J5438" s="287"/>
      <c r="K5438" s="630"/>
      <c r="L5438" s="630"/>
      <c r="M5438" s="287"/>
      <c r="N5438" s="631"/>
      <c r="O5438" s="628"/>
      <c r="R5438" s="633"/>
      <c r="S5438" s="287"/>
      <c r="U5438" s="287"/>
      <c r="V5438" s="287"/>
    </row>
    <row r="5439" spans="1:22" x14ac:dyDescent="0.25">
      <c r="A5439" s="287"/>
      <c r="B5439" s="626"/>
      <c r="C5439" s="287"/>
      <c r="D5439" s="627"/>
      <c r="G5439" s="627"/>
      <c r="J5439" s="287"/>
      <c r="K5439" s="630"/>
      <c r="L5439" s="630"/>
      <c r="M5439" s="287"/>
      <c r="N5439" s="631"/>
      <c r="O5439" s="628"/>
      <c r="R5439" s="633"/>
      <c r="S5439" s="287"/>
      <c r="U5439" s="287"/>
      <c r="V5439" s="287"/>
    </row>
    <row r="5440" spans="1:22" x14ac:dyDescent="0.25">
      <c r="A5440" s="287"/>
      <c r="B5440" s="626"/>
      <c r="C5440" s="287"/>
      <c r="D5440" s="627"/>
      <c r="G5440" s="627"/>
      <c r="J5440" s="287"/>
      <c r="K5440" s="630"/>
      <c r="L5440" s="630"/>
      <c r="M5440" s="287"/>
      <c r="N5440" s="631"/>
      <c r="O5440" s="628"/>
      <c r="R5440" s="633"/>
      <c r="S5440" s="287"/>
      <c r="U5440" s="287"/>
      <c r="V5440" s="287"/>
    </row>
    <row r="5441" spans="1:22" x14ac:dyDescent="0.25">
      <c r="A5441" s="287"/>
      <c r="B5441" s="626"/>
      <c r="C5441" s="287"/>
      <c r="D5441" s="627"/>
      <c r="G5441" s="627"/>
      <c r="J5441" s="287"/>
      <c r="K5441" s="630"/>
      <c r="L5441" s="630"/>
      <c r="M5441" s="287"/>
      <c r="N5441" s="631"/>
      <c r="O5441" s="628"/>
      <c r="R5441" s="633"/>
      <c r="S5441" s="287"/>
      <c r="U5441" s="287"/>
      <c r="V5441" s="287"/>
    </row>
    <row r="5442" spans="1:22" x14ac:dyDescent="0.25">
      <c r="A5442" s="287"/>
      <c r="B5442" s="626"/>
      <c r="C5442" s="287"/>
      <c r="D5442" s="627"/>
      <c r="G5442" s="627"/>
      <c r="J5442" s="287"/>
      <c r="K5442" s="630"/>
      <c r="L5442" s="630"/>
      <c r="M5442" s="287"/>
      <c r="N5442" s="631"/>
      <c r="O5442" s="628"/>
      <c r="R5442" s="633"/>
      <c r="S5442" s="287"/>
      <c r="U5442" s="287"/>
      <c r="V5442" s="287"/>
    </row>
    <row r="5443" spans="1:22" x14ac:dyDescent="0.25">
      <c r="A5443" s="287"/>
      <c r="B5443" s="626"/>
      <c r="C5443" s="287"/>
      <c r="D5443" s="627"/>
      <c r="G5443" s="627"/>
      <c r="J5443" s="287"/>
      <c r="K5443" s="630"/>
      <c r="L5443" s="630"/>
      <c r="M5443" s="287"/>
      <c r="N5443" s="631"/>
      <c r="O5443" s="628"/>
      <c r="R5443" s="633"/>
      <c r="S5443" s="287"/>
      <c r="U5443" s="287"/>
      <c r="V5443" s="287"/>
    </row>
    <row r="5444" spans="1:22" x14ac:dyDescent="0.25">
      <c r="A5444" s="287"/>
      <c r="B5444" s="626"/>
      <c r="C5444" s="287"/>
      <c r="D5444" s="627"/>
      <c r="G5444" s="627"/>
      <c r="J5444" s="287"/>
      <c r="K5444" s="630"/>
      <c r="L5444" s="630"/>
      <c r="M5444" s="287"/>
      <c r="N5444" s="631"/>
      <c r="O5444" s="628"/>
      <c r="R5444" s="633"/>
      <c r="S5444" s="287"/>
      <c r="U5444" s="287"/>
      <c r="V5444" s="287"/>
    </row>
    <row r="5445" spans="1:22" x14ac:dyDescent="0.25">
      <c r="A5445" s="287"/>
      <c r="B5445" s="626"/>
      <c r="C5445" s="287"/>
      <c r="D5445" s="627"/>
      <c r="G5445" s="627"/>
      <c r="J5445" s="287"/>
      <c r="K5445" s="630"/>
      <c r="L5445" s="630"/>
      <c r="M5445" s="287"/>
      <c r="N5445" s="631"/>
      <c r="O5445" s="628"/>
      <c r="R5445" s="633"/>
      <c r="S5445" s="287"/>
      <c r="U5445" s="287"/>
      <c r="V5445" s="287"/>
    </row>
    <row r="5446" spans="1:22" x14ac:dyDescent="0.25">
      <c r="A5446" s="287"/>
      <c r="B5446" s="626"/>
      <c r="C5446" s="287"/>
      <c r="D5446" s="627"/>
      <c r="G5446" s="627"/>
      <c r="J5446" s="287"/>
      <c r="K5446" s="630"/>
      <c r="L5446" s="630"/>
      <c r="M5446" s="287"/>
      <c r="N5446" s="631"/>
      <c r="O5446" s="628"/>
      <c r="R5446" s="633"/>
      <c r="S5446" s="287"/>
      <c r="U5446" s="287"/>
      <c r="V5446" s="287"/>
    </row>
    <row r="5447" spans="1:22" x14ac:dyDescent="0.25">
      <c r="A5447" s="287"/>
      <c r="B5447" s="626"/>
      <c r="C5447" s="287"/>
      <c r="D5447" s="627"/>
      <c r="G5447" s="627"/>
      <c r="J5447" s="287"/>
      <c r="K5447" s="630"/>
      <c r="L5447" s="630"/>
      <c r="M5447" s="287"/>
      <c r="N5447" s="631"/>
      <c r="O5447" s="628"/>
      <c r="R5447" s="633"/>
      <c r="S5447" s="287"/>
      <c r="U5447" s="287"/>
      <c r="V5447" s="287"/>
    </row>
    <row r="5448" spans="1:22" x14ac:dyDescent="0.25">
      <c r="A5448" s="287"/>
      <c r="B5448" s="626"/>
      <c r="C5448" s="287"/>
      <c r="D5448" s="627"/>
      <c r="G5448" s="627"/>
      <c r="J5448" s="287"/>
      <c r="K5448" s="630"/>
      <c r="L5448" s="630"/>
      <c r="M5448" s="287"/>
      <c r="N5448" s="631"/>
      <c r="O5448" s="628"/>
      <c r="R5448" s="633"/>
      <c r="S5448" s="287"/>
      <c r="U5448" s="287"/>
      <c r="V5448" s="287"/>
    </row>
    <row r="5449" spans="1:22" x14ac:dyDescent="0.25">
      <c r="A5449" s="287"/>
      <c r="B5449" s="626"/>
      <c r="C5449" s="287"/>
      <c r="D5449" s="627"/>
      <c r="G5449" s="627"/>
      <c r="J5449" s="287"/>
      <c r="K5449" s="630"/>
      <c r="L5449" s="630"/>
      <c r="M5449" s="287"/>
      <c r="N5449" s="631"/>
      <c r="O5449" s="628"/>
      <c r="R5449" s="633"/>
      <c r="S5449" s="287"/>
      <c r="U5449" s="287"/>
      <c r="V5449" s="287"/>
    </row>
    <row r="5450" spans="1:22" x14ac:dyDescent="0.25">
      <c r="A5450" s="287"/>
      <c r="B5450" s="626"/>
      <c r="C5450" s="287"/>
      <c r="D5450" s="627"/>
      <c r="G5450" s="627"/>
      <c r="J5450" s="287"/>
      <c r="K5450" s="630"/>
      <c r="L5450" s="630"/>
      <c r="M5450" s="287"/>
      <c r="N5450" s="631"/>
      <c r="O5450" s="628"/>
      <c r="R5450" s="633"/>
      <c r="S5450" s="287"/>
      <c r="U5450" s="287"/>
      <c r="V5450" s="287"/>
    </row>
    <row r="5451" spans="1:22" x14ac:dyDescent="0.25">
      <c r="A5451" s="287"/>
      <c r="B5451" s="626"/>
      <c r="C5451" s="287"/>
      <c r="D5451" s="627"/>
      <c r="G5451" s="627"/>
      <c r="J5451" s="287"/>
      <c r="K5451" s="630"/>
      <c r="L5451" s="630"/>
      <c r="M5451" s="287"/>
      <c r="N5451" s="631"/>
      <c r="O5451" s="628"/>
      <c r="R5451" s="633"/>
      <c r="S5451" s="287"/>
      <c r="U5451" s="287"/>
      <c r="V5451" s="287"/>
    </row>
    <row r="5452" spans="1:22" x14ac:dyDescent="0.25">
      <c r="A5452" s="287"/>
      <c r="B5452" s="626"/>
      <c r="C5452" s="287"/>
      <c r="D5452" s="627"/>
      <c r="G5452" s="627"/>
      <c r="J5452" s="287"/>
      <c r="K5452" s="630"/>
      <c r="L5452" s="630"/>
      <c r="M5452" s="287"/>
      <c r="N5452" s="631"/>
      <c r="O5452" s="628"/>
      <c r="R5452" s="633"/>
      <c r="S5452" s="287"/>
      <c r="U5452" s="287"/>
      <c r="V5452" s="287"/>
    </row>
    <row r="5453" spans="1:22" x14ac:dyDescent="0.25">
      <c r="A5453" s="287"/>
      <c r="B5453" s="626"/>
      <c r="C5453" s="287"/>
      <c r="D5453" s="627"/>
      <c r="G5453" s="627"/>
      <c r="J5453" s="287"/>
      <c r="K5453" s="630"/>
      <c r="L5453" s="630"/>
      <c r="M5453" s="287"/>
      <c r="N5453" s="631"/>
      <c r="O5453" s="628"/>
      <c r="R5453" s="633"/>
      <c r="S5453" s="287"/>
      <c r="U5453" s="287"/>
      <c r="V5453" s="287"/>
    </row>
    <row r="5454" spans="1:22" x14ac:dyDescent="0.25">
      <c r="A5454" s="287"/>
      <c r="B5454" s="626"/>
      <c r="C5454" s="287"/>
      <c r="D5454" s="627"/>
      <c r="G5454" s="627"/>
      <c r="J5454" s="287"/>
      <c r="K5454" s="630"/>
      <c r="L5454" s="630"/>
      <c r="M5454" s="287"/>
      <c r="N5454" s="631"/>
      <c r="O5454" s="628"/>
      <c r="R5454" s="633"/>
      <c r="S5454" s="287"/>
      <c r="U5454" s="287"/>
      <c r="V5454" s="287"/>
    </row>
    <row r="5455" spans="1:22" x14ac:dyDescent="0.25">
      <c r="A5455" s="287"/>
      <c r="B5455" s="626"/>
      <c r="C5455" s="287"/>
      <c r="D5455" s="627"/>
      <c r="G5455" s="627"/>
      <c r="J5455" s="287"/>
      <c r="K5455" s="630"/>
      <c r="L5455" s="630"/>
      <c r="M5455" s="287"/>
      <c r="N5455" s="631"/>
      <c r="O5455" s="628"/>
      <c r="R5455" s="633"/>
      <c r="S5455" s="287"/>
      <c r="U5455" s="287"/>
      <c r="V5455" s="287"/>
    </row>
    <row r="5456" spans="1:22" x14ac:dyDescent="0.25">
      <c r="A5456" s="287"/>
      <c r="B5456" s="626"/>
      <c r="C5456" s="287"/>
      <c r="D5456" s="627"/>
      <c r="G5456" s="627"/>
      <c r="J5456" s="287"/>
      <c r="K5456" s="630"/>
      <c r="L5456" s="630"/>
      <c r="M5456" s="287"/>
      <c r="N5456" s="631"/>
      <c r="O5456" s="628"/>
      <c r="R5456" s="633"/>
      <c r="S5456" s="287"/>
      <c r="U5456" s="287"/>
      <c r="V5456" s="287"/>
    </row>
    <row r="5457" spans="1:22" x14ac:dyDescent="0.25">
      <c r="A5457" s="287"/>
      <c r="B5457" s="626"/>
      <c r="C5457" s="287"/>
      <c r="D5457" s="627"/>
      <c r="G5457" s="627"/>
      <c r="J5457" s="287"/>
      <c r="K5457" s="630"/>
      <c r="L5457" s="630"/>
      <c r="M5457" s="287"/>
      <c r="N5457" s="631"/>
      <c r="O5457" s="628"/>
      <c r="R5457" s="633"/>
      <c r="S5457" s="287"/>
      <c r="U5457" s="287"/>
      <c r="V5457" s="287"/>
    </row>
    <row r="5458" spans="1:22" x14ac:dyDescent="0.25">
      <c r="A5458" s="287"/>
      <c r="B5458" s="626"/>
      <c r="C5458" s="287"/>
      <c r="D5458" s="627"/>
      <c r="G5458" s="627"/>
      <c r="J5458" s="287"/>
      <c r="K5458" s="630"/>
      <c r="L5458" s="630"/>
      <c r="M5458" s="287"/>
      <c r="N5458" s="631"/>
      <c r="O5458" s="628"/>
      <c r="R5458" s="633"/>
      <c r="S5458" s="287"/>
      <c r="U5458" s="287"/>
      <c r="V5458" s="287"/>
    </row>
    <row r="5459" spans="1:22" x14ac:dyDescent="0.25">
      <c r="A5459" s="287"/>
      <c r="B5459" s="626"/>
      <c r="C5459" s="287"/>
      <c r="D5459" s="627"/>
      <c r="G5459" s="627"/>
      <c r="J5459" s="287"/>
      <c r="K5459" s="630"/>
      <c r="L5459" s="630"/>
      <c r="M5459" s="287"/>
      <c r="N5459" s="631"/>
      <c r="O5459" s="628"/>
      <c r="R5459" s="633"/>
      <c r="S5459" s="287"/>
      <c r="U5459" s="287"/>
      <c r="V5459" s="287"/>
    </row>
    <row r="5460" spans="1:22" x14ac:dyDescent="0.25">
      <c r="A5460" s="287"/>
      <c r="B5460" s="626"/>
      <c r="C5460" s="287"/>
      <c r="D5460" s="627"/>
      <c r="G5460" s="627"/>
      <c r="J5460" s="287"/>
      <c r="K5460" s="630"/>
      <c r="L5460" s="630"/>
      <c r="M5460" s="287"/>
      <c r="N5460" s="631"/>
      <c r="O5460" s="628"/>
      <c r="R5460" s="633"/>
      <c r="S5460" s="287"/>
      <c r="U5460" s="287"/>
      <c r="V5460" s="287"/>
    </row>
    <row r="5461" spans="1:22" x14ac:dyDescent="0.25">
      <c r="A5461" s="287"/>
      <c r="B5461" s="626"/>
      <c r="C5461" s="287"/>
      <c r="D5461" s="627"/>
      <c r="G5461" s="627"/>
      <c r="J5461" s="287"/>
      <c r="K5461" s="630"/>
      <c r="L5461" s="630"/>
      <c r="M5461" s="287"/>
      <c r="N5461" s="631"/>
      <c r="O5461" s="628"/>
      <c r="R5461" s="633"/>
      <c r="S5461" s="287"/>
      <c r="U5461" s="287"/>
      <c r="V5461" s="287"/>
    </row>
    <row r="5462" spans="1:22" x14ac:dyDescent="0.25">
      <c r="A5462" s="287"/>
      <c r="B5462" s="626"/>
      <c r="C5462" s="287"/>
      <c r="D5462" s="627"/>
      <c r="G5462" s="627"/>
      <c r="J5462" s="287"/>
      <c r="K5462" s="630"/>
      <c r="L5462" s="630"/>
      <c r="M5462" s="287"/>
      <c r="N5462" s="631"/>
      <c r="O5462" s="628"/>
      <c r="R5462" s="633"/>
      <c r="S5462" s="287"/>
      <c r="U5462" s="287"/>
      <c r="V5462" s="287"/>
    </row>
    <row r="5463" spans="1:22" x14ac:dyDescent="0.25">
      <c r="A5463" s="287"/>
      <c r="B5463" s="626"/>
      <c r="C5463" s="287"/>
      <c r="D5463" s="627"/>
      <c r="G5463" s="627"/>
      <c r="J5463" s="287"/>
      <c r="K5463" s="630"/>
      <c r="L5463" s="630"/>
      <c r="M5463" s="287"/>
      <c r="N5463" s="631"/>
      <c r="O5463" s="628"/>
      <c r="R5463" s="633"/>
      <c r="S5463" s="287"/>
      <c r="U5463" s="287"/>
      <c r="V5463" s="287"/>
    </row>
    <row r="5464" spans="1:22" x14ac:dyDescent="0.25">
      <c r="A5464" s="287"/>
      <c r="B5464" s="626"/>
      <c r="C5464" s="287"/>
      <c r="D5464" s="627"/>
      <c r="G5464" s="627"/>
      <c r="J5464" s="287"/>
      <c r="K5464" s="630"/>
      <c r="L5464" s="630"/>
      <c r="M5464" s="287"/>
      <c r="N5464" s="631"/>
      <c r="O5464" s="628"/>
      <c r="R5464" s="633"/>
      <c r="S5464" s="287"/>
      <c r="U5464" s="287"/>
      <c r="V5464" s="287"/>
    </row>
    <row r="5465" spans="1:22" x14ac:dyDescent="0.25">
      <c r="A5465" s="287"/>
      <c r="B5465" s="626"/>
      <c r="C5465" s="287"/>
      <c r="D5465" s="627"/>
      <c r="G5465" s="627"/>
      <c r="J5465" s="287"/>
      <c r="K5465" s="630"/>
      <c r="L5465" s="630"/>
      <c r="M5465" s="287"/>
      <c r="N5465" s="631"/>
      <c r="O5465" s="628"/>
      <c r="R5465" s="633"/>
      <c r="S5465" s="287"/>
      <c r="U5465" s="287"/>
      <c r="V5465" s="287"/>
    </row>
    <row r="5466" spans="1:22" x14ac:dyDescent="0.25">
      <c r="A5466" s="287"/>
      <c r="B5466" s="626"/>
      <c r="C5466" s="287"/>
      <c r="D5466" s="627"/>
      <c r="G5466" s="627"/>
      <c r="J5466" s="287"/>
      <c r="K5466" s="630"/>
      <c r="L5466" s="630"/>
      <c r="M5466" s="287"/>
      <c r="N5466" s="631"/>
      <c r="O5466" s="628"/>
      <c r="R5466" s="633"/>
      <c r="S5466" s="287"/>
      <c r="U5466" s="287"/>
      <c r="V5466" s="287"/>
    </row>
    <row r="5467" spans="1:22" x14ac:dyDescent="0.25">
      <c r="A5467" s="287"/>
      <c r="B5467" s="626"/>
      <c r="C5467" s="287"/>
      <c r="D5467" s="627"/>
      <c r="G5467" s="627"/>
      <c r="J5467" s="287"/>
      <c r="K5467" s="630"/>
      <c r="L5467" s="630"/>
      <c r="M5467" s="287"/>
      <c r="N5467" s="631"/>
      <c r="O5467" s="628"/>
      <c r="R5467" s="633"/>
      <c r="S5467" s="287"/>
      <c r="U5467" s="287"/>
      <c r="V5467" s="287"/>
    </row>
    <row r="5468" spans="1:22" x14ac:dyDescent="0.25">
      <c r="A5468" s="287"/>
      <c r="B5468" s="626"/>
      <c r="C5468" s="287"/>
      <c r="D5468" s="627"/>
      <c r="G5468" s="627"/>
      <c r="J5468" s="287"/>
      <c r="K5468" s="630"/>
      <c r="L5468" s="630"/>
      <c r="M5468" s="287"/>
      <c r="N5468" s="631"/>
      <c r="O5468" s="628"/>
      <c r="R5468" s="633"/>
      <c r="S5468" s="287"/>
      <c r="U5468" s="287"/>
      <c r="V5468" s="287"/>
    </row>
    <row r="5469" spans="1:22" x14ac:dyDescent="0.25">
      <c r="A5469" s="287"/>
      <c r="B5469" s="626"/>
      <c r="C5469" s="287"/>
      <c r="D5469" s="627"/>
      <c r="G5469" s="627"/>
      <c r="J5469" s="287"/>
      <c r="K5469" s="630"/>
      <c r="L5469" s="630"/>
      <c r="M5469" s="287"/>
      <c r="N5469" s="631"/>
      <c r="O5469" s="628"/>
      <c r="R5469" s="633"/>
      <c r="S5469" s="287"/>
      <c r="U5469" s="287"/>
      <c r="V5469" s="287"/>
    </row>
    <row r="5470" spans="1:22" x14ac:dyDescent="0.25">
      <c r="A5470" s="287"/>
      <c r="B5470" s="626"/>
      <c r="C5470" s="287"/>
      <c r="D5470" s="627"/>
      <c r="G5470" s="627"/>
      <c r="J5470" s="287"/>
      <c r="K5470" s="630"/>
      <c r="L5470" s="630"/>
      <c r="M5470" s="287"/>
      <c r="N5470" s="631"/>
      <c r="O5470" s="628"/>
      <c r="R5470" s="633"/>
      <c r="S5470" s="287"/>
      <c r="U5470" s="287"/>
      <c r="V5470" s="287"/>
    </row>
    <row r="5471" spans="1:22" x14ac:dyDescent="0.25">
      <c r="A5471" s="287"/>
      <c r="B5471" s="626"/>
      <c r="C5471" s="287"/>
      <c r="D5471" s="627"/>
      <c r="G5471" s="627"/>
      <c r="J5471" s="287"/>
      <c r="K5471" s="630"/>
      <c r="L5471" s="630"/>
      <c r="M5471" s="287"/>
      <c r="N5471" s="631"/>
      <c r="O5471" s="628"/>
      <c r="R5471" s="633"/>
      <c r="S5471" s="287"/>
      <c r="U5471" s="287"/>
      <c r="V5471" s="287"/>
    </row>
    <row r="5472" spans="1:22" x14ac:dyDescent="0.25">
      <c r="A5472" s="287"/>
      <c r="B5472" s="626"/>
      <c r="C5472" s="287"/>
      <c r="D5472" s="627"/>
      <c r="G5472" s="627"/>
      <c r="J5472" s="287"/>
      <c r="K5472" s="630"/>
      <c r="L5472" s="630"/>
      <c r="M5472" s="287"/>
      <c r="N5472" s="631"/>
      <c r="O5472" s="628"/>
      <c r="R5472" s="633"/>
      <c r="S5472" s="287"/>
      <c r="U5472" s="287"/>
      <c r="V5472" s="287"/>
    </row>
    <row r="5473" spans="1:22" x14ac:dyDescent="0.25">
      <c r="A5473" s="287"/>
      <c r="B5473" s="626"/>
      <c r="C5473" s="287"/>
      <c r="D5473" s="627"/>
      <c r="G5473" s="627"/>
      <c r="J5473" s="287"/>
      <c r="K5473" s="630"/>
      <c r="L5473" s="630"/>
      <c r="M5473" s="287"/>
      <c r="N5473" s="631"/>
      <c r="O5473" s="628"/>
      <c r="R5473" s="633"/>
      <c r="S5473" s="287"/>
      <c r="U5473" s="287"/>
      <c r="V5473" s="287"/>
    </row>
    <row r="5474" spans="1:22" x14ac:dyDescent="0.25">
      <c r="A5474" s="287"/>
      <c r="B5474" s="626"/>
      <c r="C5474" s="287"/>
      <c r="D5474" s="627"/>
      <c r="G5474" s="627"/>
      <c r="J5474" s="287"/>
      <c r="K5474" s="630"/>
      <c r="L5474" s="630"/>
      <c r="M5474" s="287"/>
      <c r="N5474" s="631"/>
      <c r="O5474" s="628"/>
      <c r="R5474" s="633"/>
      <c r="S5474" s="287"/>
      <c r="U5474" s="287"/>
      <c r="V5474" s="287"/>
    </row>
    <row r="5475" spans="1:22" x14ac:dyDescent="0.25">
      <c r="A5475" s="287"/>
      <c r="B5475" s="626"/>
      <c r="C5475" s="287"/>
      <c r="D5475" s="627"/>
      <c r="G5475" s="627"/>
      <c r="J5475" s="287"/>
      <c r="K5475" s="630"/>
      <c r="L5475" s="630"/>
      <c r="M5475" s="287"/>
      <c r="N5475" s="631"/>
      <c r="O5475" s="628"/>
      <c r="R5475" s="633"/>
      <c r="S5475" s="287"/>
      <c r="U5475" s="287"/>
      <c r="V5475" s="287"/>
    </row>
    <row r="5476" spans="1:22" x14ac:dyDescent="0.25">
      <c r="A5476" s="287"/>
      <c r="B5476" s="626"/>
      <c r="C5476" s="287"/>
      <c r="D5476" s="627"/>
      <c r="G5476" s="627"/>
      <c r="J5476" s="287"/>
      <c r="K5476" s="630"/>
      <c r="L5476" s="630"/>
      <c r="M5476" s="287"/>
      <c r="N5476" s="631"/>
      <c r="O5476" s="628"/>
      <c r="R5476" s="633"/>
      <c r="S5476" s="287"/>
      <c r="U5476" s="287"/>
      <c r="V5476" s="287"/>
    </row>
    <row r="5477" spans="1:22" x14ac:dyDescent="0.25">
      <c r="A5477" s="287"/>
      <c r="B5477" s="626"/>
      <c r="C5477" s="287"/>
      <c r="D5477" s="627"/>
      <c r="G5477" s="627"/>
      <c r="J5477" s="287"/>
      <c r="K5477" s="630"/>
      <c r="L5477" s="630"/>
      <c r="M5477" s="287"/>
      <c r="N5477" s="631"/>
      <c r="O5477" s="628"/>
      <c r="R5477" s="633"/>
      <c r="S5477" s="287"/>
      <c r="U5477" s="287"/>
      <c r="V5477" s="287"/>
    </row>
    <row r="5478" spans="1:22" x14ac:dyDescent="0.25">
      <c r="A5478" s="287"/>
      <c r="B5478" s="626"/>
      <c r="C5478" s="287"/>
      <c r="D5478" s="627"/>
      <c r="G5478" s="627"/>
      <c r="J5478" s="287"/>
      <c r="K5478" s="630"/>
      <c r="L5478" s="630"/>
      <c r="M5478" s="287"/>
      <c r="N5478" s="631"/>
      <c r="O5478" s="628"/>
      <c r="R5478" s="633"/>
      <c r="S5478" s="287"/>
      <c r="U5478" s="287"/>
      <c r="V5478" s="287"/>
    </row>
    <row r="5479" spans="1:22" x14ac:dyDescent="0.25">
      <c r="A5479" s="287"/>
      <c r="B5479" s="626"/>
      <c r="C5479" s="287"/>
      <c r="D5479" s="627"/>
      <c r="G5479" s="627"/>
      <c r="J5479" s="287"/>
      <c r="K5479" s="630"/>
      <c r="L5479" s="630"/>
      <c r="M5479" s="287"/>
      <c r="N5479" s="631"/>
      <c r="O5479" s="628"/>
      <c r="R5479" s="633"/>
      <c r="S5479" s="287"/>
      <c r="U5479" s="287"/>
      <c r="V5479" s="287"/>
    </row>
    <row r="5480" spans="1:22" x14ac:dyDescent="0.25">
      <c r="A5480" s="287"/>
      <c r="B5480" s="626"/>
      <c r="C5480" s="287"/>
      <c r="D5480" s="627"/>
      <c r="G5480" s="627"/>
      <c r="J5480" s="287"/>
      <c r="K5480" s="630"/>
      <c r="L5480" s="630"/>
      <c r="M5480" s="287"/>
      <c r="N5480" s="631"/>
      <c r="O5480" s="628"/>
      <c r="R5480" s="633"/>
      <c r="S5480" s="287"/>
      <c r="U5480" s="287"/>
      <c r="V5480" s="287"/>
    </row>
    <row r="5481" spans="1:22" x14ac:dyDescent="0.25">
      <c r="A5481" s="287"/>
      <c r="B5481" s="626"/>
      <c r="C5481" s="287"/>
      <c r="D5481" s="627"/>
      <c r="G5481" s="627"/>
      <c r="J5481" s="287"/>
      <c r="K5481" s="630"/>
      <c r="L5481" s="630"/>
      <c r="M5481" s="287"/>
      <c r="N5481" s="631"/>
      <c r="O5481" s="628"/>
      <c r="R5481" s="633"/>
      <c r="S5481" s="287"/>
      <c r="U5481" s="287"/>
      <c r="V5481" s="287"/>
    </row>
    <row r="5482" spans="1:22" x14ac:dyDescent="0.25">
      <c r="A5482" s="287"/>
      <c r="B5482" s="626"/>
      <c r="C5482" s="287"/>
      <c r="D5482" s="627"/>
      <c r="G5482" s="627"/>
      <c r="J5482" s="287"/>
      <c r="K5482" s="630"/>
      <c r="L5482" s="630"/>
      <c r="M5482" s="287"/>
      <c r="N5482" s="631"/>
      <c r="O5482" s="628"/>
      <c r="R5482" s="633"/>
      <c r="S5482" s="287"/>
      <c r="U5482" s="287"/>
      <c r="V5482" s="287"/>
    </row>
    <row r="5483" spans="1:22" x14ac:dyDescent="0.25">
      <c r="A5483" s="287"/>
      <c r="B5483" s="626"/>
      <c r="C5483" s="287"/>
      <c r="D5483" s="627"/>
      <c r="G5483" s="627"/>
      <c r="J5483" s="287"/>
      <c r="K5483" s="630"/>
      <c r="L5483" s="630"/>
      <c r="M5483" s="287"/>
      <c r="N5483" s="631"/>
      <c r="O5483" s="628"/>
      <c r="R5483" s="633"/>
      <c r="S5483" s="287"/>
      <c r="U5483" s="287"/>
      <c r="V5483" s="287"/>
    </row>
    <row r="5484" spans="1:22" x14ac:dyDescent="0.25">
      <c r="A5484" s="287"/>
      <c r="B5484" s="626"/>
      <c r="C5484" s="287"/>
      <c r="D5484" s="627"/>
      <c r="G5484" s="627"/>
      <c r="J5484" s="287"/>
      <c r="K5484" s="630"/>
      <c r="L5484" s="630"/>
      <c r="M5484" s="287"/>
      <c r="N5484" s="631"/>
      <c r="O5484" s="628"/>
      <c r="R5484" s="633"/>
      <c r="S5484" s="287"/>
      <c r="U5484" s="287"/>
      <c r="V5484" s="287"/>
    </row>
    <row r="5485" spans="1:22" x14ac:dyDescent="0.25">
      <c r="A5485" s="287"/>
      <c r="B5485" s="626"/>
      <c r="C5485" s="287"/>
      <c r="D5485" s="627"/>
      <c r="G5485" s="627"/>
      <c r="J5485" s="287"/>
      <c r="K5485" s="630"/>
      <c r="L5485" s="630"/>
      <c r="M5485" s="287"/>
      <c r="N5485" s="631"/>
      <c r="O5485" s="628"/>
      <c r="R5485" s="633"/>
      <c r="S5485" s="287"/>
      <c r="U5485" s="287"/>
      <c r="V5485" s="287"/>
    </row>
    <row r="5486" spans="1:22" x14ac:dyDescent="0.25">
      <c r="A5486" s="287"/>
      <c r="B5486" s="626"/>
      <c r="C5486" s="287"/>
      <c r="D5486" s="627"/>
      <c r="G5486" s="627"/>
      <c r="J5486" s="287"/>
      <c r="K5486" s="630"/>
      <c r="L5486" s="630"/>
      <c r="M5486" s="287"/>
      <c r="N5486" s="631"/>
      <c r="O5486" s="628"/>
      <c r="R5486" s="633"/>
      <c r="S5486" s="287"/>
      <c r="U5486" s="287"/>
      <c r="V5486" s="287"/>
    </row>
    <row r="5487" spans="1:22" x14ac:dyDescent="0.25">
      <c r="A5487" s="287"/>
      <c r="B5487" s="626"/>
      <c r="C5487" s="287"/>
      <c r="D5487" s="627"/>
      <c r="G5487" s="627"/>
      <c r="J5487" s="287"/>
      <c r="K5487" s="630"/>
      <c r="L5487" s="630"/>
      <c r="M5487" s="287"/>
      <c r="N5487" s="631"/>
      <c r="O5487" s="628"/>
      <c r="R5487" s="633"/>
      <c r="S5487" s="287"/>
      <c r="U5487" s="287"/>
      <c r="V5487" s="287"/>
    </row>
    <row r="5488" spans="1:22" x14ac:dyDescent="0.25">
      <c r="A5488" s="287"/>
      <c r="B5488" s="626"/>
      <c r="C5488" s="287"/>
      <c r="D5488" s="627"/>
      <c r="G5488" s="627"/>
      <c r="J5488" s="287"/>
      <c r="K5488" s="630"/>
      <c r="L5488" s="630"/>
      <c r="M5488" s="287"/>
      <c r="N5488" s="631"/>
      <c r="O5488" s="628"/>
      <c r="R5488" s="633"/>
      <c r="S5488" s="287"/>
      <c r="U5488" s="287"/>
      <c r="V5488" s="287"/>
    </row>
    <row r="5489" spans="1:22" x14ac:dyDescent="0.25">
      <c r="A5489" s="287"/>
      <c r="B5489" s="626"/>
      <c r="C5489" s="287"/>
      <c r="D5489" s="627"/>
      <c r="G5489" s="627"/>
      <c r="J5489" s="287"/>
      <c r="K5489" s="630"/>
      <c r="L5489" s="630"/>
      <c r="M5489" s="287"/>
      <c r="N5489" s="631"/>
      <c r="O5489" s="628"/>
      <c r="R5489" s="633"/>
      <c r="S5489" s="287"/>
      <c r="U5489" s="287"/>
      <c r="V5489" s="287"/>
    </row>
    <row r="5490" spans="1:22" x14ac:dyDescent="0.25">
      <c r="A5490" s="287"/>
      <c r="B5490" s="626"/>
      <c r="C5490" s="287"/>
      <c r="D5490" s="627"/>
      <c r="G5490" s="627"/>
      <c r="J5490" s="287"/>
      <c r="K5490" s="630"/>
      <c r="L5490" s="630"/>
      <c r="M5490" s="287"/>
      <c r="N5490" s="631"/>
      <c r="O5490" s="628"/>
      <c r="R5490" s="633"/>
      <c r="S5490" s="287"/>
      <c r="U5490" s="287"/>
      <c r="V5490" s="287"/>
    </row>
    <row r="5491" spans="1:22" x14ac:dyDescent="0.25">
      <c r="A5491" s="287"/>
      <c r="B5491" s="626"/>
      <c r="C5491" s="287"/>
      <c r="D5491" s="627"/>
      <c r="G5491" s="627"/>
      <c r="J5491" s="287"/>
      <c r="K5491" s="630"/>
      <c r="L5491" s="630"/>
      <c r="M5491" s="287"/>
      <c r="N5491" s="631"/>
      <c r="O5491" s="628"/>
      <c r="R5491" s="633"/>
      <c r="S5491" s="287"/>
      <c r="U5491" s="287"/>
      <c r="V5491" s="287"/>
    </row>
    <row r="5492" spans="1:22" x14ac:dyDescent="0.25">
      <c r="A5492" s="287"/>
      <c r="B5492" s="626"/>
      <c r="C5492" s="287"/>
      <c r="D5492" s="627"/>
      <c r="G5492" s="627"/>
      <c r="J5492" s="287"/>
      <c r="K5492" s="630"/>
      <c r="L5492" s="630"/>
      <c r="M5492" s="287"/>
      <c r="N5492" s="631"/>
      <c r="O5492" s="628"/>
      <c r="R5492" s="633"/>
      <c r="S5492" s="287"/>
      <c r="U5492" s="287"/>
      <c r="V5492" s="287"/>
    </row>
    <row r="5493" spans="1:22" x14ac:dyDescent="0.25">
      <c r="A5493" s="287"/>
      <c r="B5493" s="626"/>
      <c r="C5493" s="287"/>
      <c r="D5493" s="627"/>
      <c r="G5493" s="627"/>
      <c r="J5493" s="287"/>
      <c r="K5493" s="630"/>
      <c r="L5493" s="630"/>
      <c r="M5493" s="287"/>
      <c r="N5493" s="631"/>
      <c r="O5493" s="628"/>
      <c r="R5493" s="633"/>
      <c r="S5493" s="287"/>
      <c r="U5493" s="287"/>
      <c r="V5493" s="287"/>
    </row>
    <row r="5494" spans="1:22" x14ac:dyDescent="0.25">
      <c r="A5494" s="287"/>
      <c r="B5494" s="626"/>
      <c r="C5494" s="287"/>
      <c r="D5494" s="627"/>
      <c r="G5494" s="627"/>
      <c r="J5494" s="287"/>
      <c r="K5494" s="630"/>
      <c r="L5494" s="630"/>
      <c r="M5494" s="287"/>
      <c r="N5494" s="631"/>
      <c r="O5494" s="628"/>
      <c r="R5494" s="633"/>
      <c r="S5494" s="287"/>
      <c r="U5494" s="287"/>
      <c r="V5494" s="287"/>
    </row>
    <row r="5495" spans="1:22" x14ac:dyDescent="0.25">
      <c r="A5495" s="287"/>
      <c r="B5495" s="626"/>
      <c r="C5495" s="287"/>
      <c r="D5495" s="627"/>
      <c r="G5495" s="627"/>
      <c r="J5495" s="287"/>
      <c r="K5495" s="630"/>
      <c r="L5495" s="630"/>
      <c r="M5495" s="287"/>
      <c r="N5495" s="631"/>
      <c r="O5495" s="628"/>
      <c r="R5495" s="633"/>
      <c r="S5495" s="287"/>
      <c r="U5495" s="287"/>
      <c r="V5495" s="287"/>
    </row>
    <row r="5496" spans="1:22" x14ac:dyDescent="0.25">
      <c r="A5496" s="287"/>
      <c r="B5496" s="626"/>
      <c r="C5496" s="287"/>
      <c r="D5496" s="627"/>
      <c r="G5496" s="627"/>
      <c r="J5496" s="287"/>
      <c r="K5496" s="630"/>
      <c r="L5496" s="630"/>
      <c r="M5496" s="287"/>
      <c r="N5496" s="631"/>
      <c r="O5496" s="628"/>
      <c r="R5496" s="633"/>
      <c r="S5496" s="287"/>
      <c r="U5496" s="287"/>
      <c r="V5496" s="287"/>
    </row>
    <row r="5497" spans="1:22" x14ac:dyDescent="0.25">
      <c r="A5497" s="287"/>
      <c r="B5497" s="626"/>
      <c r="C5497" s="287"/>
      <c r="D5497" s="627"/>
      <c r="G5497" s="627"/>
      <c r="J5497" s="287"/>
      <c r="K5497" s="630"/>
      <c r="L5497" s="630"/>
      <c r="M5497" s="287"/>
      <c r="N5497" s="631"/>
      <c r="O5497" s="628"/>
      <c r="R5497" s="633"/>
      <c r="S5497" s="287"/>
      <c r="U5497" s="287"/>
      <c r="V5497" s="287"/>
    </row>
    <row r="5498" spans="1:22" x14ac:dyDescent="0.25">
      <c r="A5498" s="287"/>
      <c r="B5498" s="626"/>
      <c r="C5498" s="287"/>
      <c r="D5498" s="627"/>
      <c r="G5498" s="627"/>
      <c r="J5498" s="287"/>
      <c r="K5498" s="630"/>
      <c r="L5498" s="630"/>
      <c r="M5498" s="287"/>
      <c r="N5498" s="631"/>
      <c r="O5498" s="628"/>
      <c r="R5498" s="633"/>
      <c r="S5498" s="287"/>
      <c r="U5498" s="287"/>
      <c r="V5498" s="287"/>
    </row>
    <row r="5499" spans="1:22" x14ac:dyDescent="0.25">
      <c r="A5499" s="287"/>
      <c r="B5499" s="626"/>
      <c r="C5499" s="287"/>
      <c r="D5499" s="627"/>
      <c r="G5499" s="627"/>
      <c r="J5499" s="287"/>
      <c r="K5499" s="630"/>
      <c r="L5499" s="630"/>
      <c r="M5499" s="287"/>
      <c r="N5499" s="631"/>
      <c r="O5499" s="628"/>
      <c r="R5499" s="633"/>
      <c r="S5499" s="287"/>
      <c r="U5499" s="287"/>
      <c r="V5499" s="287"/>
    </row>
    <row r="5500" spans="1:22" x14ac:dyDescent="0.25">
      <c r="A5500" s="287"/>
      <c r="B5500" s="626"/>
      <c r="C5500" s="287"/>
      <c r="D5500" s="627"/>
      <c r="G5500" s="627"/>
      <c r="J5500" s="287"/>
      <c r="K5500" s="630"/>
      <c r="L5500" s="630"/>
      <c r="M5500" s="287"/>
      <c r="N5500" s="631"/>
      <c r="O5500" s="628"/>
      <c r="R5500" s="633"/>
      <c r="S5500" s="287"/>
      <c r="U5500" s="287"/>
      <c r="V5500" s="287"/>
    </row>
    <row r="5501" spans="1:22" x14ac:dyDescent="0.25">
      <c r="A5501" s="287"/>
      <c r="B5501" s="626"/>
      <c r="C5501" s="287"/>
      <c r="D5501" s="627"/>
      <c r="G5501" s="627"/>
      <c r="J5501" s="287"/>
      <c r="K5501" s="630"/>
      <c r="L5501" s="630"/>
      <c r="M5501" s="287"/>
      <c r="N5501" s="631"/>
      <c r="O5501" s="628"/>
      <c r="R5501" s="633"/>
      <c r="S5501" s="287"/>
      <c r="U5501" s="287"/>
      <c r="V5501" s="287"/>
    </row>
    <row r="5502" spans="1:22" x14ac:dyDescent="0.25">
      <c r="A5502" s="287"/>
      <c r="B5502" s="626"/>
      <c r="C5502" s="287"/>
      <c r="D5502" s="627"/>
      <c r="G5502" s="627"/>
      <c r="J5502" s="287"/>
      <c r="K5502" s="630"/>
      <c r="L5502" s="630"/>
      <c r="M5502" s="287"/>
      <c r="N5502" s="631"/>
      <c r="O5502" s="628"/>
      <c r="R5502" s="633"/>
      <c r="S5502" s="287"/>
      <c r="U5502" s="287"/>
      <c r="V5502" s="287"/>
    </row>
    <row r="5503" spans="1:22" x14ac:dyDescent="0.25">
      <c r="A5503" s="287"/>
      <c r="B5503" s="626"/>
      <c r="C5503" s="287"/>
      <c r="D5503" s="627"/>
      <c r="G5503" s="627"/>
      <c r="J5503" s="287"/>
      <c r="K5503" s="630"/>
      <c r="L5503" s="630"/>
      <c r="M5503" s="287"/>
      <c r="N5503" s="631"/>
      <c r="O5503" s="628"/>
      <c r="R5503" s="633"/>
      <c r="S5503" s="287"/>
      <c r="U5503" s="287"/>
      <c r="V5503" s="287"/>
    </row>
    <row r="5504" spans="1:22" x14ac:dyDescent="0.25">
      <c r="A5504" s="287"/>
      <c r="B5504" s="626"/>
      <c r="C5504" s="287"/>
      <c r="D5504" s="627"/>
      <c r="G5504" s="627"/>
      <c r="J5504" s="287"/>
      <c r="K5504" s="630"/>
      <c r="L5504" s="630"/>
      <c r="M5504" s="287"/>
      <c r="N5504" s="631"/>
      <c r="O5504" s="628"/>
      <c r="R5504" s="633"/>
      <c r="S5504" s="287"/>
      <c r="U5504" s="287"/>
      <c r="V5504" s="287"/>
    </row>
    <row r="5505" spans="1:22" x14ac:dyDescent="0.25">
      <c r="A5505" s="287"/>
      <c r="B5505" s="626"/>
      <c r="C5505" s="287"/>
      <c r="D5505" s="627"/>
      <c r="G5505" s="627"/>
      <c r="J5505" s="287"/>
      <c r="K5505" s="630"/>
      <c r="L5505" s="630"/>
      <c r="M5505" s="287"/>
      <c r="N5505" s="631"/>
      <c r="O5505" s="628"/>
      <c r="R5505" s="633"/>
      <c r="S5505" s="287"/>
      <c r="U5505" s="287"/>
      <c r="V5505" s="287"/>
    </row>
    <row r="5506" spans="1:22" x14ac:dyDescent="0.25">
      <c r="A5506" s="287"/>
      <c r="B5506" s="626"/>
      <c r="C5506" s="287"/>
      <c r="D5506" s="627"/>
      <c r="G5506" s="627"/>
      <c r="J5506" s="287"/>
      <c r="K5506" s="630"/>
      <c r="L5506" s="630"/>
      <c r="M5506" s="287"/>
      <c r="N5506" s="631"/>
      <c r="O5506" s="628"/>
      <c r="R5506" s="633"/>
      <c r="S5506" s="287"/>
      <c r="U5506" s="287"/>
      <c r="V5506" s="287"/>
    </row>
    <row r="5507" spans="1:22" x14ac:dyDescent="0.25">
      <c r="A5507" s="287"/>
      <c r="B5507" s="626"/>
      <c r="C5507" s="287"/>
      <c r="D5507" s="627"/>
      <c r="G5507" s="627"/>
      <c r="J5507" s="287"/>
      <c r="K5507" s="630"/>
      <c r="L5507" s="630"/>
      <c r="M5507" s="287"/>
      <c r="N5507" s="631"/>
      <c r="O5507" s="628"/>
      <c r="R5507" s="633"/>
      <c r="S5507" s="287"/>
      <c r="U5507" s="287"/>
      <c r="V5507" s="287"/>
    </row>
    <row r="5508" spans="1:22" x14ac:dyDescent="0.25">
      <c r="A5508" s="287"/>
      <c r="B5508" s="626"/>
      <c r="C5508" s="287"/>
      <c r="D5508" s="627"/>
      <c r="G5508" s="627"/>
      <c r="J5508" s="287"/>
      <c r="K5508" s="630"/>
      <c r="L5508" s="630"/>
      <c r="M5508" s="287"/>
      <c r="N5508" s="631"/>
      <c r="O5508" s="628"/>
      <c r="R5508" s="633"/>
      <c r="S5508" s="287"/>
      <c r="U5508" s="287"/>
      <c r="V5508" s="287"/>
    </row>
    <row r="5509" spans="1:22" x14ac:dyDescent="0.25">
      <c r="A5509" s="287"/>
      <c r="B5509" s="626"/>
      <c r="C5509" s="287"/>
      <c r="D5509" s="627"/>
      <c r="G5509" s="627"/>
      <c r="J5509" s="287"/>
      <c r="K5509" s="630"/>
      <c r="L5509" s="630"/>
      <c r="M5509" s="287"/>
      <c r="N5509" s="631"/>
      <c r="O5509" s="628"/>
      <c r="R5509" s="633"/>
      <c r="S5509" s="287"/>
      <c r="U5509" s="287"/>
      <c r="V5509" s="287"/>
    </row>
    <row r="5510" spans="1:22" x14ac:dyDescent="0.25">
      <c r="A5510" s="287"/>
      <c r="B5510" s="626"/>
      <c r="C5510" s="287"/>
      <c r="D5510" s="627"/>
      <c r="G5510" s="627"/>
      <c r="J5510" s="287"/>
      <c r="K5510" s="630"/>
      <c r="L5510" s="630"/>
      <c r="M5510" s="287"/>
      <c r="N5510" s="631"/>
      <c r="O5510" s="628"/>
      <c r="R5510" s="633"/>
      <c r="S5510" s="287"/>
      <c r="U5510" s="287"/>
      <c r="V5510" s="287"/>
    </row>
    <row r="5511" spans="1:22" x14ac:dyDescent="0.25">
      <c r="A5511" s="287"/>
      <c r="B5511" s="626"/>
      <c r="C5511" s="287"/>
      <c r="D5511" s="627"/>
      <c r="G5511" s="627"/>
      <c r="J5511" s="287"/>
      <c r="K5511" s="630"/>
      <c r="L5511" s="630"/>
      <c r="M5511" s="287"/>
      <c r="N5511" s="631"/>
      <c r="O5511" s="628"/>
      <c r="R5511" s="633"/>
      <c r="S5511" s="287"/>
      <c r="U5511" s="287"/>
      <c r="V5511" s="287"/>
    </row>
    <row r="5512" spans="1:22" x14ac:dyDescent="0.25">
      <c r="A5512" s="287"/>
      <c r="B5512" s="626"/>
      <c r="C5512" s="287"/>
      <c r="D5512" s="627"/>
      <c r="G5512" s="627"/>
      <c r="J5512" s="287"/>
      <c r="K5512" s="630"/>
      <c r="L5512" s="630"/>
      <c r="M5512" s="287"/>
      <c r="N5512" s="631"/>
      <c r="O5512" s="628"/>
      <c r="R5512" s="633"/>
      <c r="S5512" s="287"/>
      <c r="U5512" s="287"/>
      <c r="V5512" s="287"/>
    </row>
    <row r="5513" spans="1:22" x14ac:dyDescent="0.25">
      <c r="A5513" s="287"/>
      <c r="B5513" s="626"/>
      <c r="C5513" s="287"/>
      <c r="D5513" s="627"/>
      <c r="G5513" s="627"/>
      <c r="J5513" s="287"/>
      <c r="K5513" s="630"/>
      <c r="L5513" s="630"/>
      <c r="M5513" s="287"/>
      <c r="N5513" s="631"/>
      <c r="O5513" s="628"/>
      <c r="R5513" s="633"/>
      <c r="S5513" s="287"/>
      <c r="U5513" s="287"/>
      <c r="V5513" s="287"/>
    </row>
    <row r="5514" spans="1:22" x14ac:dyDescent="0.25">
      <c r="A5514" s="287"/>
      <c r="B5514" s="626"/>
      <c r="C5514" s="287"/>
      <c r="D5514" s="627"/>
      <c r="G5514" s="627"/>
      <c r="J5514" s="287"/>
      <c r="K5514" s="630"/>
      <c r="L5514" s="630"/>
      <c r="M5514" s="287"/>
      <c r="N5514" s="631"/>
      <c r="O5514" s="628"/>
      <c r="R5514" s="633"/>
      <c r="S5514" s="287"/>
      <c r="U5514" s="287"/>
      <c r="V5514" s="287"/>
    </row>
    <row r="5515" spans="1:22" x14ac:dyDescent="0.25">
      <c r="A5515" s="287"/>
      <c r="B5515" s="626"/>
      <c r="C5515" s="287"/>
      <c r="D5515" s="627"/>
      <c r="G5515" s="627"/>
      <c r="J5515" s="287"/>
      <c r="K5515" s="630"/>
      <c r="L5515" s="630"/>
      <c r="M5515" s="287"/>
      <c r="N5515" s="631"/>
      <c r="O5515" s="628"/>
      <c r="R5515" s="633"/>
      <c r="S5515" s="287"/>
      <c r="U5515" s="287"/>
      <c r="V5515" s="287"/>
    </row>
    <row r="5516" spans="1:22" x14ac:dyDescent="0.25">
      <c r="A5516" s="287"/>
      <c r="B5516" s="626"/>
      <c r="C5516" s="287"/>
      <c r="D5516" s="627"/>
      <c r="G5516" s="627"/>
      <c r="J5516" s="287"/>
      <c r="K5516" s="630"/>
      <c r="L5516" s="630"/>
      <c r="M5516" s="287"/>
      <c r="N5516" s="631"/>
      <c r="O5516" s="628"/>
      <c r="R5516" s="633"/>
      <c r="S5516" s="287"/>
      <c r="U5516" s="287"/>
      <c r="V5516" s="287"/>
    </row>
    <row r="5517" spans="1:22" x14ac:dyDescent="0.25">
      <c r="A5517" s="287"/>
      <c r="B5517" s="626"/>
      <c r="C5517" s="287"/>
      <c r="D5517" s="627"/>
      <c r="G5517" s="627"/>
      <c r="J5517" s="287"/>
      <c r="K5517" s="630"/>
      <c r="L5517" s="630"/>
      <c r="M5517" s="287"/>
      <c r="N5517" s="631"/>
      <c r="O5517" s="628"/>
      <c r="R5517" s="633"/>
      <c r="S5517" s="287"/>
      <c r="U5517" s="287"/>
      <c r="V5517" s="287"/>
    </row>
    <row r="5518" spans="1:22" x14ac:dyDescent="0.25">
      <c r="A5518" s="287"/>
      <c r="B5518" s="626"/>
      <c r="C5518" s="287"/>
      <c r="D5518" s="627"/>
      <c r="G5518" s="627"/>
      <c r="J5518" s="287"/>
      <c r="K5518" s="630"/>
      <c r="L5518" s="630"/>
      <c r="M5518" s="287"/>
      <c r="N5518" s="631"/>
      <c r="O5518" s="628"/>
      <c r="R5518" s="633"/>
      <c r="S5518" s="287"/>
      <c r="U5518" s="287"/>
      <c r="V5518" s="287"/>
    </row>
    <row r="5519" spans="1:22" x14ac:dyDescent="0.25">
      <c r="A5519" s="287"/>
      <c r="B5519" s="626"/>
      <c r="C5519" s="287"/>
      <c r="D5519" s="627"/>
      <c r="G5519" s="627"/>
      <c r="J5519" s="287"/>
      <c r="K5519" s="630"/>
      <c r="L5519" s="630"/>
      <c r="M5519" s="287"/>
      <c r="N5519" s="631"/>
      <c r="O5519" s="628"/>
      <c r="R5519" s="633"/>
      <c r="S5519" s="287"/>
      <c r="U5519" s="287"/>
      <c r="V5519" s="287"/>
    </row>
    <row r="5520" spans="1:22" x14ac:dyDescent="0.25">
      <c r="A5520" s="287"/>
      <c r="B5520" s="626"/>
      <c r="C5520" s="287"/>
      <c r="D5520" s="627"/>
      <c r="G5520" s="627"/>
      <c r="J5520" s="287"/>
      <c r="K5520" s="630"/>
      <c r="L5520" s="630"/>
      <c r="M5520" s="287"/>
      <c r="N5520" s="631"/>
      <c r="O5520" s="628"/>
      <c r="R5520" s="633"/>
      <c r="S5520" s="287"/>
      <c r="U5520" s="287"/>
      <c r="V5520" s="287"/>
    </row>
    <row r="5521" spans="1:22" x14ac:dyDescent="0.25">
      <c r="A5521" s="287"/>
      <c r="B5521" s="626"/>
      <c r="C5521" s="287"/>
      <c r="D5521" s="627"/>
      <c r="G5521" s="627"/>
      <c r="J5521" s="287"/>
      <c r="K5521" s="630"/>
      <c r="L5521" s="630"/>
      <c r="M5521" s="287"/>
      <c r="N5521" s="631"/>
      <c r="O5521" s="628"/>
      <c r="R5521" s="633"/>
      <c r="S5521" s="287"/>
      <c r="U5521" s="287"/>
      <c r="V5521" s="287"/>
    </row>
    <row r="5522" spans="1:22" x14ac:dyDescent="0.25">
      <c r="A5522" s="287"/>
      <c r="B5522" s="626"/>
      <c r="C5522" s="287"/>
      <c r="D5522" s="627"/>
      <c r="G5522" s="627"/>
      <c r="J5522" s="287"/>
      <c r="K5522" s="630"/>
      <c r="L5522" s="630"/>
      <c r="M5522" s="287"/>
      <c r="N5522" s="631"/>
      <c r="O5522" s="628"/>
      <c r="R5522" s="633"/>
      <c r="S5522" s="287"/>
      <c r="U5522" s="287"/>
      <c r="V5522" s="287"/>
    </row>
    <row r="5523" spans="1:22" x14ac:dyDescent="0.25">
      <c r="A5523" s="287"/>
      <c r="B5523" s="626"/>
      <c r="C5523" s="287"/>
      <c r="D5523" s="627"/>
      <c r="G5523" s="627"/>
      <c r="J5523" s="287"/>
      <c r="K5523" s="630"/>
      <c r="L5523" s="630"/>
      <c r="M5523" s="287"/>
      <c r="N5523" s="631"/>
      <c r="O5523" s="628"/>
      <c r="R5523" s="633"/>
      <c r="S5523" s="287"/>
      <c r="U5523" s="287"/>
      <c r="V5523" s="287"/>
    </row>
    <row r="5524" spans="1:22" x14ac:dyDescent="0.25">
      <c r="A5524" s="287"/>
      <c r="B5524" s="626"/>
      <c r="C5524" s="287"/>
      <c r="D5524" s="627"/>
      <c r="G5524" s="627"/>
      <c r="J5524" s="287"/>
      <c r="K5524" s="630"/>
      <c r="L5524" s="630"/>
      <c r="M5524" s="287"/>
      <c r="N5524" s="631"/>
      <c r="O5524" s="628"/>
      <c r="R5524" s="633"/>
      <c r="S5524" s="287"/>
      <c r="U5524" s="287"/>
      <c r="V5524" s="287"/>
    </row>
    <row r="5525" spans="1:22" x14ac:dyDescent="0.25">
      <c r="A5525" s="287"/>
      <c r="B5525" s="626"/>
      <c r="C5525" s="287"/>
      <c r="D5525" s="627"/>
      <c r="G5525" s="627"/>
      <c r="J5525" s="287"/>
      <c r="K5525" s="630"/>
      <c r="L5525" s="630"/>
      <c r="M5525" s="287"/>
      <c r="N5525" s="631"/>
      <c r="O5525" s="628"/>
      <c r="R5525" s="633"/>
      <c r="S5525" s="287"/>
      <c r="U5525" s="287"/>
      <c r="V5525" s="287"/>
    </row>
    <row r="5526" spans="1:22" x14ac:dyDescent="0.25">
      <c r="A5526" s="287"/>
      <c r="B5526" s="626"/>
      <c r="C5526" s="287"/>
      <c r="D5526" s="627"/>
      <c r="G5526" s="627"/>
      <c r="J5526" s="287"/>
      <c r="K5526" s="630"/>
      <c r="L5526" s="630"/>
      <c r="M5526" s="287"/>
      <c r="N5526" s="631"/>
      <c r="O5526" s="628"/>
      <c r="R5526" s="633"/>
      <c r="S5526" s="287"/>
      <c r="U5526" s="287"/>
      <c r="V5526" s="287"/>
    </row>
    <row r="5527" spans="1:22" x14ac:dyDescent="0.25">
      <c r="A5527" s="287"/>
      <c r="B5527" s="626"/>
      <c r="C5527" s="287"/>
      <c r="D5527" s="627"/>
      <c r="G5527" s="627"/>
      <c r="J5527" s="287"/>
      <c r="K5527" s="630"/>
      <c r="L5527" s="630"/>
      <c r="M5527" s="287"/>
      <c r="N5527" s="631"/>
      <c r="O5527" s="628"/>
      <c r="R5527" s="633"/>
      <c r="S5527" s="287"/>
      <c r="U5527" s="287"/>
      <c r="V5527" s="287"/>
    </row>
    <row r="5528" spans="1:22" x14ac:dyDescent="0.25">
      <c r="A5528" s="287"/>
      <c r="B5528" s="626"/>
      <c r="C5528" s="287"/>
      <c r="D5528" s="627"/>
      <c r="G5528" s="627"/>
      <c r="J5528" s="287"/>
      <c r="K5528" s="630"/>
      <c r="L5528" s="630"/>
      <c r="M5528" s="287"/>
      <c r="N5528" s="631"/>
      <c r="O5528" s="628"/>
      <c r="R5528" s="633"/>
      <c r="S5528" s="287"/>
      <c r="U5528" s="287"/>
      <c r="V5528" s="287"/>
    </row>
    <row r="5529" spans="1:22" x14ac:dyDescent="0.25">
      <c r="A5529" s="287"/>
      <c r="B5529" s="626"/>
      <c r="C5529" s="287"/>
      <c r="D5529" s="627"/>
      <c r="G5529" s="627"/>
      <c r="J5529" s="287"/>
      <c r="K5529" s="630"/>
      <c r="L5529" s="630"/>
      <c r="M5529" s="287"/>
      <c r="N5529" s="631"/>
      <c r="O5529" s="628"/>
      <c r="R5529" s="633"/>
      <c r="S5529" s="287"/>
      <c r="U5529" s="287"/>
      <c r="V5529" s="287"/>
    </row>
    <row r="5530" spans="1:22" x14ac:dyDescent="0.25">
      <c r="A5530" s="287"/>
      <c r="B5530" s="626"/>
      <c r="C5530" s="287"/>
      <c r="D5530" s="627"/>
      <c r="G5530" s="627"/>
      <c r="J5530" s="287"/>
      <c r="K5530" s="630"/>
      <c r="L5530" s="630"/>
      <c r="M5530" s="287"/>
      <c r="N5530" s="631"/>
      <c r="O5530" s="628"/>
      <c r="R5530" s="633"/>
      <c r="S5530" s="287"/>
      <c r="U5530" s="287"/>
      <c r="V5530" s="287"/>
    </row>
    <row r="5531" spans="1:22" x14ac:dyDescent="0.25">
      <c r="A5531" s="287"/>
      <c r="B5531" s="626"/>
      <c r="C5531" s="287"/>
      <c r="D5531" s="627"/>
      <c r="G5531" s="627"/>
      <c r="J5531" s="287"/>
      <c r="K5531" s="630"/>
      <c r="L5531" s="630"/>
      <c r="M5531" s="287"/>
      <c r="N5531" s="631"/>
      <c r="O5531" s="628"/>
      <c r="R5531" s="633"/>
      <c r="S5531" s="287"/>
      <c r="U5531" s="287"/>
      <c r="V5531" s="287"/>
    </row>
    <row r="5532" spans="1:22" x14ac:dyDescent="0.25">
      <c r="A5532" s="287"/>
      <c r="B5532" s="626"/>
      <c r="C5532" s="287"/>
      <c r="D5532" s="627"/>
      <c r="G5532" s="627"/>
      <c r="J5532" s="287"/>
      <c r="K5532" s="630"/>
      <c r="L5532" s="630"/>
      <c r="M5532" s="287"/>
      <c r="N5532" s="631"/>
      <c r="O5532" s="628"/>
      <c r="R5532" s="633"/>
      <c r="S5532" s="287"/>
      <c r="U5532" s="287"/>
      <c r="V5532" s="287"/>
    </row>
    <row r="5533" spans="1:22" x14ac:dyDescent="0.25">
      <c r="A5533" s="287"/>
      <c r="B5533" s="626"/>
      <c r="C5533" s="287"/>
      <c r="D5533" s="627"/>
      <c r="G5533" s="627"/>
      <c r="J5533" s="287"/>
      <c r="K5533" s="630"/>
      <c r="L5533" s="630"/>
      <c r="M5533" s="287"/>
      <c r="N5533" s="631"/>
      <c r="O5533" s="628"/>
      <c r="R5533" s="633"/>
      <c r="S5533" s="287"/>
      <c r="U5533" s="287"/>
      <c r="V5533" s="287"/>
    </row>
    <row r="5534" spans="1:22" x14ac:dyDescent="0.25">
      <c r="A5534" s="287"/>
      <c r="B5534" s="626"/>
      <c r="C5534" s="287"/>
      <c r="D5534" s="627"/>
      <c r="G5534" s="627"/>
      <c r="J5534" s="287"/>
      <c r="K5534" s="630"/>
      <c r="L5534" s="630"/>
      <c r="M5534" s="287"/>
      <c r="N5534" s="631"/>
      <c r="O5534" s="628"/>
      <c r="R5534" s="633"/>
      <c r="S5534" s="287"/>
      <c r="U5534" s="287"/>
      <c r="V5534" s="287"/>
    </row>
    <row r="5535" spans="1:22" x14ac:dyDescent="0.25">
      <c r="A5535" s="287"/>
      <c r="B5535" s="626"/>
      <c r="C5535" s="287"/>
      <c r="D5535" s="627"/>
      <c r="G5535" s="627"/>
      <c r="J5535" s="287"/>
      <c r="K5535" s="630"/>
      <c r="L5535" s="630"/>
      <c r="M5535" s="287"/>
      <c r="N5535" s="631"/>
      <c r="O5535" s="628"/>
      <c r="R5535" s="633"/>
      <c r="S5535" s="287"/>
      <c r="U5535" s="287"/>
      <c r="V5535" s="287"/>
    </row>
    <row r="5536" spans="1:22" x14ac:dyDescent="0.25">
      <c r="A5536" s="287"/>
      <c r="B5536" s="626"/>
      <c r="C5536" s="287"/>
      <c r="D5536" s="627"/>
      <c r="G5536" s="627"/>
      <c r="J5536" s="287"/>
      <c r="K5536" s="630"/>
      <c r="L5536" s="630"/>
      <c r="M5536" s="287"/>
      <c r="N5536" s="631"/>
      <c r="O5536" s="628"/>
      <c r="R5536" s="633"/>
      <c r="S5536" s="287"/>
      <c r="U5536" s="287"/>
      <c r="V5536" s="287"/>
    </row>
    <row r="5537" spans="1:22" x14ac:dyDescent="0.25">
      <c r="A5537" s="287"/>
      <c r="B5537" s="626"/>
      <c r="C5537" s="287"/>
      <c r="D5537" s="627"/>
      <c r="G5537" s="627"/>
      <c r="J5537" s="287"/>
      <c r="K5537" s="630"/>
      <c r="L5537" s="630"/>
      <c r="M5537" s="287"/>
      <c r="N5537" s="631"/>
      <c r="O5537" s="628"/>
      <c r="R5537" s="633"/>
      <c r="S5537" s="287"/>
      <c r="U5537" s="287"/>
      <c r="V5537" s="287"/>
    </row>
    <row r="5538" spans="1:22" x14ac:dyDescent="0.25">
      <c r="A5538" s="287"/>
      <c r="B5538" s="626"/>
      <c r="C5538" s="287"/>
      <c r="D5538" s="627"/>
      <c r="G5538" s="627"/>
      <c r="J5538" s="287"/>
      <c r="K5538" s="630"/>
      <c r="L5538" s="630"/>
      <c r="M5538" s="287"/>
      <c r="N5538" s="631"/>
      <c r="O5538" s="628"/>
      <c r="R5538" s="633"/>
      <c r="S5538" s="287"/>
      <c r="U5538" s="287"/>
      <c r="V5538" s="287"/>
    </row>
    <row r="5539" spans="1:22" x14ac:dyDescent="0.25">
      <c r="A5539" s="287"/>
      <c r="B5539" s="626"/>
      <c r="C5539" s="287"/>
      <c r="D5539" s="627"/>
      <c r="G5539" s="627"/>
      <c r="J5539" s="287"/>
      <c r="K5539" s="630"/>
      <c r="L5539" s="630"/>
      <c r="M5539" s="287"/>
      <c r="N5539" s="631"/>
      <c r="O5539" s="628"/>
      <c r="R5539" s="633"/>
      <c r="S5539" s="287"/>
      <c r="U5539" s="287"/>
      <c r="V5539" s="287"/>
    </row>
    <row r="5540" spans="1:22" x14ac:dyDescent="0.25">
      <c r="A5540" s="287"/>
      <c r="B5540" s="626"/>
      <c r="C5540" s="287"/>
      <c r="D5540" s="627"/>
      <c r="G5540" s="627"/>
      <c r="J5540" s="287"/>
      <c r="K5540" s="630"/>
      <c r="L5540" s="630"/>
      <c r="M5540" s="287"/>
      <c r="N5540" s="631"/>
      <c r="O5540" s="628"/>
      <c r="R5540" s="633"/>
      <c r="S5540" s="287"/>
      <c r="U5540" s="287"/>
      <c r="V5540" s="287"/>
    </row>
    <row r="5541" spans="1:22" x14ac:dyDescent="0.25">
      <c r="A5541" s="287"/>
      <c r="B5541" s="626"/>
      <c r="C5541" s="287"/>
      <c r="D5541" s="627"/>
      <c r="G5541" s="627"/>
      <c r="J5541" s="287"/>
      <c r="K5541" s="630"/>
      <c r="L5541" s="630"/>
      <c r="M5541" s="287"/>
      <c r="N5541" s="631"/>
      <c r="O5541" s="628"/>
      <c r="R5541" s="633"/>
      <c r="S5541" s="287"/>
      <c r="U5541" s="287"/>
      <c r="V5541" s="287"/>
    </row>
    <row r="5542" spans="1:22" x14ac:dyDescent="0.25">
      <c r="A5542" s="287"/>
      <c r="B5542" s="626"/>
      <c r="C5542" s="287"/>
      <c r="D5542" s="627"/>
      <c r="G5542" s="627"/>
      <c r="J5542" s="287"/>
      <c r="K5542" s="630"/>
      <c r="L5542" s="630"/>
      <c r="M5542" s="287"/>
      <c r="N5542" s="631"/>
      <c r="O5542" s="628"/>
      <c r="R5542" s="633"/>
      <c r="S5542" s="287"/>
      <c r="U5542" s="287"/>
      <c r="V5542" s="287"/>
    </row>
    <row r="5543" spans="1:22" x14ac:dyDescent="0.25">
      <c r="A5543" s="287"/>
      <c r="B5543" s="626"/>
      <c r="C5543" s="287"/>
      <c r="D5543" s="627"/>
      <c r="G5543" s="627"/>
      <c r="J5543" s="287"/>
      <c r="K5543" s="630"/>
      <c r="L5543" s="630"/>
      <c r="M5543" s="287"/>
      <c r="N5543" s="631"/>
      <c r="O5543" s="628"/>
      <c r="R5543" s="633"/>
      <c r="S5543" s="287"/>
      <c r="U5543" s="287"/>
      <c r="V5543" s="287"/>
    </row>
    <row r="5544" spans="1:22" x14ac:dyDescent="0.25">
      <c r="A5544" s="287"/>
      <c r="B5544" s="626"/>
      <c r="C5544" s="287"/>
      <c r="D5544" s="627"/>
      <c r="G5544" s="627"/>
      <c r="J5544" s="287"/>
      <c r="K5544" s="630"/>
      <c r="L5544" s="630"/>
      <c r="M5544" s="287"/>
      <c r="N5544" s="631"/>
      <c r="O5544" s="628"/>
      <c r="R5544" s="633"/>
      <c r="S5544" s="287"/>
      <c r="U5544" s="287"/>
      <c r="V5544" s="287"/>
    </row>
    <row r="5545" spans="1:22" x14ac:dyDescent="0.25">
      <c r="A5545" s="287"/>
      <c r="B5545" s="626"/>
      <c r="C5545" s="287"/>
      <c r="D5545" s="627"/>
      <c r="G5545" s="627"/>
      <c r="J5545" s="287"/>
      <c r="K5545" s="630"/>
      <c r="L5545" s="630"/>
      <c r="M5545" s="287"/>
      <c r="N5545" s="631"/>
      <c r="O5545" s="628"/>
      <c r="R5545" s="633"/>
      <c r="S5545" s="287"/>
      <c r="U5545" s="287"/>
      <c r="V5545" s="287"/>
    </row>
    <row r="5546" spans="1:22" x14ac:dyDescent="0.25">
      <c r="A5546" s="287"/>
      <c r="B5546" s="626"/>
      <c r="C5546" s="287"/>
      <c r="D5546" s="627"/>
      <c r="G5546" s="627"/>
      <c r="J5546" s="287"/>
      <c r="K5546" s="630"/>
      <c r="L5546" s="630"/>
      <c r="M5546" s="287"/>
      <c r="N5546" s="631"/>
      <c r="O5546" s="628"/>
      <c r="R5546" s="633"/>
      <c r="S5546" s="287"/>
      <c r="U5546" s="287"/>
      <c r="V5546" s="287"/>
    </row>
    <row r="5547" spans="1:22" x14ac:dyDescent="0.25">
      <c r="A5547" s="287"/>
      <c r="B5547" s="626"/>
      <c r="C5547" s="287"/>
      <c r="D5547" s="627"/>
      <c r="G5547" s="627"/>
      <c r="J5547" s="287"/>
      <c r="K5547" s="630"/>
      <c r="L5547" s="630"/>
      <c r="M5547" s="287"/>
      <c r="N5547" s="631"/>
      <c r="O5547" s="628"/>
      <c r="R5547" s="633"/>
      <c r="S5547" s="287"/>
      <c r="U5547" s="287"/>
      <c r="V5547" s="287"/>
    </row>
    <row r="5548" spans="1:22" x14ac:dyDescent="0.25">
      <c r="A5548" s="287"/>
      <c r="B5548" s="626"/>
      <c r="C5548" s="287"/>
      <c r="D5548" s="627"/>
      <c r="G5548" s="627"/>
      <c r="J5548" s="287"/>
      <c r="K5548" s="630"/>
      <c r="L5548" s="630"/>
      <c r="M5548" s="287"/>
      <c r="N5548" s="631"/>
      <c r="O5548" s="628"/>
      <c r="R5548" s="633"/>
      <c r="S5548" s="287"/>
      <c r="U5548" s="287"/>
      <c r="V5548" s="287"/>
    </row>
    <row r="5549" spans="1:22" x14ac:dyDescent="0.25">
      <c r="A5549" s="287"/>
      <c r="B5549" s="626"/>
      <c r="C5549" s="287"/>
      <c r="D5549" s="627"/>
      <c r="G5549" s="627"/>
      <c r="J5549" s="287"/>
      <c r="K5549" s="630"/>
      <c r="L5549" s="630"/>
      <c r="M5549" s="287"/>
      <c r="N5549" s="631"/>
      <c r="O5549" s="628"/>
      <c r="R5549" s="633"/>
      <c r="S5549" s="287"/>
      <c r="U5549" s="287"/>
      <c r="V5549" s="287"/>
    </row>
    <row r="5550" spans="1:22" x14ac:dyDescent="0.25">
      <c r="A5550" s="287"/>
      <c r="B5550" s="626"/>
      <c r="C5550" s="287"/>
      <c r="D5550" s="627"/>
      <c r="G5550" s="627"/>
      <c r="J5550" s="287"/>
      <c r="K5550" s="630"/>
      <c r="L5550" s="630"/>
      <c r="M5550" s="287"/>
      <c r="N5550" s="631"/>
      <c r="O5550" s="628"/>
      <c r="R5550" s="633"/>
      <c r="S5550" s="287"/>
      <c r="U5550" s="287"/>
      <c r="V5550" s="287"/>
    </row>
    <row r="5551" spans="1:22" x14ac:dyDescent="0.25">
      <c r="A5551" s="287"/>
      <c r="B5551" s="626"/>
      <c r="C5551" s="287"/>
      <c r="D5551" s="627"/>
      <c r="G5551" s="627"/>
      <c r="J5551" s="287"/>
      <c r="K5551" s="630"/>
      <c r="L5551" s="630"/>
      <c r="M5551" s="287"/>
      <c r="N5551" s="631"/>
      <c r="O5551" s="628"/>
      <c r="R5551" s="633"/>
      <c r="S5551" s="287"/>
      <c r="U5551" s="287"/>
      <c r="V5551" s="287"/>
    </row>
    <row r="5552" spans="1:22" x14ac:dyDescent="0.25">
      <c r="A5552" s="287"/>
      <c r="B5552" s="626"/>
      <c r="C5552" s="287"/>
      <c r="D5552" s="627"/>
      <c r="G5552" s="627"/>
      <c r="J5552" s="287"/>
      <c r="K5552" s="630"/>
      <c r="L5552" s="630"/>
      <c r="M5552" s="287"/>
      <c r="N5552" s="631"/>
      <c r="O5552" s="628"/>
      <c r="R5552" s="633"/>
      <c r="S5552" s="287"/>
      <c r="U5552" s="287"/>
      <c r="V5552" s="287"/>
    </row>
    <row r="5553" spans="1:22" x14ac:dyDescent="0.25">
      <c r="A5553" s="287"/>
      <c r="B5553" s="626"/>
      <c r="C5553" s="287"/>
      <c r="D5553" s="627"/>
      <c r="G5553" s="627"/>
      <c r="J5553" s="287"/>
      <c r="K5553" s="630"/>
      <c r="L5553" s="630"/>
      <c r="M5553" s="287"/>
      <c r="N5553" s="631"/>
      <c r="O5553" s="628"/>
      <c r="R5553" s="633"/>
      <c r="S5553" s="287"/>
      <c r="U5553" s="287"/>
      <c r="V5553" s="287"/>
    </row>
    <row r="5554" spans="1:22" x14ac:dyDescent="0.25">
      <c r="A5554" s="287"/>
      <c r="B5554" s="626"/>
      <c r="C5554" s="287"/>
      <c r="D5554" s="627"/>
      <c r="G5554" s="627"/>
      <c r="J5554" s="287"/>
      <c r="K5554" s="630"/>
      <c r="L5554" s="630"/>
      <c r="M5554" s="287"/>
      <c r="N5554" s="631"/>
      <c r="O5554" s="628"/>
      <c r="R5554" s="633"/>
      <c r="S5554" s="287"/>
      <c r="U5554" s="287"/>
      <c r="V5554" s="287"/>
    </row>
    <row r="5555" spans="1:22" x14ac:dyDescent="0.25">
      <c r="A5555" s="287"/>
      <c r="B5555" s="626"/>
      <c r="C5555" s="287"/>
      <c r="D5555" s="627"/>
      <c r="G5555" s="627"/>
      <c r="J5555" s="287"/>
      <c r="K5555" s="630"/>
      <c r="L5555" s="630"/>
      <c r="M5555" s="287"/>
      <c r="N5555" s="631"/>
      <c r="O5555" s="628"/>
      <c r="R5555" s="633"/>
      <c r="S5555" s="287"/>
      <c r="U5555" s="287"/>
      <c r="V5555" s="287"/>
    </row>
    <row r="5556" spans="1:22" x14ac:dyDescent="0.25">
      <c r="A5556" s="287"/>
      <c r="B5556" s="626"/>
      <c r="C5556" s="287"/>
      <c r="D5556" s="627"/>
      <c r="G5556" s="627"/>
      <c r="J5556" s="287"/>
      <c r="K5556" s="630"/>
      <c r="L5556" s="630"/>
      <c r="M5556" s="287"/>
      <c r="N5556" s="631"/>
      <c r="O5556" s="628"/>
      <c r="R5556" s="633"/>
      <c r="S5556" s="287"/>
      <c r="U5556" s="287"/>
      <c r="V5556" s="287"/>
    </row>
    <row r="5557" spans="1:22" x14ac:dyDescent="0.25">
      <c r="A5557" s="287"/>
      <c r="B5557" s="626"/>
      <c r="C5557" s="287"/>
      <c r="D5557" s="627"/>
      <c r="G5557" s="627"/>
      <c r="J5557" s="287"/>
      <c r="K5557" s="630"/>
      <c r="L5557" s="630"/>
      <c r="M5557" s="287"/>
      <c r="N5557" s="631"/>
      <c r="O5557" s="628"/>
      <c r="R5557" s="633"/>
      <c r="S5557" s="287"/>
      <c r="U5557" s="287"/>
      <c r="V5557" s="287"/>
    </row>
  </sheetData>
  <sheetProtection selectLockedCells="1" selectUnlockedCells="1"/>
  <autoFilter ref="A12:X2264">
    <filterColumn colId="21">
      <filters>
        <filter val="1,000"/>
        <filter val="1,930"/>
        <filter val="1.065,000"/>
        <filter val="1.173.404,053"/>
        <filter val="1.251,650"/>
        <filter val="1.474,740"/>
        <filter val="1.749,540"/>
        <filter val="1.839,884"/>
        <filter val="11.470,000"/>
        <filter val="12.096,949"/>
        <filter val="12.408,000"/>
        <filter val="12.650,520"/>
        <filter val="14.394.761,002"/>
        <filter val="165,000"/>
        <filter val="17,370"/>
        <filter val="172.208,000"/>
        <filter val="18,000"/>
        <filter val="186.540,064"/>
        <filter val="2.067,741"/>
        <filter val="21.060,000"/>
        <filter val="21.497,000"/>
        <filter val="-22.971.587,968"/>
        <filter val="23.656,675"/>
        <filter val="24.816,000"/>
        <filter val="269,160"/>
        <filter val="3.216,208"/>
        <filter val="3.589,263"/>
        <filter val="32.299,200"/>
        <filter val="33,000"/>
        <filter val="360,000"/>
        <filter val="370,000"/>
        <filter val="4.305,200"/>
        <filter val="-43.979.564,784"/>
        <filter val="44,860"/>
        <filter val="449.342,350"/>
        <filter val="48,418"/>
        <filter val="49.632,000"/>
        <filter val="5.115,000"/>
        <filter val="5.417.378,575"/>
        <filter val="5.809,768"/>
        <filter val="50,553"/>
        <filter val="51,000"/>
        <filter val="535.829,800"/>
        <filter val="581,000"/>
        <filter val="6,000"/>
        <filter val="66.167,712"/>
        <filter val="70,000"/>
        <filter val="720,000"/>
        <filter val="-73.452.620,686"/>
        <filter val="74.000,000"/>
        <filter val="80,000"/>
        <filter val="810,000"/>
        <filter val="-820.413,856"/>
        <filter val="897,200"/>
        <filter val="9,000"/>
        <filter val="9.742,360"/>
        <filter val="919,942"/>
      </filters>
    </filterColumn>
  </autoFilter>
  <mergeCells count="7378">
    <mergeCell ref="D4882:F4882"/>
    <mergeCell ref="G4882:I4882"/>
    <mergeCell ref="T4943:U4945"/>
    <mergeCell ref="T5000:U5002"/>
    <mergeCell ref="T3944:U3946"/>
    <mergeCell ref="D3994:F3994"/>
    <mergeCell ref="G3994:I3994"/>
    <mergeCell ref="D4077:F4077"/>
    <mergeCell ref="G4077:I4077"/>
    <mergeCell ref="D4307:F4307"/>
    <mergeCell ref="G4307:I4307"/>
    <mergeCell ref="T4310:U4312"/>
    <mergeCell ref="D4359:F4359"/>
    <mergeCell ref="G4359:I4359"/>
    <mergeCell ref="D4418:F4418"/>
    <mergeCell ref="G4418:I4418"/>
    <mergeCell ref="D4419:F4419"/>
    <mergeCell ref="G4419:I4419"/>
    <mergeCell ref="D4479:F4479"/>
    <mergeCell ref="G4479:I4479"/>
    <mergeCell ref="D4480:F4480"/>
    <mergeCell ref="G4480:I4480"/>
    <mergeCell ref="D4879:F4879"/>
    <mergeCell ref="G4879:I4879"/>
    <mergeCell ref="D4487:I4487"/>
    <mergeCell ref="G4495:I4495"/>
    <mergeCell ref="D4496:F4496"/>
    <mergeCell ref="G4496:I4496"/>
    <mergeCell ref="G4255:I4255"/>
    <mergeCell ref="D4052:I4052"/>
    <mergeCell ref="G4072:I4072"/>
    <mergeCell ref="D4073:F4073"/>
    <mergeCell ref="G4073:I4073"/>
    <mergeCell ref="D4072:F4072"/>
    <mergeCell ref="D4064:F4064"/>
    <mergeCell ref="G4064:I4064"/>
    <mergeCell ref="D4065:F4065"/>
    <mergeCell ref="G4065:I4065"/>
    <mergeCell ref="D4377:I4378"/>
    <mergeCell ref="D4084:F4084"/>
    <mergeCell ref="G4084:I4084"/>
    <mergeCell ref="D4066:F4066"/>
    <mergeCell ref="G4066:I4066"/>
    <mergeCell ref="D4067:F4067"/>
    <mergeCell ref="G4067:I4067"/>
    <mergeCell ref="D4069:F4069"/>
    <mergeCell ref="D4070:F4070"/>
    <mergeCell ref="G4341:I4341"/>
    <mergeCell ref="D4332:F4332"/>
    <mergeCell ref="G4332:I4332"/>
    <mergeCell ref="D4333:F4333"/>
    <mergeCell ref="G4333:I4333"/>
    <mergeCell ref="D4361:F4361"/>
    <mergeCell ref="G4361:I4361"/>
    <mergeCell ref="G4289:I4289"/>
    <mergeCell ref="D4266:F4266"/>
    <mergeCell ref="G4266:I4266"/>
    <mergeCell ref="G4282:I4282"/>
    <mergeCell ref="D4271:F4271"/>
    <mergeCell ref="G4271:I4271"/>
    <mergeCell ref="D4280:F4280"/>
    <mergeCell ref="G4355:I4355"/>
    <mergeCell ref="D4305:F4305"/>
    <mergeCell ref="G4305:I4305"/>
    <mergeCell ref="R1276:R1277"/>
    <mergeCell ref="Q1276:Q1277"/>
    <mergeCell ref="P1276:P1277"/>
    <mergeCell ref="O1276:O1277"/>
    <mergeCell ref="N1276:N1277"/>
    <mergeCell ref="M1276:M1277"/>
    <mergeCell ref="L1276:L1277"/>
    <mergeCell ref="M154:Q154"/>
    <mergeCell ref="D155:I156"/>
    <mergeCell ref="J155:K156"/>
    <mergeCell ref="L155:L156"/>
    <mergeCell ref="M155:Q155"/>
    <mergeCell ref="M156:Q156"/>
    <mergeCell ref="J215:K215"/>
    <mergeCell ref="M215:Q215"/>
    <mergeCell ref="D216:I217"/>
    <mergeCell ref="J216:K217"/>
    <mergeCell ref="L216:L217"/>
    <mergeCell ref="M216:Q216"/>
    <mergeCell ref="M217:Q217"/>
    <mergeCell ref="G171:I171"/>
    <mergeCell ref="D172:F172"/>
    <mergeCell ref="G332:I332"/>
    <mergeCell ref="G354:L354"/>
    <mergeCell ref="D308:F308"/>
    <mergeCell ref="G308:I308"/>
    <mergeCell ref="D945:I946"/>
    <mergeCell ref="G305:I305"/>
    <mergeCell ref="M297:Q297"/>
    <mergeCell ref="M298:Q298"/>
    <mergeCell ref="D272:F272"/>
    <mergeCell ref="D252:F252"/>
    <mergeCell ref="D3977:F3977"/>
    <mergeCell ref="G3977:I3977"/>
    <mergeCell ref="L1273:L1274"/>
    <mergeCell ref="J1344:K1344"/>
    <mergeCell ref="D3991:F3991"/>
    <mergeCell ref="G3991:I3991"/>
    <mergeCell ref="D4304:F4304"/>
    <mergeCell ref="G4304:I4304"/>
    <mergeCell ref="D148:F148"/>
    <mergeCell ref="G148:I148"/>
    <mergeCell ref="D203:F203"/>
    <mergeCell ref="G203:I203"/>
    <mergeCell ref="D204:F204"/>
    <mergeCell ref="G204:I204"/>
    <mergeCell ref="D279:F279"/>
    <mergeCell ref="G279:I279"/>
    <mergeCell ref="D342:F342"/>
    <mergeCell ref="G342:I342"/>
    <mergeCell ref="J154:K154"/>
    <mergeCell ref="D201:F201"/>
    <mergeCell ref="G201:I201"/>
    <mergeCell ref="D202:F202"/>
    <mergeCell ref="G202:I202"/>
    <mergeCell ref="D278:F278"/>
    <mergeCell ref="G278:I278"/>
    <mergeCell ref="D341:F341"/>
    <mergeCell ref="G341:I341"/>
    <mergeCell ref="G1277:I1277"/>
    <mergeCell ref="D1277:F1277"/>
    <mergeCell ref="D332:F332"/>
    <mergeCell ref="D169:F169"/>
    <mergeCell ref="G353:L353"/>
    <mergeCell ref="G4918:I4918"/>
    <mergeCell ref="D4923:F4923"/>
    <mergeCell ref="G4923:I4923"/>
    <mergeCell ref="D4924:I4924"/>
    <mergeCell ref="J4924:K4924"/>
    <mergeCell ref="M4924:Q4924"/>
    <mergeCell ref="D4925:I4926"/>
    <mergeCell ref="J4925:K4926"/>
    <mergeCell ref="L4925:L4926"/>
    <mergeCell ref="M4925:Q4925"/>
    <mergeCell ref="M4926:Q4926"/>
    <mergeCell ref="D4861:I4861"/>
    <mergeCell ref="J4861:K4861"/>
    <mergeCell ref="M4861:Q4861"/>
    <mergeCell ref="D4862:I4863"/>
    <mergeCell ref="J4862:K4863"/>
    <mergeCell ref="L4862:L4863"/>
    <mergeCell ref="M4862:Q4862"/>
    <mergeCell ref="M4863:Q4863"/>
    <mergeCell ref="D4878:F4878"/>
    <mergeCell ref="G4878:I4878"/>
    <mergeCell ref="D4877:F4877"/>
    <mergeCell ref="G4877:I4877"/>
    <mergeCell ref="D4876:F4876"/>
    <mergeCell ref="G4876:I4876"/>
    <mergeCell ref="D4875:F4875"/>
    <mergeCell ref="G4875:I4875"/>
    <mergeCell ref="G4869:I4869"/>
    <mergeCell ref="D4870:F4870"/>
    <mergeCell ref="G4870:I4870"/>
    <mergeCell ref="D4871:F4871"/>
    <mergeCell ref="D4874:F4874"/>
    <mergeCell ref="T4908:T4909"/>
    <mergeCell ref="U4908:U4909"/>
    <mergeCell ref="D4909:F4909"/>
    <mergeCell ref="G4909:I4909"/>
    <mergeCell ref="D4912:F4912"/>
    <mergeCell ref="G4912:I4912"/>
    <mergeCell ref="D4913:I4913"/>
    <mergeCell ref="J4913:K4913"/>
    <mergeCell ref="M4913:Q4913"/>
    <mergeCell ref="D4914:I4915"/>
    <mergeCell ref="J4914:K4915"/>
    <mergeCell ref="L4914:L4915"/>
    <mergeCell ref="M4914:Q4914"/>
    <mergeCell ref="M4915:Q4915"/>
    <mergeCell ref="L4908:L4909"/>
    <mergeCell ref="M4908:M4909"/>
    <mergeCell ref="N4908:N4909"/>
    <mergeCell ref="O4908:O4909"/>
    <mergeCell ref="P4908:P4909"/>
    <mergeCell ref="B4917:B4918"/>
    <mergeCell ref="C4917:C4918"/>
    <mergeCell ref="D4917:I4917"/>
    <mergeCell ref="J4917:J4918"/>
    <mergeCell ref="K4917:K4918"/>
    <mergeCell ref="L4917:L4918"/>
    <mergeCell ref="M4917:M4918"/>
    <mergeCell ref="N4917:N4918"/>
    <mergeCell ref="O4917:O4918"/>
    <mergeCell ref="P4917:P4918"/>
    <mergeCell ref="Q4917:Q4918"/>
    <mergeCell ref="R4917:R4918"/>
    <mergeCell ref="S4917:S4918"/>
    <mergeCell ref="T4917:T4918"/>
    <mergeCell ref="U4917:U4918"/>
    <mergeCell ref="D4918:F4918"/>
    <mergeCell ref="G4900:I4900"/>
    <mergeCell ref="D4903:F4903"/>
    <mergeCell ref="G4903:I4903"/>
    <mergeCell ref="D4904:I4904"/>
    <mergeCell ref="J4904:K4904"/>
    <mergeCell ref="M4904:Q4904"/>
    <mergeCell ref="D4905:I4906"/>
    <mergeCell ref="J4905:K4906"/>
    <mergeCell ref="L4905:L4906"/>
    <mergeCell ref="M4905:Q4905"/>
    <mergeCell ref="M4906:Q4906"/>
    <mergeCell ref="B4908:B4909"/>
    <mergeCell ref="C4908:C4909"/>
    <mergeCell ref="D4908:I4908"/>
    <mergeCell ref="J4908:J4909"/>
    <mergeCell ref="K4908:K4909"/>
    <mergeCell ref="B4890:B4891"/>
    <mergeCell ref="C4890:C4891"/>
    <mergeCell ref="D4890:I4890"/>
    <mergeCell ref="J4890:J4891"/>
    <mergeCell ref="K4890:K4891"/>
    <mergeCell ref="Q4908:Q4909"/>
    <mergeCell ref="R4890:R4891"/>
    <mergeCell ref="S4890:S4891"/>
    <mergeCell ref="T4890:T4891"/>
    <mergeCell ref="U4890:U4891"/>
    <mergeCell ref="D4891:F4891"/>
    <mergeCell ref="G4891:I4891"/>
    <mergeCell ref="D4894:F4894"/>
    <mergeCell ref="G4894:I4894"/>
    <mergeCell ref="D4895:I4895"/>
    <mergeCell ref="J4895:K4895"/>
    <mergeCell ref="M4895:Q4895"/>
    <mergeCell ref="D4896:I4897"/>
    <mergeCell ref="J4896:K4897"/>
    <mergeCell ref="L4896:L4897"/>
    <mergeCell ref="M4896:Q4896"/>
    <mergeCell ref="M4897:Q4897"/>
    <mergeCell ref="L4890:L4891"/>
    <mergeCell ref="M4890:M4891"/>
    <mergeCell ref="N4890:N4891"/>
    <mergeCell ref="O4890:O4891"/>
    <mergeCell ref="P4890:P4891"/>
    <mergeCell ref="Q4890:Q4891"/>
    <mergeCell ref="D4892:F4892"/>
    <mergeCell ref="G4892:I4892"/>
    <mergeCell ref="R4908:R4909"/>
    <mergeCell ref="S4908:S4909"/>
    <mergeCell ref="R4865:R4866"/>
    <mergeCell ref="S4865:S4866"/>
    <mergeCell ref="T4865:T4866"/>
    <mergeCell ref="U4865:U4866"/>
    <mergeCell ref="D4866:F4866"/>
    <mergeCell ref="B4899:B4900"/>
    <mergeCell ref="C4899:C4900"/>
    <mergeCell ref="D4899:I4899"/>
    <mergeCell ref="J4899:J4900"/>
    <mergeCell ref="K4899:K4900"/>
    <mergeCell ref="L4899:L4900"/>
    <mergeCell ref="M4899:M4900"/>
    <mergeCell ref="N4899:N4900"/>
    <mergeCell ref="O4899:O4900"/>
    <mergeCell ref="P4899:P4900"/>
    <mergeCell ref="Q4899:Q4900"/>
    <mergeCell ref="R4899:R4900"/>
    <mergeCell ref="S4899:S4900"/>
    <mergeCell ref="T4899:T4900"/>
    <mergeCell ref="U4899:U4900"/>
    <mergeCell ref="D4900:F4900"/>
    <mergeCell ref="G4866:I4866"/>
    <mergeCell ref="D4885:F4885"/>
    <mergeCell ref="G4885:I4885"/>
    <mergeCell ref="D4886:I4886"/>
    <mergeCell ref="J4886:K4886"/>
    <mergeCell ref="M4886:Q4886"/>
    <mergeCell ref="D4887:I4888"/>
    <mergeCell ref="J4887:K4888"/>
    <mergeCell ref="L4887:L4888"/>
    <mergeCell ref="M4887:Q4887"/>
    <mergeCell ref="M4888:Q4888"/>
    <mergeCell ref="B4865:B4866"/>
    <mergeCell ref="C4865:C4866"/>
    <mergeCell ref="D4865:I4865"/>
    <mergeCell ref="J4865:J4866"/>
    <mergeCell ref="K4865:K4866"/>
    <mergeCell ref="L4865:L4866"/>
    <mergeCell ref="M4865:M4866"/>
    <mergeCell ref="N4865:N4866"/>
    <mergeCell ref="O4865:O4866"/>
    <mergeCell ref="P4865:P4866"/>
    <mergeCell ref="Q4865:Q4866"/>
    <mergeCell ref="B4825:B4826"/>
    <mergeCell ref="C4825:C4826"/>
    <mergeCell ref="D4825:I4825"/>
    <mergeCell ref="J4825:J4826"/>
    <mergeCell ref="K4825:K4826"/>
    <mergeCell ref="L4825:L4826"/>
    <mergeCell ref="M4825:M4826"/>
    <mergeCell ref="N4825:N4826"/>
    <mergeCell ref="O4825:O4826"/>
    <mergeCell ref="P4825:P4826"/>
    <mergeCell ref="Q4825:Q4826"/>
    <mergeCell ref="R4825:R4826"/>
    <mergeCell ref="S4825:S4826"/>
    <mergeCell ref="T4825:T4826"/>
    <mergeCell ref="U4825:U4826"/>
    <mergeCell ref="D4826:F4826"/>
    <mergeCell ref="G4826:I4826"/>
    <mergeCell ref="N4785:N4786"/>
    <mergeCell ref="O4785:O4786"/>
    <mergeCell ref="P4785:P4786"/>
    <mergeCell ref="Q4785:Q4786"/>
    <mergeCell ref="R4785:R4786"/>
    <mergeCell ref="S4785:S4786"/>
    <mergeCell ref="T4785:T4786"/>
    <mergeCell ref="U4785:U4786"/>
    <mergeCell ref="D4786:F4786"/>
    <mergeCell ref="G4786:I4786"/>
    <mergeCell ref="D4821:I4821"/>
    <mergeCell ref="J4821:K4821"/>
    <mergeCell ref="M4821:Q4821"/>
    <mergeCell ref="D4822:I4823"/>
    <mergeCell ref="J4822:K4823"/>
    <mergeCell ref="L4822:L4823"/>
    <mergeCell ref="M4822:Q4822"/>
    <mergeCell ref="M4823:Q4823"/>
    <mergeCell ref="B4785:B4786"/>
    <mergeCell ref="C4785:C4786"/>
    <mergeCell ref="D4785:I4785"/>
    <mergeCell ref="J4785:J4786"/>
    <mergeCell ref="K4785:K4786"/>
    <mergeCell ref="L4785:L4786"/>
    <mergeCell ref="M4785:M4786"/>
    <mergeCell ref="G4342:I4342"/>
    <mergeCell ref="D4340:F4340"/>
    <mergeCell ref="G4340:I4340"/>
    <mergeCell ref="D4339:F4339"/>
    <mergeCell ref="G4339:I4339"/>
    <mergeCell ref="J4363:K4364"/>
    <mergeCell ref="L4363:L4364"/>
    <mergeCell ref="D4348:F4348"/>
    <mergeCell ref="G4348:I4348"/>
    <mergeCell ref="D4349:F4349"/>
    <mergeCell ref="G4349:I4349"/>
    <mergeCell ref="D4350:F4350"/>
    <mergeCell ref="J4423:K4424"/>
    <mergeCell ref="L4423:L4424"/>
    <mergeCell ref="G4383:I4383"/>
    <mergeCell ref="D4384:F4384"/>
    <mergeCell ref="D4423:I4424"/>
    <mergeCell ref="D4382:F4382"/>
    <mergeCell ref="G4382:I4382"/>
    <mergeCell ref="D4383:F4383"/>
    <mergeCell ref="G4384:I4384"/>
    <mergeCell ref="D4385:F4385"/>
    <mergeCell ref="G4385:I4385"/>
    <mergeCell ref="B4555:B4556"/>
    <mergeCell ref="C4555:C4556"/>
    <mergeCell ref="G3981:I3981"/>
    <mergeCell ref="D4330:F4330"/>
    <mergeCell ref="G4330:I4330"/>
    <mergeCell ref="G4323:I4323"/>
    <mergeCell ref="D4324:F4324"/>
    <mergeCell ref="G4324:I4324"/>
    <mergeCell ref="D4321:F4321"/>
    <mergeCell ref="G4321:I4321"/>
    <mergeCell ref="D4322:F4322"/>
    <mergeCell ref="G4329:I4329"/>
    <mergeCell ref="G4062:I4062"/>
    <mergeCell ref="D4063:F4063"/>
    <mergeCell ref="G4063:I4063"/>
    <mergeCell ref="G4278:I4278"/>
    <mergeCell ref="D3989:F3989"/>
    <mergeCell ref="G3989:I3989"/>
    <mergeCell ref="D3988:F3988"/>
    <mergeCell ref="G3988:I3988"/>
    <mergeCell ref="D4268:F4268"/>
    <mergeCell ref="G3982:I3982"/>
    <mergeCell ref="G4320:I4320"/>
    <mergeCell ref="D4316:F4316"/>
    <mergeCell ref="G4316:I4316"/>
    <mergeCell ref="D4317:F4317"/>
    <mergeCell ref="G4317:I4317"/>
    <mergeCell ref="D4297:F4297"/>
    <mergeCell ref="G4291:I4291"/>
    <mergeCell ref="G4322:I4322"/>
    <mergeCell ref="D3983:F3983"/>
    <mergeCell ref="G3983:I3983"/>
    <mergeCell ref="D3984:F3984"/>
    <mergeCell ref="G3984:I3984"/>
    <mergeCell ref="B4487:B4488"/>
    <mergeCell ref="G4447:I4447"/>
    <mergeCell ref="D4447:F4447"/>
    <mergeCell ref="B4540:B4541"/>
    <mergeCell ref="C4540:C4541"/>
    <mergeCell ref="G4520:I4520"/>
    <mergeCell ref="D4519:F4519"/>
    <mergeCell ref="G4519:I4519"/>
    <mergeCell ref="D4530:F4530"/>
    <mergeCell ref="G4530:I4530"/>
    <mergeCell ref="D4489:F4489"/>
    <mergeCell ref="G4489:I4489"/>
    <mergeCell ref="D4490:F4490"/>
    <mergeCell ref="G4490:I4490"/>
    <mergeCell ref="D4491:F4491"/>
    <mergeCell ref="G4491:I4491"/>
    <mergeCell ref="D4508:F4508"/>
    <mergeCell ref="G4508:I4508"/>
    <mergeCell ref="D4541:F4541"/>
    <mergeCell ref="C4487:C4488"/>
    <mergeCell ref="D4513:F4513"/>
    <mergeCell ref="D4455:F4455"/>
    <mergeCell ref="G4455:I4455"/>
    <mergeCell ref="D4456:F4456"/>
    <mergeCell ref="D4533:F4533"/>
    <mergeCell ref="G4533:I4533"/>
    <mergeCell ref="D4512:F4512"/>
    <mergeCell ref="G4512:I4512"/>
    <mergeCell ref="D4523:F4523"/>
    <mergeCell ref="G4523:I4523"/>
    <mergeCell ref="D4525:F4525"/>
    <mergeCell ref="D4529:F4529"/>
    <mergeCell ref="D270:F270"/>
    <mergeCell ref="G270:I270"/>
    <mergeCell ref="D139:F139"/>
    <mergeCell ref="G147:I147"/>
    <mergeCell ref="D286:I286"/>
    <mergeCell ref="G137:I137"/>
    <mergeCell ref="D189:F189"/>
    <mergeCell ref="G189:I189"/>
    <mergeCell ref="D140:F140"/>
    <mergeCell ref="G140:I140"/>
    <mergeCell ref="D322:F322"/>
    <mergeCell ref="G175:I175"/>
    <mergeCell ref="D176:F176"/>
    <mergeCell ref="G176:I176"/>
    <mergeCell ref="G271:I271"/>
    <mergeCell ref="D225:F225"/>
    <mergeCell ref="G225:I225"/>
    <mergeCell ref="D226:F226"/>
    <mergeCell ref="G226:I226"/>
    <mergeCell ref="D227:F227"/>
    <mergeCell ref="G227:I227"/>
    <mergeCell ref="D222:F222"/>
    <mergeCell ref="G222:I222"/>
    <mergeCell ref="D223:F223"/>
    <mergeCell ref="G223:I223"/>
    <mergeCell ref="D224:F224"/>
    <mergeCell ref="D141:F141"/>
    <mergeCell ref="G173:I173"/>
    <mergeCell ref="D174:F174"/>
    <mergeCell ref="G174:I174"/>
    <mergeCell ref="D175:F175"/>
    <mergeCell ref="G186:I186"/>
    <mergeCell ref="G3975:I3975"/>
    <mergeCell ref="D167:F167"/>
    <mergeCell ref="G167:I167"/>
    <mergeCell ref="D168:F168"/>
    <mergeCell ref="G168:I168"/>
    <mergeCell ref="D171:F171"/>
    <mergeCell ref="G169:I169"/>
    <mergeCell ref="D170:F170"/>
    <mergeCell ref="G170:I170"/>
    <mergeCell ref="D180:F180"/>
    <mergeCell ref="G180:I180"/>
    <mergeCell ref="G181:I181"/>
    <mergeCell ref="D182:F182"/>
    <mergeCell ref="D177:F177"/>
    <mergeCell ref="D181:F181"/>
    <mergeCell ref="D215:I215"/>
    <mergeCell ref="G172:I172"/>
    <mergeCell ref="D173:F173"/>
    <mergeCell ref="D179:F179"/>
    <mergeCell ref="G179:I179"/>
    <mergeCell ref="G243:I243"/>
    <mergeCell ref="D244:F244"/>
    <mergeCell ref="G244:I244"/>
    <mergeCell ref="D245:F245"/>
    <mergeCell ref="G245:I245"/>
    <mergeCell ref="D246:F246"/>
    <mergeCell ref="G246:I246"/>
    <mergeCell ref="D309:F309"/>
    <mergeCell ref="G309:I309"/>
    <mergeCell ref="D310:F310"/>
    <mergeCell ref="G266:I266"/>
    <mergeCell ref="D191:F191"/>
    <mergeCell ref="D4536:I4536"/>
    <mergeCell ref="J4536:K4536"/>
    <mergeCell ref="M4536:Q4536"/>
    <mergeCell ref="D4537:I4538"/>
    <mergeCell ref="D4438:F4438"/>
    <mergeCell ref="G4438:I4438"/>
    <mergeCell ref="D4439:F4439"/>
    <mergeCell ref="G4439:I4439"/>
    <mergeCell ref="D4440:F4440"/>
    <mergeCell ref="D4495:F4495"/>
    <mergeCell ref="D4493:F4493"/>
    <mergeCell ref="G4493:I4493"/>
    <mergeCell ref="D4494:F4494"/>
    <mergeCell ref="D4468:F4468"/>
    <mergeCell ref="G4468:I4468"/>
    <mergeCell ref="D4497:F4497"/>
    <mergeCell ref="G4507:I4507"/>
    <mergeCell ref="D4469:F4469"/>
    <mergeCell ref="G4469:I4469"/>
    <mergeCell ref="D4470:F4470"/>
    <mergeCell ref="D4467:F4467"/>
    <mergeCell ref="G4467:I4467"/>
    <mergeCell ref="G4498:I4498"/>
    <mergeCell ref="D4499:F4499"/>
    <mergeCell ref="G4499:I4499"/>
    <mergeCell ref="G4497:I4497"/>
    <mergeCell ref="D4498:F4498"/>
    <mergeCell ref="G4494:I4494"/>
    <mergeCell ref="D4453:F4453"/>
    <mergeCell ref="G4453:I4453"/>
    <mergeCell ref="D4452:F4452"/>
    <mergeCell ref="G4452:I4452"/>
    <mergeCell ref="L4610:L4611"/>
    <mergeCell ref="M4610:Q4610"/>
    <mergeCell ref="M4611:Q4611"/>
    <mergeCell ref="D4599:F4599"/>
    <mergeCell ref="G4599:I4599"/>
    <mergeCell ref="D4600:I4600"/>
    <mergeCell ref="J4600:K4600"/>
    <mergeCell ref="M4600:Q4600"/>
    <mergeCell ref="D4601:I4602"/>
    <mergeCell ref="J4601:K4602"/>
    <mergeCell ref="L4601:L4602"/>
    <mergeCell ref="M4601:Q4601"/>
    <mergeCell ref="M4602:Q4602"/>
    <mergeCell ref="Q4591:Q4592"/>
    <mergeCell ref="Q4555:Q4556"/>
    <mergeCell ref="D4586:F4586"/>
    <mergeCell ref="G4586:I4586"/>
    <mergeCell ref="D4587:I4587"/>
    <mergeCell ref="D4591:I4591"/>
    <mergeCell ref="J4591:J4592"/>
    <mergeCell ref="K4591:K4592"/>
    <mergeCell ref="L4588:L4589"/>
    <mergeCell ref="J4610:K4611"/>
    <mergeCell ref="L4591:L4592"/>
    <mergeCell ref="D4610:I4611"/>
    <mergeCell ref="B4604:B4605"/>
    <mergeCell ref="C4604:C4605"/>
    <mergeCell ref="D4604:I4604"/>
    <mergeCell ref="J4604:J4605"/>
    <mergeCell ref="K4604:K4605"/>
    <mergeCell ref="L4604:L4605"/>
    <mergeCell ref="M4604:M4605"/>
    <mergeCell ref="N4604:N4605"/>
    <mergeCell ref="O4604:O4605"/>
    <mergeCell ref="P4604:P4605"/>
    <mergeCell ref="Q4604:Q4605"/>
    <mergeCell ref="D4608:F4608"/>
    <mergeCell ref="G4608:I4608"/>
    <mergeCell ref="D4609:I4609"/>
    <mergeCell ref="J4609:K4609"/>
    <mergeCell ref="M4609:Q4609"/>
    <mergeCell ref="B4591:B4592"/>
    <mergeCell ref="C4591:C4592"/>
    <mergeCell ref="T4540:T4541"/>
    <mergeCell ref="U4540:U4541"/>
    <mergeCell ref="D4535:F4535"/>
    <mergeCell ref="R4604:R4605"/>
    <mergeCell ref="R4540:R4541"/>
    <mergeCell ref="D4518:F4518"/>
    <mergeCell ref="G4518:I4518"/>
    <mergeCell ref="D4500:F4500"/>
    <mergeCell ref="G4500:I4500"/>
    <mergeCell ref="D4501:F4501"/>
    <mergeCell ref="G4501:I4501"/>
    <mergeCell ref="D4502:F4502"/>
    <mergeCell ref="G4502:I4502"/>
    <mergeCell ref="D4503:F4503"/>
    <mergeCell ref="G4503:I4503"/>
    <mergeCell ref="D4511:F4511"/>
    <mergeCell ref="G4511:I4511"/>
    <mergeCell ref="D4509:F4509"/>
    <mergeCell ref="D4517:F4517"/>
    <mergeCell ref="G4517:I4517"/>
    <mergeCell ref="D4506:F4506"/>
    <mergeCell ref="G4506:I4506"/>
    <mergeCell ref="D4507:F4507"/>
    <mergeCell ref="D4520:F4520"/>
    <mergeCell ref="D4521:F4521"/>
    <mergeCell ref="G4521:I4521"/>
    <mergeCell ref="N4540:N4541"/>
    <mergeCell ref="O4540:O4541"/>
    <mergeCell ref="Q4540:Q4541"/>
    <mergeCell ref="D4527:F4527"/>
    <mergeCell ref="G4527:I4527"/>
    <mergeCell ref="D4526:F4526"/>
    <mergeCell ref="S4604:S4605"/>
    <mergeCell ref="T4604:T4605"/>
    <mergeCell ref="U4604:U4605"/>
    <mergeCell ref="D4605:F4605"/>
    <mergeCell ref="G4605:I4605"/>
    <mergeCell ref="R4591:R4592"/>
    <mergeCell ref="S4591:S4592"/>
    <mergeCell ref="T4591:T4592"/>
    <mergeCell ref="U4591:U4592"/>
    <mergeCell ref="D4592:F4592"/>
    <mergeCell ref="G4592:I4592"/>
    <mergeCell ref="N4591:N4592"/>
    <mergeCell ref="O4591:O4592"/>
    <mergeCell ref="P4591:P4592"/>
    <mergeCell ref="R4555:R4556"/>
    <mergeCell ref="S4555:S4556"/>
    <mergeCell ref="T4555:T4556"/>
    <mergeCell ref="U4555:U4556"/>
    <mergeCell ref="D4556:F4556"/>
    <mergeCell ref="G4556:I4556"/>
    <mergeCell ref="D4555:I4555"/>
    <mergeCell ref="J4555:J4556"/>
    <mergeCell ref="K4555:K4556"/>
    <mergeCell ref="M4555:M4556"/>
    <mergeCell ref="J4587:K4587"/>
    <mergeCell ref="M4587:Q4587"/>
    <mergeCell ref="D4588:I4589"/>
    <mergeCell ref="T4587:U4589"/>
    <mergeCell ref="M4588:Q4588"/>
    <mergeCell ref="M4589:Q4589"/>
    <mergeCell ref="M4591:M4592"/>
    <mergeCell ref="J4588:K4589"/>
    <mergeCell ref="J4537:K4538"/>
    <mergeCell ref="L4537:L4538"/>
    <mergeCell ref="M4537:Q4537"/>
    <mergeCell ref="M4538:Q4538"/>
    <mergeCell ref="G4541:I4541"/>
    <mergeCell ref="S4540:S4541"/>
    <mergeCell ref="L4555:L4556"/>
    <mergeCell ref="N4555:N4556"/>
    <mergeCell ref="O4555:O4556"/>
    <mergeCell ref="P4555:P4556"/>
    <mergeCell ref="L4552:L4553"/>
    <mergeCell ref="M4552:Q4552"/>
    <mergeCell ref="M4553:Q4553"/>
    <mergeCell ref="D4551:I4551"/>
    <mergeCell ref="J4551:K4551"/>
    <mergeCell ref="M4551:Q4551"/>
    <mergeCell ref="D4552:I4553"/>
    <mergeCell ref="J4552:K4553"/>
    <mergeCell ref="D4540:I4540"/>
    <mergeCell ref="P4540:P4541"/>
    <mergeCell ref="J4540:J4541"/>
    <mergeCell ref="K4540:K4541"/>
    <mergeCell ref="L4540:L4541"/>
    <mergeCell ref="M4540:M4541"/>
    <mergeCell ref="D4550:F4550"/>
    <mergeCell ref="G4550:I4550"/>
    <mergeCell ref="G4509:I4509"/>
    <mergeCell ref="G4504:I4504"/>
    <mergeCell ref="D4505:F4505"/>
    <mergeCell ref="G4505:I4505"/>
    <mergeCell ref="L4487:L4488"/>
    <mergeCell ref="D4460:F4460"/>
    <mergeCell ref="G4460:I4460"/>
    <mergeCell ref="D4461:F4461"/>
    <mergeCell ref="G4461:I4461"/>
    <mergeCell ref="D4462:F4462"/>
    <mergeCell ref="G4462:I4462"/>
    <mergeCell ref="D4463:F4463"/>
    <mergeCell ref="G4463:I4463"/>
    <mergeCell ref="G4464:I4464"/>
    <mergeCell ref="G4535:I4535"/>
    <mergeCell ref="G4522:I4522"/>
    <mergeCell ref="G4526:I4526"/>
    <mergeCell ref="D4524:F4524"/>
    <mergeCell ref="G4524:I4524"/>
    <mergeCell ref="D4510:F4510"/>
    <mergeCell ref="G4510:I4510"/>
    <mergeCell ref="J4487:J4488"/>
    <mergeCell ref="K4487:K4488"/>
    <mergeCell ref="D4514:F4514"/>
    <mergeCell ref="G4514:I4514"/>
    <mergeCell ref="D4516:F4516"/>
    <mergeCell ref="G4516:I4516"/>
    <mergeCell ref="G4529:I4529"/>
    <mergeCell ref="G4525:I4525"/>
    <mergeCell ref="D4504:F4504"/>
    <mergeCell ref="G4492:I4492"/>
    <mergeCell ref="D4492:F4492"/>
    <mergeCell ref="S4487:S4488"/>
    <mergeCell ref="T4487:T4488"/>
    <mergeCell ref="U4487:U4488"/>
    <mergeCell ref="D4488:F4488"/>
    <mergeCell ref="G4488:I4488"/>
    <mergeCell ref="R4487:R4488"/>
    <mergeCell ref="P4487:P4488"/>
    <mergeCell ref="D4473:F4473"/>
    <mergeCell ref="G4473:I4473"/>
    <mergeCell ref="D4474:F4474"/>
    <mergeCell ref="G4474:I4474"/>
    <mergeCell ref="Q4487:Q4488"/>
    <mergeCell ref="D4444:F4444"/>
    <mergeCell ref="G4444:I4444"/>
    <mergeCell ref="D4445:F4445"/>
    <mergeCell ref="G4445:I4445"/>
    <mergeCell ref="D4448:F4448"/>
    <mergeCell ref="G4448:I4448"/>
    <mergeCell ref="G4482:I4482"/>
    <mergeCell ref="D4483:I4483"/>
    <mergeCell ref="G4466:I4466"/>
    <mergeCell ref="G4446:I4446"/>
    <mergeCell ref="D4482:F4482"/>
    <mergeCell ref="G4470:I4470"/>
    <mergeCell ref="N4487:N4488"/>
    <mergeCell ref="O4487:O4488"/>
    <mergeCell ref="M4487:M4488"/>
    <mergeCell ref="D4457:F4457"/>
    <mergeCell ref="G4457:I4457"/>
    <mergeCell ref="G4456:I4456"/>
    <mergeCell ref="G4429:I4429"/>
    <mergeCell ref="D4430:F4430"/>
    <mergeCell ref="G4430:I4430"/>
    <mergeCell ref="D4431:F4431"/>
    <mergeCell ref="G4431:I4431"/>
    <mergeCell ref="D4432:F4432"/>
    <mergeCell ref="G4432:I4432"/>
    <mergeCell ref="D4433:F4433"/>
    <mergeCell ref="G4433:I4433"/>
    <mergeCell ref="M4483:Q4483"/>
    <mergeCell ref="D4484:I4485"/>
    <mergeCell ref="J4484:K4485"/>
    <mergeCell ref="L4484:L4485"/>
    <mergeCell ref="M4484:Q4484"/>
    <mergeCell ref="M4485:Q4485"/>
    <mergeCell ref="G4440:I4440"/>
    <mergeCell ref="D4441:F4441"/>
    <mergeCell ref="G4441:I4441"/>
    <mergeCell ref="D4442:F4442"/>
    <mergeCell ref="G4442:I4442"/>
    <mergeCell ref="D4443:F4443"/>
    <mergeCell ref="D4454:F4454"/>
    <mergeCell ref="G4454:I4454"/>
    <mergeCell ref="D4458:F4458"/>
    <mergeCell ref="G4458:I4458"/>
    <mergeCell ref="D4451:F4451"/>
    <mergeCell ref="G4451:I4451"/>
    <mergeCell ref="D4459:F4459"/>
    <mergeCell ref="G4459:I4459"/>
    <mergeCell ref="G4443:I4443"/>
    <mergeCell ref="N4426:N4427"/>
    <mergeCell ref="O4426:O4427"/>
    <mergeCell ref="P4426:P4427"/>
    <mergeCell ref="Q4426:Q4427"/>
    <mergeCell ref="D4387:F4387"/>
    <mergeCell ref="G4387:I4387"/>
    <mergeCell ref="D4422:I4422"/>
    <mergeCell ref="D4391:F4391"/>
    <mergeCell ref="G4391:I4391"/>
    <mergeCell ref="D4388:F4388"/>
    <mergeCell ref="D4413:F4413"/>
    <mergeCell ref="D4412:F4412"/>
    <mergeCell ref="G4412:I4412"/>
    <mergeCell ref="G4407:I4407"/>
    <mergeCell ref="J4422:K4422"/>
    <mergeCell ref="M4423:Q4423"/>
    <mergeCell ref="M4424:Q4424"/>
    <mergeCell ref="D4390:F4390"/>
    <mergeCell ref="D4402:F4402"/>
    <mergeCell ref="D4394:F4394"/>
    <mergeCell ref="G4394:I4394"/>
    <mergeCell ref="D4415:F4415"/>
    <mergeCell ref="G4415:I4415"/>
    <mergeCell ref="U4314:U4315"/>
    <mergeCell ref="D4315:F4315"/>
    <mergeCell ref="G4315:I4315"/>
    <mergeCell ref="J4314:J4315"/>
    <mergeCell ref="K4314:K4315"/>
    <mergeCell ref="D4282:F4282"/>
    <mergeCell ref="G4296:I4296"/>
    <mergeCell ref="D4285:F4285"/>
    <mergeCell ref="J4311:K4312"/>
    <mergeCell ref="D4301:F4301"/>
    <mergeCell ref="G4301:I4301"/>
    <mergeCell ref="G4269:I4269"/>
    <mergeCell ref="O4314:O4315"/>
    <mergeCell ref="P4314:P4315"/>
    <mergeCell ref="Q4314:Q4315"/>
    <mergeCell ref="R4314:R4315"/>
    <mergeCell ref="S4314:S4315"/>
    <mergeCell ref="D4286:F4286"/>
    <mergeCell ref="G4286:I4286"/>
    <mergeCell ref="G4285:I4285"/>
    <mergeCell ref="G4287:I4287"/>
    <mergeCell ref="D4272:F4272"/>
    <mergeCell ref="G4272:I4272"/>
    <mergeCell ref="G4288:I4288"/>
    <mergeCell ref="D4279:F4279"/>
    <mergeCell ref="G4279:I4279"/>
    <mergeCell ref="T4314:T4315"/>
    <mergeCell ref="G4280:I4280"/>
    <mergeCell ref="D4296:F4296"/>
    <mergeCell ref="J4310:K4310"/>
    <mergeCell ref="M4310:Q4310"/>
    <mergeCell ref="D4310:I4310"/>
    <mergeCell ref="R4261:R4262"/>
    <mergeCell ref="S4261:S4262"/>
    <mergeCell ref="T4261:T4262"/>
    <mergeCell ref="U4261:U4262"/>
    <mergeCell ref="D4262:F4262"/>
    <mergeCell ref="G4262:I4262"/>
    <mergeCell ref="M4257:Q4257"/>
    <mergeCell ref="D4258:I4259"/>
    <mergeCell ref="J4258:K4259"/>
    <mergeCell ref="L4258:L4259"/>
    <mergeCell ref="M4258:Q4258"/>
    <mergeCell ref="M4259:Q4259"/>
    <mergeCell ref="D4252:F4252"/>
    <mergeCell ref="G4252:I4252"/>
    <mergeCell ref="D4253:F4253"/>
    <mergeCell ref="G4253:I4253"/>
    <mergeCell ref="D4254:F4254"/>
    <mergeCell ref="G4254:I4254"/>
    <mergeCell ref="D4255:F4255"/>
    <mergeCell ref="J4257:K4257"/>
    <mergeCell ref="L4261:L4262"/>
    <mergeCell ref="M4261:M4262"/>
    <mergeCell ref="N4261:N4262"/>
    <mergeCell ref="O4261:O4262"/>
    <mergeCell ref="P4261:P4262"/>
    <mergeCell ref="D4261:I4261"/>
    <mergeCell ref="J4261:J4262"/>
    <mergeCell ref="K4261:K4262"/>
    <mergeCell ref="R4250:R4251"/>
    <mergeCell ref="S4250:S4251"/>
    <mergeCell ref="T4250:T4251"/>
    <mergeCell ref="U4250:U4251"/>
    <mergeCell ref="D4251:F4251"/>
    <mergeCell ref="G4251:I4251"/>
    <mergeCell ref="R4217:R4218"/>
    <mergeCell ref="S4217:S4218"/>
    <mergeCell ref="T4217:T4218"/>
    <mergeCell ref="U4217:U4218"/>
    <mergeCell ref="D4218:F4218"/>
    <mergeCell ref="G4218:I4218"/>
    <mergeCell ref="D4246:I4246"/>
    <mergeCell ref="J4246:K4246"/>
    <mergeCell ref="M4246:Q4246"/>
    <mergeCell ref="D4247:I4248"/>
    <mergeCell ref="J4247:K4248"/>
    <mergeCell ref="L4247:L4248"/>
    <mergeCell ref="M4247:Q4247"/>
    <mergeCell ref="M4248:Q4248"/>
    <mergeCell ref="D4250:I4250"/>
    <mergeCell ref="J4250:J4251"/>
    <mergeCell ref="K4250:K4251"/>
    <mergeCell ref="L4250:L4251"/>
    <mergeCell ref="L4217:L4218"/>
    <mergeCell ref="M4217:M4218"/>
    <mergeCell ref="N4217:N4218"/>
    <mergeCell ref="O4217:O4218"/>
    <mergeCell ref="O4250:O4251"/>
    <mergeCell ref="Q4250:Q4251"/>
    <mergeCell ref="D4217:I4217"/>
    <mergeCell ref="J4217:J4218"/>
    <mergeCell ref="E9:L9"/>
    <mergeCell ref="D32:I33"/>
    <mergeCell ref="J32:K33"/>
    <mergeCell ref="L32:L33"/>
    <mergeCell ref="M32:Q32"/>
    <mergeCell ref="M33:Q33"/>
    <mergeCell ref="D42:I43"/>
    <mergeCell ref="J42:K43"/>
    <mergeCell ref="L42:L43"/>
    <mergeCell ref="M42:Q42"/>
    <mergeCell ref="M43:Q43"/>
    <mergeCell ref="D52:I53"/>
    <mergeCell ref="J52:K53"/>
    <mergeCell ref="L52:L53"/>
    <mergeCell ref="M52:Q52"/>
    <mergeCell ref="M53:Q53"/>
    <mergeCell ref="K15:K16"/>
    <mergeCell ref="L15:L16"/>
    <mergeCell ref="M15:M16"/>
    <mergeCell ref="N15:N16"/>
    <mergeCell ref="O15:O16"/>
    <mergeCell ref="B1:U4"/>
    <mergeCell ref="B5:D5"/>
    <mergeCell ref="E5:N5"/>
    <mergeCell ref="O5:U5"/>
    <mergeCell ref="C6:D6"/>
    <mergeCell ref="E6:L6"/>
    <mergeCell ref="Q6:T6"/>
    <mergeCell ref="D21:I21"/>
    <mergeCell ref="J21:K21"/>
    <mergeCell ref="M21:Q21"/>
    <mergeCell ref="D22:I23"/>
    <mergeCell ref="J22:K23"/>
    <mergeCell ref="L22:L23"/>
    <mergeCell ref="M22:Q22"/>
    <mergeCell ref="M23:Q23"/>
    <mergeCell ref="Q15:Q16"/>
    <mergeCell ref="R15:R16"/>
    <mergeCell ref="S15:S16"/>
    <mergeCell ref="T15:T16"/>
    <mergeCell ref="U15:U16"/>
    <mergeCell ref="D16:F16"/>
    <mergeCell ref="G16:I16"/>
    <mergeCell ref="B11:U11"/>
    <mergeCell ref="B15:B16"/>
    <mergeCell ref="C15:C16"/>
    <mergeCell ref="D15:I15"/>
    <mergeCell ref="J15:J16"/>
    <mergeCell ref="C7:D7"/>
    <mergeCell ref="E7:L7"/>
    <mergeCell ref="C8:D8"/>
    <mergeCell ref="E8:L8"/>
    <mergeCell ref="C9:D9"/>
    <mergeCell ref="T25:T26"/>
    <mergeCell ref="U25:U26"/>
    <mergeCell ref="D26:F26"/>
    <mergeCell ref="G26:I26"/>
    <mergeCell ref="D31:I31"/>
    <mergeCell ref="J31:K31"/>
    <mergeCell ref="M31:Q31"/>
    <mergeCell ref="M25:M26"/>
    <mergeCell ref="N25:N26"/>
    <mergeCell ref="O25:O26"/>
    <mergeCell ref="Q25:Q26"/>
    <mergeCell ref="R25:R26"/>
    <mergeCell ref="S25:S26"/>
    <mergeCell ref="B25:B26"/>
    <mergeCell ref="C25:C26"/>
    <mergeCell ref="D25:I25"/>
    <mergeCell ref="J25:J26"/>
    <mergeCell ref="K25:K26"/>
    <mergeCell ref="L25:L26"/>
    <mergeCell ref="S35:S36"/>
    <mergeCell ref="T35:T36"/>
    <mergeCell ref="U35:U36"/>
    <mergeCell ref="D36:F36"/>
    <mergeCell ref="G36:I36"/>
    <mergeCell ref="D41:I41"/>
    <mergeCell ref="J41:K41"/>
    <mergeCell ref="M41:Q41"/>
    <mergeCell ref="L35:L36"/>
    <mergeCell ref="M35:M36"/>
    <mergeCell ref="N35:N36"/>
    <mergeCell ref="O35:O36"/>
    <mergeCell ref="Q35:Q36"/>
    <mergeCell ref="R35:R36"/>
    <mergeCell ref="B35:B36"/>
    <mergeCell ref="C35:C36"/>
    <mergeCell ref="D35:I35"/>
    <mergeCell ref="J35:J36"/>
    <mergeCell ref="K35:K36"/>
    <mergeCell ref="S45:S46"/>
    <mergeCell ref="T45:T46"/>
    <mergeCell ref="U45:U46"/>
    <mergeCell ref="D46:F46"/>
    <mergeCell ref="G46:I46"/>
    <mergeCell ref="D51:I51"/>
    <mergeCell ref="J51:K51"/>
    <mergeCell ref="M51:Q51"/>
    <mergeCell ref="L45:L46"/>
    <mergeCell ref="M45:M46"/>
    <mergeCell ref="N45:N46"/>
    <mergeCell ref="O45:O46"/>
    <mergeCell ref="Q45:Q46"/>
    <mergeCell ref="R45:R46"/>
    <mergeCell ref="B45:B46"/>
    <mergeCell ref="C45:C46"/>
    <mergeCell ref="D45:I45"/>
    <mergeCell ref="J45:J46"/>
    <mergeCell ref="K45:K46"/>
    <mergeCell ref="S55:S56"/>
    <mergeCell ref="T55:T56"/>
    <mergeCell ref="U55:U56"/>
    <mergeCell ref="D56:F56"/>
    <mergeCell ref="G56:I56"/>
    <mergeCell ref="D71:I71"/>
    <mergeCell ref="J71:K71"/>
    <mergeCell ref="M71:Q71"/>
    <mergeCell ref="L55:L56"/>
    <mergeCell ref="M55:M56"/>
    <mergeCell ref="N55:N56"/>
    <mergeCell ref="O55:O56"/>
    <mergeCell ref="Q55:Q56"/>
    <mergeCell ref="R55:R56"/>
    <mergeCell ref="B55:B56"/>
    <mergeCell ref="C55:C56"/>
    <mergeCell ref="D55:I55"/>
    <mergeCell ref="J55:J56"/>
    <mergeCell ref="K55:K56"/>
    <mergeCell ref="T71:U73"/>
    <mergeCell ref="D72:I73"/>
    <mergeCell ref="J72:K73"/>
    <mergeCell ref="L72:L73"/>
    <mergeCell ref="M72:Q72"/>
    <mergeCell ref="M73:Q73"/>
    <mergeCell ref="D82:I83"/>
    <mergeCell ref="J82:K83"/>
    <mergeCell ref="L82:L83"/>
    <mergeCell ref="M82:Q82"/>
    <mergeCell ref="M83:Q83"/>
    <mergeCell ref="B85:B86"/>
    <mergeCell ref="C85:C86"/>
    <mergeCell ref="D85:I85"/>
    <mergeCell ref="J85:J86"/>
    <mergeCell ref="K85:K86"/>
    <mergeCell ref="S75:S76"/>
    <mergeCell ref="T75:T76"/>
    <mergeCell ref="U75:U76"/>
    <mergeCell ref="D76:F76"/>
    <mergeCell ref="G76:I76"/>
    <mergeCell ref="D81:I81"/>
    <mergeCell ref="J81:K81"/>
    <mergeCell ref="M81:Q81"/>
    <mergeCell ref="L75:L76"/>
    <mergeCell ref="M75:M76"/>
    <mergeCell ref="N75:N76"/>
    <mergeCell ref="O75:O76"/>
    <mergeCell ref="Q75:Q76"/>
    <mergeCell ref="R75:R76"/>
    <mergeCell ref="B75:B76"/>
    <mergeCell ref="C75:C76"/>
    <mergeCell ref="D75:I75"/>
    <mergeCell ref="J75:J76"/>
    <mergeCell ref="K75:K76"/>
    <mergeCell ref="D92:I93"/>
    <mergeCell ref="J92:K93"/>
    <mergeCell ref="L92:L93"/>
    <mergeCell ref="M92:Q92"/>
    <mergeCell ref="M93:Q93"/>
    <mergeCell ref="G95:L95"/>
    <mergeCell ref="O95:R95"/>
    <mergeCell ref="S85:S86"/>
    <mergeCell ref="T85:T86"/>
    <mergeCell ref="U85:U86"/>
    <mergeCell ref="D86:F86"/>
    <mergeCell ref="G86:I86"/>
    <mergeCell ref="D91:I91"/>
    <mergeCell ref="J91:K91"/>
    <mergeCell ref="M91:Q91"/>
    <mergeCell ref="L85:L86"/>
    <mergeCell ref="M85:M86"/>
    <mergeCell ref="N85:N86"/>
    <mergeCell ref="O85:O86"/>
    <mergeCell ref="Q85:Q86"/>
    <mergeCell ref="R85:R86"/>
    <mergeCell ref="D103:I104"/>
    <mergeCell ref="J103:K104"/>
    <mergeCell ref="L103:L104"/>
    <mergeCell ref="M103:Q103"/>
    <mergeCell ref="M104:Q104"/>
    <mergeCell ref="B106:B107"/>
    <mergeCell ref="C106:C107"/>
    <mergeCell ref="D106:I106"/>
    <mergeCell ref="J106:J107"/>
    <mergeCell ref="K106:K107"/>
    <mergeCell ref="T96:T97"/>
    <mergeCell ref="U96:U97"/>
    <mergeCell ref="D97:F97"/>
    <mergeCell ref="G97:I97"/>
    <mergeCell ref="D102:I102"/>
    <mergeCell ref="J102:K102"/>
    <mergeCell ref="M102:Q102"/>
    <mergeCell ref="M96:M97"/>
    <mergeCell ref="N96:N97"/>
    <mergeCell ref="O96:O97"/>
    <mergeCell ref="Q96:Q97"/>
    <mergeCell ref="R96:R97"/>
    <mergeCell ref="S96:S97"/>
    <mergeCell ref="B96:B97"/>
    <mergeCell ref="C96:C97"/>
    <mergeCell ref="D96:I96"/>
    <mergeCell ref="J96:J97"/>
    <mergeCell ref="K96:K97"/>
    <mergeCell ref="L96:L97"/>
    <mergeCell ref="D111:F111"/>
    <mergeCell ref="G111:I111"/>
    <mergeCell ref="D112:F112"/>
    <mergeCell ref="G112:I112"/>
    <mergeCell ref="D113:F113"/>
    <mergeCell ref="G113:I113"/>
    <mergeCell ref="D108:F108"/>
    <mergeCell ref="G108:I108"/>
    <mergeCell ref="D109:F109"/>
    <mergeCell ref="G109:I109"/>
    <mergeCell ref="D110:F110"/>
    <mergeCell ref="G110:I110"/>
    <mergeCell ref="R106:R107"/>
    <mergeCell ref="S106:S107"/>
    <mergeCell ref="T106:T107"/>
    <mergeCell ref="U106:U107"/>
    <mergeCell ref="D107:F107"/>
    <mergeCell ref="G107:I107"/>
    <mergeCell ref="L106:L107"/>
    <mergeCell ref="M106:M107"/>
    <mergeCell ref="N106:N107"/>
    <mergeCell ref="O106:O107"/>
    <mergeCell ref="P106:P107"/>
    <mergeCell ref="Q106:Q107"/>
    <mergeCell ref="D114:F114"/>
    <mergeCell ref="G114:I114"/>
    <mergeCell ref="D115:F115"/>
    <mergeCell ref="G115:I115"/>
    <mergeCell ref="D116:F116"/>
    <mergeCell ref="G116:I116"/>
    <mergeCell ref="D118:F118"/>
    <mergeCell ref="G118:I118"/>
    <mergeCell ref="D119:F119"/>
    <mergeCell ref="G119:I119"/>
    <mergeCell ref="D122:F122"/>
    <mergeCell ref="G122:I122"/>
    <mergeCell ref="D123:F123"/>
    <mergeCell ref="G123:I123"/>
    <mergeCell ref="D124:F124"/>
    <mergeCell ref="G124:I124"/>
    <mergeCell ref="D127:F127"/>
    <mergeCell ref="G127:I127"/>
    <mergeCell ref="D117:F117"/>
    <mergeCell ref="G117:I117"/>
    <mergeCell ref="D120:F120"/>
    <mergeCell ref="G120:I120"/>
    <mergeCell ref="D121:F121"/>
    <mergeCell ref="G121:I121"/>
    <mergeCell ref="D125:F125"/>
    <mergeCell ref="G125:I125"/>
    <mergeCell ref="D126:F126"/>
    <mergeCell ref="G126:I126"/>
    <mergeCell ref="T158:T159"/>
    <mergeCell ref="U158:U159"/>
    <mergeCell ref="D159:F159"/>
    <mergeCell ref="G159:I159"/>
    <mergeCell ref="D160:F160"/>
    <mergeCell ref="G160:I160"/>
    <mergeCell ref="M158:M159"/>
    <mergeCell ref="N158:N159"/>
    <mergeCell ref="O158:O159"/>
    <mergeCell ref="P158:P159"/>
    <mergeCell ref="Q158:Q159"/>
    <mergeCell ref="R158:R159"/>
    <mergeCell ref="B158:B159"/>
    <mergeCell ref="C158:C159"/>
    <mergeCell ref="D158:I158"/>
    <mergeCell ref="J158:J159"/>
    <mergeCell ref="K158:K159"/>
    <mergeCell ref="L158:L159"/>
    <mergeCell ref="S158:S159"/>
    <mergeCell ref="S219:S220"/>
    <mergeCell ref="T219:T220"/>
    <mergeCell ref="U219:U220"/>
    <mergeCell ref="D220:F220"/>
    <mergeCell ref="G220:I220"/>
    <mergeCell ref="D221:F221"/>
    <mergeCell ref="G221:I221"/>
    <mergeCell ref="M219:M220"/>
    <mergeCell ref="N219:N220"/>
    <mergeCell ref="O219:O220"/>
    <mergeCell ref="P219:P220"/>
    <mergeCell ref="Q219:Q220"/>
    <mergeCell ref="R219:R220"/>
    <mergeCell ref="D195:F195"/>
    <mergeCell ref="G195:I195"/>
    <mergeCell ref="D190:F190"/>
    <mergeCell ref="G190:I190"/>
    <mergeCell ref="G199:I199"/>
    <mergeCell ref="D200:F200"/>
    <mergeCell ref="G200:I200"/>
    <mergeCell ref="D193:F193"/>
    <mergeCell ref="J219:J220"/>
    <mergeCell ref="K219:K220"/>
    <mergeCell ref="L219:L220"/>
    <mergeCell ref="G191:I191"/>
    <mergeCell ref="J287:K288"/>
    <mergeCell ref="L287:L288"/>
    <mergeCell ref="M287:Q287"/>
    <mergeCell ref="M288:Q288"/>
    <mergeCell ref="D228:F228"/>
    <mergeCell ref="G228:I228"/>
    <mergeCell ref="D229:F229"/>
    <mergeCell ref="G229:I229"/>
    <mergeCell ref="D285:F285"/>
    <mergeCell ref="G285:I285"/>
    <mergeCell ref="G235:I235"/>
    <mergeCell ref="D236:F236"/>
    <mergeCell ref="G236:I236"/>
    <mergeCell ref="D237:F237"/>
    <mergeCell ref="D269:F269"/>
    <mergeCell ref="G269:I269"/>
    <mergeCell ref="G237:I237"/>
    <mergeCell ref="D255:F255"/>
    <mergeCell ref="G255:I255"/>
    <mergeCell ref="D256:F256"/>
    <mergeCell ref="G256:I256"/>
    <mergeCell ref="D257:F257"/>
    <mergeCell ref="G257:I257"/>
    <mergeCell ref="D277:F277"/>
    <mergeCell ref="G277:I277"/>
    <mergeCell ref="D243:F243"/>
    <mergeCell ref="D268:F268"/>
    <mergeCell ref="G268:I268"/>
    <mergeCell ref="G259:I259"/>
    <mergeCell ref="D267:F267"/>
    <mergeCell ref="G267:I267"/>
    <mergeCell ref="D266:F266"/>
    <mergeCell ref="B300:B301"/>
    <mergeCell ref="C300:C301"/>
    <mergeCell ref="D300:I300"/>
    <mergeCell ref="B219:B220"/>
    <mergeCell ref="C219:C220"/>
    <mergeCell ref="D219:I219"/>
    <mergeCell ref="D313:F313"/>
    <mergeCell ref="G313:I313"/>
    <mergeCell ref="J300:J301"/>
    <mergeCell ref="K300:K301"/>
    <mergeCell ref="J286:K286"/>
    <mergeCell ref="G249:I249"/>
    <mergeCell ref="T290:T291"/>
    <mergeCell ref="U290:U291"/>
    <mergeCell ref="D291:F291"/>
    <mergeCell ref="G291:I291"/>
    <mergeCell ref="D296:I296"/>
    <mergeCell ref="J296:K296"/>
    <mergeCell ref="M296:Q296"/>
    <mergeCell ref="M290:M291"/>
    <mergeCell ref="N290:N291"/>
    <mergeCell ref="O290:O291"/>
    <mergeCell ref="Q290:Q291"/>
    <mergeCell ref="R290:R291"/>
    <mergeCell ref="S290:S291"/>
    <mergeCell ref="B290:B291"/>
    <mergeCell ref="C290:C291"/>
    <mergeCell ref="D290:I290"/>
    <mergeCell ref="J290:J291"/>
    <mergeCell ref="K290:K291"/>
    <mergeCell ref="L290:L291"/>
    <mergeCell ref="M286:Q286"/>
    <mergeCell ref="S300:S301"/>
    <mergeCell ref="T300:T301"/>
    <mergeCell ref="U300:U301"/>
    <mergeCell ref="D301:F301"/>
    <mergeCell ref="G301:I301"/>
    <mergeCell ref="D297:I298"/>
    <mergeCell ref="J297:K298"/>
    <mergeCell ref="L297:L298"/>
    <mergeCell ref="O354:R354"/>
    <mergeCell ref="D302:F302"/>
    <mergeCell ref="G302:I302"/>
    <mergeCell ref="L300:L301"/>
    <mergeCell ref="M300:M301"/>
    <mergeCell ref="N300:N301"/>
    <mergeCell ref="O300:O301"/>
    <mergeCell ref="Q300:Q301"/>
    <mergeCell ref="R300:R301"/>
    <mergeCell ref="D349:I349"/>
    <mergeCell ref="J349:K349"/>
    <mergeCell ref="M349:Q349"/>
    <mergeCell ref="D350:I351"/>
    <mergeCell ref="J350:K351"/>
    <mergeCell ref="L350:L351"/>
    <mergeCell ref="M350:Q350"/>
    <mergeCell ref="M351:Q351"/>
    <mergeCell ref="G310:I310"/>
    <mergeCell ref="D303:F303"/>
    <mergeCell ref="G303:I303"/>
    <mergeCell ref="D304:F304"/>
    <mergeCell ref="D330:F330"/>
    <mergeCell ref="G330:I330"/>
    <mergeCell ref="D329:F329"/>
    <mergeCell ref="L355:L356"/>
    <mergeCell ref="M355:M356"/>
    <mergeCell ref="D585:I586"/>
    <mergeCell ref="J585:K586"/>
    <mergeCell ref="L585:L586"/>
    <mergeCell ref="M585:Q585"/>
    <mergeCell ref="M586:Q586"/>
    <mergeCell ref="G304:I304"/>
    <mergeCell ref="D305:F305"/>
    <mergeCell ref="D348:F348"/>
    <mergeCell ref="G348:I348"/>
    <mergeCell ref="D306:F306"/>
    <mergeCell ref="G306:I306"/>
    <mergeCell ref="D307:F307"/>
    <mergeCell ref="G307:I307"/>
    <mergeCell ref="T355:T356"/>
    <mergeCell ref="U355:U356"/>
    <mergeCell ref="D356:F356"/>
    <mergeCell ref="G356:I356"/>
    <mergeCell ref="D552:I552"/>
    <mergeCell ref="J552:K552"/>
    <mergeCell ref="M552:Q552"/>
    <mergeCell ref="N355:N356"/>
    <mergeCell ref="O355:O356"/>
    <mergeCell ref="P355:P356"/>
    <mergeCell ref="Q355:Q356"/>
    <mergeCell ref="R355:R356"/>
    <mergeCell ref="S355:S356"/>
    <mergeCell ref="D311:F311"/>
    <mergeCell ref="G311:I311"/>
    <mergeCell ref="D312:F312"/>
    <mergeCell ref="G312:I312"/>
    <mergeCell ref="B556:B557"/>
    <mergeCell ref="C556:C557"/>
    <mergeCell ref="D556:I556"/>
    <mergeCell ref="J556:J557"/>
    <mergeCell ref="K556:K557"/>
    <mergeCell ref="G316:I316"/>
    <mergeCell ref="D317:F317"/>
    <mergeCell ref="G317:I317"/>
    <mergeCell ref="G318:I318"/>
    <mergeCell ref="D319:F319"/>
    <mergeCell ref="G319:I319"/>
    <mergeCell ref="D320:F320"/>
    <mergeCell ref="G320:I320"/>
    <mergeCell ref="B355:B356"/>
    <mergeCell ref="C355:C356"/>
    <mergeCell ref="D355:I355"/>
    <mergeCell ref="J355:J356"/>
    <mergeCell ref="K355:K356"/>
    <mergeCell ref="D553:I554"/>
    <mergeCell ref="J553:K554"/>
    <mergeCell ref="D325:F325"/>
    <mergeCell ref="G325:I325"/>
    <mergeCell ref="D327:F327"/>
    <mergeCell ref="G327:I327"/>
    <mergeCell ref="D334:F334"/>
    <mergeCell ref="D316:F316"/>
    <mergeCell ref="G329:I329"/>
    <mergeCell ref="G331:I331"/>
    <mergeCell ref="L553:L554"/>
    <mergeCell ref="M553:Q553"/>
    <mergeCell ref="M554:Q554"/>
    <mergeCell ref="S556:S557"/>
    <mergeCell ref="T556:T557"/>
    <mergeCell ref="U556:U557"/>
    <mergeCell ref="D557:F557"/>
    <mergeCell ref="G557:I557"/>
    <mergeCell ref="D584:I584"/>
    <mergeCell ref="J584:K584"/>
    <mergeCell ref="M584:Q584"/>
    <mergeCell ref="L556:L557"/>
    <mergeCell ref="M556:M557"/>
    <mergeCell ref="N556:N557"/>
    <mergeCell ref="O556:O557"/>
    <mergeCell ref="Q556:Q557"/>
    <mergeCell ref="R556:R557"/>
    <mergeCell ref="M945:Q945"/>
    <mergeCell ref="M946:Q946"/>
    <mergeCell ref="B948:B949"/>
    <mergeCell ref="C948:C949"/>
    <mergeCell ref="D948:I948"/>
    <mergeCell ref="J948:J949"/>
    <mergeCell ref="K948:K949"/>
    <mergeCell ref="S588:S589"/>
    <mergeCell ref="T588:T589"/>
    <mergeCell ref="U588:U589"/>
    <mergeCell ref="D589:F589"/>
    <mergeCell ref="G589:I589"/>
    <mergeCell ref="D944:I944"/>
    <mergeCell ref="J944:K944"/>
    <mergeCell ref="M944:Q944"/>
    <mergeCell ref="L588:L589"/>
    <mergeCell ref="M588:M589"/>
    <mergeCell ref="N588:N589"/>
    <mergeCell ref="O588:O589"/>
    <mergeCell ref="Q588:Q589"/>
    <mergeCell ref="R588:R589"/>
    <mergeCell ref="J945:K946"/>
    <mergeCell ref="L945:L946"/>
    <mergeCell ref="B588:B589"/>
    <mergeCell ref="C588:C589"/>
    <mergeCell ref="D588:I588"/>
    <mergeCell ref="J588:J589"/>
    <mergeCell ref="K588:K589"/>
    <mergeCell ref="M1174:Q1174"/>
    <mergeCell ref="D1175:I1176"/>
    <mergeCell ref="J1175:K1176"/>
    <mergeCell ref="L1175:L1176"/>
    <mergeCell ref="M1175:Q1175"/>
    <mergeCell ref="M1176:Q1176"/>
    <mergeCell ref="R948:R949"/>
    <mergeCell ref="S948:S949"/>
    <mergeCell ref="T948:T949"/>
    <mergeCell ref="U948:U949"/>
    <mergeCell ref="D949:F949"/>
    <mergeCell ref="G949:I949"/>
    <mergeCell ref="L948:L949"/>
    <mergeCell ref="M948:M949"/>
    <mergeCell ref="N948:N949"/>
    <mergeCell ref="O948:O949"/>
    <mergeCell ref="P948:P949"/>
    <mergeCell ref="Q948:Q949"/>
    <mergeCell ref="D1174:I1174"/>
    <mergeCell ref="J1174:K1174"/>
    <mergeCell ref="M1273:Q1273"/>
    <mergeCell ref="M1274:Q1274"/>
    <mergeCell ref="B1276:B1277"/>
    <mergeCell ref="C1276:C1277"/>
    <mergeCell ref="D1276:I1276"/>
    <mergeCell ref="J1276:J1277"/>
    <mergeCell ref="K1276:K1277"/>
    <mergeCell ref="S1178:S1179"/>
    <mergeCell ref="T1178:T1179"/>
    <mergeCell ref="U1178:U1179"/>
    <mergeCell ref="D1179:F1179"/>
    <mergeCell ref="G1179:I1179"/>
    <mergeCell ref="D1272:I1272"/>
    <mergeCell ref="J1272:K1272"/>
    <mergeCell ref="M1272:Q1272"/>
    <mergeCell ref="M1178:M1179"/>
    <mergeCell ref="N1178:N1179"/>
    <mergeCell ref="O1178:O1179"/>
    <mergeCell ref="P1178:P1179"/>
    <mergeCell ref="Q1178:Q1179"/>
    <mergeCell ref="R1178:R1179"/>
    <mergeCell ref="B1178:B1179"/>
    <mergeCell ref="C1178:C1179"/>
    <mergeCell ref="D1178:I1178"/>
    <mergeCell ref="J1178:J1179"/>
    <mergeCell ref="K1178:K1179"/>
    <mergeCell ref="L1178:L1179"/>
    <mergeCell ref="U1276:U1277"/>
    <mergeCell ref="T1276:T1277"/>
    <mergeCell ref="S1276:S1277"/>
    <mergeCell ref="D1273:I1274"/>
    <mergeCell ref="J1273:K1274"/>
    <mergeCell ref="M1344:Q1344"/>
    <mergeCell ref="D1345:I1346"/>
    <mergeCell ref="J1345:K1346"/>
    <mergeCell ref="L1345:L1346"/>
    <mergeCell ref="M1345:Q1345"/>
    <mergeCell ref="M1346:Q1346"/>
    <mergeCell ref="J1385:K1386"/>
    <mergeCell ref="L1385:L1386"/>
    <mergeCell ref="M1385:Q1385"/>
    <mergeCell ref="M1386:Q1386"/>
    <mergeCell ref="B1388:B1389"/>
    <mergeCell ref="C1388:C1389"/>
    <mergeCell ref="D1388:I1388"/>
    <mergeCell ref="J1388:J1389"/>
    <mergeCell ref="K1388:K1389"/>
    <mergeCell ref="S1348:S1349"/>
    <mergeCell ref="D1344:I1344"/>
    <mergeCell ref="D1385:I1386"/>
    <mergeCell ref="T1348:T1349"/>
    <mergeCell ref="U1348:U1349"/>
    <mergeCell ref="D1349:F1349"/>
    <mergeCell ref="G1349:I1349"/>
    <mergeCell ref="D1384:I1384"/>
    <mergeCell ref="J1384:K1384"/>
    <mergeCell ref="M1384:Q1384"/>
    <mergeCell ref="M1348:M1349"/>
    <mergeCell ref="N1348:N1349"/>
    <mergeCell ref="O1348:O1349"/>
    <mergeCell ref="P1348:P1349"/>
    <mergeCell ref="Q1348:Q1349"/>
    <mergeCell ref="R1348:R1349"/>
    <mergeCell ref="B1348:B1349"/>
    <mergeCell ref="C1348:C1349"/>
    <mergeCell ref="D1348:I1348"/>
    <mergeCell ref="J1348:J1349"/>
    <mergeCell ref="K1348:K1349"/>
    <mergeCell ref="L1348:L1349"/>
    <mergeCell ref="L1433:L1434"/>
    <mergeCell ref="M1433:Q1433"/>
    <mergeCell ref="M1434:Q1434"/>
    <mergeCell ref="B1436:B1437"/>
    <mergeCell ref="C1436:C1437"/>
    <mergeCell ref="D1436:I1436"/>
    <mergeCell ref="J1436:J1437"/>
    <mergeCell ref="K1436:K1437"/>
    <mergeCell ref="S1388:S1389"/>
    <mergeCell ref="T1388:T1389"/>
    <mergeCell ref="U1388:U1389"/>
    <mergeCell ref="D1389:F1389"/>
    <mergeCell ref="G1389:I1389"/>
    <mergeCell ref="D1432:I1432"/>
    <mergeCell ref="J1432:K1432"/>
    <mergeCell ref="M1432:Q1432"/>
    <mergeCell ref="L1388:L1389"/>
    <mergeCell ref="M1388:M1389"/>
    <mergeCell ref="N1388:N1389"/>
    <mergeCell ref="O1388:O1389"/>
    <mergeCell ref="Q1388:Q1389"/>
    <mergeCell ref="R1388:R1389"/>
    <mergeCell ref="T1432:U1434"/>
    <mergeCell ref="D1433:I1434"/>
    <mergeCell ref="J1433:K1434"/>
    <mergeCell ref="J1470:K1471"/>
    <mergeCell ref="L1470:L1471"/>
    <mergeCell ref="M1470:Q1470"/>
    <mergeCell ref="M1471:Q1471"/>
    <mergeCell ref="B1473:B1474"/>
    <mergeCell ref="C1473:C1474"/>
    <mergeCell ref="D1473:I1473"/>
    <mergeCell ref="J1473:J1474"/>
    <mergeCell ref="K1473:K1474"/>
    <mergeCell ref="S1436:S1437"/>
    <mergeCell ref="T1436:T1437"/>
    <mergeCell ref="U1436:U1437"/>
    <mergeCell ref="D1437:F1437"/>
    <mergeCell ref="G1437:I1437"/>
    <mergeCell ref="D1469:I1469"/>
    <mergeCell ref="J1469:K1469"/>
    <mergeCell ref="M1469:Q1469"/>
    <mergeCell ref="L1436:L1437"/>
    <mergeCell ref="M1436:M1437"/>
    <mergeCell ref="N1436:N1437"/>
    <mergeCell ref="O1436:O1437"/>
    <mergeCell ref="Q1436:Q1437"/>
    <mergeCell ref="R1436:R1437"/>
    <mergeCell ref="D1470:I1471"/>
    <mergeCell ref="J1508:K1509"/>
    <mergeCell ref="L1508:L1509"/>
    <mergeCell ref="M1508:Q1508"/>
    <mergeCell ref="M1509:Q1509"/>
    <mergeCell ref="B1511:B1512"/>
    <mergeCell ref="C1511:C1512"/>
    <mergeCell ref="D1511:I1511"/>
    <mergeCell ref="J1511:J1512"/>
    <mergeCell ref="K1511:K1512"/>
    <mergeCell ref="S1473:S1474"/>
    <mergeCell ref="T1473:T1474"/>
    <mergeCell ref="U1473:U1474"/>
    <mergeCell ref="D1474:F1474"/>
    <mergeCell ref="G1474:I1474"/>
    <mergeCell ref="D1507:I1507"/>
    <mergeCell ref="J1507:K1507"/>
    <mergeCell ref="M1507:Q1507"/>
    <mergeCell ref="L1473:L1474"/>
    <mergeCell ref="M1473:M1474"/>
    <mergeCell ref="N1473:N1474"/>
    <mergeCell ref="O1473:O1474"/>
    <mergeCell ref="Q1473:Q1474"/>
    <mergeCell ref="R1473:R1474"/>
    <mergeCell ref="D1508:I1509"/>
    <mergeCell ref="J1518:K1519"/>
    <mergeCell ref="L1518:L1519"/>
    <mergeCell ref="M1518:Q1518"/>
    <mergeCell ref="M1519:Q1519"/>
    <mergeCell ref="B1521:B1522"/>
    <mergeCell ref="C1521:C1522"/>
    <mergeCell ref="D1521:I1521"/>
    <mergeCell ref="J1521:J1522"/>
    <mergeCell ref="K1521:K1522"/>
    <mergeCell ref="T1511:T1512"/>
    <mergeCell ref="U1511:U1512"/>
    <mergeCell ref="D1512:F1512"/>
    <mergeCell ref="G1512:I1512"/>
    <mergeCell ref="D1517:I1517"/>
    <mergeCell ref="J1517:K1517"/>
    <mergeCell ref="M1517:Q1517"/>
    <mergeCell ref="L1511:L1512"/>
    <mergeCell ref="M1511:M1512"/>
    <mergeCell ref="N1511:N1512"/>
    <mergeCell ref="Q1511:Q1512"/>
    <mergeCell ref="R1511:R1512"/>
    <mergeCell ref="S1511:S1512"/>
    <mergeCell ref="D1518:I1519"/>
    <mergeCell ref="J1528:K1529"/>
    <mergeCell ref="L1528:L1529"/>
    <mergeCell ref="M1528:Q1528"/>
    <mergeCell ref="M1529:Q1529"/>
    <mergeCell ref="B1531:B1532"/>
    <mergeCell ref="C1531:C1532"/>
    <mergeCell ref="D1531:I1531"/>
    <mergeCell ref="J1531:J1532"/>
    <mergeCell ref="K1531:K1532"/>
    <mergeCell ref="S1521:S1522"/>
    <mergeCell ref="T1521:T1522"/>
    <mergeCell ref="U1521:U1522"/>
    <mergeCell ref="D1522:F1522"/>
    <mergeCell ref="G1522:I1522"/>
    <mergeCell ref="D1527:I1527"/>
    <mergeCell ref="J1527:K1527"/>
    <mergeCell ref="M1527:Q1527"/>
    <mergeCell ref="L1521:L1522"/>
    <mergeCell ref="M1521:M1522"/>
    <mergeCell ref="N1521:N1522"/>
    <mergeCell ref="O1521:O1522"/>
    <mergeCell ref="Q1521:Q1522"/>
    <mergeCell ref="R1521:R1522"/>
    <mergeCell ref="D1528:I1529"/>
    <mergeCell ref="S1531:S1532"/>
    <mergeCell ref="T1531:T1532"/>
    <mergeCell ref="U1531:U1532"/>
    <mergeCell ref="D1532:F1532"/>
    <mergeCell ref="G1532:I1532"/>
    <mergeCell ref="D1537:I1537"/>
    <mergeCell ref="J1537:K1537"/>
    <mergeCell ref="M1537:Q1537"/>
    <mergeCell ref="L1531:L1532"/>
    <mergeCell ref="M1531:M1532"/>
    <mergeCell ref="N1531:N1532"/>
    <mergeCell ref="O1531:O1532"/>
    <mergeCell ref="Q1531:Q1532"/>
    <mergeCell ref="R1531:R1532"/>
    <mergeCell ref="D1538:I1539"/>
    <mergeCell ref="S1541:S1542"/>
    <mergeCell ref="T1541:T1542"/>
    <mergeCell ref="U1541:U1542"/>
    <mergeCell ref="D1542:F1542"/>
    <mergeCell ref="G1542:I1542"/>
    <mergeCell ref="D1555:I1555"/>
    <mergeCell ref="J1555:K1555"/>
    <mergeCell ref="M1555:Q1555"/>
    <mergeCell ref="L1541:L1542"/>
    <mergeCell ref="M1541:M1542"/>
    <mergeCell ref="N1541:N1542"/>
    <mergeCell ref="O1541:O1542"/>
    <mergeCell ref="Q1541:Q1542"/>
    <mergeCell ref="R1541:R1542"/>
    <mergeCell ref="J1538:K1539"/>
    <mergeCell ref="L1538:L1539"/>
    <mergeCell ref="M1538:Q1538"/>
    <mergeCell ref="M1539:Q1539"/>
    <mergeCell ref="B1619:B1620"/>
    <mergeCell ref="C1619:C1620"/>
    <mergeCell ref="D1619:I1619"/>
    <mergeCell ref="J1619:J1620"/>
    <mergeCell ref="K1619:K1620"/>
    <mergeCell ref="B1541:B1542"/>
    <mergeCell ref="C1541:C1542"/>
    <mergeCell ref="D1541:I1541"/>
    <mergeCell ref="J1541:J1542"/>
    <mergeCell ref="K1541:K1542"/>
    <mergeCell ref="D1556:I1557"/>
    <mergeCell ref="D1616:I1617"/>
    <mergeCell ref="G1559:L1559"/>
    <mergeCell ref="J1616:K1617"/>
    <mergeCell ref="L1616:L1617"/>
    <mergeCell ref="M1556:Q1556"/>
    <mergeCell ref="M1557:Q1557"/>
    <mergeCell ref="O1559:R1559"/>
    <mergeCell ref="J1556:K1557"/>
    <mergeCell ref="L1556:L1557"/>
    <mergeCell ref="T1560:T1561"/>
    <mergeCell ref="U1560:U1561"/>
    <mergeCell ref="D1561:F1561"/>
    <mergeCell ref="G1561:I1561"/>
    <mergeCell ref="D1615:I1615"/>
    <mergeCell ref="J1615:K1615"/>
    <mergeCell ref="M1615:Q1615"/>
    <mergeCell ref="M1560:M1561"/>
    <mergeCell ref="N1560:N1561"/>
    <mergeCell ref="O1560:O1561"/>
    <mergeCell ref="Q1560:Q1561"/>
    <mergeCell ref="R1560:R1561"/>
    <mergeCell ref="S1560:S1561"/>
    <mergeCell ref="B1560:B1561"/>
    <mergeCell ref="C1560:C1561"/>
    <mergeCell ref="D1560:I1560"/>
    <mergeCell ref="J1560:J1561"/>
    <mergeCell ref="K1560:K1561"/>
    <mergeCell ref="L1560:L1561"/>
    <mergeCell ref="T1615:U1617"/>
    <mergeCell ref="M1616:Q1616"/>
    <mergeCell ref="M1617:Q1617"/>
    <mergeCell ref="M1627:Q1627"/>
    <mergeCell ref="D1628:I1629"/>
    <mergeCell ref="J1628:K1629"/>
    <mergeCell ref="L1628:L1629"/>
    <mergeCell ref="M1628:Q1628"/>
    <mergeCell ref="M1629:Q1629"/>
    <mergeCell ref="R1619:R1620"/>
    <mergeCell ref="S1619:S1620"/>
    <mergeCell ref="T1619:T1620"/>
    <mergeCell ref="U1619:U1620"/>
    <mergeCell ref="D1620:F1620"/>
    <mergeCell ref="G1620:I1620"/>
    <mergeCell ref="L1619:L1620"/>
    <mergeCell ref="M1619:M1620"/>
    <mergeCell ref="N1619:N1620"/>
    <mergeCell ref="O1619:O1620"/>
    <mergeCell ref="P1619:P1620"/>
    <mergeCell ref="Q1619:Q1620"/>
    <mergeCell ref="D1627:I1627"/>
    <mergeCell ref="J1627:K1627"/>
    <mergeCell ref="M1684:Q1684"/>
    <mergeCell ref="M1685:Q1685"/>
    <mergeCell ref="B1687:B1688"/>
    <mergeCell ref="C1687:C1688"/>
    <mergeCell ref="D1687:I1687"/>
    <mergeCell ref="J1687:J1688"/>
    <mergeCell ref="K1687:K1688"/>
    <mergeCell ref="T1631:T1632"/>
    <mergeCell ref="U1631:U1632"/>
    <mergeCell ref="D1632:F1632"/>
    <mergeCell ref="G1632:I1632"/>
    <mergeCell ref="D1683:I1683"/>
    <mergeCell ref="J1683:K1683"/>
    <mergeCell ref="M1683:Q1683"/>
    <mergeCell ref="M1631:M1632"/>
    <mergeCell ref="N1631:N1632"/>
    <mergeCell ref="O1631:O1632"/>
    <mergeCell ref="Q1631:Q1632"/>
    <mergeCell ref="R1631:R1632"/>
    <mergeCell ref="S1631:S1632"/>
    <mergeCell ref="B1631:B1632"/>
    <mergeCell ref="C1631:C1632"/>
    <mergeCell ref="D1631:I1631"/>
    <mergeCell ref="J1631:J1632"/>
    <mergeCell ref="K1631:K1632"/>
    <mergeCell ref="L1631:L1632"/>
    <mergeCell ref="T1683:U1685"/>
    <mergeCell ref="D1684:I1685"/>
    <mergeCell ref="J1684:K1685"/>
    <mergeCell ref="L1684:L1685"/>
    <mergeCell ref="J1711:K1712"/>
    <mergeCell ref="L1711:L1712"/>
    <mergeCell ref="M1711:Q1711"/>
    <mergeCell ref="M1712:Q1712"/>
    <mergeCell ref="B1714:B1715"/>
    <mergeCell ref="C1714:C1715"/>
    <mergeCell ref="D1714:I1714"/>
    <mergeCell ref="J1714:J1715"/>
    <mergeCell ref="K1714:K1715"/>
    <mergeCell ref="S1687:S1688"/>
    <mergeCell ref="T1687:T1688"/>
    <mergeCell ref="U1687:U1688"/>
    <mergeCell ref="D1688:F1688"/>
    <mergeCell ref="G1688:I1688"/>
    <mergeCell ref="D1710:I1710"/>
    <mergeCell ref="J1710:K1710"/>
    <mergeCell ref="M1710:Q1710"/>
    <mergeCell ref="L1687:L1688"/>
    <mergeCell ref="M1687:M1688"/>
    <mergeCell ref="N1687:N1688"/>
    <mergeCell ref="O1687:O1688"/>
    <mergeCell ref="Q1687:Q1688"/>
    <mergeCell ref="R1687:R1688"/>
    <mergeCell ref="D1711:I1712"/>
    <mergeCell ref="T1710:U1712"/>
    <mergeCell ref="J1752:K1753"/>
    <mergeCell ref="L1752:L1753"/>
    <mergeCell ref="M1752:Q1752"/>
    <mergeCell ref="M1753:Q1753"/>
    <mergeCell ref="B1755:B1756"/>
    <mergeCell ref="C1755:C1756"/>
    <mergeCell ref="D1755:I1755"/>
    <mergeCell ref="J1755:J1756"/>
    <mergeCell ref="K1755:K1756"/>
    <mergeCell ref="S1714:S1715"/>
    <mergeCell ref="T1714:T1715"/>
    <mergeCell ref="U1714:U1715"/>
    <mergeCell ref="D1715:F1715"/>
    <mergeCell ref="G1715:I1715"/>
    <mergeCell ref="D1751:I1751"/>
    <mergeCell ref="J1751:K1751"/>
    <mergeCell ref="M1751:Q1751"/>
    <mergeCell ref="L1714:L1715"/>
    <mergeCell ref="M1714:M1715"/>
    <mergeCell ref="N1714:N1715"/>
    <mergeCell ref="O1714:O1715"/>
    <mergeCell ref="Q1714:Q1715"/>
    <mergeCell ref="R1714:R1715"/>
    <mergeCell ref="S1755:S1756"/>
    <mergeCell ref="T1755:T1756"/>
    <mergeCell ref="U1755:U1756"/>
    <mergeCell ref="D1756:F1756"/>
    <mergeCell ref="G1756:I1756"/>
    <mergeCell ref="D1752:I1753"/>
    <mergeCell ref="T1751:U1753"/>
    <mergeCell ref="D1780:I1780"/>
    <mergeCell ref="J1780:K1780"/>
    <mergeCell ref="M1780:Q1780"/>
    <mergeCell ref="M1755:M1756"/>
    <mergeCell ref="N1755:N1756"/>
    <mergeCell ref="O1755:O1756"/>
    <mergeCell ref="P1755:P1756"/>
    <mergeCell ref="Q1755:Q1756"/>
    <mergeCell ref="R1755:R1756"/>
    <mergeCell ref="R1784:R1785"/>
    <mergeCell ref="S1784:S1785"/>
    <mergeCell ref="T1784:T1785"/>
    <mergeCell ref="U1784:U1785"/>
    <mergeCell ref="D1785:F1785"/>
    <mergeCell ref="G1785:I1785"/>
    <mergeCell ref="L1784:L1785"/>
    <mergeCell ref="M1784:M1785"/>
    <mergeCell ref="N1784:N1785"/>
    <mergeCell ref="O1784:O1785"/>
    <mergeCell ref="P1784:P1785"/>
    <mergeCell ref="Q1784:Q1785"/>
    <mergeCell ref="D1781:I1782"/>
    <mergeCell ref="J1781:K1782"/>
    <mergeCell ref="L1781:L1782"/>
    <mergeCell ref="M1781:Q1781"/>
    <mergeCell ref="M1782:Q1782"/>
    <mergeCell ref="T1780:U1782"/>
    <mergeCell ref="R1818:R1819"/>
    <mergeCell ref="S1818:S1819"/>
    <mergeCell ref="T1818:T1819"/>
    <mergeCell ref="U1818:U1819"/>
    <mergeCell ref="G1817:L1817"/>
    <mergeCell ref="O1817:R1817"/>
    <mergeCell ref="B1818:B1819"/>
    <mergeCell ref="C1818:C1819"/>
    <mergeCell ref="D1818:I1818"/>
    <mergeCell ref="J1818:J1819"/>
    <mergeCell ref="K1818:K1819"/>
    <mergeCell ref="L1818:L1819"/>
    <mergeCell ref="M1818:M1819"/>
    <mergeCell ref="N1818:N1819"/>
    <mergeCell ref="D1813:I1813"/>
    <mergeCell ref="J1813:K1813"/>
    <mergeCell ref="M1813:Q1813"/>
    <mergeCell ref="D1814:I1815"/>
    <mergeCell ref="J1814:K1815"/>
    <mergeCell ref="L1814:L1815"/>
    <mergeCell ref="M1814:Q1814"/>
    <mergeCell ref="M1815:Q1815"/>
    <mergeCell ref="T1813:U1815"/>
    <mergeCell ref="B1784:B1785"/>
    <mergeCell ref="C1784:C1785"/>
    <mergeCell ref="D1784:I1784"/>
    <mergeCell ref="J1784:J1785"/>
    <mergeCell ref="K1784:K1785"/>
    <mergeCell ref="B1829:B1830"/>
    <mergeCell ref="C1829:C1830"/>
    <mergeCell ref="D1829:I1829"/>
    <mergeCell ref="J1829:J1830"/>
    <mergeCell ref="K1829:K1830"/>
    <mergeCell ref="L1829:L1830"/>
    <mergeCell ref="M1829:M1830"/>
    <mergeCell ref="N1829:N1830"/>
    <mergeCell ref="D1819:F1819"/>
    <mergeCell ref="G1819:I1819"/>
    <mergeCell ref="D1824:I1824"/>
    <mergeCell ref="J1824:K1824"/>
    <mergeCell ref="M1824:Q1824"/>
    <mergeCell ref="D1825:I1826"/>
    <mergeCell ref="J1825:K1826"/>
    <mergeCell ref="L1825:L1826"/>
    <mergeCell ref="M1825:Q1825"/>
    <mergeCell ref="M1826:Q1826"/>
    <mergeCell ref="O1818:O1819"/>
    <mergeCell ref="Q1818:Q1819"/>
    <mergeCell ref="D1830:F1830"/>
    <mergeCell ref="G1830:I1830"/>
    <mergeCell ref="D1835:I1835"/>
    <mergeCell ref="J1835:K1835"/>
    <mergeCell ref="M1835:Q1835"/>
    <mergeCell ref="D1836:I1837"/>
    <mergeCell ref="J1836:K1837"/>
    <mergeCell ref="L1836:L1837"/>
    <mergeCell ref="M1836:Q1836"/>
    <mergeCell ref="M1837:Q1837"/>
    <mergeCell ref="O1829:O1830"/>
    <mergeCell ref="Q1829:Q1830"/>
    <mergeCell ref="R1829:R1830"/>
    <mergeCell ref="S1829:S1830"/>
    <mergeCell ref="T1829:T1830"/>
    <mergeCell ref="U1829:U1830"/>
    <mergeCell ref="G1828:L1828"/>
    <mergeCell ref="O1828:R1828"/>
    <mergeCell ref="D1846:I1847"/>
    <mergeCell ref="J1846:K1847"/>
    <mergeCell ref="L1846:L1847"/>
    <mergeCell ref="M1846:Q1846"/>
    <mergeCell ref="M1847:Q1847"/>
    <mergeCell ref="T1839:T1840"/>
    <mergeCell ref="U1839:U1840"/>
    <mergeCell ref="D1840:F1840"/>
    <mergeCell ref="G1840:I1840"/>
    <mergeCell ref="D1845:I1845"/>
    <mergeCell ref="J1845:K1845"/>
    <mergeCell ref="M1845:Q1845"/>
    <mergeCell ref="M1839:M1840"/>
    <mergeCell ref="N1839:N1840"/>
    <mergeCell ref="O1839:O1840"/>
    <mergeCell ref="Q1839:Q1840"/>
    <mergeCell ref="R1839:R1840"/>
    <mergeCell ref="S1839:S1840"/>
    <mergeCell ref="B1839:B1840"/>
    <mergeCell ref="C1839:C1840"/>
    <mergeCell ref="D1839:I1839"/>
    <mergeCell ref="J1839:J1840"/>
    <mergeCell ref="K1839:K1840"/>
    <mergeCell ref="L1839:L1840"/>
    <mergeCell ref="D1856:I1857"/>
    <mergeCell ref="J1856:K1857"/>
    <mergeCell ref="L1856:L1857"/>
    <mergeCell ref="M1856:Q1856"/>
    <mergeCell ref="M1857:Q1857"/>
    <mergeCell ref="B1859:B1860"/>
    <mergeCell ref="C1859:C1860"/>
    <mergeCell ref="D1859:I1859"/>
    <mergeCell ref="J1859:J1860"/>
    <mergeCell ref="K1859:K1860"/>
    <mergeCell ref="S1849:S1850"/>
    <mergeCell ref="T1849:T1850"/>
    <mergeCell ref="U1849:U1850"/>
    <mergeCell ref="D1850:F1850"/>
    <mergeCell ref="G1850:I1850"/>
    <mergeCell ref="D1855:I1855"/>
    <mergeCell ref="J1855:K1855"/>
    <mergeCell ref="M1855:Q1855"/>
    <mergeCell ref="L1849:L1850"/>
    <mergeCell ref="M1849:M1850"/>
    <mergeCell ref="N1849:N1850"/>
    <mergeCell ref="O1849:O1850"/>
    <mergeCell ref="Q1849:Q1850"/>
    <mergeCell ref="R1849:R1850"/>
    <mergeCell ref="B1849:B1850"/>
    <mergeCell ref="C1849:C1850"/>
    <mergeCell ref="D1849:I1849"/>
    <mergeCell ref="J1849:J1850"/>
    <mergeCell ref="K1849:K1850"/>
    <mergeCell ref="D1866:I1867"/>
    <mergeCell ref="J1866:K1867"/>
    <mergeCell ref="L1866:L1867"/>
    <mergeCell ref="M1866:Q1866"/>
    <mergeCell ref="M1867:Q1867"/>
    <mergeCell ref="B1869:B1870"/>
    <mergeCell ref="C1869:C1870"/>
    <mergeCell ref="D1869:I1869"/>
    <mergeCell ref="J1869:J1870"/>
    <mergeCell ref="K1869:K1870"/>
    <mergeCell ref="S1859:S1860"/>
    <mergeCell ref="T1859:T1860"/>
    <mergeCell ref="U1859:U1860"/>
    <mergeCell ref="D1860:F1860"/>
    <mergeCell ref="G1860:I1860"/>
    <mergeCell ref="D1865:I1865"/>
    <mergeCell ref="J1865:K1865"/>
    <mergeCell ref="M1865:Q1865"/>
    <mergeCell ref="L1859:L1860"/>
    <mergeCell ref="M1859:M1860"/>
    <mergeCell ref="N1859:N1860"/>
    <mergeCell ref="O1859:O1860"/>
    <mergeCell ref="Q1859:Q1860"/>
    <mergeCell ref="R1859:R1860"/>
    <mergeCell ref="D1876:I1877"/>
    <mergeCell ref="J1876:K1877"/>
    <mergeCell ref="L1876:L1877"/>
    <mergeCell ref="M1876:Q1876"/>
    <mergeCell ref="M1877:Q1877"/>
    <mergeCell ref="B1879:B1880"/>
    <mergeCell ref="C1879:C1880"/>
    <mergeCell ref="D1879:I1879"/>
    <mergeCell ref="J1879:J1880"/>
    <mergeCell ref="K1879:K1880"/>
    <mergeCell ref="S1869:S1870"/>
    <mergeCell ref="T1869:T1870"/>
    <mergeCell ref="U1869:U1870"/>
    <mergeCell ref="D1870:F1870"/>
    <mergeCell ref="G1870:I1870"/>
    <mergeCell ref="D1875:I1875"/>
    <mergeCell ref="J1875:K1875"/>
    <mergeCell ref="M1875:Q1875"/>
    <mergeCell ref="L1869:L1870"/>
    <mergeCell ref="M1869:M1870"/>
    <mergeCell ref="N1869:N1870"/>
    <mergeCell ref="O1869:O1870"/>
    <mergeCell ref="Q1869:Q1870"/>
    <mergeCell ref="R1869:R1870"/>
    <mergeCell ref="D1886:I1887"/>
    <mergeCell ref="J1886:K1887"/>
    <mergeCell ref="L1886:L1887"/>
    <mergeCell ref="M1886:Q1886"/>
    <mergeCell ref="M1887:Q1887"/>
    <mergeCell ref="B1889:B1890"/>
    <mergeCell ref="C1889:C1890"/>
    <mergeCell ref="D1889:I1889"/>
    <mergeCell ref="J1889:J1890"/>
    <mergeCell ref="K1889:K1890"/>
    <mergeCell ref="S1879:S1880"/>
    <mergeCell ref="T1879:T1880"/>
    <mergeCell ref="U1879:U1880"/>
    <mergeCell ref="D1880:F1880"/>
    <mergeCell ref="G1880:I1880"/>
    <mergeCell ref="D1885:I1885"/>
    <mergeCell ref="J1885:K1885"/>
    <mergeCell ref="M1885:Q1885"/>
    <mergeCell ref="L1879:L1880"/>
    <mergeCell ref="M1879:M1880"/>
    <mergeCell ref="N1879:N1880"/>
    <mergeCell ref="O1879:O1880"/>
    <mergeCell ref="Q1879:Q1880"/>
    <mergeCell ref="R1879:R1880"/>
    <mergeCell ref="D1896:I1897"/>
    <mergeCell ref="J1896:K1897"/>
    <mergeCell ref="L1896:L1897"/>
    <mergeCell ref="M1896:Q1896"/>
    <mergeCell ref="M1897:Q1897"/>
    <mergeCell ref="B1899:B1900"/>
    <mergeCell ref="C1899:C1900"/>
    <mergeCell ref="D1899:I1899"/>
    <mergeCell ref="J1899:J1900"/>
    <mergeCell ref="K1899:K1900"/>
    <mergeCell ref="S1889:S1890"/>
    <mergeCell ref="T1889:T1890"/>
    <mergeCell ref="U1889:U1890"/>
    <mergeCell ref="D1890:F1890"/>
    <mergeCell ref="G1890:I1890"/>
    <mergeCell ref="D1895:I1895"/>
    <mergeCell ref="J1895:K1895"/>
    <mergeCell ref="M1895:Q1895"/>
    <mergeCell ref="L1889:L1890"/>
    <mergeCell ref="M1889:M1890"/>
    <mergeCell ref="N1889:N1890"/>
    <mergeCell ref="O1889:O1890"/>
    <mergeCell ref="Q1889:Q1890"/>
    <mergeCell ref="R1889:R1890"/>
    <mergeCell ref="D1906:I1907"/>
    <mergeCell ref="J1906:K1907"/>
    <mergeCell ref="L1906:L1907"/>
    <mergeCell ref="M1906:Q1906"/>
    <mergeCell ref="M1907:Q1907"/>
    <mergeCell ref="B1909:B1910"/>
    <mergeCell ref="C1909:C1910"/>
    <mergeCell ref="D1909:I1909"/>
    <mergeCell ref="J1909:J1910"/>
    <mergeCell ref="K1909:K1910"/>
    <mergeCell ref="S1899:S1900"/>
    <mergeCell ref="T1899:T1900"/>
    <mergeCell ref="U1899:U1900"/>
    <mergeCell ref="D1900:F1900"/>
    <mergeCell ref="G1900:I1900"/>
    <mergeCell ref="D1905:I1905"/>
    <mergeCell ref="J1905:K1905"/>
    <mergeCell ref="M1905:Q1905"/>
    <mergeCell ref="L1899:L1900"/>
    <mergeCell ref="M1899:M1900"/>
    <mergeCell ref="N1899:N1900"/>
    <mergeCell ref="O1899:O1900"/>
    <mergeCell ref="Q1899:Q1900"/>
    <mergeCell ref="R1899:R1900"/>
    <mergeCell ref="D1916:I1917"/>
    <mergeCell ref="J1916:K1917"/>
    <mergeCell ref="L1916:L1917"/>
    <mergeCell ref="M1916:Q1916"/>
    <mergeCell ref="M1917:Q1917"/>
    <mergeCell ref="B1919:B1920"/>
    <mergeCell ref="C1919:C1920"/>
    <mergeCell ref="D1919:I1919"/>
    <mergeCell ref="J1919:J1920"/>
    <mergeCell ref="K1919:K1920"/>
    <mergeCell ref="S1909:S1910"/>
    <mergeCell ref="T1909:T1910"/>
    <mergeCell ref="U1909:U1910"/>
    <mergeCell ref="D1910:F1910"/>
    <mergeCell ref="G1910:I1910"/>
    <mergeCell ref="D1915:I1915"/>
    <mergeCell ref="J1915:K1915"/>
    <mergeCell ref="M1915:Q1915"/>
    <mergeCell ref="L1909:L1910"/>
    <mergeCell ref="M1909:M1910"/>
    <mergeCell ref="N1909:N1910"/>
    <mergeCell ref="O1909:O1910"/>
    <mergeCell ref="Q1909:Q1910"/>
    <mergeCell ref="R1909:R1910"/>
    <mergeCell ref="T1915:U1917"/>
    <mergeCell ref="D1926:I1927"/>
    <mergeCell ref="J1926:K1927"/>
    <mergeCell ref="L1926:L1927"/>
    <mergeCell ref="M1926:Q1926"/>
    <mergeCell ref="M1927:Q1927"/>
    <mergeCell ref="B1929:B1930"/>
    <mergeCell ref="C1929:C1930"/>
    <mergeCell ref="D1929:I1929"/>
    <mergeCell ref="J1929:J1930"/>
    <mergeCell ref="K1929:K1930"/>
    <mergeCell ref="S1919:S1920"/>
    <mergeCell ref="T1919:T1920"/>
    <mergeCell ref="U1919:U1920"/>
    <mergeCell ref="D1920:F1920"/>
    <mergeCell ref="G1920:I1920"/>
    <mergeCell ref="D1925:I1925"/>
    <mergeCell ref="J1925:K1925"/>
    <mergeCell ref="M1925:Q1925"/>
    <mergeCell ref="L1919:L1920"/>
    <mergeCell ref="M1919:M1920"/>
    <mergeCell ref="N1919:N1920"/>
    <mergeCell ref="O1919:O1920"/>
    <mergeCell ref="Q1919:Q1920"/>
    <mergeCell ref="R1919:R1920"/>
    <mergeCell ref="D1936:I1937"/>
    <mergeCell ref="J1936:K1937"/>
    <mergeCell ref="L1936:L1937"/>
    <mergeCell ref="M1936:Q1936"/>
    <mergeCell ref="M1937:Q1937"/>
    <mergeCell ref="B1939:B1940"/>
    <mergeCell ref="C1939:C1940"/>
    <mergeCell ref="D1939:I1939"/>
    <mergeCell ref="J1939:J1940"/>
    <mergeCell ref="K1939:K1940"/>
    <mergeCell ref="S1929:S1930"/>
    <mergeCell ref="T1929:T1930"/>
    <mergeCell ref="U1929:U1930"/>
    <mergeCell ref="D1930:F1930"/>
    <mergeCell ref="G1930:I1930"/>
    <mergeCell ref="D1935:I1935"/>
    <mergeCell ref="J1935:K1935"/>
    <mergeCell ref="M1935:Q1935"/>
    <mergeCell ref="L1929:L1930"/>
    <mergeCell ref="M1929:M1930"/>
    <mergeCell ref="N1929:N1930"/>
    <mergeCell ref="O1929:O1930"/>
    <mergeCell ref="Q1929:Q1930"/>
    <mergeCell ref="R1929:R1930"/>
    <mergeCell ref="D1946:I1947"/>
    <mergeCell ref="J1946:K1947"/>
    <mergeCell ref="L1946:L1947"/>
    <mergeCell ref="M1946:Q1946"/>
    <mergeCell ref="M1947:Q1947"/>
    <mergeCell ref="B1949:B1950"/>
    <mergeCell ref="C1949:C1950"/>
    <mergeCell ref="D1949:I1949"/>
    <mergeCell ref="J1949:J1950"/>
    <mergeCell ref="K1949:K1950"/>
    <mergeCell ref="S1939:S1940"/>
    <mergeCell ref="T1939:T1940"/>
    <mergeCell ref="U1939:U1940"/>
    <mergeCell ref="D1940:F1940"/>
    <mergeCell ref="G1940:I1940"/>
    <mergeCell ref="D1945:I1945"/>
    <mergeCell ref="J1945:K1945"/>
    <mergeCell ref="M1945:Q1945"/>
    <mergeCell ref="L1939:L1940"/>
    <mergeCell ref="M1939:M1940"/>
    <mergeCell ref="N1939:N1940"/>
    <mergeCell ref="O1939:O1940"/>
    <mergeCell ref="Q1939:Q1940"/>
    <mergeCell ref="R1939:R1940"/>
    <mergeCell ref="D1968:I1969"/>
    <mergeCell ref="J1968:K1969"/>
    <mergeCell ref="L1968:L1969"/>
    <mergeCell ref="M1968:Q1968"/>
    <mergeCell ref="M1969:Q1969"/>
    <mergeCell ref="B1971:B1972"/>
    <mergeCell ref="C1971:C1972"/>
    <mergeCell ref="D1971:I1971"/>
    <mergeCell ref="J1971:J1972"/>
    <mergeCell ref="K1971:K1972"/>
    <mergeCell ref="S1949:S1950"/>
    <mergeCell ref="T1949:T1950"/>
    <mergeCell ref="U1949:U1950"/>
    <mergeCell ref="D1950:F1950"/>
    <mergeCell ref="G1950:I1950"/>
    <mergeCell ref="D1967:I1967"/>
    <mergeCell ref="J1967:K1967"/>
    <mergeCell ref="M1967:Q1967"/>
    <mergeCell ref="L1949:L1950"/>
    <mergeCell ref="M1949:M1950"/>
    <mergeCell ref="N1949:N1950"/>
    <mergeCell ref="O1949:O1950"/>
    <mergeCell ref="Q1949:Q1950"/>
    <mergeCell ref="R1949:R1950"/>
    <mergeCell ref="D1986:I1987"/>
    <mergeCell ref="J1986:K1987"/>
    <mergeCell ref="L1986:L1987"/>
    <mergeCell ref="M1986:Q1986"/>
    <mergeCell ref="M1987:Q1987"/>
    <mergeCell ref="B1989:B1990"/>
    <mergeCell ref="C1989:C1990"/>
    <mergeCell ref="D1989:I1989"/>
    <mergeCell ref="J1989:J1990"/>
    <mergeCell ref="K1989:K1990"/>
    <mergeCell ref="S1971:S1972"/>
    <mergeCell ref="T1971:T1972"/>
    <mergeCell ref="U1971:U1972"/>
    <mergeCell ref="D1972:F1972"/>
    <mergeCell ref="G1972:I1972"/>
    <mergeCell ref="D1985:I1985"/>
    <mergeCell ref="J1985:K1985"/>
    <mergeCell ref="M1985:Q1985"/>
    <mergeCell ref="L1971:L1972"/>
    <mergeCell ref="M1971:M1972"/>
    <mergeCell ref="N1971:N1972"/>
    <mergeCell ref="O1971:O1972"/>
    <mergeCell ref="Q1971:Q1972"/>
    <mergeCell ref="R1971:R1972"/>
    <mergeCell ref="D1998:I1999"/>
    <mergeCell ref="J1998:K1999"/>
    <mergeCell ref="L1998:L1999"/>
    <mergeCell ref="M1998:Q1998"/>
    <mergeCell ref="M1999:Q1999"/>
    <mergeCell ref="B2001:B2002"/>
    <mergeCell ref="C2001:C2002"/>
    <mergeCell ref="D2001:I2001"/>
    <mergeCell ref="J2001:J2002"/>
    <mergeCell ref="K2001:K2002"/>
    <mergeCell ref="S1989:S1990"/>
    <mergeCell ref="T1989:T1990"/>
    <mergeCell ref="U1989:U1990"/>
    <mergeCell ref="D1990:F1990"/>
    <mergeCell ref="G1990:I1990"/>
    <mergeCell ref="D1997:I1997"/>
    <mergeCell ref="J1997:K1997"/>
    <mergeCell ref="M1997:Q1997"/>
    <mergeCell ref="L1989:L1990"/>
    <mergeCell ref="M1989:M1990"/>
    <mergeCell ref="N1989:N1990"/>
    <mergeCell ref="O1989:O1990"/>
    <mergeCell ref="Q1989:Q1990"/>
    <mergeCell ref="R1989:R1990"/>
    <mergeCell ref="D2008:I2009"/>
    <mergeCell ref="J2008:K2009"/>
    <mergeCell ref="L2008:L2009"/>
    <mergeCell ref="M2008:Q2008"/>
    <mergeCell ref="M2009:Q2009"/>
    <mergeCell ref="B2011:B2012"/>
    <mergeCell ref="C2011:C2012"/>
    <mergeCell ref="D2011:I2011"/>
    <mergeCell ref="J2011:J2012"/>
    <mergeCell ref="K2011:K2012"/>
    <mergeCell ref="S2001:S2002"/>
    <mergeCell ref="T2001:T2002"/>
    <mergeCell ref="U2001:U2002"/>
    <mergeCell ref="D2002:F2002"/>
    <mergeCell ref="G2002:I2002"/>
    <mergeCell ref="D2007:I2007"/>
    <mergeCell ref="J2007:K2007"/>
    <mergeCell ref="M2007:Q2007"/>
    <mergeCell ref="L2001:L2002"/>
    <mergeCell ref="M2001:M2002"/>
    <mergeCell ref="N2001:N2002"/>
    <mergeCell ref="O2001:O2002"/>
    <mergeCell ref="Q2001:Q2002"/>
    <mergeCell ref="R2001:R2002"/>
    <mergeCell ref="D2018:I2019"/>
    <mergeCell ref="J2018:K2019"/>
    <mergeCell ref="L2018:L2019"/>
    <mergeCell ref="M2018:Q2018"/>
    <mergeCell ref="M2019:Q2019"/>
    <mergeCell ref="B2021:B2022"/>
    <mergeCell ref="C2021:C2022"/>
    <mergeCell ref="D2021:I2021"/>
    <mergeCell ref="J2021:J2022"/>
    <mergeCell ref="K2021:K2022"/>
    <mergeCell ref="S2011:S2012"/>
    <mergeCell ref="T2011:T2012"/>
    <mergeCell ref="U2011:U2012"/>
    <mergeCell ref="D2012:F2012"/>
    <mergeCell ref="G2012:I2012"/>
    <mergeCell ref="D2017:I2017"/>
    <mergeCell ref="J2017:K2017"/>
    <mergeCell ref="M2017:Q2017"/>
    <mergeCell ref="L2011:L2012"/>
    <mergeCell ref="M2011:M2012"/>
    <mergeCell ref="N2011:N2012"/>
    <mergeCell ref="O2011:O2012"/>
    <mergeCell ref="Q2011:Q2012"/>
    <mergeCell ref="R2011:R2012"/>
    <mergeCell ref="D2035:I2036"/>
    <mergeCell ref="J2035:K2036"/>
    <mergeCell ref="L2035:L2036"/>
    <mergeCell ref="M2035:Q2035"/>
    <mergeCell ref="M2036:Q2036"/>
    <mergeCell ref="B2039:B2040"/>
    <mergeCell ref="C2039:C2040"/>
    <mergeCell ref="D2039:I2039"/>
    <mergeCell ref="J2039:J2040"/>
    <mergeCell ref="K2039:K2040"/>
    <mergeCell ref="S2021:S2022"/>
    <mergeCell ref="T2021:T2022"/>
    <mergeCell ref="U2021:U2022"/>
    <mergeCell ref="D2022:F2022"/>
    <mergeCell ref="G2022:I2022"/>
    <mergeCell ref="D2034:I2034"/>
    <mergeCell ref="J2034:K2034"/>
    <mergeCell ref="M2034:Q2034"/>
    <mergeCell ref="L2021:L2022"/>
    <mergeCell ref="M2021:M2022"/>
    <mergeCell ref="N2021:N2022"/>
    <mergeCell ref="O2021:O2022"/>
    <mergeCell ref="Q2021:Q2022"/>
    <mergeCell ref="R2021:R2022"/>
    <mergeCell ref="D2046:I2047"/>
    <mergeCell ref="J2046:K2047"/>
    <mergeCell ref="L2046:L2047"/>
    <mergeCell ref="M2046:Q2046"/>
    <mergeCell ref="M2047:Q2047"/>
    <mergeCell ref="B2049:B2050"/>
    <mergeCell ref="C2049:C2050"/>
    <mergeCell ref="D2049:I2049"/>
    <mergeCell ref="J2049:J2050"/>
    <mergeCell ref="K2049:K2050"/>
    <mergeCell ref="S2039:S2040"/>
    <mergeCell ref="T2039:T2040"/>
    <mergeCell ref="U2039:U2040"/>
    <mergeCell ref="D2040:F2040"/>
    <mergeCell ref="G2040:I2040"/>
    <mergeCell ref="D2045:I2045"/>
    <mergeCell ref="J2045:K2045"/>
    <mergeCell ref="M2045:Q2045"/>
    <mergeCell ref="L2039:L2040"/>
    <mergeCell ref="M2039:M2040"/>
    <mergeCell ref="N2039:N2040"/>
    <mergeCell ref="O2039:O2040"/>
    <mergeCell ref="Q2039:Q2040"/>
    <mergeCell ref="R2039:R2040"/>
    <mergeCell ref="D2056:I2057"/>
    <mergeCell ref="J2056:K2057"/>
    <mergeCell ref="L2056:L2057"/>
    <mergeCell ref="M2056:Q2056"/>
    <mergeCell ref="M2057:Q2057"/>
    <mergeCell ref="B2061:B2062"/>
    <mergeCell ref="C2061:C2062"/>
    <mergeCell ref="D2061:I2061"/>
    <mergeCell ref="J2061:J2062"/>
    <mergeCell ref="K2061:K2062"/>
    <mergeCell ref="S2049:S2050"/>
    <mergeCell ref="T2049:T2050"/>
    <mergeCell ref="U2049:U2050"/>
    <mergeCell ref="D2050:F2050"/>
    <mergeCell ref="G2050:I2050"/>
    <mergeCell ref="D2055:I2055"/>
    <mergeCell ref="J2055:K2055"/>
    <mergeCell ref="M2055:Q2055"/>
    <mergeCell ref="L2049:L2050"/>
    <mergeCell ref="M2049:M2050"/>
    <mergeCell ref="N2049:N2050"/>
    <mergeCell ref="O2049:O2050"/>
    <mergeCell ref="Q2049:Q2050"/>
    <mergeCell ref="R2049:R2050"/>
    <mergeCell ref="D2068:I2069"/>
    <mergeCell ref="J2068:K2069"/>
    <mergeCell ref="L2068:L2069"/>
    <mergeCell ref="M2068:Q2068"/>
    <mergeCell ref="M2069:Q2069"/>
    <mergeCell ref="B2071:B2072"/>
    <mergeCell ref="C2071:C2072"/>
    <mergeCell ref="D2071:I2071"/>
    <mergeCell ref="J2071:J2072"/>
    <mergeCell ref="K2071:K2072"/>
    <mergeCell ref="S2061:S2062"/>
    <mergeCell ref="T2061:T2062"/>
    <mergeCell ref="U2061:U2062"/>
    <mergeCell ref="D2062:F2062"/>
    <mergeCell ref="G2062:I2062"/>
    <mergeCell ref="D2067:I2067"/>
    <mergeCell ref="J2067:K2067"/>
    <mergeCell ref="M2067:Q2067"/>
    <mergeCell ref="L2061:L2062"/>
    <mergeCell ref="M2061:M2062"/>
    <mergeCell ref="N2061:N2062"/>
    <mergeCell ref="O2061:O2062"/>
    <mergeCell ref="Q2061:Q2062"/>
    <mergeCell ref="R2061:R2062"/>
    <mergeCell ref="D2078:I2079"/>
    <mergeCell ref="J2078:K2079"/>
    <mergeCell ref="L2078:L2079"/>
    <mergeCell ref="M2078:Q2078"/>
    <mergeCell ref="M2079:Q2079"/>
    <mergeCell ref="B2082:B2083"/>
    <mergeCell ref="C2082:C2083"/>
    <mergeCell ref="D2082:I2082"/>
    <mergeCell ref="J2082:J2083"/>
    <mergeCell ref="K2082:K2083"/>
    <mergeCell ref="S2071:S2072"/>
    <mergeCell ref="T2071:T2072"/>
    <mergeCell ref="U2071:U2072"/>
    <mergeCell ref="D2072:F2072"/>
    <mergeCell ref="G2072:I2072"/>
    <mergeCell ref="D2077:I2077"/>
    <mergeCell ref="J2077:K2077"/>
    <mergeCell ref="M2077:Q2077"/>
    <mergeCell ref="L2071:L2072"/>
    <mergeCell ref="M2071:M2072"/>
    <mergeCell ref="N2071:N2072"/>
    <mergeCell ref="O2071:O2072"/>
    <mergeCell ref="Q2071:Q2072"/>
    <mergeCell ref="R2071:R2072"/>
    <mergeCell ref="D2089:I2090"/>
    <mergeCell ref="J2089:K2090"/>
    <mergeCell ref="L2089:L2090"/>
    <mergeCell ref="M2089:Q2089"/>
    <mergeCell ref="M2090:Q2090"/>
    <mergeCell ref="B2092:B2093"/>
    <mergeCell ref="C2092:C2093"/>
    <mergeCell ref="D2092:I2092"/>
    <mergeCell ref="J2092:J2093"/>
    <mergeCell ref="K2092:K2093"/>
    <mergeCell ref="S2082:S2083"/>
    <mergeCell ref="T2082:T2083"/>
    <mergeCell ref="U2082:U2083"/>
    <mergeCell ref="D2083:F2083"/>
    <mergeCell ref="G2083:I2083"/>
    <mergeCell ref="D2088:I2088"/>
    <mergeCell ref="J2088:K2088"/>
    <mergeCell ref="M2088:Q2088"/>
    <mergeCell ref="L2082:L2083"/>
    <mergeCell ref="M2082:M2083"/>
    <mergeCell ref="N2082:N2083"/>
    <mergeCell ref="O2082:O2083"/>
    <mergeCell ref="Q2082:Q2083"/>
    <mergeCell ref="R2082:R2083"/>
    <mergeCell ref="T2088:U2090"/>
    <mergeCell ref="D2099:I2100"/>
    <mergeCell ref="J2099:K2100"/>
    <mergeCell ref="L2099:L2100"/>
    <mergeCell ref="M2099:Q2099"/>
    <mergeCell ref="M2100:Q2100"/>
    <mergeCell ref="B2102:B2103"/>
    <mergeCell ref="C2102:C2103"/>
    <mergeCell ref="D2102:I2102"/>
    <mergeCell ref="J2102:J2103"/>
    <mergeCell ref="K2102:K2103"/>
    <mergeCell ref="S2092:S2093"/>
    <mergeCell ref="T2092:T2093"/>
    <mergeCell ref="U2092:U2093"/>
    <mergeCell ref="D2093:F2093"/>
    <mergeCell ref="G2093:I2093"/>
    <mergeCell ref="D2098:I2098"/>
    <mergeCell ref="J2098:K2098"/>
    <mergeCell ref="M2098:Q2098"/>
    <mergeCell ref="L2092:L2093"/>
    <mergeCell ref="M2092:M2093"/>
    <mergeCell ref="N2092:N2093"/>
    <mergeCell ref="O2092:O2093"/>
    <mergeCell ref="Q2092:Q2093"/>
    <mergeCell ref="R2092:R2093"/>
    <mergeCell ref="D2109:I2110"/>
    <mergeCell ref="J2109:K2110"/>
    <mergeCell ref="L2109:L2110"/>
    <mergeCell ref="M2109:Q2109"/>
    <mergeCell ref="M2110:Q2110"/>
    <mergeCell ref="B2112:B2113"/>
    <mergeCell ref="C2112:C2113"/>
    <mergeCell ref="D2112:I2112"/>
    <mergeCell ref="J2112:J2113"/>
    <mergeCell ref="K2112:K2113"/>
    <mergeCell ref="S2102:S2103"/>
    <mergeCell ref="T2102:T2103"/>
    <mergeCell ref="U2102:U2103"/>
    <mergeCell ref="D2103:F2103"/>
    <mergeCell ref="G2103:I2103"/>
    <mergeCell ref="D2108:I2108"/>
    <mergeCell ref="J2108:K2108"/>
    <mergeCell ref="M2108:Q2108"/>
    <mergeCell ref="L2102:L2103"/>
    <mergeCell ref="M2102:M2103"/>
    <mergeCell ref="N2102:N2103"/>
    <mergeCell ref="O2102:O2103"/>
    <mergeCell ref="Q2102:Q2103"/>
    <mergeCell ref="R2102:R2103"/>
    <mergeCell ref="D2119:I2120"/>
    <mergeCell ref="J2119:K2120"/>
    <mergeCell ref="L2119:L2120"/>
    <mergeCell ref="M2119:Q2119"/>
    <mergeCell ref="M2120:Q2120"/>
    <mergeCell ref="B2122:B2123"/>
    <mergeCell ref="C2122:C2123"/>
    <mergeCell ref="D2122:I2122"/>
    <mergeCell ref="J2122:J2123"/>
    <mergeCell ref="K2122:K2123"/>
    <mergeCell ref="S2112:S2113"/>
    <mergeCell ref="T2112:T2113"/>
    <mergeCell ref="U2112:U2113"/>
    <mergeCell ref="D2113:F2113"/>
    <mergeCell ref="G2113:I2113"/>
    <mergeCell ref="D2118:I2118"/>
    <mergeCell ref="J2118:K2118"/>
    <mergeCell ref="M2118:Q2118"/>
    <mergeCell ref="L2112:L2113"/>
    <mergeCell ref="M2112:M2113"/>
    <mergeCell ref="N2112:N2113"/>
    <mergeCell ref="O2112:O2113"/>
    <mergeCell ref="Q2112:Q2113"/>
    <mergeCell ref="R2112:R2113"/>
    <mergeCell ref="D2129:I2130"/>
    <mergeCell ref="J2129:K2130"/>
    <mergeCell ref="L2129:L2130"/>
    <mergeCell ref="M2129:Q2129"/>
    <mergeCell ref="M2130:Q2130"/>
    <mergeCell ref="B2132:B2133"/>
    <mergeCell ref="C2132:C2133"/>
    <mergeCell ref="D2132:I2132"/>
    <mergeCell ref="J2132:J2133"/>
    <mergeCell ref="K2132:K2133"/>
    <mergeCell ref="S2122:S2123"/>
    <mergeCell ref="T2122:T2123"/>
    <mergeCell ref="U2122:U2123"/>
    <mergeCell ref="D2123:F2123"/>
    <mergeCell ref="G2123:I2123"/>
    <mergeCell ref="D2128:I2128"/>
    <mergeCell ref="J2128:K2128"/>
    <mergeCell ref="M2128:Q2128"/>
    <mergeCell ref="L2122:L2123"/>
    <mergeCell ref="M2122:M2123"/>
    <mergeCell ref="N2122:N2123"/>
    <mergeCell ref="O2122:O2123"/>
    <mergeCell ref="Q2122:Q2123"/>
    <mergeCell ref="R2122:R2123"/>
    <mergeCell ref="D2139:I2140"/>
    <mergeCell ref="J2139:K2140"/>
    <mergeCell ref="L2139:L2140"/>
    <mergeCell ref="M2139:Q2139"/>
    <mergeCell ref="M2140:Q2140"/>
    <mergeCell ref="B2142:B2143"/>
    <mergeCell ref="C2142:C2143"/>
    <mergeCell ref="D2142:I2142"/>
    <mergeCell ref="J2142:J2143"/>
    <mergeCell ref="K2142:K2143"/>
    <mergeCell ref="S2132:S2133"/>
    <mergeCell ref="T2132:T2133"/>
    <mergeCell ref="U2132:U2133"/>
    <mergeCell ref="D2133:F2133"/>
    <mergeCell ref="G2133:I2133"/>
    <mergeCell ref="D2138:I2138"/>
    <mergeCell ref="J2138:K2138"/>
    <mergeCell ref="M2138:Q2138"/>
    <mergeCell ref="L2132:L2133"/>
    <mergeCell ref="M2132:M2133"/>
    <mergeCell ref="N2132:N2133"/>
    <mergeCell ref="O2132:O2133"/>
    <mergeCell ref="Q2132:Q2133"/>
    <mergeCell ref="R2132:R2133"/>
    <mergeCell ref="D2149:I2150"/>
    <mergeCell ref="J2149:K2150"/>
    <mergeCell ref="L2149:L2150"/>
    <mergeCell ref="M2149:Q2149"/>
    <mergeCell ref="M2150:Q2150"/>
    <mergeCell ref="B2152:B2153"/>
    <mergeCell ref="C2152:C2153"/>
    <mergeCell ref="D2152:I2152"/>
    <mergeCell ref="J2152:J2153"/>
    <mergeCell ref="K2152:K2153"/>
    <mergeCell ref="S2142:S2143"/>
    <mergeCell ref="T2142:T2143"/>
    <mergeCell ref="U2142:U2143"/>
    <mergeCell ref="D2143:F2143"/>
    <mergeCell ref="G2143:I2143"/>
    <mergeCell ref="D2148:I2148"/>
    <mergeCell ref="J2148:K2148"/>
    <mergeCell ref="M2148:Q2148"/>
    <mergeCell ref="L2142:L2143"/>
    <mergeCell ref="M2142:M2143"/>
    <mergeCell ref="N2142:N2143"/>
    <mergeCell ref="O2142:O2143"/>
    <mergeCell ref="Q2142:Q2143"/>
    <mergeCell ref="R2142:R2143"/>
    <mergeCell ref="D2159:I2160"/>
    <mergeCell ref="J2159:K2160"/>
    <mergeCell ref="L2159:L2160"/>
    <mergeCell ref="M2159:Q2159"/>
    <mergeCell ref="M2160:Q2160"/>
    <mergeCell ref="B2162:B2163"/>
    <mergeCell ref="C2162:C2163"/>
    <mergeCell ref="D2162:I2162"/>
    <mergeCell ref="J2162:J2163"/>
    <mergeCell ref="K2162:K2163"/>
    <mergeCell ref="S2152:S2153"/>
    <mergeCell ref="T2152:T2153"/>
    <mergeCell ref="U2152:U2153"/>
    <mergeCell ref="D2153:F2153"/>
    <mergeCell ref="G2153:I2153"/>
    <mergeCell ref="D2158:I2158"/>
    <mergeCell ref="J2158:K2158"/>
    <mergeCell ref="M2158:Q2158"/>
    <mergeCell ref="L2152:L2153"/>
    <mergeCell ref="M2152:M2153"/>
    <mergeCell ref="N2152:N2153"/>
    <mergeCell ref="O2152:O2153"/>
    <mergeCell ref="Q2152:Q2153"/>
    <mergeCell ref="R2152:R2153"/>
    <mergeCell ref="D2169:I2170"/>
    <mergeCell ref="J2169:K2170"/>
    <mergeCell ref="L2169:L2170"/>
    <mergeCell ref="M2169:Q2169"/>
    <mergeCell ref="M2170:Q2170"/>
    <mergeCell ref="B2172:B2173"/>
    <mergeCell ref="C2172:C2173"/>
    <mergeCell ref="D2172:I2172"/>
    <mergeCell ref="J2172:J2173"/>
    <mergeCell ref="K2172:K2173"/>
    <mergeCell ref="S2162:S2163"/>
    <mergeCell ref="T2162:T2163"/>
    <mergeCell ref="U2162:U2163"/>
    <mergeCell ref="D2163:F2163"/>
    <mergeCell ref="G2163:I2163"/>
    <mergeCell ref="D2168:I2168"/>
    <mergeCell ref="J2168:K2168"/>
    <mergeCell ref="M2168:Q2168"/>
    <mergeCell ref="L2162:L2163"/>
    <mergeCell ref="M2162:M2163"/>
    <mergeCell ref="N2162:N2163"/>
    <mergeCell ref="O2162:O2163"/>
    <mergeCell ref="Q2162:Q2163"/>
    <mergeCell ref="R2162:R2163"/>
    <mergeCell ref="J2179:K2180"/>
    <mergeCell ref="L2179:L2180"/>
    <mergeCell ref="M2179:Q2179"/>
    <mergeCell ref="M2180:Q2180"/>
    <mergeCell ref="B2182:B2183"/>
    <mergeCell ref="C2182:C2183"/>
    <mergeCell ref="D2182:I2182"/>
    <mergeCell ref="J2182:J2183"/>
    <mergeCell ref="K2182:K2183"/>
    <mergeCell ref="S2172:S2173"/>
    <mergeCell ref="T2172:T2173"/>
    <mergeCell ref="U2172:U2173"/>
    <mergeCell ref="D2173:F2173"/>
    <mergeCell ref="G2173:I2173"/>
    <mergeCell ref="D2178:I2178"/>
    <mergeCell ref="J2178:K2178"/>
    <mergeCell ref="M2178:Q2178"/>
    <mergeCell ref="L2172:L2173"/>
    <mergeCell ref="M2172:M2173"/>
    <mergeCell ref="N2172:N2173"/>
    <mergeCell ref="O2172:O2173"/>
    <mergeCell ref="Q2172:Q2173"/>
    <mergeCell ref="R2172:R2173"/>
    <mergeCell ref="D2179:I2180"/>
    <mergeCell ref="J2189:K2190"/>
    <mergeCell ref="L2189:L2190"/>
    <mergeCell ref="M2189:Q2189"/>
    <mergeCell ref="M2190:Q2190"/>
    <mergeCell ref="B2192:B2193"/>
    <mergeCell ref="C2192:C2193"/>
    <mergeCell ref="D2192:I2192"/>
    <mergeCell ref="J2192:J2193"/>
    <mergeCell ref="K2192:K2193"/>
    <mergeCell ref="S2182:S2183"/>
    <mergeCell ref="T2182:T2183"/>
    <mergeCell ref="U2182:U2183"/>
    <mergeCell ref="D2183:F2183"/>
    <mergeCell ref="G2183:I2183"/>
    <mergeCell ref="D2188:I2188"/>
    <mergeCell ref="J2188:K2188"/>
    <mergeCell ref="M2188:Q2188"/>
    <mergeCell ref="L2182:L2183"/>
    <mergeCell ref="M2182:M2183"/>
    <mergeCell ref="N2182:N2183"/>
    <mergeCell ref="O2182:O2183"/>
    <mergeCell ref="Q2182:Q2183"/>
    <mergeCell ref="R2182:R2183"/>
    <mergeCell ref="D2189:I2190"/>
    <mergeCell ref="J2199:K2200"/>
    <mergeCell ref="L2199:L2200"/>
    <mergeCell ref="M2199:Q2199"/>
    <mergeCell ref="M2200:Q2200"/>
    <mergeCell ref="B2202:B2203"/>
    <mergeCell ref="C2202:C2203"/>
    <mergeCell ref="D2202:I2202"/>
    <mergeCell ref="J2202:J2203"/>
    <mergeCell ref="K2202:K2203"/>
    <mergeCell ref="S2192:S2193"/>
    <mergeCell ref="T2192:T2193"/>
    <mergeCell ref="U2192:U2193"/>
    <mergeCell ref="D2193:F2193"/>
    <mergeCell ref="G2193:I2193"/>
    <mergeCell ref="D2198:I2198"/>
    <mergeCell ref="J2198:K2198"/>
    <mergeCell ref="M2198:Q2198"/>
    <mergeCell ref="L2192:L2193"/>
    <mergeCell ref="M2192:M2193"/>
    <mergeCell ref="N2192:N2193"/>
    <mergeCell ref="O2192:O2193"/>
    <mergeCell ref="Q2192:Q2193"/>
    <mergeCell ref="R2192:R2193"/>
    <mergeCell ref="D2199:I2200"/>
    <mergeCell ref="B2213:B2214"/>
    <mergeCell ref="C2213:C2214"/>
    <mergeCell ref="D2213:I2213"/>
    <mergeCell ref="J2213:J2214"/>
    <mergeCell ref="K2213:K2214"/>
    <mergeCell ref="L2213:L2214"/>
    <mergeCell ref="D2209:I2210"/>
    <mergeCell ref="J2209:K2210"/>
    <mergeCell ref="L2209:L2210"/>
    <mergeCell ref="M2209:Q2209"/>
    <mergeCell ref="M2210:Q2210"/>
    <mergeCell ref="G2212:L2212"/>
    <mergeCell ref="S2202:S2203"/>
    <mergeCell ref="T2202:T2203"/>
    <mergeCell ref="U2202:U2203"/>
    <mergeCell ref="D2203:F2203"/>
    <mergeCell ref="G2203:I2203"/>
    <mergeCell ref="D2208:I2208"/>
    <mergeCell ref="J2208:K2208"/>
    <mergeCell ref="M2208:Q2208"/>
    <mergeCell ref="L2202:L2203"/>
    <mergeCell ref="M2202:M2203"/>
    <mergeCell ref="N2202:N2203"/>
    <mergeCell ref="O2202:O2203"/>
    <mergeCell ref="Q2202:Q2203"/>
    <mergeCell ref="R2202:R2203"/>
    <mergeCell ref="J2220:K2221"/>
    <mergeCell ref="L2220:L2221"/>
    <mergeCell ref="M2220:Q2220"/>
    <mergeCell ref="M2221:Q2221"/>
    <mergeCell ref="G2223:L2223"/>
    <mergeCell ref="T2213:T2214"/>
    <mergeCell ref="U2213:U2214"/>
    <mergeCell ref="D2214:F2214"/>
    <mergeCell ref="G2214:I2214"/>
    <mergeCell ref="D2219:I2219"/>
    <mergeCell ref="J2219:K2219"/>
    <mergeCell ref="M2219:Q2219"/>
    <mergeCell ref="M2213:M2214"/>
    <mergeCell ref="N2213:N2214"/>
    <mergeCell ref="O2213:O2214"/>
    <mergeCell ref="Q2213:Q2214"/>
    <mergeCell ref="R2213:R2214"/>
    <mergeCell ref="S2213:S2214"/>
    <mergeCell ref="D2220:I2221"/>
    <mergeCell ref="J2253:K2254"/>
    <mergeCell ref="L2253:L2254"/>
    <mergeCell ref="M2253:Q2253"/>
    <mergeCell ref="M2254:Q2254"/>
    <mergeCell ref="B2256:B2257"/>
    <mergeCell ref="C2256:C2257"/>
    <mergeCell ref="D2256:I2256"/>
    <mergeCell ref="J2256:J2257"/>
    <mergeCell ref="K2256:K2257"/>
    <mergeCell ref="T2224:T2225"/>
    <mergeCell ref="U2224:U2225"/>
    <mergeCell ref="D2225:F2225"/>
    <mergeCell ref="G2225:I2225"/>
    <mergeCell ref="D2252:I2252"/>
    <mergeCell ref="J2252:K2252"/>
    <mergeCell ref="M2252:Q2252"/>
    <mergeCell ref="M2224:M2225"/>
    <mergeCell ref="N2224:N2225"/>
    <mergeCell ref="O2224:O2225"/>
    <mergeCell ref="Q2224:Q2225"/>
    <mergeCell ref="R2224:R2225"/>
    <mergeCell ref="S2224:S2225"/>
    <mergeCell ref="B2224:B2225"/>
    <mergeCell ref="C2224:C2225"/>
    <mergeCell ref="D2224:I2224"/>
    <mergeCell ref="J2224:J2225"/>
    <mergeCell ref="K2224:K2225"/>
    <mergeCell ref="L2224:L2225"/>
    <mergeCell ref="P2224:P2225"/>
    <mergeCell ref="D2253:I2254"/>
    <mergeCell ref="J2287:K2288"/>
    <mergeCell ref="L2287:L2288"/>
    <mergeCell ref="M2287:Q2287"/>
    <mergeCell ref="M2288:Q2288"/>
    <mergeCell ref="B2290:B2291"/>
    <mergeCell ref="C2290:C2291"/>
    <mergeCell ref="D2290:I2290"/>
    <mergeCell ref="J2290:J2291"/>
    <mergeCell ref="K2290:K2291"/>
    <mergeCell ref="S2256:S2257"/>
    <mergeCell ref="T2256:T2257"/>
    <mergeCell ref="U2256:U2257"/>
    <mergeCell ref="D2257:F2257"/>
    <mergeCell ref="G2257:I2257"/>
    <mergeCell ref="D2286:I2286"/>
    <mergeCell ref="J2286:K2286"/>
    <mergeCell ref="M2286:Q2286"/>
    <mergeCell ref="L2256:L2257"/>
    <mergeCell ref="M2256:M2257"/>
    <mergeCell ref="N2256:N2257"/>
    <mergeCell ref="O2256:O2257"/>
    <mergeCell ref="Q2256:Q2257"/>
    <mergeCell ref="R2256:R2257"/>
    <mergeCell ref="P2256:P2257"/>
    <mergeCell ref="T2286:U2288"/>
    <mergeCell ref="D2287:I2288"/>
    <mergeCell ref="J2297:K2298"/>
    <mergeCell ref="L2297:L2298"/>
    <mergeCell ref="M2297:Q2297"/>
    <mergeCell ref="M2298:Q2298"/>
    <mergeCell ref="G2300:L2300"/>
    <mergeCell ref="S2290:S2291"/>
    <mergeCell ref="T2290:T2291"/>
    <mergeCell ref="U2290:U2291"/>
    <mergeCell ref="D2291:F2291"/>
    <mergeCell ref="G2291:I2291"/>
    <mergeCell ref="D2296:I2296"/>
    <mergeCell ref="J2296:K2296"/>
    <mergeCell ref="M2296:Q2296"/>
    <mergeCell ref="L2290:L2291"/>
    <mergeCell ref="M2290:M2291"/>
    <mergeCell ref="N2290:N2291"/>
    <mergeCell ref="O2290:O2291"/>
    <mergeCell ref="Q2290:Q2291"/>
    <mergeCell ref="R2290:R2291"/>
    <mergeCell ref="D2297:I2298"/>
    <mergeCell ref="J2311:K2312"/>
    <mergeCell ref="L2311:L2312"/>
    <mergeCell ref="M2311:Q2311"/>
    <mergeCell ref="M2312:Q2312"/>
    <mergeCell ref="B2314:B2315"/>
    <mergeCell ref="C2314:C2315"/>
    <mergeCell ref="D2314:I2314"/>
    <mergeCell ref="J2314:J2315"/>
    <mergeCell ref="K2314:K2315"/>
    <mergeCell ref="T2301:T2302"/>
    <mergeCell ref="U2301:U2302"/>
    <mergeCell ref="D2302:F2302"/>
    <mergeCell ref="G2302:I2302"/>
    <mergeCell ref="D2310:I2310"/>
    <mergeCell ref="J2310:K2310"/>
    <mergeCell ref="M2310:Q2310"/>
    <mergeCell ref="M2301:M2302"/>
    <mergeCell ref="N2301:N2302"/>
    <mergeCell ref="O2301:O2302"/>
    <mergeCell ref="Q2301:Q2302"/>
    <mergeCell ref="R2301:R2302"/>
    <mergeCell ref="S2301:S2302"/>
    <mergeCell ref="B2301:B2302"/>
    <mergeCell ref="C2301:C2302"/>
    <mergeCell ref="D2301:I2301"/>
    <mergeCell ref="J2301:J2302"/>
    <mergeCell ref="K2301:K2302"/>
    <mergeCell ref="L2301:L2302"/>
    <mergeCell ref="D2311:I2312"/>
    <mergeCell ref="J2323:K2324"/>
    <mergeCell ref="L2323:L2324"/>
    <mergeCell ref="M2323:Q2323"/>
    <mergeCell ref="M2324:Q2324"/>
    <mergeCell ref="B2326:B2327"/>
    <mergeCell ref="C2326:C2327"/>
    <mergeCell ref="D2326:I2326"/>
    <mergeCell ref="J2326:J2327"/>
    <mergeCell ref="K2326:K2327"/>
    <mergeCell ref="S2314:S2315"/>
    <mergeCell ref="T2314:T2315"/>
    <mergeCell ref="U2314:U2315"/>
    <mergeCell ref="D2315:F2315"/>
    <mergeCell ref="G2315:I2315"/>
    <mergeCell ref="D2322:I2322"/>
    <mergeCell ref="J2322:K2322"/>
    <mergeCell ref="M2322:Q2322"/>
    <mergeCell ref="L2314:L2315"/>
    <mergeCell ref="M2314:M2315"/>
    <mergeCell ref="N2314:N2315"/>
    <mergeCell ref="O2314:O2315"/>
    <mergeCell ref="Q2314:Q2315"/>
    <mergeCell ref="R2314:R2315"/>
    <mergeCell ref="D2323:I2324"/>
    <mergeCell ref="J2349:K2350"/>
    <mergeCell ref="L2349:L2350"/>
    <mergeCell ref="M2349:Q2349"/>
    <mergeCell ref="M2350:Q2350"/>
    <mergeCell ref="G2352:L2352"/>
    <mergeCell ref="S2326:S2327"/>
    <mergeCell ref="T2326:T2327"/>
    <mergeCell ref="U2326:U2327"/>
    <mergeCell ref="D2327:F2327"/>
    <mergeCell ref="G2327:I2327"/>
    <mergeCell ref="D2348:I2348"/>
    <mergeCell ref="J2348:K2348"/>
    <mergeCell ref="M2348:Q2348"/>
    <mergeCell ref="L2326:L2327"/>
    <mergeCell ref="M2326:M2327"/>
    <mergeCell ref="N2326:N2327"/>
    <mergeCell ref="O2326:O2327"/>
    <mergeCell ref="Q2326:Q2327"/>
    <mergeCell ref="R2326:R2327"/>
    <mergeCell ref="D2349:I2350"/>
    <mergeCell ref="J2361:K2362"/>
    <mergeCell ref="L2361:L2362"/>
    <mergeCell ref="M2361:Q2361"/>
    <mergeCell ref="M2362:Q2362"/>
    <mergeCell ref="B2364:B2365"/>
    <mergeCell ref="C2364:C2365"/>
    <mergeCell ref="D2364:I2364"/>
    <mergeCell ref="J2364:J2365"/>
    <mergeCell ref="K2364:K2365"/>
    <mergeCell ref="T2354:T2355"/>
    <mergeCell ref="U2354:U2355"/>
    <mergeCell ref="D2355:F2355"/>
    <mergeCell ref="G2355:I2355"/>
    <mergeCell ref="D2360:I2360"/>
    <mergeCell ref="J2360:K2360"/>
    <mergeCell ref="M2360:Q2360"/>
    <mergeCell ref="M2354:M2355"/>
    <mergeCell ref="N2354:N2355"/>
    <mergeCell ref="O2354:O2355"/>
    <mergeCell ref="Q2354:Q2355"/>
    <mergeCell ref="R2354:R2355"/>
    <mergeCell ref="S2354:S2355"/>
    <mergeCell ref="D2361:I2362"/>
    <mergeCell ref="B2354:B2355"/>
    <mergeCell ref="C2354:C2355"/>
    <mergeCell ref="D2354:I2354"/>
    <mergeCell ref="J2354:J2355"/>
    <mergeCell ref="K2354:K2355"/>
    <mergeCell ref="L2354:L2355"/>
    <mergeCell ref="J2371:K2372"/>
    <mergeCell ref="L2371:L2372"/>
    <mergeCell ref="M2371:Q2371"/>
    <mergeCell ref="M2372:Q2372"/>
    <mergeCell ref="B2374:B2375"/>
    <mergeCell ref="C2374:C2375"/>
    <mergeCell ref="D2374:I2374"/>
    <mergeCell ref="J2374:J2375"/>
    <mergeCell ref="K2374:K2375"/>
    <mergeCell ref="S2364:S2365"/>
    <mergeCell ref="T2364:T2365"/>
    <mergeCell ref="U2364:U2365"/>
    <mergeCell ref="D2365:F2365"/>
    <mergeCell ref="G2365:I2365"/>
    <mergeCell ref="D2370:I2370"/>
    <mergeCell ref="J2370:K2370"/>
    <mergeCell ref="M2370:Q2370"/>
    <mergeCell ref="L2364:L2365"/>
    <mergeCell ref="M2364:M2365"/>
    <mergeCell ref="N2364:N2365"/>
    <mergeCell ref="O2364:O2365"/>
    <mergeCell ref="Q2364:Q2365"/>
    <mergeCell ref="R2364:R2365"/>
    <mergeCell ref="D2371:I2372"/>
    <mergeCell ref="J2385:K2386"/>
    <mergeCell ref="L2385:L2386"/>
    <mergeCell ref="M2385:Q2385"/>
    <mergeCell ref="M2386:Q2386"/>
    <mergeCell ref="B2388:B2389"/>
    <mergeCell ref="C2388:C2389"/>
    <mergeCell ref="D2388:I2388"/>
    <mergeCell ref="J2388:J2389"/>
    <mergeCell ref="K2388:K2389"/>
    <mergeCell ref="S2374:S2375"/>
    <mergeCell ref="T2374:T2375"/>
    <mergeCell ref="U2374:U2375"/>
    <mergeCell ref="D2375:F2375"/>
    <mergeCell ref="G2375:I2375"/>
    <mergeCell ref="D2384:I2384"/>
    <mergeCell ref="J2384:K2384"/>
    <mergeCell ref="M2384:Q2384"/>
    <mergeCell ref="L2374:L2375"/>
    <mergeCell ref="M2374:M2375"/>
    <mergeCell ref="N2374:N2375"/>
    <mergeCell ref="O2374:O2375"/>
    <mergeCell ref="Q2374:Q2375"/>
    <mergeCell ref="R2374:R2375"/>
    <mergeCell ref="D2385:I2386"/>
    <mergeCell ref="T2384:U2386"/>
    <mergeCell ref="J2395:K2396"/>
    <mergeCell ref="L2395:L2396"/>
    <mergeCell ref="M2395:Q2395"/>
    <mergeCell ref="M2396:Q2396"/>
    <mergeCell ref="B2398:B2399"/>
    <mergeCell ref="C2398:C2399"/>
    <mergeCell ref="D2398:I2398"/>
    <mergeCell ref="J2398:J2399"/>
    <mergeCell ref="K2398:K2399"/>
    <mergeCell ref="S2388:S2389"/>
    <mergeCell ref="T2388:T2389"/>
    <mergeCell ref="U2388:U2389"/>
    <mergeCell ref="D2389:F2389"/>
    <mergeCell ref="G2389:I2389"/>
    <mergeCell ref="D2394:I2394"/>
    <mergeCell ref="J2394:K2394"/>
    <mergeCell ref="M2394:Q2394"/>
    <mergeCell ref="L2388:L2389"/>
    <mergeCell ref="M2388:M2389"/>
    <mergeCell ref="N2388:N2389"/>
    <mergeCell ref="O2388:O2389"/>
    <mergeCell ref="Q2388:Q2389"/>
    <mergeCell ref="R2388:R2389"/>
    <mergeCell ref="T2394:U2396"/>
    <mergeCell ref="D2395:I2396"/>
    <mergeCell ref="J2405:K2406"/>
    <mergeCell ref="L2405:L2406"/>
    <mergeCell ref="M2405:Q2405"/>
    <mergeCell ref="M2406:Q2406"/>
    <mergeCell ref="B2408:B2409"/>
    <mergeCell ref="C2408:C2409"/>
    <mergeCell ref="D2408:I2408"/>
    <mergeCell ref="J2408:J2409"/>
    <mergeCell ref="K2408:K2409"/>
    <mergeCell ref="S2398:S2399"/>
    <mergeCell ref="T2398:T2399"/>
    <mergeCell ref="U2398:U2399"/>
    <mergeCell ref="D2399:F2399"/>
    <mergeCell ref="G2399:I2399"/>
    <mergeCell ref="D2404:I2404"/>
    <mergeCell ref="J2404:K2404"/>
    <mergeCell ref="M2404:Q2404"/>
    <mergeCell ref="L2398:L2399"/>
    <mergeCell ref="M2398:M2399"/>
    <mergeCell ref="N2398:N2399"/>
    <mergeCell ref="O2398:O2399"/>
    <mergeCell ref="Q2398:Q2399"/>
    <mergeCell ref="R2398:R2399"/>
    <mergeCell ref="T2404:U2406"/>
    <mergeCell ref="D2405:I2406"/>
    <mergeCell ref="J2423:K2424"/>
    <mergeCell ref="L2423:L2424"/>
    <mergeCell ref="M2423:Q2423"/>
    <mergeCell ref="M2424:Q2424"/>
    <mergeCell ref="G2426:L2426"/>
    <mergeCell ref="S2408:S2409"/>
    <mergeCell ref="T2408:T2409"/>
    <mergeCell ref="U2408:U2409"/>
    <mergeCell ref="D2409:F2409"/>
    <mergeCell ref="G2409:I2409"/>
    <mergeCell ref="D2422:I2422"/>
    <mergeCell ref="J2422:K2422"/>
    <mergeCell ref="M2422:Q2422"/>
    <mergeCell ref="L2408:L2409"/>
    <mergeCell ref="M2408:M2409"/>
    <mergeCell ref="N2408:N2409"/>
    <mergeCell ref="O2408:O2409"/>
    <mergeCell ref="Q2408:Q2409"/>
    <mergeCell ref="R2408:R2409"/>
    <mergeCell ref="D2423:I2424"/>
    <mergeCell ref="T2422:U2424"/>
    <mergeCell ref="J2434:K2435"/>
    <mergeCell ref="L2434:L2435"/>
    <mergeCell ref="M2434:Q2434"/>
    <mergeCell ref="M2435:Q2435"/>
    <mergeCell ref="B2437:B2438"/>
    <mergeCell ref="C2437:C2438"/>
    <mergeCell ref="D2437:I2437"/>
    <mergeCell ref="J2437:J2438"/>
    <mergeCell ref="K2437:K2438"/>
    <mergeCell ref="T2427:T2428"/>
    <mergeCell ref="U2427:U2428"/>
    <mergeCell ref="D2428:F2428"/>
    <mergeCell ref="G2428:I2428"/>
    <mergeCell ref="D2433:I2433"/>
    <mergeCell ref="J2433:K2433"/>
    <mergeCell ref="M2433:Q2433"/>
    <mergeCell ref="M2427:M2428"/>
    <mergeCell ref="N2427:N2428"/>
    <mergeCell ref="O2427:O2428"/>
    <mergeCell ref="Q2427:Q2428"/>
    <mergeCell ref="R2427:R2428"/>
    <mergeCell ref="S2427:S2428"/>
    <mergeCell ref="B2427:B2428"/>
    <mergeCell ref="C2427:C2428"/>
    <mergeCell ref="D2427:I2427"/>
    <mergeCell ref="J2427:J2428"/>
    <mergeCell ref="K2427:K2428"/>
    <mergeCell ref="L2427:L2428"/>
    <mergeCell ref="D2434:I2435"/>
    <mergeCell ref="J2444:K2445"/>
    <mergeCell ref="L2444:L2445"/>
    <mergeCell ref="M2444:Q2444"/>
    <mergeCell ref="M2445:Q2445"/>
    <mergeCell ref="B2447:B2448"/>
    <mergeCell ref="C2447:C2448"/>
    <mergeCell ref="D2447:I2447"/>
    <mergeCell ref="J2447:J2448"/>
    <mergeCell ref="K2447:K2448"/>
    <mergeCell ref="S2437:S2438"/>
    <mergeCell ref="T2437:T2438"/>
    <mergeCell ref="U2437:U2438"/>
    <mergeCell ref="D2438:F2438"/>
    <mergeCell ref="G2438:I2438"/>
    <mergeCell ref="D2443:I2443"/>
    <mergeCell ref="J2443:K2443"/>
    <mergeCell ref="M2443:Q2443"/>
    <mergeCell ref="L2437:L2438"/>
    <mergeCell ref="M2437:M2438"/>
    <mergeCell ref="N2437:N2438"/>
    <mergeCell ref="O2437:O2438"/>
    <mergeCell ref="Q2437:Q2438"/>
    <mergeCell ref="R2437:R2438"/>
    <mergeCell ref="D2444:I2445"/>
    <mergeCell ref="J2454:K2455"/>
    <mergeCell ref="L2454:L2455"/>
    <mergeCell ref="M2454:Q2454"/>
    <mergeCell ref="M2455:Q2455"/>
    <mergeCell ref="B2457:B2458"/>
    <mergeCell ref="C2457:C2458"/>
    <mergeCell ref="D2457:I2457"/>
    <mergeCell ref="J2457:J2458"/>
    <mergeCell ref="K2457:K2458"/>
    <mergeCell ref="S2447:S2448"/>
    <mergeCell ref="T2447:T2448"/>
    <mergeCell ref="U2447:U2448"/>
    <mergeCell ref="D2448:F2448"/>
    <mergeCell ref="G2448:I2448"/>
    <mergeCell ref="D2453:I2453"/>
    <mergeCell ref="J2453:K2453"/>
    <mergeCell ref="M2453:Q2453"/>
    <mergeCell ref="L2447:L2448"/>
    <mergeCell ref="M2447:M2448"/>
    <mergeCell ref="N2447:N2448"/>
    <mergeCell ref="O2447:O2448"/>
    <mergeCell ref="Q2447:Q2448"/>
    <mergeCell ref="R2447:R2448"/>
    <mergeCell ref="D2454:I2455"/>
    <mergeCell ref="J2464:K2465"/>
    <mergeCell ref="L2464:L2465"/>
    <mergeCell ref="M2464:Q2464"/>
    <mergeCell ref="M2465:Q2465"/>
    <mergeCell ref="B2467:B2468"/>
    <mergeCell ref="C2467:C2468"/>
    <mergeCell ref="D2467:I2467"/>
    <mergeCell ref="J2467:J2468"/>
    <mergeCell ref="K2467:K2468"/>
    <mergeCell ref="S2457:S2458"/>
    <mergeCell ref="T2457:T2458"/>
    <mergeCell ref="U2457:U2458"/>
    <mergeCell ref="D2458:F2458"/>
    <mergeCell ref="G2458:I2458"/>
    <mergeCell ref="D2463:I2463"/>
    <mergeCell ref="J2463:K2463"/>
    <mergeCell ref="M2463:Q2463"/>
    <mergeCell ref="L2457:L2458"/>
    <mergeCell ref="M2457:M2458"/>
    <mergeCell ref="N2457:N2458"/>
    <mergeCell ref="O2457:O2458"/>
    <mergeCell ref="Q2457:Q2458"/>
    <mergeCell ref="R2457:R2458"/>
    <mergeCell ref="D2464:I2465"/>
    <mergeCell ref="J2474:K2475"/>
    <mergeCell ref="L2474:L2475"/>
    <mergeCell ref="M2474:Q2474"/>
    <mergeCell ref="M2475:Q2475"/>
    <mergeCell ref="B2477:B2478"/>
    <mergeCell ref="C2477:C2478"/>
    <mergeCell ref="D2477:I2477"/>
    <mergeCell ref="J2477:J2478"/>
    <mergeCell ref="K2477:K2478"/>
    <mergeCell ref="S2467:S2468"/>
    <mergeCell ref="T2467:T2468"/>
    <mergeCell ref="U2467:U2468"/>
    <mergeCell ref="D2468:F2468"/>
    <mergeCell ref="G2468:I2468"/>
    <mergeCell ref="D2473:I2473"/>
    <mergeCell ref="J2473:K2473"/>
    <mergeCell ref="M2473:Q2473"/>
    <mergeCell ref="L2467:L2468"/>
    <mergeCell ref="M2467:M2468"/>
    <mergeCell ref="N2467:N2468"/>
    <mergeCell ref="O2467:O2468"/>
    <mergeCell ref="Q2467:Q2468"/>
    <mergeCell ref="R2467:R2468"/>
    <mergeCell ref="D2474:I2475"/>
    <mergeCell ref="J2484:K2485"/>
    <mergeCell ref="L2484:L2485"/>
    <mergeCell ref="M2484:Q2484"/>
    <mergeCell ref="M2485:Q2485"/>
    <mergeCell ref="B2487:B2488"/>
    <mergeCell ref="C2487:C2488"/>
    <mergeCell ref="D2487:I2487"/>
    <mergeCell ref="J2487:J2488"/>
    <mergeCell ref="K2487:K2488"/>
    <mergeCell ref="S2477:S2478"/>
    <mergeCell ref="T2477:T2478"/>
    <mergeCell ref="U2477:U2478"/>
    <mergeCell ref="D2478:F2478"/>
    <mergeCell ref="G2478:I2478"/>
    <mergeCell ref="D2483:I2483"/>
    <mergeCell ref="J2483:K2483"/>
    <mergeCell ref="M2483:Q2483"/>
    <mergeCell ref="L2477:L2478"/>
    <mergeCell ref="M2477:M2478"/>
    <mergeCell ref="N2477:N2478"/>
    <mergeCell ref="O2477:O2478"/>
    <mergeCell ref="Q2477:Q2478"/>
    <mergeCell ref="R2477:R2478"/>
    <mergeCell ref="D2484:I2485"/>
    <mergeCell ref="J2494:K2495"/>
    <mergeCell ref="L2494:L2495"/>
    <mergeCell ref="M2494:Q2494"/>
    <mergeCell ref="M2495:Q2495"/>
    <mergeCell ref="B2497:B2498"/>
    <mergeCell ref="C2497:C2498"/>
    <mergeCell ref="D2497:I2497"/>
    <mergeCell ref="J2497:J2498"/>
    <mergeCell ref="K2497:K2498"/>
    <mergeCell ref="S2487:S2488"/>
    <mergeCell ref="T2487:T2488"/>
    <mergeCell ref="U2487:U2488"/>
    <mergeCell ref="D2488:F2488"/>
    <mergeCell ref="G2488:I2488"/>
    <mergeCell ref="D2493:I2493"/>
    <mergeCell ref="J2493:K2493"/>
    <mergeCell ref="M2493:Q2493"/>
    <mergeCell ref="L2487:L2488"/>
    <mergeCell ref="M2487:M2488"/>
    <mergeCell ref="N2487:N2488"/>
    <mergeCell ref="O2487:O2488"/>
    <mergeCell ref="Q2487:Q2488"/>
    <mergeCell ref="R2487:R2488"/>
    <mergeCell ref="D2494:I2495"/>
    <mergeCell ref="J2504:K2505"/>
    <mergeCell ref="L2504:L2505"/>
    <mergeCell ref="M2504:Q2504"/>
    <mergeCell ref="M2505:Q2505"/>
    <mergeCell ref="B2507:B2508"/>
    <mergeCell ref="C2507:C2508"/>
    <mergeCell ref="D2507:I2507"/>
    <mergeCell ref="J2507:J2508"/>
    <mergeCell ref="K2507:K2508"/>
    <mergeCell ref="S2497:S2498"/>
    <mergeCell ref="T2497:T2498"/>
    <mergeCell ref="U2497:U2498"/>
    <mergeCell ref="D2498:F2498"/>
    <mergeCell ref="G2498:I2498"/>
    <mergeCell ref="D2503:I2503"/>
    <mergeCell ref="J2503:K2503"/>
    <mergeCell ref="M2503:Q2503"/>
    <mergeCell ref="L2497:L2498"/>
    <mergeCell ref="M2497:M2498"/>
    <mergeCell ref="N2497:N2498"/>
    <mergeCell ref="O2497:O2498"/>
    <mergeCell ref="Q2497:Q2498"/>
    <mergeCell ref="R2497:R2498"/>
    <mergeCell ref="D2504:I2505"/>
    <mergeCell ref="J2514:K2515"/>
    <mergeCell ref="L2514:L2515"/>
    <mergeCell ref="M2514:Q2514"/>
    <mergeCell ref="M2515:Q2515"/>
    <mergeCell ref="B2517:B2518"/>
    <mergeCell ref="C2517:C2518"/>
    <mergeCell ref="D2517:I2517"/>
    <mergeCell ref="J2517:J2518"/>
    <mergeCell ref="K2517:K2518"/>
    <mergeCell ref="S2507:S2508"/>
    <mergeCell ref="T2507:T2508"/>
    <mergeCell ref="U2507:U2508"/>
    <mergeCell ref="D2508:F2508"/>
    <mergeCell ref="G2508:I2508"/>
    <mergeCell ref="D2513:I2513"/>
    <mergeCell ref="J2513:K2513"/>
    <mergeCell ref="M2513:Q2513"/>
    <mergeCell ref="L2507:L2508"/>
    <mergeCell ref="M2507:M2508"/>
    <mergeCell ref="N2507:N2508"/>
    <mergeCell ref="O2507:O2508"/>
    <mergeCell ref="Q2507:Q2508"/>
    <mergeCell ref="R2507:R2508"/>
    <mergeCell ref="D2514:I2515"/>
    <mergeCell ref="J2524:K2525"/>
    <mergeCell ref="L2524:L2525"/>
    <mergeCell ref="M2524:Q2524"/>
    <mergeCell ref="M2525:Q2525"/>
    <mergeCell ref="B2527:B2528"/>
    <mergeCell ref="C2527:C2528"/>
    <mergeCell ref="D2527:I2527"/>
    <mergeCell ref="J2527:J2528"/>
    <mergeCell ref="K2527:K2528"/>
    <mergeCell ref="S2517:S2518"/>
    <mergeCell ref="T2517:T2518"/>
    <mergeCell ref="U2517:U2518"/>
    <mergeCell ref="D2518:F2518"/>
    <mergeCell ref="G2518:I2518"/>
    <mergeCell ref="D2523:I2523"/>
    <mergeCell ref="J2523:K2523"/>
    <mergeCell ref="M2523:Q2523"/>
    <mergeCell ref="L2517:L2518"/>
    <mergeCell ref="M2517:M2518"/>
    <mergeCell ref="N2517:N2518"/>
    <mergeCell ref="O2517:O2518"/>
    <mergeCell ref="Q2517:Q2518"/>
    <mergeCell ref="R2517:R2518"/>
    <mergeCell ref="D2524:I2525"/>
    <mergeCell ref="M2534:Q2534"/>
    <mergeCell ref="M2535:Q2535"/>
    <mergeCell ref="G2537:L2537"/>
    <mergeCell ref="S2527:S2528"/>
    <mergeCell ref="T2527:T2528"/>
    <mergeCell ref="U2527:U2528"/>
    <mergeCell ref="D2528:F2528"/>
    <mergeCell ref="G2528:I2528"/>
    <mergeCell ref="D2533:I2533"/>
    <mergeCell ref="J2533:K2533"/>
    <mergeCell ref="M2533:Q2533"/>
    <mergeCell ref="L2527:L2528"/>
    <mergeCell ref="M2527:M2528"/>
    <mergeCell ref="N2527:N2528"/>
    <mergeCell ref="O2527:O2528"/>
    <mergeCell ref="Q2527:Q2528"/>
    <mergeCell ref="R2527:R2528"/>
    <mergeCell ref="D2534:I2535"/>
    <mergeCell ref="J2534:K2535"/>
    <mergeCell ref="L2534:L2535"/>
    <mergeCell ref="M2545:Q2545"/>
    <mergeCell ref="M2546:Q2546"/>
    <mergeCell ref="G2548:L2548"/>
    <mergeCell ref="T2538:T2539"/>
    <mergeCell ref="U2538:U2539"/>
    <mergeCell ref="D2539:F2539"/>
    <mergeCell ref="G2539:I2539"/>
    <mergeCell ref="D2544:I2544"/>
    <mergeCell ref="J2544:K2544"/>
    <mergeCell ref="M2544:Q2544"/>
    <mergeCell ref="M2538:M2539"/>
    <mergeCell ref="N2538:N2539"/>
    <mergeCell ref="O2538:O2539"/>
    <mergeCell ref="Q2538:Q2539"/>
    <mergeCell ref="R2538:R2539"/>
    <mergeCell ref="S2538:S2539"/>
    <mergeCell ref="B2538:B2539"/>
    <mergeCell ref="C2538:C2539"/>
    <mergeCell ref="D2538:I2538"/>
    <mergeCell ref="J2538:J2539"/>
    <mergeCell ref="K2538:K2539"/>
    <mergeCell ref="L2538:L2539"/>
    <mergeCell ref="L2545:L2546"/>
    <mergeCell ref="J2545:K2546"/>
    <mergeCell ref="J2557:K2558"/>
    <mergeCell ref="L2557:L2558"/>
    <mergeCell ref="M2557:Q2557"/>
    <mergeCell ref="M2558:Q2558"/>
    <mergeCell ref="B2560:B2561"/>
    <mergeCell ref="C2560:C2561"/>
    <mergeCell ref="D2560:I2560"/>
    <mergeCell ref="J2560:J2561"/>
    <mergeCell ref="K2560:K2561"/>
    <mergeCell ref="T2550:T2551"/>
    <mergeCell ref="U2550:U2551"/>
    <mergeCell ref="D2551:F2551"/>
    <mergeCell ref="G2551:I2551"/>
    <mergeCell ref="D2556:I2556"/>
    <mergeCell ref="J2556:K2556"/>
    <mergeCell ref="M2556:Q2556"/>
    <mergeCell ref="M2550:M2551"/>
    <mergeCell ref="N2550:N2551"/>
    <mergeCell ref="O2550:O2551"/>
    <mergeCell ref="Q2550:Q2551"/>
    <mergeCell ref="R2550:R2551"/>
    <mergeCell ref="S2550:S2551"/>
    <mergeCell ref="B2550:B2551"/>
    <mergeCell ref="C2550:C2551"/>
    <mergeCell ref="D2550:I2550"/>
    <mergeCell ref="J2550:J2551"/>
    <mergeCell ref="K2550:K2551"/>
    <mergeCell ref="L2550:L2551"/>
    <mergeCell ref="D2557:I2558"/>
    <mergeCell ref="J2567:K2568"/>
    <mergeCell ref="L2567:L2568"/>
    <mergeCell ref="M2567:Q2567"/>
    <mergeCell ref="M2568:Q2568"/>
    <mergeCell ref="G2570:L2570"/>
    <mergeCell ref="S2560:S2561"/>
    <mergeCell ref="T2560:T2561"/>
    <mergeCell ref="U2560:U2561"/>
    <mergeCell ref="D2561:F2561"/>
    <mergeCell ref="G2561:I2561"/>
    <mergeCell ref="D2566:I2566"/>
    <mergeCell ref="J2566:K2566"/>
    <mergeCell ref="M2566:Q2566"/>
    <mergeCell ref="L2560:L2561"/>
    <mergeCell ref="M2560:M2561"/>
    <mergeCell ref="N2560:N2561"/>
    <mergeCell ref="O2560:O2561"/>
    <mergeCell ref="Q2560:Q2561"/>
    <mergeCell ref="R2560:R2561"/>
    <mergeCell ref="D2567:I2568"/>
    <mergeCell ref="J2578:K2579"/>
    <mergeCell ref="L2578:L2579"/>
    <mergeCell ref="M2578:Q2578"/>
    <mergeCell ref="M2579:Q2579"/>
    <mergeCell ref="B2581:B2582"/>
    <mergeCell ref="C2581:C2582"/>
    <mergeCell ref="D2581:I2581"/>
    <mergeCell ref="J2581:J2582"/>
    <mergeCell ref="K2581:K2582"/>
    <mergeCell ref="T2571:T2572"/>
    <mergeCell ref="U2571:U2572"/>
    <mergeCell ref="D2572:F2572"/>
    <mergeCell ref="G2572:I2572"/>
    <mergeCell ref="D2577:I2577"/>
    <mergeCell ref="J2577:K2577"/>
    <mergeCell ref="M2577:Q2577"/>
    <mergeCell ref="M2571:M2572"/>
    <mergeCell ref="N2571:N2572"/>
    <mergeCell ref="O2571:O2572"/>
    <mergeCell ref="Q2571:Q2572"/>
    <mergeCell ref="R2571:R2572"/>
    <mergeCell ref="S2571:S2572"/>
    <mergeCell ref="B2571:B2572"/>
    <mergeCell ref="C2571:C2572"/>
    <mergeCell ref="D2571:I2571"/>
    <mergeCell ref="J2571:J2572"/>
    <mergeCell ref="K2571:K2572"/>
    <mergeCell ref="L2571:L2572"/>
    <mergeCell ref="D2578:I2579"/>
    <mergeCell ref="J2588:K2589"/>
    <mergeCell ref="L2588:L2589"/>
    <mergeCell ref="M2588:Q2588"/>
    <mergeCell ref="M2589:Q2589"/>
    <mergeCell ref="B2591:B2592"/>
    <mergeCell ref="C2591:C2592"/>
    <mergeCell ref="D2591:I2591"/>
    <mergeCell ref="J2591:J2592"/>
    <mergeCell ref="K2591:K2592"/>
    <mergeCell ref="S2581:S2582"/>
    <mergeCell ref="T2581:T2582"/>
    <mergeCell ref="U2581:U2582"/>
    <mergeCell ref="D2582:F2582"/>
    <mergeCell ref="G2582:I2582"/>
    <mergeCell ref="D2587:I2587"/>
    <mergeCell ref="J2587:K2587"/>
    <mergeCell ref="M2587:Q2587"/>
    <mergeCell ref="L2581:L2582"/>
    <mergeCell ref="M2581:M2582"/>
    <mergeCell ref="N2581:N2582"/>
    <mergeCell ref="O2581:O2582"/>
    <mergeCell ref="Q2581:Q2582"/>
    <mergeCell ref="R2581:R2582"/>
    <mergeCell ref="D2588:I2589"/>
    <mergeCell ref="J2598:K2599"/>
    <mergeCell ref="L2598:L2599"/>
    <mergeCell ref="M2598:Q2598"/>
    <mergeCell ref="M2599:Q2599"/>
    <mergeCell ref="B2601:B2602"/>
    <mergeCell ref="C2601:C2602"/>
    <mergeCell ref="D2601:I2601"/>
    <mergeCell ref="J2601:J2602"/>
    <mergeCell ref="K2601:K2602"/>
    <mergeCell ref="S2591:S2592"/>
    <mergeCell ref="T2591:T2592"/>
    <mergeCell ref="U2591:U2592"/>
    <mergeCell ref="D2592:F2592"/>
    <mergeCell ref="G2592:I2592"/>
    <mergeCell ref="D2597:I2597"/>
    <mergeCell ref="J2597:K2597"/>
    <mergeCell ref="M2597:Q2597"/>
    <mergeCell ref="L2591:L2592"/>
    <mergeCell ref="M2591:M2592"/>
    <mergeCell ref="N2591:N2592"/>
    <mergeCell ref="O2591:O2592"/>
    <mergeCell ref="Q2591:Q2592"/>
    <mergeCell ref="R2591:R2592"/>
    <mergeCell ref="D2598:I2599"/>
    <mergeCell ref="J2608:K2609"/>
    <mergeCell ref="L2608:L2609"/>
    <mergeCell ref="M2608:Q2608"/>
    <mergeCell ref="M2609:Q2609"/>
    <mergeCell ref="B2611:B2612"/>
    <mergeCell ref="C2611:C2612"/>
    <mergeCell ref="D2611:I2611"/>
    <mergeCell ref="J2611:J2612"/>
    <mergeCell ref="K2611:K2612"/>
    <mergeCell ref="S2601:S2602"/>
    <mergeCell ref="T2601:T2602"/>
    <mergeCell ref="U2601:U2602"/>
    <mergeCell ref="D2602:F2602"/>
    <mergeCell ref="G2602:I2602"/>
    <mergeCell ref="D2607:I2607"/>
    <mergeCell ref="J2607:K2607"/>
    <mergeCell ref="M2607:Q2607"/>
    <mergeCell ref="L2601:L2602"/>
    <mergeCell ref="M2601:M2602"/>
    <mergeCell ref="N2601:N2602"/>
    <mergeCell ref="O2601:O2602"/>
    <mergeCell ref="Q2601:Q2602"/>
    <mergeCell ref="R2601:R2602"/>
    <mergeCell ref="D2608:I2609"/>
    <mergeCell ref="J2618:K2619"/>
    <mergeCell ref="L2618:L2619"/>
    <mergeCell ref="M2618:Q2618"/>
    <mergeCell ref="M2619:Q2619"/>
    <mergeCell ref="B2621:B2622"/>
    <mergeCell ref="C2621:C2622"/>
    <mergeCell ref="D2621:I2621"/>
    <mergeCell ref="J2621:J2622"/>
    <mergeCell ref="K2621:K2622"/>
    <mergeCell ref="S2611:S2612"/>
    <mergeCell ref="T2611:T2612"/>
    <mergeCell ref="U2611:U2612"/>
    <mergeCell ref="D2612:F2612"/>
    <mergeCell ref="G2612:I2612"/>
    <mergeCell ref="D2617:I2617"/>
    <mergeCell ref="J2617:K2617"/>
    <mergeCell ref="M2617:Q2617"/>
    <mergeCell ref="L2611:L2612"/>
    <mergeCell ref="M2611:M2612"/>
    <mergeCell ref="N2611:N2612"/>
    <mergeCell ref="O2611:O2612"/>
    <mergeCell ref="Q2611:Q2612"/>
    <mergeCell ref="R2611:R2612"/>
    <mergeCell ref="D2618:I2619"/>
    <mergeCell ref="J2628:K2629"/>
    <mergeCell ref="L2628:L2629"/>
    <mergeCell ref="M2628:Q2628"/>
    <mergeCell ref="M2629:Q2629"/>
    <mergeCell ref="B2631:B2632"/>
    <mergeCell ref="C2631:C2632"/>
    <mergeCell ref="D2631:I2631"/>
    <mergeCell ref="J2631:J2632"/>
    <mergeCell ref="K2631:K2632"/>
    <mergeCell ref="S2621:S2622"/>
    <mergeCell ref="T2621:T2622"/>
    <mergeCell ref="U2621:U2622"/>
    <mergeCell ref="D2622:F2622"/>
    <mergeCell ref="G2622:I2622"/>
    <mergeCell ref="D2627:I2627"/>
    <mergeCell ref="J2627:K2627"/>
    <mergeCell ref="M2627:Q2627"/>
    <mergeCell ref="L2621:L2622"/>
    <mergeCell ref="M2621:M2622"/>
    <mergeCell ref="N2621:N2622"/>
    <mergeCell ref="O2621:O2622"/>
    <mergeCell ref="Q2621:Q2622"/>
    <mergeCell ref="R2621:R2622"/>
    <mergeCell ref="D2628:I2629"/>
    <mergeCell ref="J2638:K2639"/>
    <mergeCell ref="L2638:L2639"/>
    <mergeCell ref="M2638:Q2638"/>
    <mergeCell ref="M2639:Q2639"/>
    <mergeCell ref="B2641:B2642"/>
    <mergeCell ref="C2641:C2642"/>
    <mergeCell ref="D2641:I2641"/>
    <mergeCell ref="J2641:J2642"/>
    <mergeCell ref="K2641:K2642"/>
    <mergeCell ref="S2631:S2632"/>
    <mergeCell ref="T2631:T2632"/>
    <mergeCell ref="U2631:U2632"/>
    <mergeCell ref="D2632:F2632"/>
    <mergeCell ref="G2632:I2632"/>
    <mergeCell ref="D2637:I2637"/>
    <mergeCell ref="J2637:K2637"/>
    <mergeCell ref="M2637:Q2637"/>
    <mergeCell ref="L2631:L2632"/>
    <mergeCell ref="M2631:M2632"/>
    <mergeCell ref="N2631:N2632"/>
    <mergeCell ref="O2631:O2632"/>
    <mergeCell ref="Q2631:Q2632"/>
    <mergeCell ref="R2631:R2632"/>
    <mergeCell ref="D2638:I2639"/>
    <mergeCell ref="T2637:U2639"/>
    <mergeCell ref="J2648:K2649"/>
    <mergeCell ref="L2648:L2649"/>
    <mergeCell ref="M2648:Q2648"/>
    <mergeCell ref="M2649:Q2649"/>
    <mergeCell ref="B2651:B2652"/>
    <mergeCell ref="C2651:C2652"/>
    <mergeCell ref="D2651:I2651"/>
    <mergeCell ref="J2651:J2652"/>
    <mergeCell ref="K2651:K2652"/>
    <mergeCell ref="S2641:S2642"/>
    <mergeCell ref="T2641:T2642"/>
    <mergeCell ref="U2641:U2642"/>
    <mergeCell ref="D2642:F2642"/>
    <mergeCell ref="G2642:I2642"/>
    <mergeCell ref="D2647:I2647"/>
    <mergeCell ref="J2647:K2647"/>
    <mergeCell ref="M2647:Q2647"/>
    <mergeCell ref="L2641:L2642"/>
    <mergeCell ref="M2641:M2642"/>
    <mergeCell ref="N2641:N2642"/>
    <mergeCell ref="O2641:O2642"/>
    <mergeCell ref="Q2641:Q2642"/>
    <mergeCell ref="R2641:R2642"/>
    <mergeCell ref="D2648:I2649"/>
    <mergeCell ref="J2658:K2659"/>
    <mergeCell ref="L2658:L2659"/>
    <mergeCell ref="M2658:Q2658"/>
    <mergeCell ref="M2659:Q2659"/>
    <mergeCell ref="B2661:B2662"/>
    <mergeCell ref="C2661:C2662"/>
    <mergeCell ref="D2661:I2661"/>
    <mergeCell ref="J2661:J2662"/>
    <mergeCell ref="K2661:K2662"/>
    <mergeCell ref="S2651:S2652"/>
    <mergeCell ref="T2651:T2652"/>
    <mergeCell ref="U2651:U2652"/>
    <mergeCell ref="D2652:F2652"/>
    <mergeCell ref="G2652:I2652"/>
    <mergeCell ref="D2657:I2657"/>
    <mergeCell ref="J2657:K2657"/>
    <mergeCell ref="M2657:Q2657"/>
    <mergeCell ref="L2651:L2652"/>
    <mergeCell ref="M2651:M2652"/>
    <mergeCell ref="N2651:N2652"/>
    <mergeCell ref="O2651:O2652"/>
    <mergeCell ref="Q2651:Q2652"/>
    <mergeCell ref="R2651:R2652"/>
    <mergeCell ref="D2658:I2659"/>
    <mergeCell ref="J2668:K2669"/>
    <mergeCell ref="L2668:L2669"/>
    <mergeCell ref="M2668:Q2668"/>
    <mergeCell ref="M2669:Q2669"/>
    <mergeCell ref="B2671:B2672"/>
    <mergeCell ref="C2671:C2672"/>
    <mergeCell ref="D2671:I2671"/>
    <mergeCell ref="J2671:J2672"/>
    <mergeCell ref="K2671:K2672"/>
    <mergeCell ref="S2661:S2662"/>
    <mergeCell ref="T2661:T2662"/>
    <mergeCell ref="U2661:U2662"/>
    <mergeCell ref="D2662:F2662"/>
    <mergeCell ref="G2662:I2662"/>
    <mergeCell ref="D2667:I2667"/>
    <mergeCell ref="J2667:K2667"/>
    <mergeCell ref="M2667:Q2667"/>
    <mergeCell ref="L2661:L2662"/>
    <mergeCell ref="M2661:M2662"/>
    <mergeCell ref="N2661:N2662"/>
    <mergeCell ref="O2661:O2662"/>
    <mergeCell ref="Q2661:Q2662"/>
    <mergeCell ref="R2661:R2662"/>
    <mergeCell ref="D2668:I2669"/>
    <mergeCell ref="J2678:K2679"/>
    <mergeCell ref="L2678:L2679"/>
    <mergeCell ref="M2678:Q2678"/>
    <mergeCell ref="M2679:Q2679"/>
    <mergeCell ref="B2681:B2682"/>
    <mergeCell ref="C2681:C2682"/>
    <mergeCell ref="D2681:I2681"/>
    <mergeCell ref="J2681:J2682"/>
    <mergeCell ref="K2681:K2682"/>
    <mergeCell ref="S2671:S2672"/>
    <mergeCell ref="T2671:T2672"/>
    <mergeCell ref="U2671:U2672"/>
    <mergeCell ref="D2672:F2672"/>
    <mergeCell ref="G2672:I2672"/>
    <mergeCell ref="D2677:I2677"/>
    <mergeCell ref="J2677:K2677"/>
    <mergeCell ref="M2677:Q2677"/>
    <mergeCell ref="L2671:L2672"/>
    <mergeCell ref="M2671:M2672"/>
    <mergeCell ref="N2671:N2672"/>
    <mergeCell ref="O2671:O2672"/>
    <mergeCell ref="Q2671:Q2672"/>
    <mergeCell ref="R2671:R2672"/>
    <mergeCell ref="D2678:I2679"/>
    <mergeCell ref="J2688:K2689"/>
    <mergeCell ref="L2688:L2689"/>
    <mergeCell ref="M2688:Q2688"/>
    <mergeCell ref="M2689:Q2689"/>
    <mergeCell ref="B2691:B2692"/>
    <mergeCell ref="C2691:C2692"/>
    <mergeCell ref="D2691:I2691"/>
    <mergeCell ref="J2691:J2692"/>
    <mergeCell ref="K2691:K2692"/>
    <mergeCell ref="S2681:S2682"/>
    <mergeCell ref="T2681:T2682"/>
    <mergeCell ref="U2681:U2682"/>
    <mergeCell ref="D2682:F2682"/>
    <mergeCell ref="G2682:I2682"/>
    <mergeCell ref="D2687:I2687"/>
    <mergeCell ref="J2687:K2687"/>
    <mergeCell ref="M2687:Q2687"/>
    <mergeCell ref="L2681:L2682"/>
    <mergeCell ref="M2681:M2682"/>
    <mergeCell ref="N2681:N2682"/>
    <mergeCell ref="O2681:O2682"/>
    <mergeCell ref="Q2681:Q2682"/>
    <mergeCell ref="R2681:R2682"/>
    <mergeCell ref="D2688:I2689"/>
    <mergeCell ref="B2702:B2703"/>
    <mergeCell ref="C2702:C2703"/>
    <mergeCell ref="D2702:I2702"/>
    <mergeCell ref="J2702:J2703"/>
    <mergeCell ref="K2702:K2703"/>
    <mergeCell ref="L2702:L2703"/>
    <mergeCell ref="D2698:I2699"/>
    <mergeCell ref="J2698:K2699"/>
    <mergeCell ref="L2698:L2699"/>
    <mergeCell ref="M2698:Q2698"/>
    <mergeCell ref="M2699:Q2699"/>
    <mergeCell ref="G2701:L2701"/>
    <mergeCell ref="S2691:S2692"/>
    <mergeCell ref="T2691:T2692"/>
    <mergeCell ref="U2691:U2692"/>
    <mergeCell ref="D2692:F2692"/>
    <mergeCell ref="G2692:I2692"/>
    <mergeCell ref="D2697:I2697"/>
    <mergeCell ref="J2697:K2697"/>
    <mergeCell ref="M2697:Q2697"/>
    <mergeCell ref="L2691:L2692"/>
    <mergeCell ref="M2691:M2692"/>
    <mergeCell ref="N2691:N2692"/>
    <mergeCell ref="O2691:O2692"/>
    <mergeCell ref="Q2691:Q2692"/>
    <mergeCell ref="R2691:R2692"/>
    <mergeCell ref="J2709:K2710"/>
    <mergeCell ref="L2709:L2710"/>
    <mergeCell ref="M2709:Q2709"/>
    <mergeCell ref="M2710:Q2710"/>
    <mergeCell ref="G2712:L2712"/>
    <mergeCell ref="T2702:T2703"/>
    <mergeCell ref="U2702:U2703"/>
    <mergeCell ref="D2703:F2703"/>
    <mergeCell ref="G2703:I2703"/>
    <mergeCell ref="D2708:I2708"/>
    <mergeCell ref="J2708:K2708"/>
    <mergeCell ref="M2708:Q2708"/>
    <mergeCell ref="M2702:M2703"/>
    <mergeCell ref="N2702:N2703"/>
    <mergeCell ref="O2702:O2703"/>
    <mergeCell ref="Q2702:Q2703"/>
    <mergeCell ref="R2702:R2703"/>
    <mergeCell ref="S2702:S2703"/>
    <mergeCell ref="D2709:I2710"/>
    <mergeCell ref="J2720:K2721"/>
    <mergeCell ref="L2720:L2721"/>
    <mergeCell ref="M2720:Q2720"/>
    <mergeCell ref="M2721:Q2721"/>
    <mergeCell ref="B2723:B2724"/>
    <mergeCell ref="C2723:C2724"/>
    <mergeCell ref="D2723:I2723"/>
    <mergeCell ref="J2723:J2724"/>
    <mergeCell ref="K2723:K2724"/>
    <mergeCell ref="T2713:T2714"/>
    <mergeCell ref="U2713:U2714"/>
    <mergeCell ref="D2714:F2714"/>
    <mergeCell ref="G2714:I2714"/>
    <mergeCell ref="D2719:I2719"/>
    <mergeCell ref="J2719:K2719"/>
    <mergeCell ref="M2719:Q2719"/>
    <mergeCell ref="M2713:M2714"/>
    <mergeCell ref="N2713:N2714"/>
    <mergeCell ref="O2713:O2714"/>
    <mergeCell ref="Q2713:Q2714"/>
    <mergeCell ref="R2713:R2714"/>
    <mergeCell ref="S2713:S2714"/>
    <mergeCell ref="B2713:B2714"/>
    <mergeCell ref="C2713:C2714"/>
    <mergeCell ref="D2713:I2713"/>
    <mergeCell ref="J2713:J2714"/>
    <mergeCell ref="K2713:K2714"/>
    <mergeCell ref="L2713:L2714"/>
    <mergeCell ref="D2720:I2721"/>
    <mergeCell ref="J2730:K2731"/>
    <mergeCell ref="L2730:L2731"/>
    <mergeCell ref="M2730:Q2730"/>
    <mergeCell ref="M2731:Q2731"/>
    <mergeCell ref="B2733:B2734"/>
    <mergeCell ref="C2733:C2734"/>
    <mergeCell ref="D2733:I2733"/>
    <mergeCell ref="J2733:J2734"/>
    <mergeCell ref="K2733:K2734"/>
    <mergeCell ref="S2723:S2724"/>
    <mergeCell ref="T2723:T2724"/>
    <mergeCell ref="U2723:U2724"/>
    <mergeCell ref="D2724:F2724"/>
    <mergeCell ref="G2724:I2724"/>
    <mergeCell ref="D2729:I2729"/>
    <mergeCell ref="J2729:K2729"/>
    <mergeCell ref="M2729:Q2729"/>
    <mergeCell ref="L2723:L2724"/>
    <mergeCell ref="M2723:M2724"/>
    <mergeCell ref="N2723:N2724"/>
    <mergeCell ref="O2723:O2724"/>
    <mergeCell ref="Q2723:Q2724"/>
    <mergeCell ref="R2723:R2724"/>
    <mergeCell ref="D2730:I2731"/>
    <mergeCell ref="M2740:Q2740"/>
    <mergeCell ref="M2741:Q2741"/>
    <mergeCell ref="G2743:L2743"/>
    <mergeCell ref="S2733:S2734"/>
    <mergeCell ref="T2733:T2734"/>
    <mergeCell ref="U2733:U2734"/>
    <mergeCell ref="D2734:F2734"/>
    <mergeCell ref="G2734:I2734"/>
    <mergeCell ref="D2739:I2739"/>
    <mergeCell ref="J2739:K2739"/>
    <mergeCell ref="M2739:Q2739"/>
    <mergeCell ref="L2733:L2734"/>
    <mergeCell ref="M2733:M2734"/>
    <mergeCell ref="N2733:N2734"/>
    <mergeCell ref="O2733:O2734"/>
    <mergeCell ref="Q2733:Q2734"/>
    <mergeCell ref="R2733:R2734"/>
    <mergeCell ref="D2740:I2741"/>
    <mergeCell ref="J2740:K2741"/>
    <mergeCell ref="L2740:L2741"/>
    <mergeCell ref="M2751:Q2751"/>
    <mergeCell ref="M2752:Q2752"/>
    <mergeCell ref="B2754:B2755"/>
    <mergeCell ref="C2754:C2755"/>
    <mergeCell ref="D2754:I2754"/>
    <mergeCell ref="J2754:J2755"/>
    <mergeCell ref="K2754:K2755"/>
    <mergeCell ref="T2744:T2745"/>
    <mergeCell ref="U2744:U2745"/>
    <mergeCell ref="D2745:F2745"/>
    <mergeCell ref="G2745:I2745"/>
    <mergeCell ref="D2750:I2750"/>
    <mergeCell ref="J2750:K2750"/>
    <mergeCell ref="M2750:Q2750"/>
    <mergeCell ref="M2744:M2745"/>
    <mergeCell ref="N2744:N2745"/>
    <mergeCell ref="O2744:O2745"/>
    <mergeCell ref="Q2744:Q2745"/>
    <mergeCell ref="R2744:R2745"/>
    <mergeCell ref="S2744:S2745"/>
    <mergeCell ref="B2744:B2745"/>
    <mergeCell ref="C2744:C2745"/>
    <mergeCell ref="D2744:I2744"/>
    <mergeCell ref="J2744:J2745"/>
    <mergeCell ref="K2744:K2745"/>
    <mergeCell ref="L2744:L2745"/>
    <mergeCell ref="D2751:I2752"/>
    <mergeCell ref="J2751:K2752"/>
    <mergeCell ref="L2751:L2752"/>
    <mergeCell ref="M2761:Q2761"/>
    <mergeCell ref="M2762:Q2762"/>
    <mergeCell ref="B2764:B2765"/>
    <mergeCell ref="C2764:C2765"/>
    <mergeCell ref="D2764:I2764"/>
    <mergeCell ref="J2764:J2765"/>
    <mergeCell ref="K2764:K2765"/>
    <mergeCell ref="S2754:S2755"/>
    <mergeCell ref="T2754:T2755"/>
    <mergeCell ref="U2754:U2755"/>
    <mergeCell ref="D2755:F2755"/>
    <mergeCell ref="G2755:I2755"/>
    <mergeCell ref="D2760:I2760"/>
    <mergeCell ref="J2760:K2760"/>
    <mergeCell ref="M2760:Q2760"/>
    <mergeCell ref="L2754:L2755"/>
    <mergeCell ref="M2754:M2755"/>
    <mergeCell ref="N2754:N2755"/>
    <mergeCell ref="O2754:O2755"/>
    <mergeCell ref="Q2754:Q2755"/>
    <mergeCell ref="R2754:R2755"/>
    <mergeCell ref="D2761:I2762"/>
    <mergeCell ref="J2761:K2762"/>
    <mergeCell ref="L2761:L2762"/>
    <mergeCell ref="M2771:Q2771"/>
    <mergeCell ref="M2772:Q2772"/>
    <mergeCell ref="G2774:L2774"/>
    <mergeCell ref="S2764:S2765"/>
    <mergeCell ref="T2764:T2765"/>
    <mergeCell ref="U2764:U2765"/>
    <mergeCell ref="D2765:F2765"/>
    <mergeCell ref="G2765:I2765"/>
    <mergeCell ref="D2770:I2770"/>
    <mergeCell ref="J2770:K2770"/>
    <mergeCell ref="M2770:Q2770"/>
    <mergeCell ref="L2764:L2765"/>
    <mergeCell ref="M2764:M2765"/>
    <mergeCell ref="N2764:N2765"/>
    <mergeCell ref="O2764:O2765"/>
    <mergeCell ref="Q2764:Q2765"/>
    <mergeCell ref="R2764:R2765"/>
    <mergeCell ref="J2771:K2772"/>
    <mergeCell ref="L2771:L2772"/>
    <mergeCell ref="J2783:K2784"/>
    <mergeCell ref="L2783:L2784"/>
    <mergeCell ref="M2783:Q2783"/>
    <mergeCell ref="M2784:Q2784"/>
    <mergeCell ref="B2786:B2787"/>
    <mergeCell ref="C2786:C2787"/>
    <mergeCell ref="D2786:I2786"/>
    <mergeCell ref="J2786:J2787"/>
    <mergeCell ref="K2786:K2787"/>
    <mergeCell ref="T2776:T2777"/>
    <mergeCell ref="U2776:U2777"/>
    <mergeCell ref="D2777:F2777"/>
    <mergeCell ref="G2777:I2777"/>
    <mergeCell ref="D2782:I2782"/>
    <mergeCell ref="J2782:K2782"/>
    <mergeCell ref="M2782:Q2782"/>
    <mergeCell ref="M2776:M2777"/>
    <mergeCell ref="N2776:N2777"/>
    <mergeCell ref="O2776:O2777"/>
    <mergeCell ref="Q2776:Q2777"/>
    <mergeCell ref="R2776:R2777"/>
    <mergeCell ref="S2776:S2777"/>
    <mergeCell ref="B2776:B2777"/>
    <mergeCell ref="C2776:C2777"/>
    <mergeCell ref="D2776:I2776"/>
    <mergeCell ref="J2776:J2777"/>
    <mergeCell ref="K2776:K2777"/>
    <mergeCell ref="L2776:L2777"/>
    <mergeCell ref="D2783:I2784"/>
    <mergeCell ref="J2793:K2794"/>
    <mergeCell ref="L2793:L2794"/>
    <mergeCell ref="M2793:Q2793"/>
    <mergeCell ref="M2794:Q2794"/>
    <mergeCell ref="B2796:B2797"/>
    <mergeCell ref="C2796:C2797"/>
    <mergeCell ref="D2796:I2796"/>
    <mergeCell ref="J2796:J2797"/>
    <mergeCell ref="K2796:K2797"/>
    <mergeCell ref="S2786:S2787"/>
    <mergeCell ref="T2786:T2787"/>
    <mergeCell ref="U2786:U2787"/>
    <mergeCell ref="D2787:F2787"/>
    <mergeCell ref="G2787:I2787"/>
    <mergeCell ref="D2792:I2792"/>
    <mergeCell ref="J2792:K2792"/>
    <mergeCell ref="M2792:Q2792"/>
    <mergeCell ref="L2786:L2787"/>
    <mergeCell ref="M2786:M2787"/>
    <mergeCell ref="N2786:N2787"/>
    <mergeCell ref="O2786:O2787"/>
    <mergeCell ref="Q2786:Q2787"/>
    <mergeCell ref="R2786:R2787"/>
    <mergeCell ref="D2793:I2794"/>
    <mergeCell ref="J2803:K2804"/>
    <mergeCell ref="L2803:L2804"/>
    <mergeCell ref="M2803:Q2803"/>
    <mergeCell ref="M2804:Q2804"/>
    <mergeCell ref="B2806:B2807"/>
    <mergeCell ref="C2806:C2807"/>
    <mergeCell ref="D2806:I2806"/>
    <mergeCell ref="J2806:J2807"/>
    <mergeCell ref="K2806:K2807"/>
    <mergeCell ref="S2796:S2797"/>
    <mergeCell ref="T2796:T2797"/>
    <mergeCell ref="U2796:U2797"/>
    <mergeCell ref="D2797:F2797"/>
    <mergeCell ref="G2797:I2797"/>
    <mergeCell ref="D2802:I2802"/>
    <mergeCell ref="J2802:K2802"/>
    <mergeCell ref="M2802:Q2802"/>
    <mergeCell ref="L2796:L2797"/>
    <mergeCell ref="M2796:M2797"/>
    <mergeCell ref="N2796:N2797"/>
    <mergeCell ref="O2796:O2797"/>
    <mergeCell ref="Q2796:Q2797"/>
    <mergeCell ref="R2796:R2797"/>
    <mergeCell ref="D2803:I2804"/>
    <mergeCell ref="J2813:K2814"/>
    <mergeCell ref="L2813:L2814"/>
    <mergeCell ref="M2813:Q2813"/>
    <mergeCell ref="M2814:Q2814"/>
    <mergeCell ref="B2816:B2817"/>
    <mergeCell ref="C2816:C2817"/>
    <mergeCell ref="D2816:I2816"/>
    <mergeCell ref="J2816:J2817"/>
    <mergeCell ref="K2816:K2817"/>
    <mergeCell ref="S2806:S2807"/>
    <mergeCell ref="T2806:T2807"/>
    <mergeCell ref="U2806:U2807"/>
    <mergeCell ref="D2807:F2807"/>
    <mergeCell ref="G2807:I2807"/>
    <mergeCell ref="D2812:I2812"/>
    <mergeCell ref="J2812:K2812"/>
    <mergeCell ref="M2812:Q2812"/>
    <mergeCell ref="L2806:L2807"/>
    <mergeCell ref="M2806:M2807"/>
    <mergeCell ref="N2806:N2807"/>
    <mergeCell ref="O2806:O2807"/>
    <mergeCell ref="Q2806:Q2807"/>
    <mergeCell ref="R2806:R2807"/>
    <mergeCell ref="D2813:I2814"/>
    <mergeCell ref="J2823:K2824"/>
    <mergeCell ref="L2823:L2824"/>
    <mergeCell ref="M2823:Q2823"/>
    <mergeCell ref="M2824:Q2824"/>
    <mergeCell ref="B2826:B2827"/>
    <mergeCell ref="C2826:C2827"/>
    <mergeCell ref="D2826:I2826"/>
    <mergeCell ref="J2826:J2827"/>
    <mergeCell ref="K2826:K2827"/>
    <mergeCell ref="S2816:S2817"/>
    <mergeCell ref="T2816:T2817"/>
    <mergeCell ref="U2816:U2817"/>
    <mergeCell ref="D2817:F2817"/>
    <mergeCell ref="G2817:I2817"/>
    <mergeCell ref="D2822:I2822"/>
    <mergeCell ref="J2822:K2822"/>
    <mergeCell ref="M2822:Q2822"/>
    <mergeCell ref="L2816:L2817"/>
    <mergeCell ref="M2816:M2817"/>
    <mergeCell ref="N2816:N2817"/>
    <mergeCell ref="O2816:O2817"/>
    <mergeCell ref="Q2816:Q2817"/>
    <mergeCell ref="R2816:R2817"/>
    <mergeCell ref="D2823:I2824"/>
    <mergeCell ref="J2833:K2834"/>
    <mergeCell ref="L2833:L2834"/>
    <mergeCell ref="M2833:Q2833"/>
    <mergeCell ref="M2834:Q2834"/>
    <mergeCell ref="B2836:B2837"/>
    <mergeCell ref="C2836:C2837"/>
    <mergeCell ref="D2836:I2836"/>
    <mergeCell ref="J2836:J2837"/>
    <mergeCell ref="K2836:K2837"/>
    <mergeCell ref="S2826:S2827"/>
    <mergeCell ref="T2826:T2827"/>
    <mergeCell ref="U2826:U2827"/>
    <mergeCell ref="D2827:F2827"/>
    <mergeCell ref="G2827:I2827"/>
    <mergeCell ref="D2832:I2832"/>
    <mergeCell ref="J2832:K2832"/>
    <mergeCell ref="M2832:Q2832"/>
    <mergeCell ref="L2826:L2827"/>
    <mergeCell ref="M2826:M2827"/>
    <mergeCell ref="N2826:N2827"/>
    <mergeCell ref="O2826:O2827"/>
    <mergeCell ref="Q2826:Q2827"/>
    <mergeCell ref="R2826:R2827"/>
    <mergeCell ref="D2833:I2834"/>
    <mergeCell ref="J2843:K2844"/>
    <mergeCell ref="L2843:L2844"/>
    <mergeCell ref="M2843:Q2843"/>
    <mergeCell ref="M2844:Q2844"/>
    <mergeCell ref="B2846:B2847"/>
    <mergeCell ref="C2846:C2847"/>
    <mergeCell ref="D2846:I2846"/>
    <mergeCell ref="J2846:J2847"/>
    <mergeCell ref="K2846:K2847"/>
    <mergeCell ref="S2836:S2837"/>
    <mergeCell ref="T2836:T2837"/>
    <mergeCell ref="U2836:U2837"/>
    <mergeCell ref="D2837:F2837"/>
    <mergeCell ref="G2837:I2837"/>
    <mergeCell ref="D2842:I2842"/>
    <mergeCell ref="J2842:K2842"/>
    <mergeCell ref="M2842:Q2842"/>
    <mergeCell ref="L2836:L2837"/>
    <mergeCell ref="M2836:M2837"/>
    <mergeCell ref="N2836:N2837"/>
    <mergeCell ref="O2836:O2837"/>
    <mergeCell ref="Q2836:Q2837"/>
    <mergeCell ref="R2836:R2837"/>
    <mergeCell ref="D2843:I2844"/>
    <mergeCell ref="J2853:K2854"/>
    <mergeCell ref="L2853:L2854"/>
    <mergeCell ref="M2853:Q2853"/>
    <mergeCell ref="M2854:Q2854"/>
    <mergeCell ref="B2856:B2857"/>
    <mergeCell ref="C2856:C2857"/>
    <mergeCell ref="D2856:I2856"/>
    <mergeCell ref="J2856:J2857"/>
    <mergeCell ref="K2856:K2857"/>
    <mergeCell ref="S2846:S2847"/>
    <mergeCell ref="T2846:T2847"/>
    <mergeCell ref="U2846:U2847"/>
    <mergeCell ref="D2847:F2847"/>
    <mergeCell ref="G2847:I2847"/>
    <mergeCell ref="D2852:I2852"/>
    <mergeCell ref="J2852:K2852"/>
    <mergeCell ref="M2852:Q2852"/>
    <mergeCell ref="L2846:L2847"/>
    <mergeCell ref="M2846:M2847"/>
    <mergeCell ref="N2846:N2847"/>
    <mergeCell ref="O2846:O2847"/>
    <mergeCell ref="Q2846:Q2847"/>
    <mergeCell ref="R2846:R2847"/>
    <mergeCell ref="D2853:I2854"/>
    <mergeCell ref="J2863:K2864"/>
    <mergeCell ref="L2863:L2864"/>
    <mergeCell ref="M2863:Q2863"/>
    <mergeCell ref="M2864:Q2864"/>
    <mergeCell ref="B2866:B2867"/>
    <mergeCell ref="C2866:C2867"/>
    <mergeCell ref="D2866:I2866"/>
    <mergeCell ref="J2866:J2867"/>
    <mergeCell ref="K2866:K2867"/>
    <mergeCell ref="S2856:S2857"/>
    <mergeCell ref="T2856:T2857"/>
    <mergeCell ref="U2856:U2857"/>
    <mergeCell ref="D2857:F2857"/>
    <mergeCell ref="G2857:I2857"/>
    <mergeCell ref="D2862:I2862"/>
    <mergeCell ref="J2862:K2862"/>
    <mergeCell ref="M2862:Q2862"/>
    <mergeCell ref="L2856:L2857"/>
    <mergeCell ref="M2856:M2857"/>
    <mergeCell ref="N2856:N2857"/>
    <mergeCell ref="O2856:O2857"/>
    <mergeCell ref="Q2856:Q2857"/>
    <mergeCell ref="R2856:R2857"/>
    <mergeCell ref="D2863:I2864"/>
    <mergeCell ref="J2874:K2875"/>
    <mergeCell ref="L2874:L2875"/>
    <mergeCell ref="M2874:Q2874"/>
    <mergeCell ref="M2875:Q2875"/>
    <mergeCell ref="B2877:B2878"/>
    <mergeCell ref="C2877:C2878"/>
    <mergeCell ref="D2877:I2877"/>
    <mergeCell ref="J2877:J2878"/>
    <mergeCell ref="K2877:K2878"/>
    <mergeCell ref="S2866:S2867"/>
    <mergeCell ref="T2866:T2867"/>
    <mergeCell ref="U2866:U2867"/>
    <mergeCell ref="D2867:F2867"/>
    <mergeCell ref="G2867:I2867"/>
    <mergeCell ref="D2873:I2873"/>
    <mergeCell ref="J2873:K2873"/>
    <mergeCell ref="M2873:Q2873"/>
    <mergeCell ref="L2866:L2867"/>
    <mergeCell ref="M2866:M2867"/>
    <mergeCell ref="N2866:N2867"/>
    <mergeCell ref="O2866:O2867"/>
    <mergeCell ref="Q2866:Q2867"/>
    <mergeCell ref="R2866:R2867"/>
    <mergeCell ref="D2874:I2875"/>
    <mergeCell ref="J2884:K2885"/>
    <mergeCell ref="L2884:L2885"/>
    <mergeCell ref="M2884:Q2884"/>
    <mergeCell ref="M2885:Q2885"/>
    <mergeCell ref="B2887:B2888"/>
    <mergeCell ref="C2887:C2888"/>
    <mergeCell ref="D2887:I2887"/>
    <mergeCell ref="J2887:J2888"/>
    <mergeCell ref="K2887:K2888"/>
    <mergeCell ref="S2877:S2878"/>
    <mergeCell ref="T2877:T2878"/>
    <mergeCell ref="U2877:U2878"/>
    <mergeCell ref="D2878:F2878"/>
    <mergeCell ref="G2878:I2878"/>
    <mergeCell ref="D2883:I2883"/>
    <mergeCell ref="J2883:K2883"/>
    <mergeCell ref="M2883:Q2883"/>
    <mergeCell ref="L2877:L2878"/>
    <mergeCell ref="M2877:M2878"/>
    <mergeCell ref="N2877:N2878"/>
    <mergeCell ref="O2877:O2878"/>
    <mergeCell ref="Q2877:Q2878"/>
    <mergeCell ref="R2877:R2878"/>
    <mergeCell ref="D2884:I2885"/>
    <mergeCell ref="J2894:K2895"/>
    <mergeCell ref="L2894:L2895"/>
    <mergeCell ref="M2894:Q2894"/>
    <mergeCell ref="M2895:Q2895"/>
    <mergeCell ref="B2897:B2898"/>
    <mergeCell ref="C2897:C2898"/>
    <mergeCell ref="D2897:I2897"/>
    <mergeCell ref="J2897:J2898"/>
    <mergeCell ref="K2897:K2898"/>
    <mergeCell ref="S2887:S2888"/>
    <mergeCell ref="T2887:T2888"/>
    <mergeCell ref="U2887:U2888"/>
    <mergeCell ref="D2888:F2888"/>
    <mergeCell ref="G2888:I2888"/>
    <mergeCell ref="D2893:I2893"/>
    <mergeCell ref="J2893:K2893"/>
    <mergeCell ref="M2893:Q2893"/>
    <mergeCell ref="L2887:L2888"/>
    <mergeCell ref="M2887:M2888"/>
    <mergeCell ref="N2887:N2888"/>
    <mergeCell ref="O2887:O2888"/>
    <mergeCell ref="Q2887:Q2888"/>
    <mergeCell ref="R2887:R2888"/>
    <mergeCell ref="D2894:I2895"/>
    <mergeCell ref="J2904:K2905"/>
    <mergeCell ref="L2904:L2905"/>
    <mergeCell ref="M2904:Q2904"/>
    <mergeCell ref="M2905:Q2905"/>
    <mergeCell ref="G2907:L2907"/>
    <mergeCell ref="S2897:S2898"/>
    <mergeCell ref="T2897:T2898"/>
    <mergeCell ref="U2897:U2898"/>
    <mergeCell ref="D2898:F2898"/>
    <mergeCell ref="G2898:I2898"/>
    <mergeCell ref="D2903:I2903"/>
    <mergeCell ref="J2903:K2903"/>
    <mergeCell ref="M2903:Q2903"/>
    <mergeCell ref="L2897:L2898"/>
    <mergeCell ref="M2897:M2898"/>
    <mergeCell ref="N2897:N2898"/>
    <mergeCell ref="O2897:O2898"/>
    <mergeCell ref="Q2897:Q2898"/>
    <mergeCell ref="R2897:R2898"/>
    <mergeCell ref="J2915:K2916"/>
    <mergeCell ref="L2915:L2916"/>
    <mergeCell ref="M2915:Q2915"/>
    <mergeCell ref="M2916:Q2916"/>
    <mergeCell ref="B2918:B2919"/>
    <mergeCell ref="C2918:C2919"/>
    <mergeCell ref="D2918:I2918"/>
    <mergeCell ref="J2918:J2919"/>
    <mergeCell ref="K2918:K2919"/>
    <mergeCell ref="T2908:T2909"/>
    <mergeCell ref="U2908:U2909"/>
    <mergeCell ref="D2909:F2909"/>
    <mergeCell ref="G2909:I2909"/>
    <mergeCell ref="D2914:I2914"/>
    <mergeCell ref="J2914:K2914"/>
    <mergeCell ref="M2914:Q2914"/>
    <mergeCell ref="M2908:M2909"/>
    <mergeCell ref="N2908:N2909"/>
    <mergeCell ref="O2908:O2909"/>
    <mergeCell ref="Q2908:Q2909"/>
    <mergeCell ref="R2908:R2909"/>
    <mergeCell ref="S2908:S2909"/>
    <mergeCell ref="B2908:B2909"/>
    <mergeCell ref="C2908:C2909"/>
    <mergeCell ref="D2908:I2908"/>
    <mergeCell ref="J2908:J2909"/>
    <mergeCell ref="K2908:K2909"/>
    <mergeCell ref="L2908:L2909"/>
    <mergeCell ref="D2915:I2916"/>
    <mergeCell ref="J2925:K2926"/>
    <mergeCell ref="L2925:L2926"/>
    <mergeCell ref="M2925:Q2925"/>
    <mergeCell ref="M2926:Q2926"/>
    <mergeCell ref="B2928:B2929"/>
    <mergeCell ref="C2928:C2929"/>
    <mergeCell ref="D2928:I2928"/>
    <mergeCell ref="J2928:J2929"/>
    <mergeCell ref="K2928:K2929"/>
    <mergeCell ref="S2918:S2919"/>
    <mergeCell ref="T2918:T2919"/>
    <mergeCell ref="U2918:U2919"/>
    <mergeCell ref="D2919:F2919"/>
    <mergeCell ref="G2919:I2919"/>
    <mergeCell ref="D2924:I2924"/>
    <mergeCell ref="J2924:K2924"/>
    <mergeCell ref="M2924:Q2924"/>
    <mergeCell ref="L2918:L2919"/>
    <mergeCell ref="M2918:M2919"/>
    <mergeCell ref="N2918:N2919"/>
    <mergeCell ref="O2918:O2919"/>
    <mergeCell ref="Q2918:Q2919"/>
    <mergeCell ref="R2918:R2919"/>
    <mergeCell ref="D2925:I2926"/>
    <mergeCell ref="J2935:K2936"/>
    <mergeCell ref="L2935:L2936"/>
    <mergeCell ref="M2935:Q2935"/>
    <mergeCell ref="M2936:Q2936"/>
    <mergeCell ref="B2938:B2939"/>
    <mergeCell ref="C2938:C2939"/>
    <mergeCell ref="D2938:I2938"/>
    <mergeCell ref="J2938:J2939"/>
    <mergeCell ref="K2938:K2939"/>
    <mergeCell ref="S2928:S2929"/>
    <mergeCell ref="T2928:T2929"/>
    <mergeCell ref="U2928:U2929"/>
    <mergeCell ref="D2929:F2929"/>
    <mergeCell ref="G2929:I2929"/>
    <mergeCell ref="D2934:I2934"/>
    <mergeCell ref="J2934:K2934"/>
    <mergeCell ref="M2934:Q2934"/>
    <mergeCell ref="L2928:L2929"/>
    <mergeCell ref="M2928:M2929"/>
    <mergeCell ref="N2928:N2929"/>
    <mergeCell ref="O2928:O2929"/>
    <mergeCell ref="Q2928:Q2929"/>
    <mergeCell ref="R2928:R2929"/>
    <mergeCell ref="D2935:I2936"/>
    <mergeCell ref="J2945:K2946"/>
    <mergeCell ref="L2945:L2946"/>
    <mergeCell ref="M2945:Q2945"/>
    <mergeCell ref="M2946:Q2946"/>
    <mergeCell ref="B2948:B2949"/>
    <mergeCell ref="C2948:C2949"/>
    <mergeCell ref="D2948:I2948"/>
    <mergeCell ref="J2948:J2949"/>
    <mergeCell ref="K2948:K2949"/>
    <mergeCell ref="S2938:S2939"/>
    <mergeCell ref="T2938:T2939"/>
    <mergeCell ref="U2938:U2939"/>
    <mergeCell ref="D2939:F2939"/>
    <mergeCell ref="G2939:I2939"/>
    <mergeCell ref="D2944:I2944"/>
    <mergeCell ref="J2944:K2944"/>
    <mergeCell ref="M2944:Q2944"/>
    <mergeCell ref="L2938:L2939"/>
    <mergeCell ref="M2938:M2939"/>
    <mergeCell ref="N2938:N2939"/>
    <mergeCell ref="O2938:O2939"/>
    <mergeCell ref="Q2938:Q2939"/>
    <mergeCell ref="R2938:R2939"/>
    <mergeCell ref="D2945:I2946"/>
    <mergeCell ref="J2955:K2956"/>
    <mergeCell ref="L2955:L2956"/>
    <mergeCell ref="M2955:Q2955"/>
    <mergeCell ref="M2956:Q2956"/>
    <mergeCell ref="B2958:B2959"/>
    <mergeCell ref="C2958:C2959"/>
    <mergeCell ref="D2958:I2958"/>
    <mergeCell ref="J2958:J2959"/>
    <mergeCell ref="K2958:K2959"/>
    <mergeCell ref="S2948:S2949"/>
    <mergeCell ref="T2948:T2949"/>
    <mergeCell ref="U2948:U2949"/>
    <mergeCell ref="D2949:F2949"/>
    <mergeCell ref="G2949:I2949"/>
    <mergeCell ref="D2954:I2954"/>
    <mergeCell ref="J2954:K2954"/>
    <mergeCell ref="M2954:Q2954"/>
    <mergeCell ref="L2948:L2949"/>
    <mergeCell ref="M2948:M2949"/>
    <mergeCell ref="N2948:N2949"/>
    <mergeCell ref="O2948:O2949"/>
    <mergeCell ref="Q2948:Q2949"/>
    <mergeCell ref="R2948:R2949"/>
    <mergeCell ref="D2955:I2956"/>
    <mergeCell ref="J2965:K2966"/>
    <mergeCell ref="L2965:L2966"/>
    <mergeCell ref="M2965:Q2965"/>
    <mergeCell ref="M2966:Q2966"/>
    <mergeCell ref="B2968:B2969"/>
    <mergeCell ref="C2968:C2969"/>
    <mergeCell ref="D2968:I2968"/>
    <mergeCell ref="J2968:J2969"/>
    <mergeCell ref="K2968:K2969"/>
    <mergeCell ref="S2958:S2959"/>
    <mergeCell ref="T2958:T2959"/>
    <mergeCell ref="U2958:U2959"/>
    <mergeCell ref="D2959:F2959"/>
    <mergeCell ref="G2959:I2959"/>
    <mergeCell ref="D2964:I2964"/>
    <mergeCell ref="J2964:K2964"/>
    <mergeCell ref="M2964:Q2964"/>
    <mergeCell ref="L2958:L2959"/>
    <mergeCell ref="M2958:M2959"/>
    <mergeCell ref="N2958:N2959"/>
    <mergeCell ref="O2958:O2959"/>
    <mergeCell ref="Q2958:Q2959"/>
    <mergeCell ref="R2958:R2959"/>
    <mergeCell ref="D2965:I2966"/>
    <mergeCell ref="J2975:K2976"/>
    <mergeCell ref="L2975:L2976"/>
    <mergeCell ref="M2975:Q2975"/>
    <mergeCell ref="M2976:Q2976"/>
    <mergeCell ref="B2978:B2979"/>
    <mergeCell ref="C2978:C2979"/>
    <mergeCell ref="D2978:I2978"/>
    <mergeCell ref="J2978:J2979"/>
    <mergeCell ref="K2978:K2979"/>
    <mergeCell ref="S2968:S2969"/>
    <mergeCell ref="T2968:T2969"/>
    <mergeCell ref="U2968:U2969"/>
    <mergeCell ref="D2969:F2969"/>
    <mergeCell ref="G2969:I2969"/>
    <mergeCell ref="D2974:I2974"/>
    <mergeCell ref="J2974:K2974"/>
    <mergeCell ref="M2974:Q2974"/>
    <mergeCell ref="L2968:L2969"/>
    <mergeCell ref="M2968:M2969"/>
    <mergeCell ref="N2968:N2969"/>
    <mergeCell ref="O2968:O2969"/>
    <mergeCell ref="Q2968:Q2969"/>
    <mergeCell ref="R2968:R2969"/>
    <mergeCell ref="J2985:K2986"/>
    <mergeCell ref="L2985:L2986"/>
    <mergeCell ref="M2985:Q2985"/>
    <mergeCell ref="M2986:Q2986"/>
    <mergeCell ref="B2988:B2989"/>
    <mergeCell ref="C2988:C2989"/>
    <mergeCell ref="D2988:I2988"/>
    <mergeCell ref="J2988:J2989"/>
    <mergeCell ref="K2988:K2989"/>
    <mergeCell ref="S2978:S2979"/>
    <mergeCell ref="T2978:T2979"/>
    <mergeCell ref="U2978:U2979"/>
    <mergeCell ref="D2979:F2979"/>
    <mergeCell ref="G2979:I2979"/>
    <mergeCell ref="D2984:I2984"/>
    <mergeCell ref="J2984:K2984"/>
    <mergeCell ref="M2984:Q2984"/>
    <mergeCell ref="L2978:L2979"/>
    <mergeCell ref="M2978:M2979"/>
    <mergeCell ref="N2978:N2979"/>
    <mergeCell ref="O2978:O2979"/>
    <mergeCell ref="Q2978:Q2979"/>
    <mergeCell ref="R2978:R2979"/>
    <mergeCell ref="D2985:I2986"/>
    <mergeCell ref="J3001:K3002"/>
    <mergeCell ref="L3001:L3002"/>
    <mergeCell ref="M3001:Q3001"/>
    <mergeCell ref="M3002:Q3002"/>
    <mergeCell ref="B3004:B3005"/>
    <mergeCell ref="C3004:C3005"/>
    <mergeCell ref="D3004:I3004"/>
    <mergeCell ref="J3004:J3005"/>
    <mergeCell ref="K3004:K3005"/>
    <mergeCell ref="S2988:S2989"/>
    <mergeCell ref="T2988:T2989"/>
    <mergeCell ref="U2988:U2989"/>
    <mergeCell ref="D2989:F2989"/>
    <mergeCell ref="G2989:I2989"/>
    <mergeCell ref="D3000:I3000"/>
    <mergeCell ref="J3000:K3000"/>
    <mergeCell ref="M3000:Q3000"/>
    <mergeCell ref="L2988:L2989"/>
    <mergeCell ref="M2988:M2989"/>
    <mergeCell ref="N2988:N2989"/>
    <mergeCell ref="O2988:O2989"/>
    <mergeCell ref="Q2988:Q2989"/>
    <mergeCell ref="R2988:R2989"/>
    <mergeCell ref="D3001:I3002"/>
    <mergeCell ref="J3011:K3012"/>
    <mergeCell ref="L3011:L3012"/>
    <mergeCell ref="M3011:Q3011"/>
    <mergeCell ref="M3012:Q3012"/>
    <mergeCell ref="B3014:B3015"/>
    <mergeCell ref="C3014:C3015"/>
    <mergeCell ref="D3014:I3014"/>
    <mergeCell ref="J3014:J3015"/>
    <mergeCell ref="K3014:K3015"/>
    <mergeCell ref="S3004:S3005"/>
    <mergeCell ref="T3004:T3005"/>
    <mergeCell ref="U3004:U3005"/>
    <mergeCell ref="D3005:F3005"/>
    <mergeCell ref="G3005:I3005"/>
    <mergeCell ref="D3010:I3010"/>
    <mergeCell ref="J3010:K3010"/>
    <mergeCell ref="M3010:Q3010"/>
    <mergeCell ref="L3004:L3005"/>
    <mergeCell ref="M3004:M3005"/>
    <mergeCell ref="N3004:N3005"/>
    <mergeCell ref="O3004:O3005"/>
    <mergeCell ref="Q3004:Q3005"/>
    <mergeCell ref="R3004:R3005"/>
    <mergeCell ref="D3011:I3012"/>
    <mergeCell ref="J3021:K3022"/>
    <mergeCell ref="L3021:L3022"/>
    <mergeCell ref="M3021:Q3021"/>
    <mergeCell ref="M3022:Q3022"/>
    <mergeCell ref="B3024:B3025"/>
    <mergeCell ref="C3024:C3025"/>
    <mergeCell ref="D3024:I3024"/>
    <mergeCell ref="J3024:J3025"/>
    <mergeCell ref="K3024:K3025"/>
    <mergeCell ref="S3014:S3015"/>
    <mergeCell ref="T3014:T3015"/>
    <mergeCell ref="U3014:U3015"/>
    <mergeCell ref="D3015:F3015"/>
    <mergeCell ref="G3015:I3015"/>
    <mergeCell ref="D3020:I3020"/>
    <mergeCell ref="J3020:K3020"/>
    <mergeCell ref="M3020:Q3020"/>
    <mergeCell ref="L3014:L3015"/>
    <mergeCell ref="M3014:M3015"/>
    <mergeCell ref="N3014:N3015"/>
    <mergeCell ref="O3014:O3015"/>
    <mergeCell ref="Q3014:Q3015"/>
    <mergeCell ref="R3014:R3015"/>
    <mergeCell ref="D3021:I3022"/>
    <mergeCell ref="J3031:K3032"/>
    <mergeCell ref="L3031:L3032"/>
    <mergeCell ref="M3031:Q3031"/>
    <mergeCell ref="M3032:Q3032"/>
    <mergeCell ref="G3034:L3034"/>
    <mergeCell ref="S3024:S3025"/>
    <mergeCell ref="T3024:T3025"/>
    <mergeCell ref="U3024:U3025"/>
    <mergeCell ref="D3025:F3025"/>
    <mergeCell ref="G3025:I3025"/>
    <mergeCell ref="D3030:I3030"/>
    <mergeCell ref="J3030:K3030"/>
    <mergeCell ref="M3030:Q3030"/>
    <mergeCell ref="L3024:L3025"/>
    <mergeCell ref="M3024:M3025"/>
    <mergeCell ref="N3024:N3025"/>
    <mergeCell ref="O3024:O3025"/>
    <mergeCell ref="Q3024:Q3025"/>
    <mergeCell ref="R3024:R3025"/>
    <mergeCell ref="D3031:I3032"/>
    <mergeCell ref="J3042:K3043"/>
    <mergeCell ref="L3042:L3043"/>
    <mergeCell ref="M3042:Q3042"/>
    <mergeCell ref="M3043:Q3043"/>
    <mergeCell ref="B3045:B3046"/>
    <mergeCell ref="C3045:C3046"/>
    <mergeCell ref="D3045:I3045"/>
    <mergeCell ref="J3045:J3046"/>
    <mergeCell ref="K3045:K3046"/>
    <mergeCell ref="T3035:T3036"/>
    <mergeCell ref="U3035:U3036"/>
    <mergeCell ref="D3036:F3036"/>
    <mergeCell ref="G3036:I3036"/>
    <mergeCell ref="D3041:I3041"/>
    <mergeCell ref="J3041:K3041"/>
    <mergeCell ref="M3041:Q3041"/>
    <mergeCell ref="M3035:M3036"/>
    <mergeCell ref="N3035:N3036"/>
    <mergeCell ref="O3035:O3036"/>
    <mergeCell ref="Q3035:Q3036"/>
    <mergeCell ref="R3035:R3036"/>
    <mergeCell ref="S3035:S3036"/>
    <mergeCell ref="B3035:B3036"/>
    <mergeCell ref="C3035:C3036"/>
    <mergeCell ref="D3035:I3035"/>
    <mergeCell ref="J3035:J3036"/>
    <mergeCell ref="K3035:K3036"/>
    <mergeCell ref="L3035:L3036"/>
    <mergeCell ref="D3042:I3043"/>
    <mergeCell ref="M3052:Q3052"/>
    <mergeCell ref="M3053:Q3053"/>
    <mergeCell ref="B3055:B3056"/>
    <mergeCell ref="C3055:C3056"/>
    <mergeCell ref="D3055:I3055"/>
    <mergeCell ref="J3055:J3056"/>
    <mergeCell ref="K3055:K3056"/>
    <mergeCell ref="S3045:S3046"/>
    <mergeCell ref="T3045:T3046"/>
    <mergeCell ref="U3045:U3046"/>
    <mergeCell ref="D3046:F3046"/>
    <mergeCell ref="G3046:I3046"/>
    <mergeCell ref="D3051:I3051"/>
    <mergeCell ref="J3051:K3051"/>
    <mergeCell ref="M3051:Q3051"/>
    <mergeCell ref="L3045:L3046"/>
    <mergeCell ref="M3045:M3046"/>
    <mergeCell ref="N3045:N3046"/>
    <mergeCell ref="O3045:O3046"/>
    <mergeCell ref="Q3045:Q3046"/>
    <mergeCell ref="R3045:R3046"/>
    <mergeCell ref="D3052:I3053"/>
    <mergeCell ref="M3062:Q3062"/>
    <mergeCell ref="M3063:Q3063"/>
    <mergeCell ref="B3065:B3066"/>
    <mergeCell ref="C3065:C3066"/>
    <mergeCell ref="D3065:I3065"/>
    <mergeCell ref="J3065:J3066"/>
    <mergeCell ref="K3065:K3066"/>
    <mergeCell ref="S3055:S3056"/>
    <mergeCell ref="T3055:T3056"/>
    <mergeCell ref="U3055:U3056"/>
    <mergeCell ref="D3056:F3056"/>
    <mergeCell ref="G3056:I3056"/>
    <mergeCell ref="D3061:I3061"/>
    <mergeCell ref="J3061:K3061"/>
    <mergeCell ref="M3061:Q3061"/>
    <mergeCell ref="L3055:L3056"/>
    <mergeCell ref="M3055:M3056"/>
    <mergeCell ref="N3055:N3056"/>
    <mergeCell ref="O3055:O3056"/>
    <mergeCell ref="Q3055:Q3056"/>
    <mergeCell ref="R3055:R3056"/>
    <mergeCell ref="D3062:I3063"/>
    <mergeCell ref="M3074:Q3074"/>
    <mergeCell ref="M3075:Q3075"/>
    <mergeCell ref="B3077:B3078"/>
    <mergeCell ref="C3077:C3078"/>
    <mergeCell ref="D3077:I3077"/>
    <mergeCell ref="J3077:J3078"/>
    <mergeCell ref="K3077:K3078"/>
    <mergeCell ref="S3065:S3066"/>
    <mergeCell ref="T3065:T3066"/>
    <mergeCell ref="U3065:U3066"/>
    <mergeCell ref="D3066:F3066"/>
    <mergeCell ref="G3066:I3066"/>
    <mergeCell ref="D3073:I3073"/>
    <mergeCell ref="J3073:K3073"/>
    <mergeCell ref="M3073:Q3073"/>
    <mergeCell ref="L3065:L3066"/>
    <mergeCell ref="M3065:M3066"/>
    <mergeCell ref="N3065:N3066"/>
    <mergeCell ref="O3065:O3066"/>
    <mergeCell ref="Q3065:Q3066"/>
    <mergeCell ref="R3065:R3066"/>
    <mergeCell ref="D3074:I3075"/>
    <mergeCell ref="M3086:Q3086"/>
    <mergeCell ref="M3087:Q3087"/>
    <mergeCell ref="B3089:B3090"/>
    <mergeCell ref="C3089:C3090"/>
    <mergeCell ref="D3089:I3089"/>
    <mergeCell ref="J3089:J3090"/>
    <mergeCell ref="K3089:K3090"/>
    <mergeCell ref="S3077:S3078"/>
    <mergeCell ref="T3077:T3078"/>
    <mergeCell ref="U3077:U3078"/>
    <mergeCell ref="D3078:F3078"/>
    <mergeCell ref="G3078:I3078"/>
    <mergeCell ref="D3085:I3085"/>
    <mergeCell ref="J3085:K3085"/>
    <mergeCell ref="M3085:Q3085"/>
    <mergeCell ref="L3077:L3078"/>
    <mergeCell ref="M3077:M3078"/>
    <mergeCell ref="N3077:N3078"/>
    <mergeCell ref="O3077:O3078"/>
    <mergeCell ref="Q3077:Q3078"/>
    <mergeCell ref="R3077:R3078"/>
    <mergeCell ref="D3086:I3087"/>
    <mergeCell ref="M3096:Q3096"/>
    <mergeCell ref="M3097:Q3097"/>
    <mergeCell ref="B3099:B3100"/>
    <mergeCell ref="C3099:C3100"/>
    <mergeCell ref="D3099:I3099"/>
    <mergeCell ref="J3099:J3100"/>
    <mergeCell ref="K3099:K3100"/>
    <mergeCell ref="S3089:S3090"/>
    <mergeCell ref="T3089:T3090"/>
    <mergeCell ref="U3089:U3090"/>
    <mergeCell ref="D3090:F3090"/>
    <mergeCell ref="G3090:I3090"/>
    <mergeCell ref="D3095:I3095"/>
    <mergeCell ref="J3095:K3095"/>
    <mergeCell ref="M3095:Q3095"/>
    <mergeCell ref="L3089:L3090"/>
    <mergeCell ref="M3089:M3090"/>
    <mergeCell ref="N3089:N3090"/>
    <mergeCell ref="O3089:O3090"/>
    <mergeCell ref="Q3089:Q3090"/>
    <mergeCell ref="R3089:R3090"/>
    <mergeCell ref="D3096:I3097"/>
    <mergeCell ref="M3106:Q3106"/>
    <mergeCell ref="M3107:Q3107"/>
    <mergeCell ref="B3109:B3110"/>
    <mergeCell ref="C3109:C3110"/>
    <mergeCell ref="D3109:I3109"/>
    <mergeCell ref="J3109:J3110"/>
    <mergeCell ref="K3109:K3110"/>
    <mergeCell ref="S3099:S3100"/>
    <mergeCell ref="T3099:T3100"/>
    <mergeCell ref="U3099:U3100"/>
    <mergeCell ref="D3100:F3100"/>
    <mergeCell ref="G3100:I3100"/>
    <mergeCell ref="D3105:I3105"/>
    <mergeCell ref="J3105:K3105"/>
    <mergeCell ref="M3105:Q3105"/>
    <mergeCell ref="L3099:L3100"/>
    <mergeCell ref="M3099:M3100"/>
    <mergeCell ref="N3099:N3100"/>
    <mergeCell ref="O3099:O3100"/>
    <mergeCell ref="Q3099:Q3100"/>
    <mergeCell ref="R3099:R3100"/>
    <mergeCell ref="D3106:I3107"/>
    <mergeCell ref="M3116:Q3116"/>
    <mergeCell ref="M3117:Q3117"/>
    <mergeCell ref="B3119:B3120"/>
    <mergeCell ref="C3119:C3120"/>
    <mergeCell ref="D3119:I3119"/>
    <mergeCell ref="J3119:J3120"/>
    <mergeCell ref="K3119:K3120"/>
    <mergeCell ref="S3109:S3110"/>
    <mergeCell ref="T3109:T3110"/>
    <mergeCell ref="U3109:U3110"/>
    <mergeCell ref="D3110:F3110"/>
    <mergeCell ref="G3110:I3110"/>
    <mergeCell ref="D3115:I3115"/>
    <mergeCell ref="J3115:K3115"/>
    <mergeCell ref="M3115:Q3115"/>
    <mergeCell ref="L3109:L3110"/>
    <mergeCell ref="M3109:M3110"/>
    <mergeCell ref="N3109:N3110"/>
    <mergeCell ref="O3109:O3110"/>
    <mergeCell ref="Q3109:Q3110"/>
    <mergeCell ref="R3109:R3110"/>
    <mergeCell ref="D3116:I3117"/>
    <mergeCell ref="T3115:U3115"/>
    <mergeCell ref="T3116:U3116"/>
    <mergeCell ref="T3117:U3117"/>
    <mergeCell ref="M3126:Q3126"/>
    <mergeCell ref="M3127:Q3127"/>
    <mergeCell ref="B3129:B3130"/>
    <mergeCell ref="C3129:C3130"/>
    <mergeCell ref="D3129:I3129"/>
    <mergeCell ref="J3129:J3130"/>
    <mergeCell ref="K3129:K3130"/>
    <mergeCell ref="S3119:S3120"/>
    <mergeCell ref="T3119:T3120"/>
    <mergeCell ref="U3119:U3120"/>
    <mergeCell ref="D3120:F3120"/>
    <mergeCell ref="G3120:I3120"/>
    <mergeCell ref="D3125:I3125"/>
    <mergeCell ref="J3125:K3125"/>
    <mergeCell ref="M3125:Q3125"/>
    <mergeCell ref="L3119:L3120"/>
    <mergeCell ref="M3119:M3120"/>
    <mergeCell ref="N3119:N3120"/>
    <mergeCell ref="O3119:O3120"/>
    <mergeCell ref="Q3119:Q3120"/>
    <mergeCell ref="R3119:R3120"/>
    <mergeCell ref="D3126:I3127"/>
    <mergeCell ref="M3136:Q3136"/>
    <mergeCell ref="M3137:Q3137"/>
    <mergeCell ref="B3139:B3140"/>
    <mergeCell ref="C3139:C3140"/>
    <mergeCell ref="D3139:I3139"/>
    <mergeCell ref="J3139:J3140"/>
    <mergeCell ref="K3139:K3140"/>
    <mergeCell ref="S3129:S3130"/>
    <mergeCell ref="T3129:T3130"/>
    <mergeCell ref="U3129:U3130"/>
    <mergeCell ref="D3130:F3130"/>
    <mergeCell ref="G3130:I3130"/>
    <mergeCell ref="D3135:I3135"/>
    <mergeCell ref="J3135:K3135"/>
    <mergeCell ref="M3135:Q3135"/>
    <mergeCell ref="L3129:L3130"/>
    <mergeCell ref="M3129:M3130"/>
    <mergeCell ref="N3129:N3130"/>
    <mergeCell ref="O3129:O3130"/>
    <mergeCell ref="Q3129:Q3130"/>
    <mergeCell ref="R3129:R3130"/>
    <mergeCell ref="D3136:I3137"/>
    <mergeCell ref="J3136:K3137"/>
    <mergeCell ref="M3146:Q3146"/>
    <mergeCell ref="M3147:Q3147"/>
    <mergeCell ref="B3149:B3150"/>
    <mergeCell ref="C3149:C3150"/>
    <mergeCell ref="D3149:I3149"/>
    <mergeCell ref="J3149:J3150"/>
    <mergeCell ref="K3149:K3150"/>
    <mergeCell ref="S3139:S3140"/>
    <mergeCell ref="T3139:T3140"/>
    <mergeCell ref="U3139:U3140"/>
    <mergeCell ref="D3140:F3140"/>
    <mergeCell ref="G3140:I3140"/>
    <mergeCell ref="D3145:I3145"/>
    <mergeCell ref="J3145:K3145"/>
    <mergeCell ref="M3145:Q3145"/>
    <mergeCell ref="L3139:L3140"/>
    <mergeCell ref="M3139:M3140"/>
    <mergeCell ref="N3139:N3140"/>
    <mergeCell ref="O3139:O3140"/>
    <mergeCell ref="Q3139:Q3140"/>
    <mergeCell ref="R3139:R3140"/>
    <mergeCell ref="D3146:I3147"/>
    <mergeCell ref="J3146:K3147"/>
    <mergeCell ref="M3156:Q3156"/>
    <mergeCell ref="M3157:Q3157"/>
    <mergeCell ref="G3159:L3159"/>
    <mergeCell ref="S3149:S3150"/>
    <mergeCell ref="T3149:T3150"/>
    <mergeCell ref="U3149:U3150"/>
    <mergeCell ref="D3150:F3150"/>
    <mergeCell ref="G3150:I3150"/>
    <mergeCell ref="D3155:I3155"/>
    <mergeCell ref="J3155:K3155"/>
    <mergeCell ref="M3155:Q3155"/>
    <mergeCell ref="L3149:L3150"/>
    <mergeCell ref="M3149:M3150"/>
    <mergeCell ref="N3149:N3150"/>
    <mergeCell ref="O3149:O3150"/>
    <mergeCell ref="Q3149:Q3150"/>
    <mergeCell ref="R3149:R3150"/>
    <mergeCell ref="D3156:I3157"/>
    <mergeCell ref="M3167:Q3167"/>
    <mergeCell ref="M3168:Q3168"/>
    <mergeCell ref="B3170:B3171"/>
    <mergeCell ref="C3170:C3171"/>
    <mergeCell ref="D3170:I3170"/>
    <mergeCell ref="J3170:J3171"/>
    <mergeCell ref="K3170:K3171"/>
    <mergeCell ref="T3160:T3161"/>
    <mergeCell ref="U3160:U3161"/>
    <mergeCell ref="D3161:F3161"/>
    <mergeCell ref="G3161:I3161"/>
    <mergeCell ref="D3166:I3166"/>
    <mergeCell ref="J3166:K3166"/>
    <mergeCell ref="M3166:Q3166"/>
    <mergeCell ref="M3160:M3161"/>
    <mergeCell ref="N3160:N3161"/>
    <mergeCell ref="O3160:O3161"/>
    <mergeCell ref="Q3160:Q3161"/>
    <mergeCell ref="R3160:R3161"/>
    <mergeCell ref="S3160:S3161"/>
    <mergeCell ref="B3160:B3161"/>
    <mergeCell ref="C3160:C3161"/>
    <mergeCell ref="D3160:I3160"/>
    <mergeCell ref="J3160:J3161"/>
    <mergeCell ref="K3160:K3161"/>
    <mergeCell ref="L3160:L3161"/>
    <mergeCell ref="D3167:I3168"/>
    <mergeCell ref="M3177:Q3177"/>
    <mergeCell ref="M3178:Q3178"/>
    <mergeCell ref="B3180:B3181"/>
    <mergeCell ref="C3180:C3181"/>
    <mergeCell ref="D3180:I3180"/>
    <mergeCell ref="J3180:J3181"/>
    <mergeCell ref="K3180:K3181"/>
    <mergeCell ref="S3170:S3171"/>
    <mergeCell ref="T3170:T3171"/>
    <mergeCell ref="U3170:U3171"/>
    <mergeCell ref="D3171:F3171"/>
    <mergeCell ref="G3171:I3171"/>
    <mergeCell ref="D3176:I3176"/>
    <mergeCell ref="J3176:K3176"/>
    <mergeCell ref="M3176:Q3176"/>
    <mergeCell ref="L3170:L3171"/>
    <mergeCell ref="M3170:M3171"/>
    <mergeCell ref="N3170:N3171"/>
    <mergeCell ref="O3170:O3171"/>
    <mergeCell ref="Q3170:Q3171"/>
    <mergeCell ref="R3170:R3171"/>
    <mergeCell ref="D3177:I3178"/>
    <mergeCell ref="M3187:Q3187"/>
    <mergeCell ref="M3188:Q3188"/>
    <mergeCell ref="B3190:B3191"/>
    <mergeCell ref="C3190:C3191"/>
    <mergeCell ref="D3190:I3190"/>
    <mergeCell ref="J3190:J3191"/>
    <mergeCell ref="K3190:K3191"/>
    <mergeCell ref="S3180:S3181"/>
    <mergeCell ref="T3180:T3181"/>
    <mergeCell ref="U3180:U3181"/>
    <mergeCell ref="D3181:F3181"/>
    <mergeCell ref="G3181:I3181"/>
    <mergeCell ref="D3186:I3186"/>
    <mergeCell ref="J3186:K3186"/>
    <mergeCell ref="M3186:Q3186"/>
    <mergeCell ref="L3180:L3181"/>
    <mergeCell ref="M3180:M3181"/>
    <mergeCell ref="N3180:N3181"/>
    <mergeCell ref="O3180:O3181"/>
    <mergeCell ref="Q3180:Q3181"/>
    <mergeCell ref="R3180:R3181"/>
    <mergeCell ref="M3197:Q3197"/>
    <mergeCell ref="M3198:Q3198"/>
    <mergeCell ref="B3200:B3201"/>
    <mergeCell ref="C3200:C3201"/>
    <mergeCell ref="D3200:I3200"/>
    <mergeCell ref="J3200:J3201"/>
    <mergeCell ref="K3200:K3201"/>
    <mergeCell ref="S3190:S3191"/>
    <mergeCell ref="T3190:T3191"/>
    <mergeCell ref="U3190:U3191"/>
    <mergeCell ref="D3191:F3191"/>
    <mergeCell ref="G3191:I3191"/>
    <mergeCell ref="D3196:I3196"/>
    <mergeCell ref="J3196:K3196"/>
    <mergeCell ref="M3196:Q3196"/>
    <mergeCell ref="L3190:L3191"/>
    <mergeCell ref="M3190:M3191"/>
    <mergeCell ref="N3190:N3191"/>
    <mergeCell ref="O3190:O3191"/>
    <mergeCell ref="Q3190:Q3191"/>
    <mergeCell ref="R3190:R3191"/>
    <mergeCell ref="D3197:I3198"/>
    <mergeCell ref="M3207:Q3207"/>
    <mergeCell ref="M3208:Q3208"/>
    <mergeCell ref="B3210:B3211"/>
    <mergeCell ref="C3210:C3211"/>
    <mergeCell ref="D3210:I3210"/>
    <mergeCell ref="J3210:J3211"/>
    <mergeCell ref="K3210:K3211"/>
    <mergeCell ref="S3200:S3201"/>
    <mergeCell ref="T3200:T3201"/>
    <mergeCell ref="U3200:U3201"/>
    <mergeCell ref="D3201:F3201"/>
    <mergeCell ref="G3201:I3201"/>
    <mergeCell ref="D3206:I3206"/>
    <mergeCell ref="J3206:K3206"/>
    <mergeCell ref="M3206:Q3206"/>
    <mergeCell ref="L3200:L3201"/>
    <mergeCell ref="M3200:M3201"/>
    <mergeCell ref="N3200:N3201"/>
    <mergeCell ref="O3200:O3201"/>
    <mergeCell ref="Q3200:Q3201"/>
    <mergeCell ref="R3200:R3201"/>
    <mergeCell ref="D3207:I3208"/>
    <mergeCell ref="J3207:K3208"/>
    <mergeCell ref="L3207:L3208"/>
    <mergeCell ref="M3217:Q3217"/>
    <mergeCell ref="M3218:Q3218"/>
    <mergeCell ref="B3220:B3221"/>
    <mergeCell ref="C3220:C3221"/>
    <mergeCell ref="D3220:I3220"/>
    <mergeCell ref="J3220:J3221"/>
    <mergeCell ref="K3220:K3221"/>
    <mergeCell ref="S3210:S3211"/>
    <mergeCell ref="T3210:T3211"/>
    <mergeCell ref="U3210:U3211"/>
    <mergeCell ref="D3211:F3211"/>
    <mergeCell ref="G3211:I3211"/>
    <mergeCell ref="D3216:I3216"/>
    <mergeCell ref="J3216:K3216"/>
    <mergeCell ref="M3216:Q3216"/>
    <mergeCell ref="L3210:L3211"/>
    <mergeCell ref="M3210:M3211"/>
    <mergeCell ref="N3210:N3211"/>
    <mergeCell ref="O3210:O3211"/>
    <mergeCell ref="Q3210:Q3211"/>
    <mergeCell ref="R3210:R3211"/>
    <mergeCell ref="D3217:I3218"/>
    <mergeCell ref="J3217:K3218"/>
    <mergeCell ref="L3217:L3218"/>
    <mergeCell ref="M3227:Q3227"/>
    <mergeCell ref="M3228:Q3228"/>
    <mergeCell ref="B3230:B3231"/>
    <mergeCell ref="C3230:C3231"/>
    <mergeCell ref="D3230:I3230"/>
    <mergeCell ref="J3230:J3231"/>
    <mergeCell ref="K3230:K3231"/>
    <mergeCell ref="S3220:S3221"/>
    <mergeCell ref="T3220:T3221"/>
    <mergeCell ref="U3220:U3221"/>
    <mergeCell ref="D3221:F3221"/>
    <mergeCell ref="G3221:I3221"/>
    <mergeCell ref="D3226:I3226"/>
    <mergeCell ref="J3226:K3226"/>
    <mergeCell ref="M3226:Q3226"/>
    <mergeCell ref="L3220:L3221"/>
    <mergeCell ref="M3220:M3221"/>
    <mergeCell ref="N3220:N3221"/>
    <mergeCell ref="O3220:O3221"/>
    <mergeCell ref="Q3220:Q3221"/>
    <mergeCell ref="R3220:R3221"/>
    <mergeCell ref="D3227:I3228"/>
    <mergeCell ref="J3227:K3228"/>
    <mergeCell ref="L3227:L3228"/>
    <mergeCell ref="M3237:Q3237"/>
    <mergeCell ref="M3238:Q3238"/>
    <mergeCell ref="B3240:B3241"/>
    <mergeCell ref="C3240:C3241"/>
    <mergeCell ref="D3240:I3240"/>
    <mergeCell ref="J3240:J3241"/>
    <mergeCell ref="K3240:K3241"/>
    <mergeCell ref="S3230:S3231"/>
    <mergeCell ref="T3230:T3231"/>
    <mergeCell ref="U3230:U3231"/>
    <mergeCell ref="D3231:F3231"/>
    <mergeCell ref="G3231:I3231"/>
    <mergeCell ref="D3236:I3236"/>
    <mergeCell ref="J3236:K3236"/>
    <mergeCell ref="M3236:Q3236"/>
    <mergeCell ref="L3230:L3231"/>
    <mergeCell ref="M3230:M3231"/>
    <mergeCell ref="N3230:N3231"/>
    <mergeCell ref="O3230:O3231"/>
    <mergeCell ref="Q3230:Q3231"/>
    <mergeCell ref="R3230:R3231"/>
    <mergeCell ref="D3237:I3238"/>
    <mergeCell ref="J3237:K3238"/>
    <mergeCell ref="L3237:L3238"/>
    <mergeCell ref="M3247:Q3247"/>
    <mergeCell ref="M3248:Q3248"/>
    <mergeCell ref="B3250:B3251"/>
    <mergeCell ref="C3250:C3251"/>
    <mergeCell ref="D3250:I3250"/>
    <mergeCell ref="J3250:J3251"/>
    <mergeCell ref="K3250:K3251"/>
    <mergeCell ref="S3240:S3241"/>
    <mergeCell ref="T3240:T3241"/>
    <mergeCell ref="U3240:U3241"/>
    <mergeCell ref="D3241:F3241"/>
    <mergeCell ref="G3241:I3241"/>
    <mergeCell ref="D3246:I3246"/>
    <mergeCell ref="J3246:K3246"/>
    <mergeCell ref="M3246:Q3246"/>
    <mergeCell ref="L3240:L3241"/>
    <mergeCell ref="M3240:M3241"/>
    <mergeCell ref="N3240:N3241"/>
    <mergeCell ref="O3240:O3241"/>
    <mergeCell ref="Q3240:Q3241"/>
    <mergeCell ref="R3240:R3241"/>
    <mergeCell ref="D3247:I3248"/>
    <mergeCell ref="J3247:K3248"/>
    <mergeCell ref="L3247:L3248"/>
    <mergeCell ref="M3257:Q3257"/>
    <mergeCell ref="M3258:Q3258"/>
    <mergeCell ref="B3260:B3261"/>
    <mergeCell ref="C3260:C3261"/>
    <mergeCell ref="D3260:I3260"/>
    <mergeCell ref="J3260:J3261"/>
    <mergeCell ref="K3260:K3261"/>
    <mergeCell ref="S3250:S3251"/>
    <mergeCell ref="T3250:T3251"/>
    <mergeCell ref="U3250:U3251"/>
    <mergeCell ref="D3251:F3251"/>
    <mergeCell ref="G3251:I3251"/>
    <mergeCell ref="D3256:I3256"/>
    <mergeCell ref="J3256:K3256"/>
    <mergeCell ref="M3256:Q3256"/>
    <mergeCell ref="L3250:L3251"/>
    <mergeCell ref="M3250:M3251"/>
    <mergeCell ref="N3250:N3251"/>
    <mergeCell ref="O3250:O3251"/>
    <mergeCell ref="Q3250:Q3251"/>
    <mergeCell ref="R3250:R3251"/>
    <mergeCell ref="D3257:I3258"/>
    <mergeCell ref="J3257:K3258"/>
    <mergeCell ref="L3257:L3258"/>
    <mergeCell ref="M3267:Q3267"/>
    <mergeCell ref="M3268:Q3268"/>
    <mergeCell ref="B3270:B3271"/>
    <mergeCell ref="C3270:C3271"/>
    <mergeCell ref="D3270:I3270"/>
    <mergeCell ref="J3270:J3271"/>
    <mergeCell ref="K3270:K3271"/>
    <mergeCell ref="S3260:S3261"/>
    <mergeCell ref="T3260:T3261"/>
    <mergeCell ref="U3260:U3261"/>
    <mergeCell ref="D3261:F3261"/>
    <mergeCell ref="G3261:I3261"/>
    <mergeCell ref="D3266:I3266"/>
    <mergeCell ref="J3266:K3266"/>
    <mergeCell ref="M3266:Q3266"/>
    <mergeCell ref="L3260:L3261"/>
    <mergeCell ref="M3260:M3261"/>
    <mergeCell ref="N3260:N3261"/>
    <mergeCell ref="O3260:O3261"/>
    <mergeCell ref="Q3260:Q3261"/>
    <mergeCell ref="R3260:R3261"/>
    <mergeCell ref="D3267:I3268"/>
    <mergeCell ref="J3267:K3268"/>
    <mergeCell ref="L3267:L3268"/>
    <mergeCell ref="M3277:Q3277"/>
    <mergeCell ref="M3278:Q3278"/>
    <mergeCell ref="B3280:B3281"/>
    <mergeCell ref="C3280:C3281"/>
    <mergeCell ref="D3280:I3280"/>
    <mergeCell ref="J3280:J3281"/>
    <mergeCell ref="K3280:K3281"/>
    <mergeCell ref="S3270:S3271"/>
    <mergeCell ref="T3270:T3271"/>
    <mergeCell ref="U3270:U3271"/>
    <mergeCell ref="D3271:F3271"/>
    <mergeCell ref="G3271:I3271"/>
    <mergeCell ref="D3276:I3276"/>
    <mergeCell ref="J3276:K3276"/>
    <mergeCell ref="M3276:Q3276"/>
    <mergeCell ref="L3270:L3271"/>
    <mergeCell ref="M3270:M3271"/>
    <mergeCell ref="N3270:N3271"/>
    <mergeCell ref="O3270:O3271"/>
    <mergeCell ref="Q3270:Q3271"/>
    <mergeCell ref="R3270:R3271"/>
    <mergeCell ref="D3277:I3278"/>
    <mergeCell ref="L3277:L3278"/>
    <mergeCell ref="M3287:Q3287"/>
    <mergeCell ref="M3288:Q3288"/>
    <mergeCell ref="G3290:L3290"/>
    <mergeCell ref="S3280:S3281"/>
    <mergeCell ref="T3280:T3281"/>
    <mergeCell ref="U3280:U3281"/>
    <mergeCell ref="D3281:F3281"/>
    <mergeCell ref="G3281:I3281"/>
    <mergeCell ref="D3286:I3286"/>
    <mergeCell ref="J3286:K3286"/>
    <mergeCell ref="M3286:Q3286"/>
    <mergeCell ref="L3280:L3281"/>
    <mergeCell ref="M3280:M3281"/>
    <mergeCell ref="N3280:N3281"/>
    <mergeCell ref="O3280:O3281"/>
    <mergeCell ref="Q3280:Q3281"/>
    <mergeCell ref="R3280:R3281"/>
    <mergeCell ref="D3287:I3288"/>
    <mergeCell ref="M3298:Q3298"/>
    <mergeCell ref="M3299:Q3299"/>
    <mergeCell ref="B3301:B3302"/>
    <mergeCell ref="C3301:C3302"/>
    <mergeCell ref="D3301:I3301"/>
    <mergeCell ref="J3301:J3302"/>
    <mergeCell ref="K3301:K3302"/>
    <mergeCell ref="T3291:T3292"/>
    <mergeCell ref="U3291:U3292"/>
    <mergeCell ref="D3292:F3292"/>
    <mergeCell ref="G3292:I3292"/>
    <mergeCell ref="D3297:I3297"/>
    <mergeCell ref="J3297:K3297"/>
    <mergeCell ref="M3297:Q3297"/>
    <mergeCell ref="M3291:M3292"/>
    <mergeCell ref="N3291:N3292"/>
    <mergeCell ref="O3291:O3292"/>
    <mergeCell ref="Q3291:Q3292"/>
    <mergeCell ref="R3291:R3292"/>
    <mergeCell ref="S3291:S3292"/>
    <mergeCell ref="B3291:B3292"/>
    <mergeCell ref="C3291:C3292"/>
    <mergeCell ref="D3291:I3291"/>
    <mergeCell ref="J3291:J3292"/>
    <mergeCell ref="K3291:K3292"/>
    <mergeCell ref="L3291:L3292"/>
    <mergeCell ref="D3298:I3299"/>
    <mergeCell ref="M3308:Q3308"/>
    <mergeCell ref="M3309:Q3309"/>
    <mergeCell ref="B3311:B3312"/>
    <mergeCell ref="C3311:C3312"/>
    <mergeCell ref="D3311:I3311"/>
    <mergeCell ref="J3311:J3312"/>
    <mergeCell ref="K3311:K3312"/>
    <mergeCell ref="S3301:S3302"/>
    <mergeCell ref="T3301:T3302"/>
    <mergeCell ref="U3301:U3302"/>
    <mergeCell ref="D3302:F3302"/>
    <mergeCell ref="G3302:I3302"/>
    <mergeCell ref="D3307:I3307"/>
    <mergeCell ref="J3307:K3307"/>
    <mergeCell ref="M3307:Q3307"/>
    <mergeCell ref="L3301:L3302"/>
    <mergeCell ref="M3301:M3302"/>
    <mergeCell ref="N3301:N3302"/>
    <mergeCell ref="O3301:O3302"/>
    <mergeCell ref="Q3301:Q3302"/>
    <mergeCell ref="R3301:R3302"/>
    <mergeCell ref="D3308:I3309"/>
    <mergeCell ref="L3308:L3309"/>
    <mergeCell ref="J3308:K3309"/>
    <mergeCell ref="M3318:Q3318"/>
    <mergeCell ref="M3319:Q3319"/>
    <mergeCell ref="B3321:B3322"/>
    <mergeCell ref="C3321:C3322"/>
    <mergeCell ref="D3321:I3321"/>
    <mergeCell ref="J3321:J3322"/>
    <mergeCell ref="K3321:K3322"/>
    <mergeCell ref="S3311:S3312"/>
    <mergeCell ref="T3311:T3312"/>
    <mergeCell ref="U3311:U3312"/>
    <mergeCell ref="D3312:F3312"/>
    <mergeCell ref="G3312:I3312"/>
    <mergeCell ref="D3317:I3317"/>
    <mergeCell ref="J3317:K3317"/>
    <mergeCell ref="M3317:Q3317"/>
    <mergeCell ref="L3311:L3312"/>
    <mergeCell ref="M3311:M3312"/>
    <mergeCell ref="N3311:N3312"/>
    <mergeCell ref="O3311:O3312"/>
    <mergeCell ref="Q3311:Q3312"/>
    <mergeCell ref="R3311:R3312"/>
    <mergeCell ref="J3318:K3319"/>
    <mergeCell ref="M3328:Q3328"/>
    <mergeCell ref="M3329:Q3329"/>
    <mergeCell ref="B3331:B3332"/>
    <mergeCell ref="C3331:C3332"/>
    <mergeCell ref="D3331:I3331"/>
    <mergeCell ref="J3331:J3332"/>
    <mergeCell ref="K3331:K3332"/>
    <mergeCell ref="S3321:S3322"/>
    <mergeCell ref="T3321:T3322"/>
    <mergeCell ref="U3321:U3322"/>
    <mergeCell ref="D3322:F3322"/>
    <mergeCell ref="G3322:I3322"/>
    <mergeCell ref="D3327:I3327"/>
    <mergeCell ref="J3327:K3327"/>
    <mergeCell ref="M3327:Q3327"/>
    <mergeCell ref="L3321:L3322"/>
    <mergeCell ref="M3321:M3322"/>
    <mergeCell ref="N3321:N3322"/>
    <mergeCell ref="O3321:O3322"/>
    <mergeCell ref="Q3321:Q3322"/>
    <mergeCell ref="R3321:R3322"/>
    <mergeCell ref="D3328:I3329"/>
    <mergeCell ref="J3328:K3329"/>
    <mergeCell ref="L3328:L3329"/>
    <mergeCell ref="M3339:Q3339"/>
    <mergeCell ref="M3340:Q3340"/>
    <mergeCell ref="B3342:B3343"/>
    <mergeCell ref="C3342:C3343"/>
    <mergeCell ref="D3342:I3342"/>
    <mergeCell ref="J3342:J3343"/>
    <mergeCell ref="K3342:K3343"/>
    <mergeCell ref="S3331:S3332"/>
    <mergeCell ref="T3331:T3332"/>
    <mergeCell ref="U3331:U3332"/>
    <mergeCell ref="D3332:F3332"/>
    <mergeCell ref="G3332:I3332"/>
    <mergeCell ref="D3338:I3338"/>
    <mergeCell ref="J3338:K3338"/>
    <mergeCell ref="M3338:Q3338"/>
    <mergeCell ref="L3331:L3332"/>
    <mergeCell ref="M3331:M3332"/>
    <mergeCell ref="N3331:N3332"/>
    <mergeCell ref="O3331:O3332"/>
    <mergeCell ref="Q3331:Q3332"/>
    <mergeCell ref="R3331:R3332"/>
    <mergeCell ref="D3339:I3340"/>
    <mergeCell ref="J3339:K3340"/>
    <mergeCell ref="L3339:L3340"/>
    <mergeCell ref="M3352:Q3352"/>
    <mergeCell ref="M3353:Q3353"/>
    <mergeCell ref="B3355:B3356"/>
    <mergeCell ref="C3355:C3356"/>
    <mergeCell ref="D3355:I3355"/>
    <mergeCell ref="J3355:J3356"/>
    <mergeCell ref="K3355:K3356"/>
    <mergeCell ref="S3342:S3343"/>
    <mergeCell ref="T3342:T3343"/>
    <mergeCell ref="U3342:U3343"/>
    <mergeCell ref="D3343:F3343"/>
    <mergeCell ref="G3343:I3343"/>
    <mergeCell ref="D3351:I3351"/>
    <mergeCell ref="J3351:K3351"/>
    <mergeCell ref="M3351:Q3351"/>
    <mergeCell ref="L3342:L3343"/>
    <mergeCell ref="M3342:M3343"/>
    <mergeCell ref="N3342:N3343"/>
    <mergeCell ref="O3342:O3343"/>
    <mergeCell ref="Q3342:Q3343"/>
    <mergeCell ref="R3342:R3343"/>
    <mergeCell ref="D3352:I3353"/>
    <mergeCell ref="J3352:K3353"/>
    <mergeCell ref="L3352:L3353"/>
    <mergeCell ref="M3362:Q3362"/>
    <mergeCell ref="M3363:Q3363"/>
    <mergeCell ref="B3365:B3366"/>
    <mergeCell ref="C3365:C3366"/>
    <mergeCell ref="D3365:I3365"/>
    <mergeCell ref="J3365:J3366"/>
    <mergeCell ref="K3365:K3366"/>
    <mergeCell ref="S3355:S3356"/>
    <mergeCell ref="T3355:T3356"/>
    <mergeCell ref="U3355:U3356"/>
    <mergeCell ref="D3356:F3356"/>
    <mergeCell ref="G3356:I3356"/>
    <mergeCell ref="D3361:I3361"/>
    <mergeCell ref="J3361:K3361"/>
    <mergeCell ref="M3361:Q3361"/>
    <mergeCell ref="L3355:L3356"/>
    <mergeCell ref="M3355:M3356"/>
    <mergeCell ref="N3355:N3356"/>
    <mergeCell ref="O3355:O3356"/>
    <mergeCell ref="Q3355:Q3356"/>
    <mergeCell ref="R3355:R3356"/>
    <mergeCell ref="D3362:I3363"/>
    <mergeCell ref="L3362:L3363"/>
    <mergeCell ref="J3362:K3363"/>
    <mergeCell ref="M3372:Q3372"/>
    <mergeCell ref="M3373:Q3373"/>
    <mergeCell ref="B3375:B3376"/>
    <mergeCell ref="C3375:C3376"/>
    <mergeCell ref="D3375:I3375"/>
    <mergeCell ref="J3375:J3376"/>
    <mergeCell ref="K3375:K3376"/>
    <mergeCell ref="S3365:S3366"/>
    <mergeCell ref="T3365:T3366"/>
    <mergeCell ref="U3365:U3366"/>
    <mergeCell ref="D3366:F3366"/>
    <mergeCell ref="G3366:I3366"/>
    <mergeCell ref="D3371:I3371"/>
    <mergeCell ref="J3371:K3371"/>
    <mergeCell ref="M3371:Q3371"/>
    <mergeCell ref="L3365:L3366"/>
    <mergeCell ref="M3365:M3366"/>
    <mergeCell ref="N3365:N3366"/>
    <mergeCell ref="O3365:O3366"/>
    <mergeCell ref="Q3365:Q3366"/>
    <mergeCell ref="R3365:R3366"/>
    <mergeCell ref="D3372:I3373"/>
    <mergeCell ref="J3372:K3373"/>
    <mergeCell ref="L3372:L3373"/>
    <mergeCell ref="M3384:Q3384"/>
    <mergeCell ref="M3385:Q3385"/>
    <mergeCell ref="B3387:B3388"/>
    <mergeCell ref="C3387:C3388"/>
    <mergeCell ref="D3387:I3387"/>
    <mergeCell ref="J3387:J3388"/>
    <mergeCell ref="K3387:K3388"/>
    <mergeCell ref="S3375:S3376"/>
    <mergeCell ref="T3375:T3376"/>
    <mergeCell ref="U3375:U3376"/>
    <mergeCell ref="D3376:F3376"/>
    <mergeCell ref="G3376:I3376"/>
    <mergeCell ref="D3383:I3383"/>
    <mergeCell ref="J3383:K3383"/>
    <mergeCell ref="M3383:Q3383"/>
    <mergeCell ref="L3375:L3376"/>
    <mergeCell ref="M3375:M3376"/>
    <mergeCell ref="N3375:N3376"/>
    <mergeCell ref="O3375:O3376"/>
    <mergeCell ref="Q3375:Q3376"/>
    <mergeCell ref="R3375:R3376"/>
    <mergeCell ref="D3384:I3385"/>
    <mergeCell ref="J3384:K3385"/>
    <mergeCell ref="L3384:L3385"/>
    <mergeCell ref="M3394:Q3394"/>
    <mergeCell ref="M3395:Q3395"/>
    <mergeCell ref="B3397:B3398"/>
    <mergeCell ref="C3397:C3398"/>
    <mergeCell ref="D3397:I3397"/>
    <mergeCell ref="J3397:J3398"/>
    <mergeCell ref="K3397:K3398"/>
    <mergeCell ref="S3387:S3388"/>
    <mergeCell ref="T3387:T3388"/>
    <mergeCell ref="U3387:U3388"/>
    <mergeCell ref="D3388:F3388"/>
    <mergeCell ref="G3388:I3388"/>
    <mergeCell ref="D3393:I3393"/>
    <mergeCell ref="J3393:K3393"/>
    <mergeCell ref="M3393:Q3393"/>
    <mergeCell ref="L3387:L3388"/>
    <mergeCell ref="M3387:M3388"/>
    <mergeCell ref="N3387:N3388"/>
    <mergeCell ref="O3387:O3388"/>
    <mergeCell ref="Q3387:Q3388"/>
    <mergeCell ref="R3387:R3388"/>
    <mergeCell ref="D3394:I3395"/>
    <mergeCell ref="J3394:K3395"/>
    <mergeCell ref="L3394:L3395"/>
    <mergeCell ref="M3404:Q3404"/>
    <mergeCell ref="M3405:Q3405"/>
    <mergeCell ref="B3407:B3408"/>
    <mergeCell ref="C3407:C3408"/>
    <mergeCell ref="D3407:I3407"/>
    <mergeCell ref="J3407:J3408"/>
    <mergeCell ref="K3407:K3408"/>
    <mergeCell ref="S3397:S3398"/>
    <mergeCell ref="T3397:T3398"/>
    <mergeCell ref="U3397:U3398"/>
    <mergeCell ref="D3398:F3398"/>
    <mergeCell ref="G3398:I3398"/>
    <mergeCell ref="D3403:I3403"/>
    <mergeCell ref="J3403:K3403"/>
    <mergeCell ref="M3403:Q3403"/>
    <mergeCell ref="L3397:L3398"/>
    <mergeCell ref="M3397:M3398"/>
    <mergeCell ref="N3397:N3398"/>
    <mergeCell ref="O3397:O3398"/>
    <mergeCell ref="Q3397:Q3398"/>
    <mergeCell ref="R3397:R3398"/>
    <mergeCell ref="J3404:K3405"/>
    <mergeCell ref="L3404:L3405"/>
    <mergeCell ref="D3404:I3405"/>
    <mergeCell ref="M3414:Q3414"/>
    <mergeCell ref="M3415:Q3415"/>
    <mergeCell ref="B3417:B3418"/>
    <mergeCell ref="C3417:C3418"/>
    <mergeCell ref="D3417:I3417"/>
    <mergeCell ref="J3417:J3418"/>
    <mergeCell ref="K3417:K3418"/>
    <mergeCell ref="S3407:S3408"/>
    <mergeCell ref="T3407:T3408"/>
    <mergeCell ref="U3407:U3408"/>
    <mergeCell ref="D3408:F3408"/>
    <mergeCell ref="G3408:I3408"/>
    <mergeCell ref="D3413:I3413"/>
    <mergeCell ref="J3413:K3413"/>
    <mergeCell ref="M3413:Q3413"/>
    <mergeCell ref="L3407:L3408"/>
    <mergeCell ref="M3407:M3408"/>
    <mergeCell ref="N3407:N3408"/>
    <mergeCell ref="O3407:O3408"/>
    <mergeCell ref="Q3407:Q3408"/>
    <mergeCell ref="R3407:R3408"/>
    <mergeCell ref="L3414:L3415"/>
    <mergeCell ref="J3414:K3415"/>
    <mergeCell ref="D3414:I3415"/>
    <mergeCell ref="M3424:Q3424"/>
    <mergeCell ref="M3425:Q3425"/>
    <mergeCell ref="G3427:L3427"/>
    <mergeCell ref="S3417:S3418"/>
    <mergeCell ref="T3417:T3418"/>
    <mergeCell ref="U3417:U3418"/>
    <mergeCell ref="D3418:F3418"/>
    <mergeCell ref="G3418:I3418"/>
    <mergeCell ref="D3423:I3423"/>
    <mergeCell ref="J3423:K3423"/>
    <mergeCell ref="M3423:Q3423"/>
    <mergeCell ref="L3417:L3418"/>
    <mergeCell ref="M3417:M3418"/>
    <mergeCell ref="N3417:N3418"/>
    <mergeCell ref="O3417:O3418"/>
    <mergeCell ref="Q3417:Q3418"/>
    <mergeCell ref="R3417:R3418"/>
    <mergeCell ref="D3424:I3425"/>
    <mergeCell ref="J3424:K3425"/>
    <mergeCell ref="L3424:L3425"/>
    <mergeCell ref="M3435:Q3435"/>
    <mergeCell ref="M3436:Q3436"/>
    <mergeCell ref="B3438:B3439"/>
    <mergeCell ref="C3438:C3439"/>
    <mergeCell ref="D3438:I3438"/>
    <mergeCell ref="J3438:J3439"/>
    <mergeCell ref="K3438:K3439"/>
    <mergeCell ref="T3428:T3429"/>
    <mergeCell ref="U3428:U3429"/>
    <mergeCell ref="D3429:F3429"/>
    <mergeCell ref="G3429:I3429"/>
    <mergeCell ref="D3434:I3434"/>
    <mergeCell ref="J3434:K3434"/>
    <mergeCell ref="M3434:Q3434"/>
    <mergeCell ref="M3428:M3429"/>
    <mergeCell ref="N3428:N3429"/>
    <mergeCell ref="O3428:O3429"/>
    <mergeCell ref="Q3428:Q3429"/>
    <mergeCell ref="R3428:R3429"/>
    <mergeCell ref="S3428:S3429"/>
    <mergeCell ref="B3428:B3429"/>
    <mergeCell ref="C3428:C3429"/>
    <mergeCell ref="D3428:I3428"/>
    <mergeCell ref="J3428:J3429"/>
    <mergeCell ref="K3428:K3429"/>
    <mergeCell ref="L3428:L3429"/>
    <mergeCell ref="D3435:I3436"/>
    <mergeCell ref="J3435:K3436"/>
    <mergeCell ref="L3435:L3436"/>
    <mergeCell ref="M3445:Q3445"/>
    <mergeCell ref="M3446:Q3446"/>
    <mergeCell ref="B3448:B3449"/>
    <mergeCell ref="C3448:C3449"/>
    <mergeCell ref="D3448:I3448"/>
    <mergeCell ref="J3448:J3449"/>
    <mergeCell ref="K3448:K3449"/>
    <mergeCell ref="S3438:S3439"/>
    <mergeCell ref="T3438:T3439"/>
    <mergeCell ref="U3438:U3439"/>
    <mergeCell ref="D3439:F3439"/>
    <mergeCell ref="G3439:I3439"/>
    <mergeCell ref="D3444:I3444"/>
    <mergeCell ref="J3444:K3444"/>
    <mergeCell ref="M3444:Q3444"/>
    <mergeCell ref="L3438:L3439"/>
    <mergeCell ref="M3438:M3439"/>
    <mergeCell ref="N3438:N3439"/>
    <mergeCell ref="O3438:O3439"/>
    <mergeCell ref="Q3438:Q3439"/>
    <mergeCell ref="R3438:R3439"/>
    <mergeCell ref="D3445:I3446"/>
    <mergeCell ref="L3445:L3446"/>
    <mergeCell ref="J3445:K3446"/>
    <mergeCell ref="M3455:Q3455"/>
    <mergeCell ref="M3456:Q3456"/>
    <mergeCell ref="B3458:B3459"/>
    <mergeCell ref="C3458:C3459"/>
    <mergeCell ref="D3458:I3458"/>
    <mergeCell ref="J3458:J3459"/>
    <mergeCell ref="K3458:K3459"/>
    <mergeCell ref="S3448:S3449"/>
    <mergeCell ref="T3448:T3449"/>
    <mergeCell ref="U3448:U3449"/>
    <mergeCell ref="D3449:F3449"/>
    <mergeCell ref="G3449:I3449"/>
    <mergeCell ref="D3454:I3454"/>
    <mergeCell ref="J3454:K3454"/>
    <mergeCell ref="M3454:Q3454"/>
    <mergeCell ref="L3448:L3449"/>
    <mergeCell ref="M3448:M3449"/>
    <mergeCell ref="N3448:N3449"/>
    <mergeCell ref="O3448:O3449"/>
    <mergeCell ref="Q3448:Q3449"/>
    <mergeCell ref="R3448:R3449"/>
    <mergeCell ref="D3455:I3456"/>
    <mergeCell ref="J3455:K3456"/>
    <mergeCell ref="L3455:L3456"/>
    <mergeCell ref="M3465:Q3465"/>
    <mergeCell ref="M3466:Q3466"/>
    <mergeCell ref="B3468:B3469"/>
    <mergeCell ref="C3468:C3469"/>
    <mergeCell ref="D3468:I3468"/>
    <mergeCell ref="J3468:J3469"/>
    <mergeCell ref="K3468:K3469"/>
    <mergeCell ref="S3458:S3459"/>
    <mergeCell ref="T3458:T3459"/>
    <mergeCell ref="U3458:U3459"/>
    <mergeCell ref="D3459:F3459"/>
    <mergeCell ref="G3459:I3459"/>
    <mergeCell ref="D3464:I3464"/>
    <mergeCell ref="J3464:K3464"/>
    <mergeCell ref="M3464:Q3464"/>
    <mergeCell ref="L3458:L3459"/>
    <mergeCell ref="M3458:M3459"/>
    <mergeCell ref="N3458:N3459"/>
    <mergeCell ref="O3458:O3459"/>
    <mergeCell ref="Q3458:Q3459"/>
    <mergeCell ref="R3458:R3459"/>
    <mergeCell ref="D3465:I3466"/>
    <mergeCell ref="J3465:K3466"/>
    <mergeCell ref="L3465:L3466"/>
    <mergeCell ref="M3475:Q3475"/>
    <mergeCell ref="M3476:Q3476"/>
    <mergeCell ref="B3478:B3479"/>
    <mergeCell ref="C3478:C3479"/>
    <mergeCell ref="D3478:I3478"/>
    <mergeCell ref="J3478:J3479"/>
    <mergeCell ref="K3478:K3479"/>
    <mergeCell ref="S3468:S3469"/>
    <mergeCell ref="T3468:T3469"/>
    <mergeCell ref="U3468:U3469"/>
    <mergeCell ref="D3469:F3469"/>
    <mergeCell ref="G3469:I3469"/>
    <mergeCell ref="D3474:I3474"/>
    <mergeCell ref="J3474:K3474"/>
    <mergeCell ref="M3474:Q3474"/>
    <mergeCell ref="L3468:L3469"/>
    <mergeCell ref="M3468:M3469"/>
    <mergeCell ref="N3468:N3469"/>
    <mergeCell ref="O3468:O3469"/>
    <mergeCell ref="Q3468:Q3469"/>
    <mergeCell ref="R3468:R3469"/>
    <mergeCell ref="D3475:I3476"/>
    <mergeCell ref="J3475:K3476"/>
    <mergeCell ref="L3475:L3476"/>
    <mergeCell ref="M3485:Q3485"/>
    <mergeCell ref="M3486:Q3486"/>
    <mergeCell ref="B3488:B3489"/>
    <mergeCell ref="C3488:C3489"/>
    <mergeCell ref="D3488:I3488"/>
    <mergeCell ref="J3488:J3489"/>
    <mergeCell ref="K3488:K3489"/>
    <mergeCell ref="S3478:S3479"/>
    <mergeCell ref="T3478:T3479"/>
    <mergeCell ref="U3478:U3479"/>
    <mergeCell ref="D3479:F3479"/>
    <mergeCell ref="G3479:I3479"/>
    <mergeCell ref="D3484:I3484"/>
    <mergeCell ref="J3484:K3484"/>
    <mergeCell ref="M3484:Q3484"/>
    <mergeCell ref="L3478:L3479"/>
    <mergeCell ref="M3478:M3479"/>
    <mergeCell ref="N3478:N3479"/>
    <mergeCell ref="O3478:O3479"/>
    <mergeCell ref="Q3478:Q3479"/>
    <mergeCell ref="R3478:R3479"/>
    <mergeCell ref="D3485:I3486"/>
    <mergeCell ref="J3485:K3486"/>
    <mergeCell ref="L3485:L3486"/>
    <mergeCell ref="M3495:Q3495"/>
    <mergeCell ref="M3496:Q3496"/>
    <mergeCell ref="B3498:B3499"/>
    <mergeCell ref="C3498:C3499"/>
    <mergeCell ref="D3498:I3498"/>
    <mergeCell ref="J3498:J3499"/>
    <mergeCell ref="K3498:K3499"/>
    <mergeCell ref="S3488:S3489"/>
    <mergeCell ref="T3488:T3489"/>
    <mergeCell ref="U3488:U3489"/>
    <mergeCell ref="D3489:F3489"/>
    <mergeCell ref="G3489:I3489"/>
    <mergeCell ref="D3494:I3494"/>
    <mergeCell ref="J3494:K3494"/>
    <mergeCell ref="M3494:Q3494"/>
    <mergeCell ref="L3488:L3489"/>
    <mergeCell ref="M3488:M3489"/>
    <mergeCell ref="N3488:N3489"/>
    <mergeCell ref="O3488:O3489"/>
    <mergeCell ref="Q3488:Q3489"/>
    <mergeCell ref="R3488:R3489"/>
    <mergeCell ref="D3495:I3496"/>
    <mergeCell ref="L3495:L3496"/>
    <mergeCell ref="J3495:K3496"/>
    <mergeCell ref="M3505:Q3505"/>
    <mergeCell ref="M3506:Q3506"/>
    <mergeCell ref="B3508:B3509"/>
    <mergeCell ref="C3508:C3509"/>
    <mergeCell ref="D3508:I3508"/>
    <mergeCell ref="J3508:J3509"/>
    <mergeCell ref="K3508:K3509"/>
    <mergeCell ref="S3498:S3499"/>
    <mergeCell ref="T3498:T3499"/>
    <mergeCell ref="U3498:U3499"/>
    <mergeCell ref="D3499:F3499"/>
    <mergeCell ref="G3499:I3499"/>
    <mergeCell ref="D3504:I3504"/>
    <mergeCell ref="J3504:K3504"/>
    <mergeCell ref="M3504:Q3504"/>
    <mergeCell ref="L3498:L3499"/>
    <mergeCell ref="M3498:M3499"/>
    <mergeCell ref="N3498:N3499"/>
    <mergeCell ref="O3498:O3499"/>
    <mergeCell ref="Q3498:Q3499"/>
    <mergeCell ref="R3498:R3499"/>
    <mergeCell ref="D3505:I3506"/>
    <mergeCell ref="L3505:L3506"/>
    <mergeCell ref="J3505:K3506"/>
    <mergeCell ref="M3515:Q3515"/>
    <mergeCell ref="M3516:Q3516"/>
    <mergeCell ref="B3518:B3519"/>
    <mergeCell ref="C3518:C3519"/>
    <mergeCell ref="D3518:I3518"/>
    <mergeCell ref="J3518:J3519"/>
    <mergeCell ref="K3518:K3519"/>
    <mergeCell ref="S3508:S3509"/>
    <mergeCell ref="T3508:T3509"/>
    <mergeCell ref="U3508:U3509"/>
    <mergeCell ref="D3509:F3509"/>
    <mergeCell ref="G3509:I3509"/>
    <mergeCell ref="D3514:I3514"/>
    <mergeCell ref="J3514:K3514"/>
    <mergeCell ref="M3514:Q3514"/>
    <mergeCell ref="L3508:L3509"/>
    <mergeCell ref="M3508:M3509"/>
    <mergeCell ref="N3508:N3509"/>
    <mergeCell ref="O3508:O3509"/>
    <mergeCell ref="Q3508:Q3509"/>
    <mergeCell ref="R3508:R3509"/>
    <mergeCell ref="D3515:I3516"/>
    <mergeCell ref="J3515:K3516"/>
    <mergeCell ref="L3515:L3516"/>
    <mergeCell ref="T3514:U3516"/>
    <mergeCell ref="M3525:Q3525"/>
    <mergeCell ref="M3526:Q3526"/>
    <mergeCell ref="B3528:B3529"/>
    <mergeCell ref="C3528:C3529"/>
    <mergeCell ref="D3528:I3528"/>
    <mergeCell ref="J3528:J3529"/>
    <mergeCell ref="K3528:K3529"/>
    <mergeCell ref="S3518:S3519"/>
    <mergeCell ref="T3518:T3519"/>
    <mergeCell ref="U3518:U3519"/>
    <mergeCell ref="D3519:F3519"/>
    <mergeCell ref="G3519:I3519"/>
    <mergeCell ref="D3524:I3524"/>
    <mergeCell ref="J3524:K3524"/>
    <mergeCell ref="M3524:Q3524"/>
    <mergeCell ref="L3518:L3519"/>
    <mergeCell ref="M3518:M3519"/>
    <mergeCell ref="N3518:N3519"/>
    <mergeCell ref="O3518:O3519"/>
    <mergeCell ref="Q3518:Q3519"/>
    <mergeCell ref="R3518:R3519"/>
    <mergeCell ref="D3525:I3526"/>
    <mergeCell ref="J3525:K3526"/>
    <mergeCell ref="L3525:L3526"/>
    <mergeCell ref="M3535:Q3535"/>
    <mergeCell ref="M3536:Q3536"/>
    <mergeCell ref="B3538:B3539"/>
    <mergeCell ref="C3538:C3539"/>
    <mergeCell ref="D3538:I3538"/>
    <mergeCell ref="J3538:J3539"/>
    <mergeCell ref="K3538:K3539"/>
    <mergeCell ref="S3528:S3529"/>
    <mergeCell ref="T3528:T3529"/>
    <mergeCell ref="U3528:U3529"/>
    <mergeCell ref="D3529:F3529"/>
    <mergeCell ref="G3529:I3529"/>
    <mergeCell ref="D3534:I3534"/>
    <mergeCell ref="J3534:K3534"/>
    <mergeCell ref="M3534:Q3534"/>
    <mergeCell ref="L3528:L3529"/>
    <mergeCell ref="M3528:M3529"/>
    <mergeCell ref="N3528:N3529"/>
    <mergeCell ref="O3528:O3529"/>
    <mergeCell ref="Q3528:Q3529"/>
    <mergeCell ref="R3528:R3529"/>
    <mergeCell ref="D3535:I3536"/>
    <mergeCell ref="J3535:K3536"/>
    <mergeCell ref="L3535:L3536"/>
    <mergeCell ref="M3545:Q3545"/>
    <mergeCell ref="M3546:Q3546"/>
    <mergeCell ref="B3548:B3549"/>
    <mergeCell ref="C3548:C3549"/>
    <mergeCell ref="D3548:I3548"/>
    <mergeCell ref="J3548:J3549"/>
    <mergeCell ref="K3548:K3549"/>
    <mergeCell ref="S3538:S3539"/>
    <mergeCell ref="T3538:T3539"/>
    <mergeCell ref="U3538:U3539"/>
    <mergeCell ref="D3539:F3539"/>
    <mergeCell ref="G3539:I3539"/>
    <mergeCell ref="D3544:I3544"/>
    <mergeCell ref="J3544:K3544"/>
    <mergeCell ref="M3544:Q3544"/>
    <mergeCell ref="L3538:L3539"/>
    <mergeCell ref="M3538:M3539"/>
    <mergeCell ref="N3538:N3539"/>
    <mergeCell ref="O3538:O3539"/>
    <mergeCell ref="Q3538:Q3539"/>
    <mergeCell ref="R3538:R3539"/>
    <mergeCell ref="D3545:I3546"/>
    <mergeCell ref="J3545:K3546"/>
    <mergeCell ref="L3545:L3546"/>
    <mergeCell ref="M3555:Q3555"/>
    <mergeCell ref="M3556:Q3556"/>
    <mergeCell ref="G3558:L3558"/>
    <mergeCell ref="S3548:S3549"/>
    <mergeCell ref="T3548:T3549"/>
    <mergeCell ref="U3548:U3549"/>
    <mergeCell ref="D3549:F3549"/>
    <mergeCell ref="G3549:I3549"/>
    <mergeCell ref="D3554:I3554"/>
    <mergeCell ref="J3554:K3554"/>
    <mergeCell ref="M3554:Q3554"/>
    <mergeCell ref="L3548:L3549"/>
    <mergeCell ref="M3548:M3549"/>
    <mergeCell ref="N3548:N3549"/>
    <mergeCell ref="O3548:O3549"/>
    <mergeCell ref="Q3548:Q3549"/>
    <mergeCell ref="R3548:R3549"/>
    <mergeCell ref="D3555:I3556"/>
    <mergeCell ref="J3555:K3556"/>
    <mergeCell ref="L3555:L3556"/>
    <mergeCell ref="M3566:Q3566"/>
    <mergeCell ref="M3567:Q3567"/>
    <mergeCell ref="B3569:B3570"/>
    <mergeCell ref="C3569:C3570"/>
    <mergeCell ref="D3569:I3569"/>
    <mergeCell ref="J3569:J3570"/>
    <mergeCell ref="K3569:K3570"/>
    <mergeCell ref="T3559:T3560"/>
    <mergeCell ref="U3559:U3560"/>
    <mergeCell ref="D3560:F3560"/>
    <mergeCell ref="G3560:I3560"/>
    <mergeCell ref="D3565:I3565"/>
    <mergeCell ref="J3565:K3565"/>
    <mergeCell ref="M3565:Q3565"/>
    <mergeCell ref="M3559:M3560"/>
    <mergeCell ref="N3559:N3560"/>
    <mergeCell ref="O3559:O3560"/>
    <mergeCell ref="Q3559:Q3560"/>
    <mergeCell ref="R3559:R3560"/>
    <mergeCell ref="S3559:S3560"/>
    <mergeCell ref="B3559:B3560"/>
    <mergeCell ref="C3559:C3560"/>
    <mergeCell ref="D3559:I3559"/>
    <mergeCell ref="J3559:J3560"/>
    <mergeCell ref="K3559:K3560"/>
    <mergeCell ref="L3559:L3560"/>
    <mergeCell ref="D3566:I3567"/>
    <mergeCell ref="L3566:L3567"/>
    <mergeCell ref="J3566:K3567"/>
    <mergeCell ref="M3576:Q3576"/>
    <mergeCell ref="M3577:Q3577"/>
    <mergeCell ref="B3579:B3580"/>
    <mergeCell ref="C3579:C3580"/>
    <mergeCell ref="D3579:I3579"/>
    <mergeCell ref="J3579:J3580"/>
    <mergeCell ref="K3579:K3580"/>
    <mergeCell ref="S3569:S3570"/>
    <mergeCell ref="T3569:T3570"/>
    <mergeCell ref="U3569:U3570"/>
    <mergeCell ref="D3570:F3570"/>
    <mergeCell ref="G3570:I3570"/>
    <mergeCell ref="D3575:I3575"/>
    <mergeCell ref="J3575:K3575"/>
    <mergeCell ref="M3575:Q3575"/>
    <mergeCell ref="L3569:L3570"/>
    <mergeCell ref="M3569:M3570"/>
    <mergeCell ref="N3569:N3570"/>
    <mergeCell ref="O3569:O3570"/>
    <mergeCell ref="Q3569:Q3570"/>
    <mergeCell ref="R3569:R3570"/>
    <mergeCell ref="D3576:I3577"/>
    <mergeCell ref="L3576:L3577"/>
    <mergeCell ref="J3576:K3577"/>
    <mergeCell ref="M3586:Q3586"/>
    <mergeCell ref="M3587:Q3587"/>
    <mergeCell ref="B3589:B3590"/>
    <mergeCell ref="C3589:C3590"/>
    <mergeCell ref="D3589:I3589"/>
    <mergeCell ref="J3589:J3590"/>
    <mergeCell ref="K3589:K3590"/>
    <mergeCell ref="S3579:S3580"/>
    <mergeCell ref="T3579:T3580"/>
    <mergeCell ref="U3579:U3580"/>
    <mergeCell ref="D3580:F3580"/>
    <mergeCell ref="G3580:I3580"/>
    <mergeCell ref="D3585:I3585"/>
    <mergeCell ref="J3585:K3585"/>
    <mergeCell ref="M3585:Q3585"/>
    <mergeCell ref="L3579:L3580"/>
    <mergeCell ref="M3579:M3580"/>
    <mergeCell ref="N3579:N3580"/>
    <mergeCell ref="O3579:O3580"/>
    <mergeCell ref="Q3579:Q3580"/>
    <mergeCell ref="R3579:R3580"/>
    <mergeCell ref="D3586:I3587"/>
    <mergeCell ref="L3586:L3587"/>
    <mergeCell ref="M3596:Q3596"/>
    <mergeCell ref="M3597:Q3597"/>
    <mergeCell ref="B3599:B3600"/>
    <mergeCell ref="C3599:C3600"/>
    <mergeCell ref="D3599:I3599"/>
    <mergeCell ref="J3599:J3600"/>
    <mergeCell ref="K3599:K3600"/>
    <mergeCell ref="S3589:S3590"/>
    <mergeCell ref="T3589:T3590"/>
    <mergeCell ref="U3589:U3590"/>
    <mergeCell ref="D3590:F3590"/>
    <mergeCell ref="G3590:I3590"/>
    <mergeCell ref="D3595:I3595"/>
    <mergeCell ref="J3595:K3595"/>
    <mergeCell ref="M3595:Q3595"/>
    <mergeCell ref="L3589:L3590"/>
    <mergeCell ref="M3589:M3590"/>
    <mergeCell ref="N3589:N3590"/>
    <mergeCell ref="O3589:O3590"/>
    <mergeCell ref="Q3589:Q3590"/>
    <mergeCell ref="R3589:R3590"/>
    <mergeCell ref="D3596:I3597"/>
    <mergeCell ref="L3596:L3597"/>
    <mergeCell ref="M3606:Q3606"/>
    <mergeCell ref="M3607:Q3607"/>
    <mergeCell ref="B3609:B3610"/>
    <mergeCell ref="C3609:C3610"/>
    <mergeCell ref="D3609:I3609"/>
    <mergeCell ref="J3609:J3610"/>
    <mergeCell ref="K3609:K3610"/>
    <mergeCell ref="S3599:S3600"/>
    <mergeCell ref="T3599:T3600"/>
    <mergeCell ref="U3599:U3600"/>
    <mergeCell ref="D3600:F3600"/>
    <mergeCell ref="G3600:I3600"/>
    <mergeCell ref="D3605:I3605"/>
    <mergeCell ref="J3605:K3605"/>
    <mergeCell ref="M3605:Q3605"/>
    <mergeCell ref="L3599:L3600"/>
    <mergeCell ref="M3599:M3600"/>
    <mergeCell ref="N3599:N3600"/>
    <mergeCell ref="O3599:O3600"/>
    <mergeCell ref="Q3599:Q3600"/>
    <mergeCell ref="R3599:R3600"/>
    <mergeCell ref="J3606:K3607"/>
    <mergeCell ref="D3606:I3607"/>
    <mergeCell ref="L3606:L3607"/>
    <mergeCell ref="M3616:Q3616"/>
    <mergeCell ref="M3617:Q3617"/>
    <mergeCell ref="B3619:B3620"/>
    <mergeCell ref="C3619:C3620"/>
    <mergeCell ref="D3619:I3619"/>
    <mergeCell ref="J3619:J3620"/>
    <mergeCell ref="K3619:K3620"/>
    <mergeCell ref="S3609:S3610"/>
    <mergeCell ref="T3609:T3610"/>
    <mergeCell ref="U3609:U3610"/>
    <mergeCell ref="D3610:F3610"/>
    <mergeCell ref="G3610:I3610"/>
    <mergeCell ref="D3615:I3615"/>
    <mergeCell ref="J3615:K3615"/>
    <mergeCell ref="M3615:Q3615"/>
    <mergeCell ref="L3609:L3610"/>
    <mergeCell ref="M3609:M3610"/>
    <mergeCell ref="N3609:N3610"/>
    <mergeCell ref="O3609:O3610"/>
    <mergeCell ref="Q3609:Q3610"/>
    <mergeCell ref="R3609:R3610"/>
    <mergeCell ref="J3616:K3617"/>
    <mergeCell ref="D3616:I3617"/>
    <mergeCell ref="L3616:L3617"/>
    <mergeCell ref="M3626:Q3626"/>
    <mergeCell ref="M3627:Q3627"/>
    <mergeCell ref="B3629:B3630"/>
    <mergeCell ref="C3629:C3630"/>
    <mergeCell ref="D3629:I3629"/>
    <mergeCell ref="J3629:J3630"/>
    <mergeCell ref="K3629:K3630"/>
    <mergeCell ref="S3619:S3620"/>
    <mergeCell ref="T3619:T3620"/>
    <mergeCell ref="U3619:U3620"/>
    <mergeCell ref="D3620:F3620"/>
    <mergeCell ref="G3620:I3620"/>
    <mergeCell ref="D3625:I3625"/>
    <mergeCell ref="J3625:K3625"/>
    <mergeCell ref="M3625:Q3625"/>
    <mergeCell ref="L3619:L3620"/>
    <mergeCell ref="M3619:M3620"/>
    <mergeCell ref="N3619:N3620"/>
    <mergeCell ref="O3619:O3620"/>
    <mergeCell ref="Q3619:Q3620"/>
    <mergeCell ref="R3619:R3620"/>
    <mergeCell ref="D3626:I3627"/>
    <mergeCell ref="J3626:K3627"/>
    <mergeCell ref="L3626:L3627"/>
    <mergeCell ref="M3636:Q3636"/>
    <mergeCell ref="M3637:Q3637"/>
    <mergeCell ref="B3639:B3640"/>
    <mergeCell ref="C3639:C3640"/>
    <mergeCell ref="D3639:I3639"/>
    <mergeCell ref="J3639:J3640"/>
    <mergeCell ref="K3639:K3640"/>
    <mergeCell ref="S3629:S3630"/>
    <mergeCell ref="T3629:T3630"/>
    <mergeCell ref="U3629:U3630"/>
    <mergeCell ref="D3630:F3630"/>
    <mergeCell ref="G3630:I3630"/>
    <mergeCell ref="D3635:I3635"/>
    <mergeCell ref="J3635:K3635"/>
    <mergeCell ref="M3635:Q3635"/>
    <mergeCell ref="L3629:L3630"/>
    <mergeCell ref="M3629:M3630"/>
    <mergeCell ref="N3629:N3630"/>
    <mergeCell ref="O3629:O3630"/>
    <mergeCell ref="Q3629:Q3630"/>
    <mergeCell ref="R3629:R3630"/>
    <mergeCell ref="D3636:I3637"/>
    <mergeCell ref="J3636:K3637"/>
    <mergeCell ref="L3636:L3637"/>
    <mergeCell ref="M3646:Q3646"/>
    <mergeCell ref="M3647:Q3647"/>
    <mergeCell ref="B3649:B3650"/>
    <mergeCell ref="C3649:C3650"/>
    <mergeCell ref="D3649:I3649"/>
    <mergeCell ref="J3649:J3650"/>
    <mergeCell ref="K3649:K3650"/>
    <mergeCell ref="S3639:S3640"/>
    <mergeCell ref="T3639:T3640"/>
    <mergeCell ref="U3639:U3640"/>
    <mergeCell ref="D3640:F3640"/>
    <mergeCell ref="G3640:I3640"/>
    <mergeCell ref="D3645:I3645"/>
    <mergeCell ref="J3645:K3645"/>
    <mergeCell ref="M3645:Q3645"/>
    <mergeCell ref="L3639:L3640"/>
    <mergeCell ref="M3639:M3640"/>
    <mergeCell ref="N3639:N3640"/>
    <mergeCell ref="O3639:O3640"/>
    <mergeCell ref="Q3639:Q3640"/>
    <mergeCell ref="R3639:R3640"/>
    <mergeCell ref="D3646:I3647"/>
    <mergeCell ref="J3646:K3647"/>
    <mergeCell ref="L3646:L3647"/>
    <mergeCell ref="M3656:Q3656"/>
    <mergeCell ref="M3657:Q3657"/>
    <mergeCell ref="B3659:B3660"/>
    <mergeCell ref="C3659:C3660"/>
    <mergeCell ref="D3659:I3659"/>
    <mergeCell ref="J3659:J3660"/>
    <mergeCell ref="K3659:K3660"/>
    <mergeCell ref="S3649:S3650"/>
    <mergeCell ref="T3649:T3650"/>
    <mergeCell ref="U3649:U3650"/>
    <mergeCell ref="D3650:F3650"/>
    <mergeCell ref="G3650:I3650"/>
    <mergeCell ref="D3655:I3655"/>
    <mergeCell ref="J3655:K3655"/>
    <mergeCell ref="M3655:Q3655"/>
    <mergeCell ref="L3649:L3650"/>
    <mergeCell ref="M3649:M3650"/>
    <mergeCell ref="N3649:N3650"/>
    <mergeCell ref="O3649:O3650"/>
    <mergeCell ref="Q3649:Q3650"/>
    <mergeCell ref="R3649:R3650"/>
    <mergeCell ref="D3656:I3657"/>
    <mergeCell ref="J3656:K3657"/>
    <mergeCell ref="L3656:L3657"/>
    <mergeCell ref="M3666:Q3666"/>
    <mergeCell ref="M3667:Q3667"/>
    <mergeCell ref="B3669:B3670"/>
    <mergeCell ref="C3669:C3670"/>
    <mergeCell ref="D3669:I3669"/>
    <mergeCell ref="J3669:J3670"/>
    <mergeCell ref="K3669:K3670"/>
    <mergeCell ref="S3659:S3660"/>
    <mergeCell ref="T3659:T3660"/>
    <mergeCell ref="U3659:U3660"/>
    <mergeCell ref="D3660:F3660"/>
    <mergeCell ref="G3660:I3660"/>
    <mergeCell ref="D3665:I3665"/>
    <mergeCell ref="J3665:K3665"/>
    <mergeCell ref="M3665:Q3665"/>
    <mergeCell ref="L3659:L3660"/>
    <mergeCell ref="M3659:M3660"/>
    <mergeCell ref="N3659:N3660"/>
    <mergeCell ref="O3659:O3660"/>
    <mergeCell ref="Q3659:Q3660"/>
    <mergeCell ref="R3659:R3660"/>
    <mergeCell ref="D3666:I3667"/>
    <mergeCell ref="J3666:K3667"/>
    <mergeCell ref="L3666:L3667"/>
    <mergeCell ref="M3676:Q3676"/>
    <mergeCell ref="M3677:Q3677"/>
    <mergeCell ref="B3679:B3680"/>
    <mergeCell ref="C3679:C3680"/>
    <mergeCell ref="D3679:I3679"/>
    <mergeCell ref="J3679:J3680"/>
    <mergeCell ref="K3679:K3680"/>
    <mergeCell ref="S3669:S3670"/>
    <mergeCell ref="T3669:T3670"/>
    <mergeCell ref="U3669:U3670"/>
    <mergeCell ref="D3670:F3670"/>
    <mergeCell ref="G3670:I3670"/>
    <mergeCell ref="D3675:I3675"/>
    <mergeCell ref="J3675:K3675"/>
    <mergeCell ref="M3675:Q3675"/>
    <mergeCell ref="L3669:L3670"/>
    <mergeCell ref="M3669:M3670"/>
    <mergeCell ref="N3669:N3670"/>
    <mergeCell ref="O3669:O3670"/>
    <mergeCell ref="Q3669:Q3670"/>
    <mergeCell ref="R3669:R3670"/>
    <mergeCell ref="D3676:I3677"/>
    <mergeCell ref="L3676:L3677"/>
    <mergeCell ref="M3686:Q3686"/>
    <mergeCell ref="M3687:Q3687"/>
    <mergeCell ref="G3689:L3689"/>
    <mergeCell ref="S3679:S3680"/>
    <mergeCell ref="T3679:T3680"/>
    <mergeCell ref="U3679:U3680"/>
    <mergeCell ref="D3680:F3680"/>
    <mergeCell ref="G3680:I3680"/>
    <mergeCell ref="D3685:I3685"/>
    <mergeCell ref="J3685:K3685"/>
    <mergeCell ref="M3685:Q3685"/>
    <mergeCell ref="L3679:L3680"/>
    <mergeCell ref="M3679:M3680"/>
    <mergeCell ref="N3679:N3680"/>
    <mergeCell ref="O3679:O3680"/>
    <mergeCell ref="Q3679:Q3680"/>
    <mergeCell ref="R3679:R3680"/>
    <mergeCell ref="D3686:I3687"/>
    <mergeCell ref="L3686:L3687"/>
    <mergeCell ref="M3711:Q3711"/>
    <mergeCell ref="M3712:Q3712"/>
    <mergeCell ref="B3714:B3715"/>
    <mergeCell ref="C3714:C3715"/>
    <mergeCell ref="D3714:I3714"/>
    <mergeCell ref="J3714:J3715"/>
    <mergeCell ref="K3714:K3715"/>
    <mergeCell ref="T3691:T3692"/>
    <mergeCell ref="U3691:U3692"/>
    <mergeCell ref="D3692:F3692"/>
    <mergeCell ref="G3692:I3692"/>
    <mergeCell ref="D3710:I3710"/>
    <mergeCell ref="J3710:K3710"/>
    <mergeCell ref="M3710:Q3710"/>
    <mergeCell ref="M3691:M3692"/>
    <mergeCell ref="N3691:N3692"/>
    <mergeCell ref="O3691:O3692"/>
    <mergeCell ref="Q3691:Q3692"/>
    <mergeCell ref="R3691:R3692"/>
    <mergeCell ref="S3691:S3692"/>
    <mergeCell ref="B3691:B3692"/>
    <mergeCell ref="C3691:C3692"/>
    <mergeCell ref="D3691:I3691"/>
    <mergeCell ref="J3691:J3692"/>
    <mergeCell ref="K3691:K3692"/>
    <mergeCell ref="L3691:L3692"/>
    <mergeCell ref="P3714:P3715"/>
    <mergeCell ref="S3714:S3715"/>
    <mergeCell ref="T3714:T3715"/>
    <mergeCell ref="U3714:U3715"/>
    <mergeCell ref="D3715:F3715"/>
    <mergeCell ref="G3715:I3715"/>
    <mergeCell ref="O3714:O3715"/>
    <mergeCell ref="Q3714:Q3715"/>
    <mergeCell ref="R3714:R3715"/>
    <mergeCell ref="J3757:K3758"/>
    <mergeCell ref="L3757:L3758"/>
    <mergeCell ref="D3757:I3758"/>
    <mergeCell ref="T3756:U3758"/>
    <mergeCell ref="S3770:S3771"/>
    <mergeCell ref="T3770:T3771"/>
    <mergeCell ref="U3770:U3771"/>
    <mergeCell ref="D3771:F3771"/>
    <mergeCell ref="G3771:I3771"/>
    <mergeCell ref="D3766:I3766"/>
    <mergeCell ref="J3766:K3766"/>
    <mergeCell ref="M3766:Q3766"/>
    <mergeCell ref="L3760:L3761"/>
    <mergeCell ref="M3760:M3761"/>
    <mergeCell ref="N3760:N3761"/>
    <mergeCell ref="O3760:O3761"/>
    <mergeCell ref="Q3760:Q3761"/>
    <mergeCell ref="R3760:R3761"/>
    <mergeCell ref="J3767:K3768"/>
    <mergeCell ref="L3767:L3768"/>
    <mergeCell ref="D3767:I3768"/>
    <mergeCell ref="N3770:N3771"/>
    <mergeCell ref="O3770:O3771"/>
    <mergeCell ref="Q3770:Q3771"/>
    <mergeCell ref="R3770:R3771"/>
    <mergeCell ref="S3760:S3761"/>
    <mergeCell ref="T3760:T3761"/>
    <mergeCell ref="U3760:U3761"/>
    <mergeCell ref="D3761:F3761"/>
    <mergeCell ref="U3790:U3791"/>
    <mergeCell ref="D3791:F3791"/>
    <mergeCell ref="G3791:I3791"/>
    <mergeCell ref="L3790:L3791"/>
    <mergeCell ref="M3790:M3791"/>
    <mergeCell ref="N3790:N3791"/>
    <mergeCell ref="O3790:O3791"/>
    <mergeCell ref="Q3790:Q3791"/>
    <mergeCell ref="R3790:R3791"/>
    <mergeCell ref="M3787:Q3787"/>
    <mergeCell ref="M3788:Q3788"/>
    <mergeCell ref="D3787:I3788"/>
    <mergeCell ref="S3790:S3791"/>
    <mergeCell ref="M3777:Q3777"/>
    <mergeCell ref="M3778:Q3778"/>
    <mergeCell ref="M3767:Q3767"/>
    <mergeCell ref="M3768:Q3768"/>
    <mergeCell ref="L3770:L3771"/>
    <mergeCell ref="J3790:J3791"/>
    <mergeCell ref="K3790:K3791"/>
    <mergeCell ref="M3776:Q3776"/>
    <mergeCell ref="B3780:B3781"/>
    <mergeCell ref="C3780:C3781"/>
    <mergeCell ref="D3780:I3780"/>
    <mergeCell ref="J3780:J3781"/>
    <mergeCell ref="K3780:K3781"/>
    <mergeCell ref="S3780:S3781"/>
    <mergeCell ref="T3780:T3781"/>
    <mergeCell ref="U3780:U3781"/>
    <mergeCell ref="D3781:F3781"/>
    <mergeCell ref="G3781:I3781"/>
    <mergeCell ref="D3777:I3778"/>
    <mergeCell ref="J3777:K3778"/>
    <mergeCell ref="L3777:L3778"/>
    <mergeCell ref="S3865:S3866"/>
    <mergeCell ref="T3865:T3866"/>
    <mergeCell ref="B3801:B3802"/>
    <mergeCell ref="C3801:C3802"/>
    <mergeCell ref="D3801:I3801"/>
    <mergeCell ref="J3801:J3802"/>
    <mergeCell ref="K3801:K3802"/>
    <mergeCell ref="J3796:K3796"/>
    <mergeCell ref="M3796:Q3796"/>
    <mergeCell ref="M3786:Q3786"/>
    <mergeCell ref="L3780:L3781"/>
    <mergeCell ref="M3780:M3781"/>
    <mergeCell ref="N3780:N3781"/>
    <mergeCell ref="O3780:O3781"/>
    <mergeCell ref="Q3780:Q3781"/>
    <mergeCell ref="R3780:R3781"/>
    <mergeCell ref="T3790:T3791"/>
    <mergeCell ref="U3846:U3847"/>
    <mergeCell ref="R3846:R3847"/>
    <mergeCell ref="U3801:U3802"/>
    <mergeCell ref="D3802:F3802"/>
    <mergeCell ref="G3802:I3802"/>
    <mergeCell ref="S3836:S3837"/>
    <mergeCell ref="S3801:S3802"/>
    <mergeCell ref="M3832:Q3832"/>
    <mergeCell ref="L3801:L3802"/>
    <mergeCell ref="M3801:M3802"/>
    <mergeCell ref="N3801:N3802"/>
    <mergeCell ref="O3801:O3802"/>
    <mergeCell ref="Q3801:Q3802"/>
    <mergeCell ref="R3801:R3802"/>
    <mergeCell ref="M3843:Q3843"/>
    <mergeCell ref="M3844:Q3844"/>
    <mergeCell ref="L3833:L3834"/>
    <mergeCell ref="T3801:T3802"/>
    <mergeCell ref="U3836:U3837"/>
    <mergeCell ref="D3837:F3837"/>
    <mergeCell ref="G3837:I3837"/>
    <mergeCell ref="D3842:I3842"/>
    <mergeCell ref="J3842:K3842"/>
    <mergeCell ref="M3842:Q3842"/>
    <mergeCell ref="L3836:L3837"/>
    <mergeCell ref="S3846:S3847"/>
    <mergeCell ref="M3834:Q3834"/>
    <mergeCell ref="U3865:U3866"/>
    <mergeCell ref="U3895:U3896"/>
    <mergeCell ref="U3905:U3906"/>
    <mergeCell ref="D3906:F3906"/>
    <mergeCell ref="G3906:I3906"/>
    <mergeCell ref="U3875:U3876"/>
    <mergeCell ref="D3876:F3876"/>
    <mergeCell ref="G3876:I3876"/>
    <mergeCell ref="M3902:Q3902"/>
    <mergeCell ref="M3903:Q3903"/>
    <mergeCell ref="D3891:I3891"/>
    <mergeCell ref="J3891:K3891"/>
    <mergeCell ref="D3902:I3903"/>
    <mergeCell ref="J3902:K3903"/>
    <mergeCell ref="T3905:T3906"/>
    <mergeCell ref="S3905:S3906"/>
    <mergeCell ref="N3875:N3876"/>
    <mergeCell ref="Q3905:Q3906"/>
    <mergeCell ref="M3891:Q3891"/>
    <mergeCell ref="S3895:S3896"/>
    <mergeCell ref="T3895:T3896"/>
    <mergeCell ref="R3895:R3896"/>
    <mergeCell ref="S3875:S3876"/>
    <mergeCell ref="Q3895:Q3896"/>
    <mergeCell ref="D3872:I3873"/>
    <mergeCell ref="T3875:T3876"/>
    <mergeCell ref="O3865:O3866"/>
    <mergeCell ref="Q3865:Q3866"/>
    <mergeCell ref="R3865:R3866"/>
    <mergeCell ref="J3892:K3893"/>
    <mergeCell ref="U3915:U3916"/>
    <mergeCell ref="D3916:F3916"/>
    <mergeCell ref="G3916:I3916"/>
    <mergeCell ref="D3921:I3921"/>
    <mergeCell ref="J3921:K3921"/>
    <mergeCell ref="M3921:Q3921"/>
    <mergeCell ref="L3915:L3916"/>
    <mergeCell ref="M3915:M3916"/>
    <mergeCell ref="N3915:N3916"/>
    <mergeCell ref="O3915:O3916"/>
    <mergeCell ref="Q3915:Q3916"/>
    <mergeCell ref="R3915:R3916"/>
    <mergeCell ref="D3912:I3913"/>
    <mergeCell ref="J3912:K3913"/>
    <mergeCell ref="L3872:L3873"/>
    <mergeCell ref="L3892:L3893"/>
    <mergeCell ref="M3892:Q3892"/>
    <mergeCell ref="M3893:Q3893"/>
    <mergeCell ref="D3875:I3875"/>
    <mergeCell ref="L3875:L3876"/>
    <mergeCell ref="M3875:M3876"/>
    <mergeCell ref="R3905:R3906"/>
    <mergeCell ref="L3902:L3903"/>
    <mergeCell ref="D3905:I3905"/>
    <mergeCell ref="L3905:L3906"/>
    <mergeCell ref="M3905:M3906"/>
    <mergeCell ref="N3905:N3906"/>
    <mergeCell ref="O3905:O3906"/>
    <mergeCell ref="L3912:L3913"/>
    <mergeCell ref="S3915:S3916"/>
    <mergeCell ref="M3913:Q3913"/>
    <mergeCell ref="T3915:T3916"/>
    <mergeCell ref="B3790:B3791"/>
    <mergeCell ref="B3865:B3866"/>
    <mergeCell ref="C3865:C3866"/>
    <mergeCell ref="D3865:I3865"/>
    <mergeCell ref="J3865:J3866"/>
    <mergeCell ref="K3865:K3866"/>
    <mergeCell ref="M3833:Q3833"/>
    <mergeCell ref="J3871:K3871"/>
    <mergeCell ref="T3846:T3847"/>
    <mergeCell ref="T3836:T3837"/>
    <mergeCell ref="O3875:O3876"/>
    <mergeCell ref="Q3875:Q3876"/>
    <mergeCell ref="R3875:R3876"/>
    <mergeCell ref="M3871:Q3871"/>
    <mergeCell ref="G3866:I3866"/>
    <mergeCell ref="D3846:I3846"/>
    <mergeCell ref="J3875:J3876"/>
    <mergeCell ref="D3871:I3871"/>
    <mergeCell ref="J3872:K3873"/>
    <mergeCell ref="J3862:K3863"/>
    <mergeCell ref="L3862:L3863"/>
    <mergeCell ref="M3836:M3837"/>
    <mergeCell ref="N3836:N3837"/>
    <mergeCell ref="M3872:Q3872"/>
    <mergeCell ref="M3873:Q3873"/>
    <mergeCell ref="M3862:Q3862"/>
    <mergeCell ref="K3875:K3876"/>
    <mergeCell ref="R3836:R3837"/>
    <mergeCell ref="M3861:Q3861"/>
    <mergeCell ref="D3862:I3863"/>
    <mergeCell ref="D3843:I3844"/>
    <mergeCell ref="N3865:N3866"/>
    <mergeCell ref="B3905:B3906"/>
    <mergeCell ref="J3832:K3832"/>
    <mergeCell ref="C3905:C3906"/>
    <mergeCell ref="J3905:J3906"/>
    <mergeCell ref="B3770:B3771"/>
    <mergeCell ref="C3770:C3771"/>
    <mergeCell ref="D3770:I3770"/>
    <mergeCell ref="J3770:J3771"/>
    <mergeCell ref="K3770:K3771"/>
    <mergeCell ref="M3865:M3866"/>
    <mergeCell ref="B3760:B3761"/>
    <mergeCell ref="B3875:B3876"/>
    <mergeCell ref="C3875:C3876"/>
    <mergeCell ref="C3790:C3791"/>
    <mergeCell ref="D3790:I3790"/>
    <mergeCell ref="D3861:I3861"/>
    <mergeCell ref="D3796:I3796"/>
    <mergeCell ref="D3786:I3786"/>
    <mergeCell ref="J3797:K3798"/>
    <mergeCell ref="L3797:L3798"/>
    <mergeCell ref="M3797:Q3797"/>
    <mergeCell ref="M3798:Q3798"/>
    <mergeCell ref="O3836:O3837"/>
    <mergeCell ref="Q3836:Q3837"/>
    <mergeCell ref="J3787:K3788"/>
    <mergeCell ref="L3787:L3788"/>
    <mergeCell ref="B3846:B3847"/>
    <mergeCell ref="C3846:C3847"/>
    <mergeCell ref="B3836:B3837"/>
    <mergeCell ref="C3836:C3837"/>
    <mergeCell ref="D3836:I3836"/>
    <mergeCell ref="J3836:J3837"/>
    <mergeCell ref="M3758:Q3758"/>
    <mergeCell ref="M3922:Q3922"/>
    <mergeCell ref="M3923:Q3923"/>
    <mergeCell ref="L3711:L3712"/>
    <mergeCell ref="D3915:I3915"/>
    <mergeCell ref="D3895:I3895"/>
    <mergeCell ref="M3863:Q3863"/>
    <mergeCell ref="C3760:C3761"/>
    <mergeCell ref="D3776:I3776"/>
    <mergeCell ref="K3760:K3761"/>
    <mergeCell ref="D3896:F3896"/>
    <mergeCell ref="G3896:I3896"/>
    <mergeCell ref="J3711:K3712"/>
    <mergeCell ref="D3711:I3712"/>
    <mergeCell ref="J3596:K3597"/>
    <mergeCell ref="J3586:K3587"/>
    <mergeCell ref="K3836:K3837"/>
    <mergeCell ref="J3833:K3834"/>
    <mergeCell ref="G3847:I3847"/>
    <mergeCell ref="L3846:L3847"/>
    <mergeCell ref="M3846:M3847"/>
    <mergeCell ref="N3846:N3847"/>
    <mergeCell ref="O3846:O3847"/>
    <mergeCell ref="Q3846:Q3847"/>
    <mergeCell ref="D3847:F3847"/>
    <mergeCell ref="M3770:M3771"/>
    <mergeCell ref="D3760:I3760"/>
    <mergeCell ref="J3760:J3761"/>
    <mergeCell ref="M3756:Q3756"/>
    <mergeCell ref="L3714:L3715"/>
    <mergeCell ref="M3714:M3715"/>
    <mergeCell ref="N3714:N3715"/>
    <mergeCell ref="D128:F128"/>
    <mergeCell ref="D154:I154"/>
    <mergeCell ref="D130:F130"/>
    <mergeCell ref="G133:I133"/>
    <mergeCell ref="D185:F185"/>
    <mergeCell ref="G130:I130"/>
    <mergeCell ref="D133:F133"/>
    <mergeCell ref="G185:I185"/>
    <mergeCell ref="D142:F142"/>
    <mergeCell ref="D137:F137"/>
    <mergeCell ref="D146:F146"/>
    <mergeCell ref="G146:I146"/>
    <mergeCell ref="D147:F147"/>
    <mergeCell ref="D135:F135"/>
    <mergeCell ref="G135:I135"/>
    <mergeCell ref="D136:F136"/>
    <mergeCell ref="G178:I178"/>
    <mergeCell ref="D134:F134"/>
    <mergeCell ref="G142:I142"/>
    <mergeCell ref="D143:F143"/>
    <mergeCell ref="G143:I143"/>
    <mergeCell ref="G162:I162"/>
    <mergeCell ref="G165:I165"/>
    <mergeCell ref="D144:F144"/>
    <mergeCell ref="G144:I144"/>
    <mergeCell ref="D150:F150"/>
    <mergeCell ref="G150:I150"/>
    <mergeCell ref="D149:F149"/>
    <mergeCell ref="G149:I149"/>
    <mergeCell ref="D138:F138"/>
    <mergeCell ref="G138:I138"/>
    <mergeCell ref="G139:I139"/>
    <mergeCell ref="C3895:C3896"/>
    <mergeCell ref="J3895:J3896"/>
    <mergeCell ref="K3895:K3896"/>
    <mergeCell ref="J3843:K3844"/>
    <mergeCell ref="G128:I128"/>
    <mergeCell ref="D129:F129"/>
    <mergeCell ref="G129:I129"/>
    <mergeCell ref="D131:F131"/>
    <mergeCell ref="G131:I131"/>
    <mergeCell ref="D183:F183"/>
    <mergeCell ref="G183:I183"/>
    <mergeCell ref="B4002:B4003"/>
    <mergeCell ref="C4002:C4003"/>
    <mergeCell ref="D4002:I4002"/>
    <mergeCell ref="G3963:I3963"/>
    <mergeCell ref="D3964:F3964"/>
    <mergeCell ref="G3964:I3964"/>
    <mergeCell ref="D3965:F3965"/>
    <mergeCell ref="G3965:I3965"/>
    <mergeCell ref="D3966:F3966"/>
    <mergeCell ref="G193:I193"/>
    <mergeCell ref="D194:F194"/>
    <mergeCell ref="G194:I194"/>
    <mergeCell ref="G177:I177"/>
    <mergeCell ref="G232:I232"/>
    <mergeCell ref="D3187:I3188"/>
    <mergeCell ref="G3973:I3973"/>
    <mergeCell ref="D2904:I2905"/>
    <mergeCell ref="D233:F233"/>
    <mergeCell ref="G163:I163"/>
    <mergeCell ref="G134:I134"/>
    <mergeCell ref="D186:F186"/>
    <mergeCell ref="M3757:Q3757"/>
    <mergeCell ref="M3955:Q3955"/>
    <mergeCell ref="G3949:I3949"/>
    <mergeCell ref="B3960:B3961"/>
    <mergeCell ref="C3960:C3961"/>
    <mergeCell ref="D238:F238"/>
    <mergeCell ref="G238:I238"/>
    <mergeCell ref="D239:F239"/>
    <mergeCell ref="G239:I239"/>
    <mergeCell ref="B3948:B3949"/>
    <mergeCell ref="C3948:C3949"/>
    <mergeCell ref="D3901:I3901"/>
    <mergeCell ref="J3901:K3901"/>
    <mergeCell ref="M3901:Q3901"/>
    <mergeCell ref="L3895:L3896"/>
    <mergeCell ref="M3895:M3896"/>
    <mergeCell ref="N3895:N3896"/>
    <mergeCell ref="O3895:O3896"/>
    <mergeCell ref="D260:F260"/>
    <mergeCell ref="B3926:B3927"/>
    <mergeCell ref="C3926:C3927"/>
    <mergeCell ref="D2975:I2976"/>
    <mergeCell ref="D3892:I3893"/>
    <mergeCell ref="L3865:L3866"/>
    <mergeCell ref="M3956:Q3956"/>
    <mergeCell ref="K3960:K3961"/>
    <mergeCell ref="L3960:L3961"/>
    <mergeCell ref="B3915:B3916"/>
    <mergeCell ref="C3915:C3916"/>
    <mergeCell ref="J3915:J3916"/>
    <mergeCell ref="B3895:B3896"/>
    <mergeCell ref="D3960:I3960"/>
    <mergeCell ref="U4002:U4003"/>
    <mergeCell ref="J3955:K3956"/>
    <mergeCell ref="T3960:T3961"/>
    <mergeCell ref="Q3960:Q3961"/>
    <mergeCell ref="J4002:J4003"/>
    <mergeCell ref="L4002:L4003"/>
    <mergeCell ref="G3958:L3958"/>
    <mergeCell ref="J3998:K3998"/>
    <mergeCell ref="D3980:F3980"/>
    <mergeCell ref="U3926:U3927"/>
    <mergeCell ref="R3926:R3927"/>
    <mergeCell ref="D3961:F3961"/>
    <mergeCell ref="M3998:Q3998"/>
    <mergeCell ref="J3999:K4000"/>
    <mergeCell ref="L3999:L4000"/>
    <mergeCell ref="M3999:Q3999"/>
    <mergeCell ref="D258:F258"/>
    <mergeCell ref="G258:I258"/>
    <mergeCell ref="M3960:M3961"/>
    <mergeCell ref="N3960:N3961"/>
    <mergeCell ref="D318:F318"/>
    <mergeCell ref="M3912:Q3912"/>
    <mergeCell ref="J3911:K3911"/>
    <mergeCell ref="M3911:Q3911"/>
    <mergeCell ref="D3954:I3954"/>
    <mergeCell ref="J3786:K3786"/>
    <mergeCell ref="D3945:I3946"/>
    <mergeCell ref="J3676:K3677"/>
    <mergeCell ref="D3318:I3319"/>
    <mergeCell ref="D3833:I3834"/>
    <mergeCell ref="J3776:K3776"/>
    <mergeCell ref="D3797:I3798"/>
    <mergeCell ref="R4083:R4084"/>
    <mergeCell ref="S4083:S4084"/>
    <mergeCell ref="T4083:T4084"/>
    <mergeCell ref="U4083:U4084"/>
    <mergeCell ref="D4344:F4344"/>
    <mergeCell ref="G4344:I4344"/>
    <mergeCell ref="M4002:M4003"/>
    <mergeCell ref="M4000:Q4000"/>
    <mergeCell ref="S3926:S3927"/>
    <mergeCell ref="T3926:T3927"/>
    <mergeCell ref="T3948:T3949"/>
    <mergeCell ref="D3955:I3956"/>
    <mergeCell ref="R4056:R4057"/>
    <mergeCell ref="S4056:S4057"/>
    <mergeCell ref="M4311:Q4311"/>
    <mergeCell ref="M4312:Q4312"/>
    <mergeCell ref="G4263:I4263"/>
    <mergeCell ref="D4273:F4273"/>
    <mergeCell ref="G4273:I4273"/>
    <mergeCell ref="D4274:F4274"/>
    <mergeCell ref="G4274:I4274"/>
    <mergeCell ref="D4275:F4275"/>
    <mergeCell ref="G4275:I4275"/>
    <mergeCell ref="D3973:F3973"/>
    <mergeCell ref="G3980:I3980"/>
    <mergeCell ref="N4250:N4251"/>
    <mergeCell ref="U3960:U3961"/>
    <mergeCell ref="O3960:O3961"/>
    <mergeCell ref="N4002:N4003"/>
    <mergeCell ref="O4002:O4003"/>
    <mergeCell ref="Q4002:Q4003"/>
    <mergeCell ref="R4002:R4003"/>
    <mergeCell ref="S3948:S3949"/>
    <mergeCell ref="D3969:F3969"/>
    <mergeCell ref="G3969:I3969"/>
    <mergeCell ref="D4058:F4058"/>
    <mergeCell ref="G4058:I4058"/>
    <mergeCell ref="M3944:Q3944"/>
    <mergeCell ref="L3926:L3927"/>
    <mergeCell ref="M3926:M3927"/>
    <mergeCell ref="N3926:N3927"/>
    <mergeCell ref="D4059:F4059"/>
    <mergeCell ref="G4059:I4059"/>
    <mergeCell ref="D4060:F4060"/>
    <mergeCell ref="G4060:I4060"/>
    <mergeCell ref="D4061:F4061"/>
    <mergeCell ref="J4080:K4081"/>
    <mergeCell ref="G3961:I3961"/>
    <mergeCell ref="U4056:U4057"/>
    <mergeCell ref="T4056:T4057"/>
    <mergeCell ref="M4052:Q4052"/>
    <mergeCell ref="J4053:K4054"/>
    <mergeCell ref="M4053:Q4053"/>
    <mergeCell ref="M4054:Q4054"/>
    <mergeCell ref="S4002:S4003"/>
    <mergeCell ref="T4002:T4003"/>
    <mergeCell ref="J3960:J3961"/>
    <mergeCell ref="N3948:N3949"/>
    <mergeCell ref="O3948:O3949"/>
    <mergeCell ref="Q3948:Q3949"/>
    <mergeCell ref="R3948:R3949"/>
    <mergeCell ref="U3948:U3949"/>
    <mergeCell ref="R3960:R3961"/>
    <mergeCell ref="S3960:S3961"/>
    <mergeCell ref="B4056:B4057"/>
    <mergeCell ref="J3922:K3923"/>
    <mergeCell ref="L3922:L3923"/>
    <mergeCell ref="O3926:O3927"/>
    <mergeCell ref="Q3926:Q3927"/>
    <mergeCell ref="J3954:K3954"/>
    <mergeCell ref="M3954:Q3954"/>
    <mergeCell ref="L3948:L3949"/>
    <mergeCell ref="M3948:M3949"/>
    <mergeCell ref="D4314:I4314"/>
    <mergeCell ref="D3998:I3998"/>
    <mergeCell ref="D3999:I4000"/>
    <mergeCell ref="D4080:I4081"/>
    <mergeCell ref="D4213:I4213"/>
    <mergeCell ref="D4214:I4215"/>
    <mergeCell ref="D4257:I4257"/>
    <mergeCell ref="D4263:F4263"/>
    <mergeCell ref="M3945:Q3945"/>
    <mergeCell ref="M3946:Q3946"/>
    <mergeCell ref="D3948:I3948"/>
    <mergeCell ref="J3948:J3949"/>
    <mergeCell ref="K3948:K3949"/>
    <mergeCell ref="L3945:L3946"/>
    <mergeCell ref="C4056:C4057"/>
    <mergeCell ref="D4056:I4056"/>
    <mergeCell ref="J4056:J4057"/>
    <mergeCell ref="K4056:K4057"/>
    <mergeCell ref="L4056:L4057"/>
    <mergeCell ref="M4056:M4057"/>
    <mergeCell ref="N4056:N4057"/>
    <mergeCell ref="O4056:O4057"/>
    <mergeCell ref="Q4056:Q4057"/>
    <mergeCell ref="M4083:M4084"/>
    <mergeCell ref="N4083:N4084"/>
    <mergeCell ref="O4083:O4084"/>
    <mergeCell ref="Q4083:Q4084"/>
    <mergeCell ref="D4079:I4079"/>
    <mergeCell ref="J4079:K4079"/>
    <mergeCell ref="M4079:Q4079"/>
    <mergeCell ref="J4213:K4213"/>
    <mergeCell ref="M4213:Q4213"/>
    <mergeCell ref="B4380:B4381"/>
    <mergeCell ref="C4380:C4381"/>
    <mergeCell ref="D4380:I4380"/>
    <mergeCell ref="J4380:J4381"/>
    <mergeCell ref="K4380:K4381"/>
    <mergeCell ref="B4261:B4262"/>
    <mergeCell ref="C4261:C4262"/>
    <mergeCell ref="D4334:F4334"/>
    <mergeCell ref="G4334:I4334"/>
    <mergeCell ref="D4336:F4336"/>
    <mergeCell ref="G4336:I4336"/>
    <mergeCell ref="C4217:C4218"/>
    <mergeCell ref="K4217:K4218"/>
    <mergeCell ref="D4331:F4331"/>
    <mergeCell ref="G4331:I4331"/>
    <mergeCell ref="D4325:F4325"/>
    <mergeCell ref="M4214:Q4214"/>
    <mergeCell ref="G4343:I4343"/>
    <mergeCell ref="D4351:F4351"/>
    <mergeCell ref="G4351:I4351"/>
    <mergeCell ref="D4353:F4353"/>
    <mergeCell ref="G4353:I4353"/>
    <mergeCell ref="D4345:F4345"/>
    <mergeCell ref="L4314:L4315"/>
    <mergeCell ref="B4083:B4084"/>
    <mergeCell ref="C4083:C4084"/>
    <mergeCell ref="D4083:I4083"/>
    <mergeCell ref="J4083:J4084"/>
    <mergeCell ref="K4083:K4084"/>
    <mergeCell ref="L4083:L4084"/>
    <mergeCell ref="G4325:I4325"/>
    <mergeCell ref="D4326:F4326"/>
    <mergeCell ref="G4326:I4326"/>
    <mergeCell ref="D4327:F4327"/>
    <mergeCell ref="G4327:I4327"/>
    <mergeCell ref="D4328:F4328"/>
    <mergeCell ref="G4328:I4328"/>
    <mergeCell ref="D4329:F4329"/>
    <mergeCell ref="G4276:I4276"/>
    <mergeCell ref="D4277:F4277"/>
    <mergeCell ref="D4265:F4265"/>
    <mergeCell ref="G4298:I4298"/>
    <mergeCell ref="D4323:F4323"/>
    <mergeCell ref="D4318:F4318"/>
    <mergeCell ref="M4215:Q4215"/>
    <mergeCell ref="G4268:I4268"/>
    <mergeCell ref="D4269:F4269"/>
    <mergeCell ref="G4299:I4299"/>
    <mergeCell ref="D4284:F4284"/>
    <mergeCell ref="G4284:I4284"/>
    <mergeCell ref="D4287:F4287"/>
    <mergeCell ref="Q4217:Q4218"/>
    <mergeCell ref="G4294:I4294"/>
    <mergeCell ref="L4311:L4312"/>
    <mergeCell ref="D4309:F4309"/>
    <mergeCell ref="G4309:I4309"/>
    <mergeCell ref="D4311:I4312"/>
    <mergeCell ref="J4377:K4378"/>
    <mergeCell ref="L4377:L4378"/>
    <mergeCell ref="M4377:Q4377"/>
    <mergeCell ref="M4378:Q4378"/>
    <mergeCell ref="D4367:F4367"/>
    <mergeCell ref="Q4261:Q4262"/>
    <mergeCell ref="D4362:I4362"/>
    <mergeCell ref="D4343:F4343"/>
    <mergeCell ref="G4265:I4265"/>
    <mergeCell ref="D4290:F4290"/>
    <mergeCell ref="G4290:I4290"/>
    <mergeCell ref="D4264:F4264"/>
    <mergeCell ref="G4264:I4264"/>
    <mergeCell ref="D4357:F4357"/>
    <mergeCell ref="G4357:I4357"/>
    <mergeCell ref="D4270:F4270"/>
    <mergeCell ref="G4270:I4270"/>
    <mergeCell ref="D4299:F4299"/>
    <mergeCell ref="G4345:I4345"/>
    <mergeCell ref="N4613:N4614"/>
    <mergeCell ref="O4613:O4614"/>
    <mergeCell ref="P4613:P4614"/>
    <mergeCell ref="Q4613:Q4614"/>
    <mergeCell ref="B4426:B4427"/>
    <mergeCell ref="C4426:C4427"/>
    <mergeCell ref="D4426:I4426"/>
    <mergeCell ref="J4426:J4427"/>
    <mergeCell ref="K4426:K4427"/>
    <mergeCell ref="M4314:M4315"/>
    <mergeCell ref="N4314:N4315"/>
    <mergeCell ref="D4398:F4398"/>
    <mergeCell ref="G4398:I4398"/>
    <mergeCell ref="L4380:L4381"/>
    <mergeCell ref="M4380:M4381"/>
    <mergeCell ref="N4380:N4381"/>
    <mergeCell ref="D4393:F4393"/>
    <mergeCell ref="G4393:I4393"/>
    <mergeCell ref="G4389:I4389"/>
    <mergeCell ref="G4402:I4402"/>
    <mergeCell ref="G4395:I4395"/>
    <mergeCell ref="D4403:F4403"/>
    <mergeCell ref="G4403:I4403"/>
    <mergeCell ref="D4395:F4395"/>
    <mergeCell ref="D4397:F4397"/>
    <mergeCell ref="G4397:I4397"/>
    <mergeCell ref="D4396:F4396"/>
    <mergeCell ref="G4396:I4396"/>
    <mergeCell ref="D4386:F4386"/>
    <mergeCell ref="G4386:I4386"/>
    <mergeCell ref="D4355:F4355"/>
    <mergeCell ref="G4318:I4318"/>
    <mergeCell ref="U4613:U4614"/>
    <mergeCell ref="D4614:F4614"/>
    <mergeCell ref="G4614:I4614"/>
    <mergeCell ref="D4650:I4650"/>
    <mergeCell ref="J4650:K4650"/>
    <mergeCell ref="M4650:Q4650"/>
    <mergeCell ref="D4651:I4652"/>
    <mergeCell ref="J4651:K4652"/>
    <mergeCell ref="L4651:L4652"/>
    <mergeCell ref="M4651:Q4651"/>
    <mergeCell ref="M4652:Q4652"/>
    <mergeCell ref="S4694:S4695"/>
    <mergeCell ref="T4694:T4695"/>
    <mergeCell ref="U4694:U4695"/>
    <mergeCell ref="T4613:T4614"/>
    <mergeCell ref="R4694:R4695"/>
    <mergeCell ref="R4613:R4614"/>
    <mergeCell ref="S4613:S4614"/>
    <mergeCell ref="T4690:U4692"/>
    <mergeCell ref="T4650:U4652"/>
    <mergeCell ref="J4691:K4692"/>
    <mergeCell ref="L4691:L4692"/>
    <mergeCell ref="M4691:Q4691"/>
    <mergeCell ref="M4692:Q4692"/>
    <mergeCell ref="D4694:I4694"/>
    <mergeCell ref="J4694:J4695"/>
    <mergeCell ref="K4694:K4695"/>
    <mergeCell ref="G4695:I4695"/>
    <mergeCell ref="P4694:P4695"/>
    <mergeCell ref="Q4694:Q4695"/>
    <mergeCell ref="D4691:I4692"/>
    <mergeCell ref="D4654:I4654"/>
    <mergeCell ref="U4703:U4704"/>
    <mergeCell ref="T4734:U4736"/>
    <mergeCell ref="R4703:R4704"/>
    <mergeCell ref="B4703:B4704"/>
    <mergeCell ref="D4734:I4734"/>
    <mergeCell ref="J4734:K4734"/>
    <mergeCell ref="D4698:F4698"/>
    <mergeCell ref="G4698:I4698"/>
    <mergeCell ref="D4699:I4699"/>
    <mergeCell ref="J4699:K4699"/>
    <mergeCell ref="M4699:Q4699"/>
    <mergeCell ref="D4700:I4701"/>
    <mergeCell ref="L4694:L4695"/>
    <mergeCell ref="M4694:M4695"/>
    <mergeCell ref="N4694:N4695"/>
    <mergeCell ref="O4694:O4695"/>
    <mergeCell ref="S4654:S4655"/>
    <mergeCell ref="T4654:T4655"/>
    <mergeCell ref="C4703:C4704"/>
    <mergeCell ref="D4703:I4703"/>
    <mergeCell ref="J4703:J4704"/>
    <mergeCell ref="K4703:K4704"/>
    <mergeCell ref="L4703:L4704"/>
    <mergeCell ref="M4703:M4704"/>
    <mergeCell ref="N4703:N4704"/>
    <mergeCell ref="O4703:O4704"/>
    <mergeCell ref="P4703:P4704"/>
    <mergeCell ref="Q4703:Q4704"/>
    <mergeCell ref="U4654:U4655"/>
    <mergeCell ref="D4655:F4655"/>
    <mergeCell ref="G4655:I4655"/>
    <mergeCell ref="B4694:B4695"/>
    <mergeCell ref="R4776:R4777"/>
    <mergeCell ref="L4738:L4739"/>
    <mergeCell ref="S4738:S4739"/>
    <mergeCell ref="S4776:S4777"/>
    <mergeCell ref="B4767:B4768"/>
    <mergeCell ref="C4767:C4768"/>
    <mergeCell ref="B4654:B4655"/>
    <mergeCell ref="C4654:C4655"/>
    <mergeCell ref="J4654:J4655"/>
    <mergeCell ref="K4654:K4655"/>
    <mergeCell ref="L4654:L4655"/>
    <mergeCell ref="M4654:M4655"/>
    <mergeCell ref="N4654:N4655"/>
    <mergeCell ref="O4654:O4655"/>
    <mergeCell ref="P4654:P4655"/>
    <mergeCell ref="Q4654:Q4655"/>
    <mergeCell ref="R4654:R4655"/>
    <mergeCell ref="M4767:M4768"/>
    <mergeCell ref="N4767:N4768"/>
    <mergeCell ref="O4767:O4768"/>
    <mergeCell ref="J4773:K4774"/>
    <mergeCell ref="L4773:L4774"/>
    <mergeCell ref="M4773:Q4773"/>
    <mergeCell ref="B4776:B4777"/>
    <mergeCell ref="C4776:C4777"/>
    <mergeCell ref="D4776:I4776"/>
    <mergeCell ref="M4080:Q4080"/>
    <mergeCell ref="M4081:Q4081"/>
    <mergeCell ref="B4250:B4251"/>
    <mergeCell ref="C4250:C4251"/>
    <mergeCell ref="M4250:M4251"/>
    <mergeCell ref="B4217:B4218"/>
    <mergeCell ref="B4314:B4315"/>
    <mergeCell ref="C4314:C4315"/>
    <mergeCell ref="G4513:I4513"/>
    <mergeCell ref="B4366:B4367"/>
    <mergeCell ref="S4703:S4704"/>
    <mergeCell ref="C4694:C4695"/>
    <mergeCell ref="D4704:F4704"/>
    <mergeCell ref="G4704:I4704"/>
    <mergeCell ref="B4613:B4614"/>
    <mergeCell ref="C4613:C4614"/>
    <mergeCell ref="D4613:I4613"/>
    <mergeCell ref="J4613:J4614"/>
    <mergeCell ref="K4613:K4614"/>
    <mergeCell ref="C4366:C4367"/>
    <mergeCell ref="G4388:I4388"/>
    <mergeCell ref="D4421:F4421"/>
    <mergeCell ref="G4421:I4421"/>
    <mergeCell ref="D4338:F4338"/>
    <mergeCell ref="G4338:I4338"/>
    <mergeCell ref="D4337:F4337"/>
    <mergeCell ref="D4347:F4347"/>
    <mergeCell ref="G4347:I4347"/>
    <mergeCell ref="D4399:F4399"/>
    <mergeCell ref="G4350:I4350"/>
    <mergeCell ref="L4613:L4614"/>
    <mergeCell ref="M4613:M4614"/>
    <mergeCell ref="J4776:J4777"/>
    <mergeCell ref="K4776:K4777"/>
    <mergeCell ref="L4776:L4777"/>
    <mergeCell ref="M4734:Q4734"/>
    <mergeCell ref="J4700:K4701"/>
    <mergeCell ref="L4700:L4701"/>
    <mergeCell ref="M4700:Q4700"/>
    <mergeCell ref="M4701:Q4701"/>
    <mergeCell ref="D4689:F4689"/>
    <mergeCell ref="G4689:I4689"/>
    <mergeCell ref="D4690:I4690"/>
    <mergeCell ref="D4695:F4695"/>
    <mergeCell ref="M4690:Q4690"/>
    <mergeCell ref="J4690:K4690"/>
    <mergeCell ref="G4777:I4777"/>
    <mergeCell ref="B4738:B4739"/>
    <mergeCell ref="C4738:C4739"/>
    <mergeCell ref="M4735:Q4735"/>
    <mergeCell ref="M4736:Q4736"/>
    <mergeCell ref="M4774:Q4774"/>
    <mergeCell ref="M4776:M4777"/>
    <mergeCell ref="N4776:N4777"/>
    <mergeCell ref="O4776:O4777"/>
    <mergeCell ref="P4776:P4777"/>
    <mergeCell ref="Q4776:Q4777"/>
    <mergeCell ref="Q4767:Q4768"/>
    <mergeCell ref="J4782:K4783"/>
    <mergeCell ref="L4782:L4783"/>
    <mergeCell ref="M4782:Q4782"/>
    <mergeCell ref="M4783:Q4783"/>
    <mergeCell ref="D132:F132"/>
    <mergeCell ref="G132:I132"/>
    <mergeCell ref="D184:F184"/>
    <mergeCell ref="G184:I184"/>
    <mergeCell ref="D263:F263"/>
    <mergeCell ref="G263:I263"/>
    <mergeCell ref="D326:F326"/>
    <mergeCell ref="G326:I326"/>
    <mergeCell ref="G4739:I4739"/>
    <mergeCell ref="D4762:F4762"/>
    <mergeCell ref="G4762:I4762"/>
    <mergeCell ref="D4763:I4763"/>
    <mergeCell ref="J4763:K4763"/>
    <mergeCell ref="M4763:Q4763"/>
    <mergeCell ref="D4764:I4765"/>
    <mergeCell ref="J4764:K4765"/>
    <mergeCell ref="N4738:N4739"/>
    <mergeCell ref="O4738:O4739"/>
    <mergeCell ref="G233:I233"/>
    <mergeCell ref="D234:F234"/>
    <mergeCell ref="G234:I234"/>
    <mergeCell ref="G321:I321"/>
    <mergeCell ref="D163:F163"/>
    <mergeCell ref="D188:F188"/>
    <mergeCell ref="G188:I188"/>
    <mergeCell ref="D166:F166"/>
    <mergeCell ref="D178:F178"/>
    <mergeCell ref="D4738:I4738"/>
    <mergeCell ref="G224:I224"/>
    <mergeCell ref="D196:F196"/>
    <mergeCell ref="G260:I260"/>
    <mergeCell ref="D314:F314"/>
    <mergeCell ref="G314:I314"/>
    <mergeCell ref="D315:F315"/>
    <mergeCell ref="G315:I315"/>
    <mergeCell ref="D254:F254"/>
    <mergeCell ref="G254:I254"/>
    <mergeCell ref="D261:F261"/>
    <mergeCell ref="G261:I261"/>
    <mergeCell ref="D3970:F3970"/>
    <mergeCell ref="G3970:I3970"/>
    <mergeCell ref="D3972:F3972"/>
    <mergeCell ref="G3972:I3972"/>
    <mergeCell ref="D4068:F4068"/>
    <mergeCell ref="G4068:I4068"/>
    <mergeCell ref="G4061:I4061"/>
    <mergeCell ref="D4057:F4057"/>
    <mergeCell ref="G4057:I4057"/>
    <mergeCell ref="D4062:F4062"/>
    <mergeCell ref="G2775:L2775"/>
    <mergeCell ref="D337:F337"/>
    <mergeCell ref="G337:I337"/>
    <mergeCell ref="G4003:I4003"/>
    <mergeCell ref="D3982:F3982"/>
    <mergeCell ref="D275:F275"/>
    <mergeCell ref="G275:I275"/>
    <mergeCell ref="D338:F338"/>
    <mergeCell ref="G338:I338"/>
    <mergeCell ref="G3966:I3966"/>
    <mergeCell ref="L3136:L3137"/>
    <mergeCell ref="G273:I273"/>
    <mergeCell ref="D274:F274"/>
    <mergeCell ref="G136:I136"/>
    <mergeCell ref="D187:F187"/>
    <mergeCell ref="G187:I187"/>
    <mergeCell ref="D2771:I2772"/>
    <mergeCell ref="G3974:I3974"/>
    <mergeCell ref="D3926:I3926"/>
    <mergeCell ref="J3926:J3927"/>
    <mergeCell ref="K3926:K3927"/>
    <mergeCell ref="D3866:F3866"/>
    <mergeCell ref="L3843:L3844"/>
    <mergeCell ref="D3756:I3756"/>
    <mergeCell ref="G272:I272"/>
    <mergeCell ref="D323:F323"/>
    <mergeCell ref="G323:I323"/>
    <mergeCell ref="D328:F328"/>
    <mergeCell ref="G328:I328"/>
    <mergeCell ref="D262:F262"/>
    <mergeCell ref="G262:I262"/>
    <mergeCell ref="D240:F240"/>
    <mergeCell ref="G240:I240"/>
    <mergeCell ref="D241:F241"/>
    <mergeCell ref="G241:I241"/>
    <mergeCell ref="G166:I166"/>
    <mergeCell ref="G252:I252"/>
    <mergeCell ref="D253:F253"/>
    <mergeCell ref="G253:I253"/>
    <mergeCell ref="G141:I141"/>
    <mergeCell ref="D164:F164"/>
    <mergeCell ref="G164:I164"/>
    <mergeCell ref="D165:F165"/>
    <mergeCell ref="D340:F340"/>
    <mergeCell ref="G340:I340"/>
    <mergeCell ref="D336:F336"/>
    <mergeCell ref="G336:I336"/>
    <mergeCell ref="G2549:L2549"/>
    <mergeCell ref="D2545:I2546"/>
    <mergeCell ref="D3979:F3979"/>
    <mergeCell ref="J4214:K4215"/>
    <mergeCell ref="D3976:F3976"/>
    <mergeCell ref="G3976:I3976"/>
    <mergeCell ref="D3975:F3975"/>
    <mergeCell ref="J3197:K3198"/>
    <mergeCell ref="L3197:L3198"/>
    <mergeCell ref="J3187:K3188"/>
    <mergeCell ref="L3187:L3188"/>
    <mergeCell ref="J3177:K3178"/>
    <mergeCell ref="L3177:L3178"/>
    <mergeCell ref="J3167:K3168"/>
    <mergeCell ref="L3167:L3168"/>
    <mergeCell ref="J3156:K3157"/>
    <mergeCell ref="L3156:L3157"/>
    <mergeCell ref="J3686:K3687"/>
    <mergeCell ref="J3756:K3756"/>
    <mergeCell ref="D3985:F3985"/>
    <mergeCell ref="G3985:I3985"/>
    <mergeCell ref="D3949:F3949"/>
    <mergeCell ref="D4003:F4003"/>
    <mergeCell ref="L3126:L3127"/>
    <mergeCell ref="L3116:L3117"/>
    <mergeCell ref="D4074:F4074"/>
    <mergeCell ref="J3052:K3053"/>
    <mergeCell ref="L3052:L3053"/>
    <mergeCell ref="G3979:I3979"/>
    <mergeCell ref="J3846:J3847"/>
    <mergeCell ref="K3846:K3847"/>
    <mergeCell ref="J3945:K3946"/>
    <mergeCell ref="D3971:F3971"/>
    <mergeCell ref="D281:F281"/>
    <mergeCell ref="G281:I281"/>
    <mergeCell ref="D3986:F3986"/>
    <mergeCell ref="G3986:I3986"/>
    <mergeCell ref="G3761:I3761"/>
    <mergeCell ref="G2353:L2353"/>
    <mergeCell ref="D283:F283"/>
    <mergeCell ref="G283:I283"/>
    <mergeCell ref="D346:F346"/>
    <mergeCell ref="G346:I346"/>
    <mergeCell ref="D335:F335"/>
    <mergeCell ref="G335:I335"/>
    <mergeCell ref="D331:F331"/>
    <mergeCell ref="G334:I334"/>
    <mergeCell ref="J3106:K3107"/>
    <mergeCell ref="L3106:L3107"/>
    <mergeCell ref="J3096:K3097"/>
    <mergeCell ref="L3096:L3097"/>
    <mergeCell ref="J3086:K3087"/>
    <mergeCell ref="L3086:L3087"/>
    <mergeCell ref="J3074:K3075"/>
    <mergeCell ref="L3074:L3075"/>
    <mergeCell ref="J3062:K3063"/>
    <mergeCell ref="L3062:L3063"/>
    <mergeCell ref="K3915:K3916"/>
    <mergeCell ref="K3905:K3906"/>
    <mergeCell ref="D321:F321"/>
    <mergeCell ref="K4002:K4003"/>
    <mergeCell ref="J3298:K3299"/>
    <mergeCell ref="J3287:K3288"/>
    <mergeCell ref="J3277:K3278"/>
    <mergeCell ref="G274:I274"/>
    <mergeCell ref="D192:F192"/>
    <mergeCell ref="G192:I192"/>
    <mergeCell ref="D271:F271"/>
    <mergeCell ref="D259:F259"/>
    <mergeCell ref="G182:I182"/>
    <mergeCell ref="G3971:I3971"/>
    <mergeCell ref="D3992:F3992"/>
    <mergeCell ref="G3992:I3992"/>
    <mergeCell ref="J3944:K3944"/>
    <mergeCell ref="D3962:F3962"/>
    <mergeCell ref="G3962:I3962"/>
    <mergeCell ref="D3963:F3963"/>
    <mergeCell ref="D3832:I3832"/>
    <mergeCell ref="D3978:F3978"/>
    <mergeCell ref="G3978:I3978"/>
    <mergeCell ref="G264:I264"/>
    <mergeCell ref="D287:I288"/>
    <mergeCell ref="G196:I196"/>
    <mergeCell ref="J3126:K3127"/>
    <mergeCell ref="J3116:K3117"/>
    <mergeCell ref="D199:F199"/>
    <mergeCell ref="D3944:I3944"/>
    <mergeCell ref="D3967:F3967"/>
    <mergeCell ref="G3967:I3967"/>
    <mergeCell ref="D3968:F3968"/>
    <mergeCell ref="G248:I248"/>
    <mergeCell ref="D249:F249"/>
    <mergeCell ref="T4887:U4887"/>
    <mergeCell ref="D145:F145"/>
    <mergeCell ref="G145:I145"/>
    <mergeCell ref="D197:F197"/>
    <mergeCell ref="G197:I197"/>
    <mergeCell ref="D198:F198"/>
    <mergeCell ref="G198:I198"/>
    <mergeCell ref="D276:F276"/>
    <mergeCell ref="G276:I276"/>
    <mergeCell ref="D339:F339"/>
    <mergeCell ref="G339:I339"/>
    <mergeCell ref="D3987:F3987"/>
    <mergeCell ref="G3987:I3987"/>
    <mergeCell ref="D4300:F4300"/>
    <mergeCell ref="G4300:I4300"/>
    <mergeCell ref="D4352:F4352"/>
    <mergeCell ref="G4352:I4352"/>
    <mergeCell ref="D4404:F4404"/>
    <mergeCell ref="D3911:I3911"/>
    <mergeCell ref="D4053:I4054"/>
    <mergeCell ref="D4276:F4276"/>
    <mergeCell ref="J3861:K3861"/>
    <mergeCell ref="D3981:F3981"/>
    <mergeCell ref="D231:F231"/>
    <mergeCell ref="G231:I231"/>
    <mergeCell ref="D232:F232"/>
    <mergeCell ref="D235:F235"/>
    <mergeCell ref="D242:F242"/>
    <mergeCell ref="G242:I242"/>
    <mergeCell ref="D161:F161"/>
    <mergeCell ref="G161:I161"/>
    <mergeCell ref="D248:F248"/>
    <mergeCell ref="T4213:U4215"/>
    <mergeCell ref="D4302:F4302"/>
    <mergeCell ref="G4302:I4302"/>
    <mergeCell ref="D4354:F4354"/>
    <mergeCell ref="G4354:I4354"/>
    <mergeCell ref="D3990:F3990"/>
    <mergeCell ref="G3990:I3990"/>
    <mergeCell ref="D4303:F4303"/>
    <mergeCell ref="G4303:I4303"/>
    <mergeCell ref="D344:F344"/>
    <mergeCell ref="G344:I344"/>
    <mergeCell ref="T1344:U1346"/>
    <mergeCell ref="J4052:K4052"/>
    <mergeCell ref="D4267:F4267"/>
    <mergeCell ref="G4267:I4267"/>
    <mergeCell ref="G3968:I3968"/>
    <mergeCell ref="D3922:I3923"/>
    <mergeCell ref="D3974:F3974"/>
    <mergeCell ref="G4069:I4069"/>
    <mergeCell ref="D3927:F3927"/>
    <mergeCell ref="G3927:I3927"/>
    <mergeCell ref="L3298:L3299"/>
    <mergeCell ref="L3287:L3288"/>
    <mergeCell ref="D4335:F4335"/>
    <mergeCell ref="G4335:I4335"/>
    <mergeCell ref="D4342:F4342"/>
    <mergeCell ref="D1589:I1589"/>
    <mergeCell ref="L3955:L3956"/>
    <mergeCell ref="L3146:L3147"/>
    <mergeCell ref="L3318:L3319"/>
    <mergeCell ref="L4214:L4215"/>
    <mergeCell ref="L4080:L4081"/>
    <mergeCell ref="G4071:I4071"/>
    <mergeCell ref="D4293:F4293"/>
    <mergeCell ref="G4074:I4074"/>
    <mergeCell ref="D4289:F4289"/>
    <mergeCell ref="D4872:F4872"/>
    <mergeCell ref="G4872:I4872"/>
    <mergeCell ref="D4782:I4783"/>
    <mergeCell ref="D4781:I4781"/>
    <mergeCell ref="D4436:F4436"/>
    <mergeCell ref="D4346:F4346"/>
    <mergeCell ref="G4346:I4346"/>
    <mergeCell ref="D4356:F4356"/>
    <mergeCell ref="G4356:I4356"/>
    <mergeCell ref="G4337:I4337"/>
    <mergeCell ref="G4532:I4532"/>
    <mergeCell ref="D4767:I4767"/>
    <mergeCell ref="D4739:F4739"/>
    <mergeCell ref="D4291:F4291"/>
    <mergeCell ref="D4528:F4528"/>
    <mergeCell ref="G4528:I4528"/>
    <mergeCell ref="D4406:F4406"/>
    <mergeCell ref="D4071:F4071"/>
    <mergeCell ref="G4404:I4404"/>
    <mergeCell ref="D4405:F4405"/>
    <mergeCell ref="G4405:I4405"/>
    <mergeCell ref="G4413:I4413"/>
    <mergeCell ref="G4390:I4390"/>
    <mergeCell ref="D4298:F4298"/>
    <mergeCell ref="G4414:I4414"/>
    <mergeCell ref="D4319:F4319"/>
    <mergeCell ref="G4319:I4319"/>
    <mergeCell ref="D4341:F4341"/>
    <mergeCell ref="L4053:L4054"/>
    <mergeCell ref="J4781:K4781"/>
    <mergeCell ref="D280:F280"/>
    <mergeCell ref="G280:I280"/>
    <mergeCell ref="D343:F343"/>
    <mergeCell ref="G343:I343"/>
    <mergeCell ref="G4436:I4436"/>
    <mergeCell ref="G4465:I4465"/>
    <mergeCell ref="D4466:F4466"/>
    <mergeCell ref="D4446:F4446"/>
    <mergeCell ref="D4522:F4522"/>
    <mergeCell ref="J4483:K4483"/>
    <mergeCell ref="G4070:I4070"/>
    <mergeCell ref="D4283:F4283"/>
    <mergeCell ref="G4283:I4283"/>
    <mergeCell ref="D4414:F4414"/>
    <mergeCell ref="D4320:F4320"/>
    <mergeCell ref="G4297:I4297"/>
    <mergeCell ref="D4409:F4409"/>
    <mergeCell ref="G4409:I4409"/>
    <mergeCell ref="D4449:F4449"/>
    <mergeCell ref="G4449:I4449"/>
    <mergeCell ref="D4450:F4450"/>
    <mergeCell ref="G4450:I4450"/>
    <mergeCell ref="G4392:I4392"/>
    <mergeCell ref="L4366:L4367"/>
    <mergeCell ref="J4362:K4362"/>
    <mergeCell ref="D4477:F4477"/>
    <mergeCell ref="G4477:I4477"/>
    <mergeCell ref="D4478:F4478"/>
    <mergeCell ref="G4478:I4478"/>
    <mergeCell ref="D4532:F4532"/>
    <mergeCell ref="T4362:U4364"/>
    <mergeCell ref="D4410:F4410"/>
    <mergeCell ref="G4410:I4410"/>
    <mergeCell ref="D4363:I4364"/>
    <mergeCell ref="U4380:U4381"/>
    <mergeCell ref="D4381:F4381"/>
    <mergeCell ref="G4381:I4381"/>
    <mergeCell ref="R4366:R4367"/>
    <mergeCell ref="S4366:S4367"/>
    <mergeCell ref="T4366:T4367"/>
    <mergeCell ref="M4362:Q4362"/>
    <mergeCell ref="J4376:K4376"/>
    <mergeCell ref="D4437:F4437"/>
    <mergeCell ref="G4437:I4437"/>
    <mergeCell ref="M4363:Q4363"/>
    <mergeCell ref="M4364:Q4364"/>
    <mergeCell ref="O4380:O4381"/>
    <mergeCell ref="P4380:P4381"/>
    <mergeCell ref="Q4380:Q4381"/>
    <mergeCell ref="D4400:F4400"/>
    <mergeCell ref="G4400:I4400"/>
    <mergeCell ref="D4401:F4401"/>
    <mergeCell ref="G4401:I4401"/>
    <mergeCell ref="R4426:R4427"/>
    <mergeCell ref="S4426:S4427"/>
    <mergeCell ref="T4426:T4427"/>
    <mergeCell ref="U4426:U4427"/>
    <mergeCell ref="D4427:F4427"/>
    <mergeCell ref="G4427:I4427"/>
    <mergeCell ref="U4366:U4367"/>
    <mergeCell ref="J4366:J4367"/>
    <mergeCell ref="K4366:K4367"/>
    <mergeCell ref="U4776:U4777"/>
    <mergeCell ref="U4767:U4768"/>
    <mergeCell ref="U4738:U4739"/>
    <mergeCell ref="P4738:P4739"/>
    <mergeCell ref="Q4738:Q4739"/>
    <mergeCell ref="G4771:I4771"/>
    <mergeCell ref="D4772:I4772"/>
    <mergeCell ref="J4772:K4772"/>
    <mergeCell ref="M4772:Q4772"/>
    <mergeCell ref="R4767:R4768"/>
    <mergeCell ref="S4767:S4768"/>
    <mergeCell ref="P4767:P4768"/>
    <mergeCell ref="T4776:T4777"/>
    <mergeCell ref="T4703:T4704"/>
    <mergeCell ref="M4781:Q4781"/>
    <mergeCell ref="D4515:F4515"/>
    <mergeCell ref="G4515:I4515"/>
    <mergeCell ref="D4735:I4736"/>
    <mergeCell ref="J4735:K4736"/>
    <mergeCell ref="L4735:L4736"/>
    <mergeCell ref="T4767:T4768"/>
    <mergeCell ref="J4767:J4768"/>
    <mergeCell ref="K4767:K4768"/>
    <mergeCell ref="L4767:L4768"/>
    <mergeCell ref="L4764:L4765"/>
    <mergeCell ref="J4738:J4739"/>
    <mergeCell ref="K4738:K4739"/>
    <mergeCell ref="M4764:Q4764"/>
    <mergeCell ref="M4765:Q4765"/>
    <mergeCell ref="T4738:T4739"/>
    <mergeCell ref="M4738:M4739"/>
    <mergeCell ref="R4738:R4739"/>
    <mergeCell ref="M4366:M4367"/>
    <mergeCell ref="N4366:N4367"/>
    <mergeCell ref="O4366:O4367"/>
    <mergeCell ref="P4366:P4367"/>
    <mergeCell ref="Q4366:Q4367"/>
    <mergeCell ref="M4376:Q4376"/>
    <mergeCell ref="T4380:T4381"/>
    <mergeCell ref="G4367:I4367"/>
    <mergeCell ref="D4375:F4375"/>
    <mergeCell ref="D4475:F4475"/>
    <mergeCell ref="G4475:I4475"/>
    <mergeCell ref="D4476:F4476"/>
    <mergeCell ref="G4476:I4476"/>
    <mergeCell ref="R4380:R4381"/>
    <mergeCell ref="S4380:S4381"/>
    <mergeCell ref="M4422:Q4422"/>
    <mergeCell ref="D4392:F4392"/>
    <mergeCell ref="D4464:F4464"/>
    <mergeCell ref="D4408:F4408"/>
    <mergeCell ref="D4434:F4434"/>
    <mergeCell ref="G4434:I4434"/>
    <mergeCell ref="D4435:F4435"/>
    <mergeCell ref="G4435:I4435"/>
    <mergeCell ref="D4417:F4417"/>
    <mergeCell ref="G4417:I4417"/>
    <mergeCell ref="D4465:F4465"/>
    <mergeCell ref="G4406:I4406"/>
    <mergeCell ref="D4407:F4407"/>
    <mergeCell ref="D4389:F4389"/>
    <mergeCell ref="G4399:I4399"/>
    <mergeCell ref="L4426:L4427"/>
    <mergeCell ref="M4426:M4427"/>
    <mergeCell ref="D4881:F4881"/>
    <mergeCell ref="G4881:I4881"/>
    <mergeCell ref="D4880:F4880"/>
    <mergeCell ref="G4880:I4880"/>
    <mergeCell ref="D4873:F4873"/>
    <mergeCell ref="G4873:I4873"/>
    <mergeCell ref="D4777:F4777"/>
    <mergeCell ref="D4773:I4774"/>
    <mergeCell ref="G4768:I4768"/>
    <mergeCell ref="D4771:F4771"/>
    <mergeCell ref="D4471:F4471"/>
    <mergeCell ref="G4471:I4471"/>
    <mergeCell ref="D4472:F4472"/>
    <mergeCell ref="G4472:I4472"/>
    <mergeCell ref="G4375:I4375"/>
    <mergeCell ref="D4376:I4376"/>
    <mergeCell ref="D4366:I4366"/>
    <mergeCell ref="G4874:I4874"/>
    <mergeCell ref="D4869:F4869"/>
    <mergeCell ref="G4871:I4871"/>
    <mergeCell ref="D4780:F4780"/>
    <mergeCell ref="G4780:I4780"/>
    <mergeCell ref="D4868:F4868"/>
    <mergeCell ref="G4868:I4868"/>
    <mergeCell ref="D4531:F4531"/>
    <mergeCell ref="G4531:I4531"/>
    <mergeCell ref="D4585:F4585"/>
    <mergeCell ref="G4585:I4585"/>
    <mergeCell ref="D4768:F4768"/>
    <mergeCell ref="D4428:F4428"/>
    <mergeCell ref="G4428:I4428"/>
    <mergeCell ref="D4429:F4429"/>
    <mergeCell ref="D151:F151"/>
    <mergeCell ref="G151:I151"/>
    <mergeCell ref="D282:F282"/>
    <mergeCell ref="G282:I282"/>
    <mergeCell ref="D345:F345"/>
    <mergeCell ref="G345:I345"/>
    <mergeCell ref="D3993:F3993"/>
    <mergeCell ref="G3993:I3993"/>
    <mergeCell ref="D4075:F4075"/>
    <mergeCell ref="G4075:I4075"/>
    <mergeCell ref="D4076:F4076"/>
    <mergeCell ref="G4076:I4076"/>
    <mergeCell ref="D4306:F4306"/>
    <mergeCell ref="G4306:I4306"/>
    <mergeCell ref="D4358:F4358"/>
    <mergeCell ref="G4358:I4358"/>
    <mergeCell ref="D4416:F4416"/>
    <mergeCell ref="G4416:I4416"/>
    <mergeCell ref="D4411:F4411"/>
    <mergeCell ref="G4411:I4411"/>
    <mergeCell ref="G4277:I4277"/>
    <mergeCell ref="D4278:F4278"/>
    <mergeCell ref="D4292:F4292"/>
    <mergeCell ref="G4292:I4292"/>
    <mergeCell ref="G4293:I4293"/>
    <mergeCell ref="D4281:F4281"/>
    <mergeCell ref="G4281:I4281"/>
    <mergeCell ref="D4294:F4294"/>
    <mergeCell ref="D4288:F4288"/>
    <mergeCell ref="D4295:F4295"/>
    <mergeCell ref="G4295:I4295"/>
    <mergeCell ref="G4408:I4408"/>
    <mergeCell ref="B4928:B4929"/>
    <mergeCell ref="C4928:C4929"/>
    <mergeCell ref="D4928:I4928"/>
    <mergeCell ref="J4928:J4929"/>
    <mergeCell ref="K4928:K4929"/>
    <mergeCell ref="L4928:L4929"/>
    <mergeCell ref="M4928:M4929"/>
    <mergeCell ref="N4928:N4929"/>
    <mergeCell ref="O4928:O4929"/>
    <mergeCell ref="P4928:P4929"/>
    <mergeCell ref="Q4928:Q4929"/>
    <mergeCell ref="R4928:R4929"/>
    <mergeCell ref="S4928:S4929"/>
    <mergeCell ref="T4928:T4929"/>
    <mergeCell ref="U4928:U4929"/>
    <mergeCell ref="D4929:F4929"/>
    <mergeCell ref="G4929:I4929"/>
    <mergeCell ref="D4942:F4942"/>
    <mergeCell ref="G4942:I4942"/>
    <mergeCell ref="D4943:I4943"/>
    <mergeCell ref="J4943:K4943"/>
    <mergeCell ref="M4943:Q4943"/>
    <mergeCell ref="D4944:I4945"/>
    <mergeCell ref="J4944:K4945"/>
    <mergeCell ref="L4944:L4945"/>
    <mergeCell ref="M4944:Q4944"/>
    <mergeCell ref="M4945:Q4945"/>
    <mergeCell ref="B4947:B4948"/>
    <mergeCell ref="C4947:C4948"/>
    <mergeCell ref="D4947:I4947"/>
    <mergeCell ref="J4947:J4948"/>
    <mergeCell ref="K4947:K4948"/>
    <mergeCell ref="L4947:L4948"/>
    <mergeCell ref="M4947:M4948"/>
    <mergeCell ref="N4947:N4948"/>
    <mergeCell ref="O4947:O4948"/>
    <mergeCell ref="P4947:P4948"/>
    <mergeCell ref="Q4947:Q4948"/>
    <mergeCell ref="B4965:B4966"/>
    <mergeCell ref="C4965:C4966"/>
    <mergeCell ref="D4965:I4965"/>
    <mergeCell ref="J4965:J4966"/>
    <mergeCell ref="K4965:K4966"/>
    <mergeCell ref="L4965:L4966"/>
    <mergeCell ref="M4965:M4966"/>
    <mergeCell ref="N4965:N4966"/>
    <mergeCell ref="O4965:O4966"/>
    <mergeCell ref="P4965:P4966"/>
    <mergeCell ref="Q4965:Q4966"/>
    <mergeCell ref="R4947:R4948"/>
    <mergeCell ref="S4947:S4948"/>
    <mergeCell ref="T4947:T4948"/>
    <mergeCell ref="U4947:U4948"/>
    <mergeCell ref="D4948:F4948"/>
    <mergeCell ref="G4948:I4948"/>
    <mergeCell ref="D4951:F4951"/>
    <mergeCell ref="G4951:I4951"/>
    <mergeCell ref="D4952:I4952"/>
    <mergeCell ref="J4952:K4952"/>
    <mergeCell ref="M4952:Q4952"/>
    <mergeCell ref="D4953:I4954"/>
    <mergeCell ref="J4953:K4954"/>
    <mergeCell ref="L4953:L4954"/>
    <mergeCell ref="M4953:Q4953"/>
    <mergeCell ref="M4954:Q4954"/>
    <mergeCell ref="B4956:B4957"/>
    <mergeCell ref="C4956:C4957"/>
    <mergeCell ref="D4956:I4956"/>
    <mergeCell ref="J4956:J4957"/>
    <mergeCell ref="K4956:K4957"/>
    <mergeCell ref="Q4974:Q4975"/>
    <mergeCell ref="R4974:R4975"/>
    <mergeCell ref="S4974:S4975"/>
    <mergeCell ref="T4974:T4975"/>
    <mergeCell ref="U4974:U4975"/>
    <mergeCell ref="D4975:F4975"/>
    <mergeCell ref="G4957:I4957"/>
    <mergeCell ref="D4960:F4960"/>
    <mergeCell ref="G4960:I4960"/>
    <mergeCell ref="D4961:I4961"/>
    <mergeCell ref="J4961:K4961"/>
    <mergeCell ref="M4961:Q4961"/>
    <mergeCell ref="D4962:I4963"/>
    <mergeCell ref="J4962:K4963"/>
    <mergeCell ref="L4962:L4963"/>
    <mergeCell ref="M4962:Q4962"/>
    <mergeCell ref="M4963:Q4963"/>
    <mergeCell ref="L4956:L4957"/>
    <mergeCell ref="M4956:M4957"/>
    <mergeCell ref="N4956:N4957"/>
    <mergeCell ref="O4956:O4957"/>
    <mergeCell ref="P4956:P4957"/>
    <mergeCell ref="Q4956:Q4957"/>
    <mergeCell ref="R4956:R4957"/>
    <mergeCell ref="S4956:S4957"/>
    <mergeCell ref="T4956:T4957"/>
    <mergeCell ref="U4956:U4957"/>
    <mergeCell ref="D4957:F4957"/>
    <mergeCell ref="B5004:B5005"/>
    <mergeCell ref="C5004:C5005"/>
    <mergeCell ref="D5004:I5004"/>
    <mergeCell ref="J5004:J5005"/>
    <mergeCell ref="K5004:K5005"/>
    <mergeCell ref="L5004:L5005"/>
    <mergeCell ref="M5004:M5005"/>
    <mergeCell ref="N5004:N5005"/>
    <mergeCell ref="O5004:O5005"/>
    <mergeCell ref="P5004:P5005"/>
    <mergeCell ref="Q5004:Q5005"/>
    <mergeCell ref="R4965:R4966"/>
    <mergeCell ref="S4965:S4966"/>
    <mergeCell ref="T4965:T4966"/>
    <mergeCell ref="U4965:U4966"/>
    <mergeCell ref="D4966:F4966"/>
    <mergeCell ref="G4966:I4966"/>
    <mergeCell ref="D4969:F4969"/>
    <mergeCell ref="G4969:I4969"/>
    <mergeCell ref="D4970:I4970"/>
    <mergeCell ref="J4970:K4970"/>
    <mergeCell ref="M4970:Q4970"/>
    <mergeCell ref="D4971:I4972"/>
    <mergeCell ref="J4971:K4972"/>
    <mergeCell ref="L4971:L4972"/>
    <mergeCell ref="M4971:Q4971"/>
    <mergeCell ref="M4972:Q4972"/>
    <mergeCell ref="B4974:B4975"/>
    <mergeCell ref="C4974:C4975"/>
    <mergeCell ref="D4974:I4974"/>
    <mergeCell ref="J4974:J4975"/>
    <mergeCell ref="K4974:K4975"/>
    <mergeCell ref="R5004:R5005"/>
    <mergeCell ref="S5004:S5005"/>
    <mergeCell ref="T5004:T5005"/>
    <mergeCell ref="U5004:U5005"/>
    <mergeCell ref="D5005:F5005"/>
    <mergeCell ref="G5005:I5005"/>
    <mergeCell ref="D5008:F5008"/>
    <mergeCell ref="G5008:I5008"/>
    <mergeCell ref="D5009:I5009"/>
    <mergeCell ref="J5009:K5009"/>
    <mergeCell ref="M5009:Q5009"/>
    <mergeCell ref="D5010:I5011"/>
    <mergeCell ref="J5010:K5011"/>
    <mergeCell ref="L5010:L5011"/>
    <mergeCell ref="M5010:Q5010"/>
    <mergeCell ref="M5011:Q5011"/>
    <mergeCell ref="G4975:I4975"/>
    <mergeCell ref="D4999:F4999"/>
    <mergeCell ref="G4999:I4999"/>
    <mergeCell ref="D5000:I5000"/>
    <mergeCell ref="J5000:K5000"/>
    <mergeCell ref="M5000:Q5000"/>
    <mergeCell ref="D5001:I5002"/>
    <mergeCell ref="J5001:K5002"/>
    <mergeCell ref="L5001:L5002"/>
    <mergeCell ref="M5001:Q5001"/>
    <mergeCell ref="M5002:Q5002"/>
    <mergeCell ref="L4974:L4975"/>
    <mergeCell ref="M4974:M4975"/>
    <mergeCell ref="N4974:N4975"/>
    <mergeCell ref="O4974:O4975"/>
    <mergeCell ref="P4974:P4975"/>
    <mergeCell ref="D162:F162"/>
    <mergeCell ref="D333:F333"/>
    <mergeCell ref="G333:I333"/>
    <mergeCell ref="D152:F152"/>
    <mergeCell ref="G152:I152"/>
    <mergeCell ref="D205:F205"/>
    <mergeCell ref="G205:I205"/>
    <mergeCell ref="D206:F206"/>
    <mergeCell ref="G206:I206"/>
    <mergeCell ref="D207:F207"/>
    <mergeCell ref="G207:I207"/>
    <mergeCell ref="D208:F208"/>
    <mergeCell ref="G208:I208"/>
    <mergeCell ref="D209:F209"/>
    <mergeCell ref="G209:I209"/>
    <mergeCell ref="D210:F210"/>
    <mergeCell ref="G210:I210"/>
    <mergeCell ref="D211:F211"/>
    <mergeCell ref="G211:I211"/>
    <mergeCell ref="D212:F212"/>
    <mergeCell ref="G212:I212"/>
    <mergeCell ref="D265:F265"/>
    <mergeCell ref="G265:I265"/>
    <mergeCell ref="D264:F264"/>
    <mergeCell ref="G322:I322"/>
    <mergeCell ref="D324:F324"/>
    <mergeCell ref="G324:I324"/>
    <mergeCell ref="D250:F250"/>
    <mergeCell ref="G250:I250"/>
    <mergeCell ref="D251:F251"/>
    <mergeCell ref="G251:I251"/>
    <mergeCell ref="D273:F273"/>
  </mergeCells>
  <conditionalFormatting sqref="D107:U107 B70:U70 B108:U140 U141:U143 S141:S143 U151 B74:U106 B71:T71 B72:S73 B141:B152 B158:C158 D158:U159 B153:U157 B219:C219 D219:U220 B300:C300 D300:U301 B355:C355 D355:K356 L355:U357 B357:K357 B347:U354 B302:R334 B335:B346 U335:U346 T302:U334 B221:U282 S302:S345 B358:U535 C335:R345 T335:T345 B160:U218 B284:U299 B283 U283 B536:B548 B556:C556 D556:U557 B588:C588 D588:M589 B590:M636 N588:U636 B558:U579 B637:U913 B549:U555 B582:U587 B580:B581 U580:U581 B914:B938 B948:C948 D948:I949 J948:U950 B950:I954 U951:U957 J951:T951 J952:R954 S952:T957 B955:R957 B958:U1155 B939:U947 B1156:B1170 B1178:C1178 D1178:J1179 K1178:U1184 B1180:J1184 B1276:C1276 D1276:J1277 K1276:U1278 B1278:J1284 B1348:C1348 D1348:U1349 K1279:R1284 B1285:R1323 S1279:U1323 B1388:C1388 D1388:U1389 D1436:U1437 B1436:C1436 B1435:U1435 B1432:T1432 B1433:S1434 B1473:C1473 D1473:U1474 B1541:C1541 D1541:U1542 B1543:U1559 B1560:C1560 D1560:U1561 B1562:U1575 B1347:U1347 B1344:T1344 B1345:S1346 B1185:U1264 B1324:U1337 B1350:U1351 B1390:U1396 B1438:U1444 B1475:U1494 C1576:U1581 B1171:U1177 B1272:U1275 B1265:B1271 B1339:U1343 B1338 B1357 B1380:U1387 B1379 B1352:R1356 T1352:U1356 S1352:S1357 B1358:U1360 B1361:R1378 T1361:U1378 S1361:S1379 B1398:U1428 B1397 S1397 B1430:U1431 B1429 S1429 B1446:U1466 B1445 S1445 B1468:U1472 B1467 S1467 B1496:U1496 B1495 S1495 B1498:U1540 B1497 U1582 C1585 C1589:D1589 J1589:U1589 J1585:U1585 C1586:U1588 C1590:U1604 C1583:U1584 U1605 B1576:B1610 B1621:U1630 B1619:C1619 D1619:U1620 B1631:C1631 D1631:U1632 B1633:U1634 B1655:B1659 C1655:H1656 J1655:R1656 C1657:R1659 B1618:U1618 B1615:T1615 B1616:S1617 B1687:C1687 D1687:U1688 B1714:C1714 D1714:U1715 B1755:C1755 D1755:M1756 N1755:U1757 B1757:M1757 B1784:C1784 D1784:J1785 K1784:U1786 B1786:J1786 B1686:U1686 B1683:S1685 B1783:U1783 B1780:S1782 B1716:U1745 B1611:U1614 B1758:U1779 B1660:R1677 B1635:R1654 B1713:U1713 B1710:S1712 B1754:U1754 B1751:S1753 T1683 B1689:U1709 T1710 T1751 T1780 B1787:U1798 C1606:U1606 C1608:U1610 U1607 B1678:I1678 K1678:R1678 S1635:U1678 B1681:U1682 U1679 B1679:B1680 D1680:R1680 T1680:U1680 S1679:S1680 B1748:U1750 B1746:B1747 U1746:U1747 S1746:S1747 B1800:B1802 U1800:U1802 B1799:L1799 O1799:U1799 B1949:C1949 D1949:U1950 B2084:M2084 O2084:U2084 B2118:S2118 U2118 T2119 P2224 B2224:O2228 Q2224:U2226 P2226:P2228 B2085:U2087 B2120:U2223 Q2227:R2228 B2229:R2232 S2227:U2232 B1813:S1815 B1951:U2083 B2257:O2257 R2257:U2257 B2326:C2326 D2326:U2327 B2507 C2507:U2508 B2397:U2403 B2394:T2394 B2395:S2396 B2404:S2406 B3757:S3758 T2404 C2304:U2304 C2305:T2305 B2425:U2506 B2422:S2424 K4024:R4024 B4024:J4025 S4024:U4027 B4026:Q4027 B2289:U2303 B2286:T2286 B2287:S2288 B2407:U2421 B3115:T3117 B1915:T1915 B1916:S1917 B2091:U2117 B2088:T2088 B2089:S2090 B2304:B2306 B2387:U2393 B2384:T2384 B2385:S2386 B2637:T2637 B2638:S2639 B3514:T3514 B3515:S3516 B3947:U3953 B3944:T3944 B3945:S3946 B1918:U1948 T1813 B1816:U1914 B2233:U2256 B2258:U2285 C2306:U2306 B2307:U2325 T2422 B2509:U2636 B2640:U3114 B3118:U3513 B3517:U3755 B3958:U4023 B2328:U2383 B4028:U4201 B1803:U1812 B3759:U3943 B4202:B4210 U4202:U4210 C4217 B4217:B4218 D4217:U4218 B4261:C4261 D4261:U4262 B4314:C4314 D4314:U4315 B4366:C4366 D4366:U4367 B4380:C4380 D4380:U4381 B4426:C4426 D4426:U4427 B4487:C4487 D4487:U4488 B4540:C4540 D4540:U4541 B4555:C4555 D4555:U4556 B4606:U4612 B4591:C4591 D4591:U4592 B4604:C4604 D4604:U4605 B4613:C4613 D4613:U4614 B4368:U4379 B4216:U4216 B4213:T4213 B4214:S4215 B4365:U4365 B4362:T4362 B4363:S4364 B4590:U4590 B4587:T4587 B4588:S4589 B4313:U4313 B4310:T4310 B4311:S4312 B4219:U4260 B4263:U4309 B4316:U4361 B4382:U4425 B4428:U4486 B4489:U4539 B4542:U4554 B4593:U4603 B4654:C4654 D4654:U4655 B4653:U4653 B4650:T4650 B4651:S4652 B4696:U4702 B4694:C4694 D4694:U4695 B4703:C4703 D4703:U4704 B4693:U4693 B4690:T4690 B4691:S4692 B4656:U4689 B4769:U4775 B4778:U4784 B4738:C4738 D4738:U4739 B4767:C4767 D4767:U4768 B4776:C4776 D4776:U4777 B4785:C4785 D4785:U4786 B4737:U4737 B4734:T4734 B4735:S4736 B4740:U4766 B4825:C4825 D4825:U4826 B4865:C4865 D4865:U4866 B4890:C4890 D4890:U4891 B4901:U4907 B4899:C4899 D4899:U4900 B4910:U4916 B4908:C4908 D4908:U4909 B4917:C4917 D4917:U4918 B4892:U4898 B4888:U4889 B4887:T4887 B4919:U4927 B4938:U4942 B4928:C4928 D4928:U4929 B4947:C4947 D4947:U4948 B4958:U4964 B4956:C4956 D4956:U4957 B4967:U4973 B4965:C4965 D4965:U4966 B4974:C4974 D4974:U4975 B4946:U4946 B4943:T4943 B4944:S4945 B4787:U4824 B4827:U4864 B4867:U4886 B4949:U4955 U4930 B4930:T4937 B4211:U4212 B4615:U4649 B4705:U4733 B5006:U5012 B5004:C5004 D5004:U5005 B5003:U5003 B5000:T5000 B5001:S5002 B4976:U4999 B4557:U4577 B4584:U4586 B4583:C4583 J4583:U4583 B4580:U4582 B4578:C4579 J4578:U4579">
    <cfRule type="expression" dxfId="581" priority="1527">
      <formula>IF($T70=$C$8,TRUE,FALSE)</formula>
    </cfRule>
  </conditionalFormatting>
  <conditionalFormatting sqref="B2119:S2119 U2119">
    <cfRule type="expression" dxfId="580" priority="2135">
      <formula>IF(#REF!=$C$8,TRUE,FALSE)</formula>
    </cfRule>
  </conditionalFormatting>
  <conditionalFormatting sqref="B17:U59 B60:B69 U60:U69">
    <cfRule type="expression" dxfId="579" priority="1970">
      <formula>IF($T17=$C$8,TRUE,FALSE)</formula>
    </cfRule>
  </conditionalFormatting>
  <conditionalFormatting sqref="J22:K24">
    <cfRule type="cellIs" dxfId="578" priority="2001" operator="greaterThanOrEqual">
      <formula>1</formula>
    </cfRule>
    <cfRule type="cellIs" dxfId="577" priority="2002" operator="greaterThan">
      <formula>100%</formula>
    </cfRule>
  </conditionalFormatting>
  <conditionalFormatting sqref="J32:K33">
    <cfRule type="cellIs" dxfId="576" priority="1999" operator="greaterThanOrEqual">
      <formula>1</formula>
    </cfRule>
    <cfRule type="cellIs" dxfId="575" priority="2000" operator="greaterThan">
      <formula>100%</formula>
    </cfRule>
  </conditionalFormatting>
  <conditionalFormatting sqref="J34:K34">
    <cfRule type="cellIs" dxfId="574" priority="1968" operator="greaterThanOrEqual">
      <formula>1</formula>
    </cfRule>
    <cfRule type="cellIs" dxfId="573" priority="1969" operator="greaterThan">
      <formula>100%</formula>
    </cfRule>
  </conditionalFormatting>
  <conditionalFormatting sqref="J42:K43">
    <cfRule type="cellIs" dxfId="572" priority="1997" operator="greaterThanOrEqual">
      <formula>1</formula>
    </cfRule>
    <cfRule type="cellIs" dxfId="571" priority="1998" operator="greaterThan">
      <formula>100%</formula>
    </cfRule>
  </conditionalFormatting>
  <conditionalFormatting sqref="J44:K44">
    <cfRule type="cellIs" dxfId="570" priority="1966" operator="greaterThanOrEqual">
      <formula>1</formula>
    </cfRule>
    <cfRule type="cellIs" dxfId="569" priority="1967" operator="greaterThan">
      <formula>100%</formula>
    </cfRule>
  </conditionalFormatting>
  <conditionalFormatting sqref="J52:K53">
    <cfRule type="cellIs" dxfId="568" priority="1995" operator="greaterThanOrEqual">
      <formula>1</formula>
    </cfRule>
    <cfRule type="cellIs" dxfId="567" priority="1996" operator="greaterThan">
      <formula>100%</formula>
    </cfRule>
  </conditionalFormatting>
  <conditionalFormatting sqref="J54:K54">
    <cfRule type="cellIs" dxfId="566" priority="1964" operator="greaterThanOrEqual">
      <formula>1</formula>
    </cfRule>
    <cfRule type="cellIs" dxfId="565" priority="1965" operator="greaterThan">
      <formula>100%</formula>
    </cfRule>
  </conditionalFormatting>
  <conditionalFormatting sqref="J72:K73">
    <cfRule type="cellIs" dxfId="564" priority="1993" operator="greaterThanOrEqual">
      <formula>1</formula>
    </cfRule>
    <cfRule type="cellIs" dxfId="563" priority="1994" operator="greaterThan">
      <formula>100%</formula>
    </cfRule>
  </conditionalFormatting>
  <conditionalFormatting sqref="J74:K74">
    <cfRule type="cellIs" dxfId="562" priority="1962" operator="greaterThanOrEqual">
      <formula>1</formula>
    </cfRule>
    <cfRule type="cellIs" dxfId="561" priority="1963" operator="greaterThan">
      <formula>100%</formula>
    </cfRule>
  </conditionalFormatting>
  <conditionalFormatting sqref="J82:K83">
    <cfRule type="cellIs" dxfId="560" priority="1991" operator="greaterThanOrEqual">
      <formula>1</formula>
    </cfRule>
    <cfRule type="cellIs" dxfId="559" priority="1992" operator="greaterThan">
      <formula>100%</formula>
    </cfRule>
  </conditionalFormatting>
  <conditionalFormatting sqref="J84:K84">
    <cfRule type="cellIs" dxfId="558" priority="1960" operator="greaterThanOrEqual">
      <formula>1</formula>
    </cfRule>
    <cfRule type="cellIs" dxfId="557" priority="1961" operator="greaterThan">
      <formula>100%</formula>
    </cfRule>
  </conditionalFormatting>
  <conditionalFormatting sqref="J92:K93">
    <cfRule type="cellIs" dxfId="556" priority="1989" operator="greaterThanOrEqual">
      <formula>1</formula>
    </cfRule>
    <cfRule type="cellIs" dxfId="555" priority="1990" operator="greaterThan">
      <formula>100%</formula>
    </cfRule>
  </conditionalFormatting>
  <conditionalFormatting sqref="J94:K94">
    <cfRule type="cellIs" dxfId="554" priority="1958" operator="greaterThanOrEqual">
      <formula>1</formula>
    </cfRule>
    <cfRule type="cellIs" dxfId="553" priority="1959" operator="greaterThan">
      <formula>100%</formula>
    </cfRule>
  </conditionalFormatting>
  <conditionalFormatting sqref="J103:K104">
    <cfRule type="cellIs" dxfId="552" priority="1987" operator="greaterThanOrEqual">
      <formula>1</formula>
    </cfRule>
    <cfRule type="cellIs" dxfId="551" priority="1988" operator="greaterThan">
      <formula>100%</formula>
    </cfRule>
  </conditionalFormatting>
  <conditionalFormatting sqref="J105:K105">
    <cfRule type="cellIs" dxfId="550" priority="1956" operator="greaterThanOrEqual">
      <formula>1</formula>
    </cfRule>
    <cfRule type="cellIs" dxfId="549" priority="1957" operator="greaterThan">
      <formula>100%</formula>
    </cfRule>
  </conditionalFormatting>
  <conditionalFormatting sqref="J155:K157">
    <cfRule type="cellIs" dxfId="548" priority="1954" operator="greaterThanOrEqual">
      <formula>1</formula>
    </cfRule>
    <cfRule type="cellIs" dxfId="547" priority="1955" operator="greaterThan">
      <formula>100%</formula>
    </cfRule>
  </conditionalFormatting>
  <conditionalFormatting sqref="J216:K218">
    <cfRule type="cellIs" dxfId="546" priority="773" operator="greaterThanOrEqual">
      <formula>1</formula>
    </cfRule>
    <cfRule type="cellIs" dxfId="545" priority="774" operator="greaterThan">
      <formula>100%</formula>
    </cfRule>
  </conditionalFormatting>
  <conditionalFormatting sqref="J287:K289">
    <cfRule type="cellIs" dxfId="544" priority="770" operator="greaterThanOrEqual">
      <formula>1</formula>
    </cfRule>
    <cfRule type="cellIs" dxfId="543" priority="771" operator="greaterThan">
      <formula>100%</formula>
    </cfRule>
  </conditionalFormatting>
  <conditionalFormatting sqref="J297:K299">
    <cfRule type="cellIs" dxfId="542" priority="1948" operator="greaterThanOrEqual">
      <formula>1</formula>
    </cfRule>
    <cfRule type="cellIs" dxfId="541" priority="1949" operator="greaterThan">
      <formula>100%</formula>
    </cfRule>
  </conditionalFormatting>
  <conditionalFormatting sqref="J350:K352">
    <cfRule type="cellIs" dxfId="540" priority="1946" operator="greaterThanOrEqual">
      <formula>1</formula>
    </cfRule>
    <cfRule type="cellIs" dxfId="539" priority="1947" operator="greaterThan">
      <formula>100%</formula>
    </cfRule>
  </conditionalFormatting>
  <conditionalFormatting sqref="J553:K555">
    <cfRule type="cellIs" dxfId="538" priority="1944" operator="greaterThanOrEqual">
      <formula>1</formula>
    </cfRule>
    <cfRule type="cellIs" dxfId="537" priority="1945" operator="greaterThan">
      <formula>100%</formula>
    </cfRule>
  </conditionalFormatting>
  <conditionalFormatting sqref="J585:K587">
    <cfRule type="cellIs" dxfId="536" priority="1942" operator="greaterThanOrEqual">
      <formula>1</formula>
    </cfRule>
    <cfRule type="cellIs" dxfId="535" priority="1943" operator="greaterThan">
      <formula>100%</formula>
    </cfRule>
  </conditionalFormatting>
  <conditionalFormatting sqref="J945:K947">
    <cfRule type="cellIs" dxfId="534" priority="1940" operator="greaterThanOrEqual">
      <formula>1</formula>
    </cfRule>
    <cfRule type="cellIs" dxfId="533" priority="1941" operator="greaterThan">
      <formula>100%</formula>
    </cfRule>
  </conditionalFormatting>
  <conditionalFormatting sqref="J1175:K1177">
    <cfRule type="cellIs" dxfId="532" priority="1938" operator="greaterThanOrEqual">
      <formula>1</formula>
    </cfRule>
    <cfRule type="cellIs" dxfId="531" priority="1939" operator="greaterThan">
      <formula>100%</formula>
    </cfRule>
  </conditionalFormatting>
  <conditionalFormatting sqref="J1273:K1275">
    <cfRule type="cellIs" dxfId="530" priority="1936" operator="greaterThanOrEqual">
      <formula>1</formula>
    </cfRule>
    <cfRule type="cellIs" dxfId="529" priority="1937" operator="greaterThan">
      <formula>100%</formula>
    </cfRule>
  </conditionalFormatting>
  <conditionalFormatting sqref="J1345:K1347">
    <cfRule type="cellIs" dxfId="528" priority="1934" operator="greaterThanOrEqual">
      <formula>1</formula>
    </cfRule>
    <cfRule type="cellIs" dxfId="527" priority="1935" operator="greaterThan">
      <formula>100%</formula>
    </cfRule>
  </conditionalFormatting>
  <conditionalFormatting sqref="J1385:K1387">
    <cfRule type="cellIs" dxfId="526" priority="1932" operator="greaterThanOrEqual">
      <formula>1</formula>
    </cfRule>
    <cfRule type="cellIs" dxfId="525" priority="1933" operator="greaterThan">
      <formula>100%</formula>
    </cfRule>
  </conditionalFormatting>
  <conditionalFormatting sqref="J1433:K1435">
    <cfRule type="cellIs" dxfId="524" priority="1930" operator="greaterThanOrEqual">
      <formula>1</formula>
    </cfRule>
    <cfRule type="cellIs" dxfId="523" priority="1931" operator="greaterThan">
      <formula>100%</formula>
    </cfRule>
  </conditionalFormatting>
  <conditionalFormatting sqref="J1470:K1472">
    <cfRule type="cellIs" dxfId="522" priority="1928" operator="greaterThanOrEqual">
      <formula>1</formula>
    </cfRule>
    <cfRule type="cellIs" dxfId="521" priority="1929" operator="greaterThan">
      <formula>100%</formula>
    </cfRule>
  </conditionalFormatting>
  <conditionalFormatting sqref="J1508:K1510">
    <cfRule type="cellIs" dxfId="520" priority="1926" operator="greaterThanOrEqual">
      <formula>1</formula>
    </cfRule>
    <cfRule type="cellIs" dxfId="519" priority="1927" operator="greaterThan">
      <formula>100%</formula>
    </cfRule>
  </conditionalFormatting>
  <conditionalFormatting sqref="J1518:K1520">
    <cfRule type="cellIs" dxfId="518" priority="1924" operator="greaterThanOrEqual">
      <formula>1</formula>
    </cfRule>
    <cfRule type="cellIs" dxfId="517" priority="1925" operator="greaterThan">
      <formula>100%</formula>
    </cfRule>
  </conditionalFormatting>
  <conditionalFormatting sqref="J1528:K1530">
    <cfRule type="cellIs" dxfId="516" priority="1922" operator="greaterThanOrEqual">
      <formula>1</formula>
    </cfRule>
    <cfRule type="cellIs" dxfId="515" priority="1923" operator="greaterThan">
      <formula>100%</formula>
    </cfRule>
  </conditionalFormatting>
  <conditionalFormatting sqref="J1538:K1540">
    <cfRule type="cellIs" dxfId="514" priority="1920" operator="greaterThanOrEqual">
      <formula>1</formula>
    </cfRule>
    <cfRule type="cellIs" dxfId="513" priority="1921" operator="greaterThan">
      <formula>100%</formula>
    </cfRule>
  </conditionalFormatting>
  <conditionalFormatting sqref="J1556:K1558">
    <cfRule type="cellIs" dxfId="512" priority="1918" operator="greaterThanOrEqual">
      <formula>1</formula>
    </cfRule>
    <cfRule type="cellIs" dxfId="511" priority="1919" operator="greaterThan">
      <formula>100%</formula>
    </cfRule>
  </conditionalFormatting>
  <conditionalFormatting sqref="J1616:K1618">
    <cfRule type="cellIs" dxfId="510" priority="767" operator="greaterThanOrEqual">
      <formula>1</formula>
    </cfRule>
    <cfRule type="cellIs" dxfId="509" priority="768" operator="greaterThan">
      <formula>100%</formula>
    </cfRule>
  </conditionalFormatting>
  <conditionalFormatting sqref="J1628:K1630">
    <cfRule type="cellIs" dxfId="508" priority="1914" operator="greaterThanOrEqual">
      <formula>1</formula>
    </cfRule>
    <cfRule type="cellIs" dxfId="507" priority="1915" operator="greaterThan">
      <formula>100%</formula>
    </cfRule>
  </conditionalFormatting>
  <conditionalFormatting sqref="J1684:K1686">
    <cfRule type="cellIs" dxfId="506" priority="764" operator="greaterThanOrEqual">
      <formula>1</formula>
    </cfRule>
    <cfRule type="cellIs" dxfId="505" priority="765" operator="greaterThan">
      <formula>100%</formula>
    </cfRule>
  </conditionalFormatting>
  <conditionalFormatting sqref="J1711:K1713">
    <cfRule type="cellIs" dxfId="504" priority="761" operator="greaterThanOrEqual">
      <formula>1</formula>
    </cfRule>
    <cfRule type="cellIs" dxfId="503" priority="762" operator="greaterThan">
      <formula>100%</formula>
    </cfRule>
  </conditionalFormatting>
  <conditionalFormatting sqref="J1752:K1754">
    <cfRule type="cellIs" dxfId="502" priority="758" operator="greaterThanOrEqual">
      <formula>1</formula>
    </cfRule>
    <cfRule type="cellIs" dxfId="501" priority="759" operator="greaterThan">
      <formula>100%</formula>
    </cfRule>
  </conditionalFormatting>
  <conditionalFormatting sqref="J1781:K1783">
    <cfRule type="cellIs" dxfId="500" priority="755" operator="greaterThanOrEqual">
      <formula>1</formula>
    </cfRule>
    <cfRule type="cellIs" dxfId="499" priority="756" operator="greaterThan">
      <formula>100%</formula>
    </cfRule>
  </conditionalFormatting>
  <conditionalFormatting sqref="J1814:K1816">
    <cfRule type="cellIs" dxfId="498" priority="1904" operator="greaterThanOrEqual">
      <formula>1</formula>
    </cfRule>
    <cfRule type="cellIs" dxfId="497" priority="1905" operator="greaterThan">
      <formula>100%</formula>
    </cfRule>
  </conditionalFormatting>
  <conditionalFormatting sqref="J1825:K1827">
    <cfRule type="cellIs" dxfId="496" priority="1902" operator="greaterThanOrEqual">
      <formula>1</formula>
    </cfRule>
    <cfRule type="cellIs" dxfId="495" priority="1903" operator="greaterThan">
      <formula>100%</formula>
    </cfRule>
  </conditionalFormatting>
  <conditionalFormatting sqref="J1836:K1838">
    <cfRule type="cellIs" dxfId="494" priority="1900" operator="greaterThanOrEqual">
      <formula>1</formula>
    </cfRule>
    <cfRule type="cellIs" dxfId="493" priority="1901" operator="greaterThan">
      <formula>100%</formula>
    </cfRule>
  </conditionalFormatting>
  <conditionalFormatting sqref="J1846:K1848">
    <cfRule type="cellIs" dxfId="492" priority="1898" operator="greaterThanOrEqual">
      <formula>1</formula>
    </cfRule>
    <cfRule type="cellIs" dxfId="491" priority="1899" operator="greaterThan">
      <formula>100%</formula>
    </cfRule>
  </conditionalFormatting>
  <conditionalFormatting sqref="J1856:K1858">
    <cfRule type="cellIs" dxfId="490" priority="1896" operator="greaterThanOrEqual">
      <formula>1</formula>
    </cfRule>
    <cfRule type="cellIs" dxfId="489" priority="1897" operator="greaterThan">
      <formula>100%</formula>
    </cfRule>
  </conditionalFormatting>
  <conditionalFormatting sqref="J1866:K1868">
    <cfRule type="cellIs" dxfId="488" priority="1894" operator="greaterThanOrEqual">
      <formula>1</formula>
    </cfRule>
    <cfRule type="cellIs" dxfId="487" priority="1895" operator="greaterThan">
      <formula>100%</formula>
    </cfRule>
  </conditionalFormatting>
  <conditionalFormatting sqref="J1876:K1878">
    <cfRule type="cellIs" dxfId="486" priority="1892" operator="greaterThanOrEqual">
      <formula>1</formula>
    </cfRule>
    <cfRule type="cellIs" dxfId="485" priority="1893" operator="greaterThan">
      <formula>100%</formula>
    </cfRule>
  </conditionalFormatting>
  <conditionalFormatting sqref="J1886:K1888">
    <cfRule type="cellIs" dxfId="484" priority="1890" operator="greaterThanOrEqual">
      <formula>1</formula>
    </cfRule>
    <cfRule type="cellIs" dxfId="483" priority="1891" operator="greaterThan">
      <formula>100%</formula>
    </cfRule>
  </conditionalFormatting>
  <conditionalFormatting sqref="J1896:K1898">
    <cfRule type="cellIs" dxfId="482" priority="1888" operator="greaterThanOrEqual">
      <formula>1</formula>
    </cfRule>
    <cfRule type="cellIs" dxfId="481" priority="1889" operator="greaterThan">
      <formula>100%</formula>
    </cfRule>
  </conditionalFormatting>
  <conditionalFormatting sqref="J1906:K1908">
    <cfRule type="cellIs" dxfId="480" priority="1886" operator="greaterThanOrEqual">
      <formula>1</formula>
    </cfRule>
    <cfRule type="cellIs" dxfId="479" priority="1887" operator="greaterThan">
      <formula>100%</formula>
    </cfRule>
  </conditionalFormatting>
  <conditionalFormatting sqref="J1916:K1918">
    <cfRule type="cellIs" dxfId="478" priority="1884" operator="greaterThanOrEqual">
      <formula>1</formula>
    </cfRule>
    <cfRule type="cellIs" dxfId="477" priority="1885" operator="greaterThan">
      <formula>100%</formula>
    </cfRule>
  </conditionalFormatting>
  <conditionalFormatting sqref="J1926:K1928">
    <cfRule type="cellIs" dxfId="476" priority="1882" operator="greaterThanOrEqual">
      <formula>1</formula>
    </cfRule>
    <cfRule type="cellIs" dxfId="475" priority="1883" operator="greaterThan">
      <formula>100%</formula>
    </cfRule>
  </conditionalFormatting>
  <conditionalFormatting sqref="J1936:K1938">
    <cfRule type="cellIs" dxfId="474" priority="1880" operator="greaterThanOrEqual">
      <formula>1</formula>
    </cfRule>
    <cfRule type="cellIs" dxfId="473" priority="1881" operator="greaterThan">
      <formula>100%</formula>
    </cfRule>
  </conditionalFormatting>
  <conditionalFormatting sqref="J1946:K1948">
    <cfRule type="cellIs" dxfId="472" priority="1878" operator="greaterThanOrEqual">
      <formula>1</formula>
    </cfRule>
    <cfRule type="cellIs" dxfId="471" priority="1879" operator="greaterThan">
      <formula>100%</formula>
    </cfRule>
  </conditionalFormatting>
  <conditionalFormatting sqref="J1968:K1970">
    <cfRule type="cellIs" dxfId="470" priority="1876" operator="greaterThanOrEqual">
      <formula>1</formula>
    </cfRule>
    <cfRule type="cellIs" dxfId="469" priority="1877" operator="greaterThan">
      <formula>100%</formula>
    </cfRule>
  </conditionalFormatting>
  <conditionalFormatting sqref="J1986:K1988">
    <cfRule type="cellIs" dxfId="468" priority="1874" operator="greaterThanOrEqual">
      <formula>1</formula>
    </cfRule>
    <cfRule type="cellIs" dxfId="467" priority="1875" operator="greaterThan">
      <formula>100%</formula>
    </cfRule>
  </conditionalFormatting>
  <conditionalFormatting sqref="J1998:K2000">
    <cfRule type="cellIs" dxfId="466" priority="1872" operator="greaterThanOrEqual">
      <formula>1</formula>
    </cfRule>
    <cfRule type="cellIs" dxfId="465" priority="1873" operator="greaterThan">
      <formula>100%</formula>
    </cfRule>
  </conditionalFormatting>
  <conditionalFormatting sqref="J2008:K2010">
    <cfRule type="cellIs" dxfId="464" priority="1870" operator="greaterThanOrEqual">
      <formula>1</formula>
    </cfRule>
    <cfRule type="cellIs" dxfId="463" priority="1871" operator="greaterThan">
      <formula>100%</formula>
    </cfRule>
  </conditionalFormatting>
  <conditionalFormatting sqref="J2018:K2020">
    <cfRule type="cellIs" dxfId="462" priority="1868" operator="greaterThanOrEqual">
      <formula>1</formula>
    </cfRule>
    <cfRule type="cellIs" dxfId="461" priority="1869" operator="greaterThan">
      <formula>100%</formula>
    </cfRule>
  </conditionalFormatting>
  <conditionalFormatting sqref="J2035:K2037">
    <cfRule type="cellIs" dxfId="460" priority="1866" operator="greaterThanOrEqual">
      <formula>1</formula>
    </cfRule>
    <cfRule type="cellIs" dxfId="459" priority="1867" operator="greaterThan">
      <formula>100%</formula>
    </cfRule>
  </conditionalFormatting>
  <conditionalFormatting sqref="J2046:K2048">
    <cfRule type="cellIs" dxfId="458" priority="722" operator="greaterThanOrEqual">
      <formula>1</formula>
    </cfRule>
    <cfRule type="cellIs" dxfId="457" priority="723" operator="greaterThan">
      <formula>100%</formula>
    </cfRule>
  </conditionalFormatting>
  <conditionalFormatting sqref="J2056:K2058">
    <cfRule type="cellIs" dxfId="456" priority="1862" operator="greaterThanOrEqual">
      <formula>1</formula>
    </cfRule>
    <cfRule type="cellIs" dxfId="455" priority="1863" operator="greaterThan">
      <formula>100%</formula>
    </cfRule>
  </conditionalFormatting>
  <conditionalFormatting sqref="J2068:K2070">
    <cfRule type="cellIs" dxfId="454" priority="1860" operator="greaterThanOrEqual">
      <formula>1</formula>
    </cfRule>
    <cfRule type="cellIs" dxfId="453" priority="1861" operator="greaterThan">
      <formula>100%</formula>
    </cfRule>
  </conditionalFormatting>
  <conditionalFormatting sqref="J2078:K2080">
    <cfRule type="cellIs" dxfId="452" priority="1858" operator="greaterThanOrEqual">
      <formula>1</formula>
    </cfRule>
    <cfRule type="cellIs" dxfId="451" priority="1859" operator="greaterThan">
      <formula>100%</formula>
    </cfRule>
  </conditionalFormatting>
  <conditionalFormatting sqref="J2089:K2091">
    <cfRule type="cellIs" dxfId="450" priority="1856" operator="greaterThanOrEqual">
      <formula>1</formula>
    </cfRule>
    <cfRule type="cellIs" dxfId="449" priority="1857" operator="greaterThan">
      <formula>100%</formula>
    </cfRule>
  </conditionalFormatting>
  <conditionalFormatting sqref="J2099:K2101">
    <cfRule type="cellIs" dxfId="448" priority="1854" operator="greaterThanOrEqual">
      <formula>1</formula>
    </cfRule>
    <cfRule type="cellIs" dxfId="447" priority="1855" operator="greaterThan">
      <formula>100%</formula>
    </cfRule>
  </conditionalFormatting>
  <conditionalFormatting sqref="J2109:K2111">
    <cfRule type="cellIs" dxfId="446" priority="1852" operator="greaterThanOrEqual">
      <formula>1</formula>
    </cfRule>
    <cfRule type="cellIs" dxfId="445" priority="1853" operator="greaterThan">
      <formula>100%</formula>
    </cfRule>
  </conditionalFormatting>
  <conditionalFormatting sqref="J2119:K2121">
    <cfRule type="cellIs" dxfId="444" priority="1850" operator="greaterThanOrEqual">
      <formula>1</formula>
    </cfRule>
    <cfRule type="cellIs" dxfId="443" priority="1851" operator="greaterThan">
      <formula>100%</formula>
    </cfRule>
  </conditionalFormatting>
  <conditionalFormatting sqref="J2129:K2131">
    <cfRule type="cellIs" dxfId="442" priority="1848" operator="greaterThanOrEqual">
      <formula>1</formula>
    </cfRule>
    <cfRule type="cellIs" dxfId="441" priority="1849" operator="greaterThan">
      <formula>100%</formula>
    </cfRule>
  </conditionalFormatting>
  <conditionalFormatting sqref="J2139:K2141">
    <cfRule type="cellIs" dxfId="440" priority="1846" operator="greaterThanOrEqual">
      <formula>1</formula>
    </cfRule>
    <cfRule type="cellIs" dxfId="439" priority="1847" operator="greaterThan">
      <formula>100%</formula>
    </cfRule>
  </conditionalFormatting>
  <conditionalFormatting sqref="J2149:K2151">
    <cfRule type="cellIs" dxfId="438" priority="1844" operator="greaterThanOrEqual">
      <formula>1</formula>
    </cfRule>
    <cfRule type="cellIs" dxfId="437" priority="1845" operator="greaterThan">
      <formula>100%</formula>
    </cfRule>
  </conditionalFormatting>
  <conditionalFormatting sqref="J2159:K2161">
    <cfRule type="cellIs" dxfId="436" priority="1842" operator="greaterThanOrEqual">
      <formula>1</formula>
    </cfRule>
    <cfRule type="cellIs" dxfId="435" priority="1843" operator="greaterThan">
      <formula>100%</formula>
    </cfRule>
  </conditionalFormatting>
  <conditionalFormatting sqref="J2169:K2171">
    <cfRule type="cellIs" dxfId="434" priority="1840" operator="greaterThanOrEqual">
      <formula>1</formula>
    </cfRule>
    <cfRule type="cellIs" dxfId="433" priority="1841" operator="greaterThan">
      <formula>100%</formula>
    </cfRule>
  </conditionalFormatting>
  <conditionalFormatting sqref="J2179:K2181">
    <cfRule type="cellIs" dxfId="432" priority="1838" operator="greaterThanOrEqual">
      <formula>1</formula>
    </cfRule>
    <cfRule type="cellIs" dxfId="431" priority="1839" operator="greaterThan">
      <formula>100%</formula>
    </cfRule>
  </conditionalFormatting>
  <conditionalFormatting sqref="J2189:K2191">
    <cfRule type="cellIs" dxfId="430" priority="1836" operator="greaterThanOrEqual">
      <formula>1</formula>
    </cfRule>
    <cfRule type="cellIs" dxfId="429" priority="1837" operator="greaterThan">
      <formula>100%</formula>
    </cfRule>
  </conditionalFormatting>
  <conditionalFormatting sqref="J2199:K2201">
    <cfRule type="cellIs" dxfId="428" priority="1834" operator="greaterThanOrEqual">
      <formula>1</formula>
    </cfRule>
    <cfRule type="cellIs" dxfId="427" priority="1835" operator="greaterThan">
      <formula>100%</formula>
    </cfRule>
  </conditionalFormatting>
  <conditionalFormatting sqref="J2209:K2211">
    <cfRule type="cellIs" dxfId="426" priority="1832" operator="greaterThanOrEqual">
      <formula>1</formula>
    </cfRule>
    <cfRule type="cellIs" dxfId="425" priority="1833" operator="greaterThan">
      <formula>100%</formula>
    </cfRule>
  </conditionalFormatting>
  <conditionalFormatting sqref="J2220:K2222">
    <cfRule type="cellIs" dxfId="424" priority="1830" operator="greaterThanOrEqual">
      <formula>1</formula>
    </cfRule>
    <cfRule type="cellIs" dxfId="423" priority="1831" operator="greaterThan">
      <formula>100%</formula>
    </cfRule>
  </conditionalFormatting>
  <conditionalFormatting sqref="J2253:K2255">
    <cfRule type="cellIs" dxfId="422" priority="752" operator="greaterThanOrEqual">
      <formula>1</formula>
    </cfRule>
    <cfRule type="cellIs" dxfId="421" priority="753" operator="greaterThan">
      <formula>100%</formula>
    </cfRule>
  </conditionalFormatting>
  <conditionalFormatting sqref="J2287:K2289">
    <cfRule type="cellIs" dxfId="420" priority="749" operator="greaterThanOrEqual">
      <formula>1</formula>
    </cfRule>
    <cfRule type="cellIs" dxfId="419" priority="750" operator="greaterThan">
      <formula>100%</formula>
    </cfRule>
  </conditionalFormatting>
  <conditionalFormatting sqref="J2297:K2299">
    <cfRule type="cellIs" dxfId="418" priority="1824" operator="greaterThanOrEqual">
      <formula>1</formula>
    </cfRule>
    <cfRule type="cellIs" dxfId="417" priority="1825" operator="greaterThan">
      <formula>100%</formula>
    </cfRule>
  </conditionalFormatting>
  <conditionalFormatting sqref="J2311:K2313">
    <cfRule type="cellIs" dxfId="416" priority="1822" operator="greaterThanOrEqual">
      <formula>1</formula>
    </cfRule>
    <cfRule type="cellIs" dxfId="415" priority="1823" operator="greaterThan">
      <formula>100%</formula>
    </cfRule>
  </conditionalFormatting>
  <conditionalFormatting sqref="J2323:K2325">
    <cfRule type="cellIs" dxfId="414" priority="1820" operator="greaterThanOrEqual">
      <formula>1</formula>
    </cfRule>
    <cfRule type="cellIs" dxfId="413" priority="1821" operator="greaterThan">
      <formula>100%</formula>
    </cfRule>
  </conditionalFormatting>
  <conditionalFormatting sqref="J2349:K2351">
    <cfRule type="cellIs" dxfId="412" priority="1818" operator="greaterThanOrEqual">
      <formula>1</formula>
    </cfRule>
    <cfRule type="cellIs" dxfId="411" priority="1819" operator="greaterThan">
      <formula>100%</formula>
    </cfRule>
  </conditionalFormatting>
  <conditionalFormatting sqref="J2361:K2363">
    <cfRule type="cellIs" dxfId="410" priority="1816" operator="greaterThanOrEqual">
      <formula>1</formula>
    </cfRule>
    <cfRule type="cellIs" dxfId="409" priority="1817" operator="greaterThan">
      <formula>100%</formula>
    </cfRule>
  </conditionalFormatting>
  <conditionalFormatting sqref="J2371:K2373">
    <cfRule type="cellIs" dxfId="408" priority="1814" operator="greaterThanOrEqual">
      <formula>1</formula>
    </cfRule>
    <cfRule type="cellIs" dxfId="407" priority="1815" operator="greaterThan">
      <formula>100%</formula>
    </cfRule>
  </conditionalFormatting>
  <conditionalFormatting sqref="J2385:K2387">
    <cfRule type="cellIs" dxfId="406" priority="1812" operator="greaterThanOrEqual">
      <formula>1</formula>
    </cfRule>
    <cfRule type="cellIs" dxfId="405" priority="1813" operator="greaterThan">
      <formula>100%</formula>
    </cfRule>
  </conditionalFormatting>
  <conditionalFormatting sqref="J2395:K2397">
    <cfRule type="cellIs" dxfId="404" priority="1810" operator="greaterThanOrEqual">
      <formula>1</formula>
    </cfRule>
    <cfRule type="cellIs" dxfId="403" priority="1811" operator="greaterThan">
      <formula>100%</formula>
    </cfRule>
  </conditionalFormatting>
  <conditionalFormatting sqref="J2405:K2407">
    <cfRule type="cellIs" dxfId="402" priority="1808" operator="greaterThanOrEqual">
      <formula>1</formula>
    </cfRule>
    <cfRule type="cellIs" dxfId="401" priority="1809" operator="greaterThan">
      <formula>100%</formula>
    </cfRule>
  </conditionalFormatting>
  <conditionalFormatting sqref="J2423:K2425">
    <cfRule type="cellIs" dxfId="400" priority="1806" operator="greaterThanOrEqual">
      <formula>1</formula>
    </cfRule>
    <cfRule type="cellIs" dxfId="399" priority="1807" operator="greaterThan">
      <formula>100%</formula>
    </cfRule>
  </conditionalFormatting>
  <conditionalFormatting sqref="J2434:K2436">
    <cfRule type="cellIs" dxfId="398" priority="1804" operator="greaterThanOrEqual">
      <formula>1</formula>
    </cfRule>
    <cfRule type="cellIs" dxfId="397" priority="1805" operator="greaterThan">
      <formula>100%</formula>
    </cfRule>
  </conditionalFormatting>
  <conditionalFormatting sqref="J2444:K2446">
    <cfRule type="cellIs" dxfId="396" priority="1802" operator="greaterThanOrEqual">
      <formula>1</formula>
    </cfRule>
    <cfRule type="cellIs" dxfId="395" priority="1803" operator="greaterThan">
      <formula>100%</formula>
    </cfRule>
  </conditionalFormatting>
  <conditionalFormatting sqref="J2454:K2456">
    <cfRule type="cellIs" dxfId="394" priority="1800" operator="greaterThanOrEqual">
      <formula>1</formula>
    </cfRule>
    <cfRule type="cellIs" dxfId="393" priority="1801" operator="greaterThan">
      <formula>100%</formula>
    </cfRule>
  </conditionalFormatting>
  <conditionalFormatting sqref="J2464:K2466">
    <cfRule type="cellIs" dxfId="392" priority="1798" operator="greaterThanOrEqual">
      <formula>1</formula>
    </cfRule>
    <cfRule type="cellIs" dxfId="391" priority="1799" operator="greaterThan">
      <formula>100%</formula>
    </cfRule>
  </conditionalFormatting>
  <conditionalFormatting sqref="J2474:K2476">
    <cfRule type="cellIs" dxfId="390" priority="1796" operator="greaterThanOrEqual">
      <formula>1</formula>
    </cfRule>
    <cfRule type="cellIs" dxfId="389" priority="1797" operator="greaterThan">
      <formula>100%</formula>
    </cfRule>
  </conditionalFormatting>
  <conditionalFormatting sqref="J2484:K2486">
    <cfRule type="cellIs" dxfId="388" priority="1794" operator="greaterThanOrEqual">
      <formula>1</formula>
    </cfRule>
    <cfRule type="cellIs" dxfId="387" priority="1795" operator="greaterThan">
      <formula>100%</formula>
    </cfRule>
  </conditionalFormatting>
  <conditionalFormatting sqref="J2494:K2496">
    <cfRule type="cellIs" dxfId="386" priority="1792" operator="greaterThanOrEqual">
      <formula>1</formula>
    </cfRule>
    <cfRule type="cellIs" dxfId="385" priority="1793" operator="greaterThan">
      <formula>100%</formula>
    </cfRule>
  </conditionalFormatting>
  <conditionalFormatting sqref="J2504:K2506">
    <cfRule type="cellIs" dxfId="384" priority="1790" operator="greaterThanOrEqual">
      <formula>1</formula>
    </cfRule>
    <cfRule type="cellIs" dxfId="383" priority="1791" operator="greaterThan">
      <formula>100%</formula>
    </cfRule>
  </conditionalFormatting>
  <conditionalFormatting sqref="J2514:K2516">
    <cfRule type="cellIs" dxfId="382" priority="1788" operator="greaterThanOrEqual">
      <formula>1</formula>
    </cfRule>
    <cfRule type="cellIs" dxfId="381" priority="1789" operator="greaterThan">
      <formula>100%</formula>
    </cfRule>
  </conditionalFormatting>
  <conditionalFormatting sqref="J2524:K2526">
    <cfRule type="cellIs" dxfId="380" priority="1786" operator="greaterThanOrEqual">
      <formula>1</formula>
    </cfRule>
    <cfRule type="cellIs" dxfId="379" priority="1787" operator="greaterThan">
      <formula>100%</formula>
    </cfRule>
  </conditionalFormatting>
  <conditionalFormatting sqref="J2534:K2536">
    <cfRule type="cellIs" dxfId="378" priority="1784" operator="greaterThanOrEqual">
      <formula>1</formula>
    </cfRule>
    <cfRule type="cellIs" dxfId="377" priority="1785" operator="greaterThan">
      <formula>100%</formula>
    </cfRule>
  </conditionalFormatting>
  <conditionalFormatting sqref="J2545:K2547">
    <cfRule type="cellIs" dxfId="376" priority="1782" operator="greaterThanOrEqual">
      <formula>1</formula>
    </cfRule>
    <cfRule type="cellIs" dxfId="375" priority="1783" operator="greaterThan">
      <formula>100%</formula>
    </cfRule>
  </conditionalFormatting>
  <conditionalFormatting sqref="J2557:K2559">
    <cfRule type="cellIs" dxfId="374" priority="1780" operator="greaterThanOrEqual">
      <formula>1</formula>
    </cfRule>
    <cfRule type="cellIs" dxfId="373" priority="1781" operator="greaterThan">
      <formula>100%</formula>
    </cfRule>
  </conditionalFormatting>
  <conditionalFormatting sqref="J2567:K2569">
    <cfRule type="cellIs" dxfId="372" priority="1778" operator="greaterThanOrEqual">
      <formula>1</formula>
    </cfRule>
    <cfRule type="cellIs" dxfId="371" priority="1779" operator="greaterThan">
      <formula>100%</formula>
    </cfRule>
  </conditionalFormatting>
  <conditionalFormatting sqref="J2578:K2580">
    <cfRule type="cellIs" dxfId="370" priority="1776" operator="greaterThanOrEqual">
      <formula>1</formula>
    </cfRule>
    <cfRule type="cellIs" dxfId="369" priority="1777" operator="greaterThan">
      <formula>100%</formula>
    </cfRule>
  </conditionalFormatting>
  <conditionalFormatting sqref="J2588:K2590">
    <cfRule type="cellIs" dxfId="368" priority="1774" operator="greaterThanOrEqual">
      <formula>1</formula>
    </cfRule>
    <cfRule type="cellIs" dxfId="367" priority="1775" operator="greaterThan">
      <formula>100%</formula>
    </cfRule>
  </conditionalFormatting>
  <conditionalFormatting sqref="J2598:K2600">
    <cfRule type="cellIs" dxfId="366" priority="1772" operator="greaterThanOrEqual">
      <formula>1</formula>
    </cfRule>
    <cfRule type="cellIs" dxfId="365" priority="1773" operator="greaterThan">
      <formula>100%</formula>
    </cfRule>
  </conditionalFormatting>
  <conditionalFormatting sqref="J2608:K2610">
    <cfRule type="cellIs" dxfId="364" priority="1770" operator="greaterThanOrEqual">
      <formula>1</formula>
    </cfRule>
    <cfRule type="cellIs" dxfId="363" priority="1771" operator="greaterThan">
      <formula>100%</formula>
    </cfRule>
  </conditionalFormatting>
  <conditionalFormatting sqref="J2618:K2620">
    <cfRule type="cellIs" dxfId="362" priority="1768" operator="greaterThanOrEqual">
      <formula>1</formula>
    </cfRule>
    <cfRule type="cellIs" dxfId="361" priority="1769" operator="greaterThan">
      <formula>100%</formula>
    </cfRule>
  </conditionalFormatting>
  <conditionalFormatting sqref="J2628:K2630">
    <cfRule type="cellIs" dxfId="360" priority="1766" operator="greaterThanOrEqual">
      <formula>1</formula>
    </cfRule>
    <cfRule type="cellIs" dxfId="359" priority="1767" operator="greaterThan">
      <formula>100%</formula>
    </cfRule>
  </conditionalFormatting>
  <conditionalFormatting sqref="J2638:K2640">
    <cfRule type="cellIs" dxfId="358" priority="1764" operator="greaterThanOrEqual">
      <formula>1</formula>
    </cfRule>
    <cfRule type="cellIs" dxfId="357" priority="1765" operator="greaterThan">
      <formula>100%</formula>
    </cfRule>
  </conditionalFormatting>
  <conditionalFormatting sqref="J2648:K2650">
    <cfRule type="cellIs" dxfId="356" priority="1762" operator="greaterThanOrEqual">
      <formula>1</formula>
    </cfRule>
    <cfRule type="cellIs" dxfId="355" priority="1763" operator="greaterThan">
      <formula>100%</formula>
    </cfRule>
  </conditionalFormatting>
  <conditionalFormatting sqref="J2658:K2660">
    <cfRule type="cellIs" dxfId="354" priority="1760" operator="greaterThanOrEqual">
      <formula>1</formula>
    </cfRule>
    <cfRule type="cellIs" dxfId="353" priority="1761" operator="greaterThan">
      <formula>100%</formula>
    </cfRule>
  </conditionalFormatting>
  <conditionalFormatting sqref="J2668:K2670">
    <cfRule type="cellIs" dxfId="352" priority="1758" operator="greaterThanOrEqual">
      <formula>1</formula>
    </cfRule>
    <cfRule type="cellIs" dxfId="351" priority="1759" operator="greaterThan">
      <formula>100%</formula>
    </cfRule>
  </conditionalFormatting>
  <conditionalFormatting sqref="J2678:K2680">
    <cfRule type="cellIs" dxfId="350" priority="1756" operator="greaterThanOrEqual">
      <formula>1</formula>
    </cfRule>
    <cfRule type="cellIs" dxfId="349" priority="1757" operator="greaterThan">
      <formula>100%</formula>
    </cfRule>
  </conditionalFormatting>
  <conditionalFormatting sqref="J2688:K2690">
    <cfRule type="cellIs" dxfId="348" priority="1754" operator="greaterThanOrEqual">
      <formula>1</formula>
    </cfRule>
    <cfRule type="cellIs" dxfId="347" priority="1755" operator="greaterThan">
      <formula>100%</formula>
    </cfRule>
  </conditionalFormatting>
  <conditionalFormatting sqref="J2698:K2700">
    <cfRule type="cellIs" dxfId="346" priority="1752" operator="greaterThanOrEqual">
      <formula>1</formula>
    </cfRule>
    <cfRule type="cellIs" dxfId="345" priority="1753" operator="greaterThan">
      <formula>100%</formula>
    </cfRule>
  </conditionalFormatting>
  <conditionalFormatting sqref="J2709:K2711">
    <cfRule type="cellIs" dxfId="344" priority="1750" operator="greaterThanOrEqual">
      <formula>1</formula>
    </cfRule>
    <cfRule type="cellIs" dxfId="343" priority="1751" operator="greaterThan">
      <formula>100%</formula>
    </cfRule>
  </conditionalFormatting>
  <conditionalFormatting sqref="J2720:K2722">
    <cfRule type="cellIs" dxfId="342" priority="1748" operator="greaterThanOrEqual">
      <formula>1</formula>
    </cfRule>
    <cfRule type="cellIs" dxfId="341" priority="1749" operator="greaterThan">
      <formula>100%</formula>
    </cfRule>
  </conditionalFormatting>
  <conditionalFormatting sqref="J2730:K2732">
    <cfRule type="cellIs" dxfId="340" priority="719" operator="greaterThanOrEqual">
      <formula>1</formula>
    </cfRule>
    <cfRule type="cellIs" dxfId="339" priority="720" operator="greaterThan">
      <formula>100%</formula>
    </cfRule>
  </conditionalFormatting>
  <conditionalFormatting sqref="J2740:K2742">
    <cfRule type="cellIs" dxfId="338" priority="1744" operator="greaterThanOrEqual">
      <formula>1</formula>
    </cfRule>
    <cfRule type="cellIs" dxfId="337" priority="1745" operator="greaterThan">
      <formula>100%</formula>
    </cfRule>
  </conditionalFormatting>
  <conditionalFormatting sqref="J2751:K2753">
    <cfRule type="cellIs" dxfId="336" priority="1742" operator="greaterThanOrEqual">
      <formula>1</formula>
    </cfRule>
    <cfRule type="cellIs" dxfId="335" priority="1743" operator="greaterThan">
      <formula>100%</formula>
    </cfRule>
  </conditionalFormatting>
  <conditionalFormatting sqref="J2761:K2763">
    <cfRule type="cellIs" dxfId="334" priority="1740" operator="greaterThanOrEqual">
      <formula>1</formula>
    </cfRule>
    <cfRule type="cellIs" dxfId="333" priority="1741" operator="greaterThan">
      <formula>100%</formula>
    </cfRule>
  </conditionalFormatting>
  <conditionalFormatting sqref="J2771:K2773">
    <cfRule type="cellIs" dxfId="332" priority="1738" operator="greaterThanOrEqual">
      <formula>1</formula>
    </cfRule>
    <cfRule type="cellIs" dxfId="331" priority="1739" operator="greaterThan">
      <formula>100%</formula>
    </cfRule>
  </conditionalFormatting>
  <conditionalFormatting sqref="J2783:K2785">
    <cfRule type="cellIs" dxfId="330" priority="1736" operator="greaterThanOrEqual">
      <formula>1</formula>
    </cfRule>
    <cfRule type="cellIs" dxfId="329" priority="1737" operator="greaterThan">
      <formula>100%</formula>
    </cfRule>
  </conditionalFormatting>
  <conditionalFormatting sqref="J2793:K2795">
    <cfRule type="cellIs" dxfId="328" priority="1734" operator="greaterThanOrEqual">
      <formula>1</formula>
    </cfRule>
    <cfRule type="cellIs" dxfId="327" priority="1735" operator="greaterThan">
      <formula>100%</formula>
    </cfRule>
  </conditionalFormatting>
  <conditionalFormatting sqref="J2803:K2805">
    <cfRule type="cellIs" dxfId="326" priority="1732" operator="greaterThanOrEqual">
      <formula>1</formula>
    </cfRule>
    <cfRule type="cellIs" dxfId="325" priority="1733" operator="greaterThan">
      <formula>100%</formula>
    </cfRule>
  </conditionalFormatting>
  <conditionalFormatting sqref="J2813:K2815">
    <cfRule type="cellIs" dxfId="324" priority="1730" operator="greaterThanOrEqual">
      <formula>1</formula>
    </cfRule>
    <cfRule type="cellIs" dxfId="323" priority="1731" operator="greaterThan">
      <formula>100%</formula>
    </cfRule>
  </conditionalFormatting>
  <conditionalFormatting sqref="J2823:K2825">
    <cfRule type="cellIs" dxfId="322" priority="1728" operator="greaterThanOrEqual">
      <formula>1</formula>
    </cfRule>
    <cfRule type="cellIs" dxfId="321" priority="1729" operator="greaterThan">
      <formula>100%</formula>
    </cfRule>
  </conditionalFormatting>
  <conditionalFormatting sqref="J2833:K2835">
    <cfRule type="cellIs" dxfId="320" priority="1726" operator="greaterThanOrEqual">
      <formula>1</formula>
    </cfRule>
    <cfRule type="cellIs" dxfId="319" priority="1727" operator="greaterThan">
      <formula>100%</formula>
    </cfRule>
  </conditionalFormatting>
  <conditionalFormatting sqref="J2843:K2845">
    <cfRule type="cellIs" dxfId="318" priority="1724" operator="greaterThanOrEqual">
      <formula>1</formula>
    </cfRule>
    <cfRule type="cellIs" dxfId="317" priority="1725" operator="greaterThan">
      <formula>100%</formula>
    </cfRule>
  </conditionalFormatting>
  <conditionalFormatting sqref="J2853:K2855">
    <cfRule type="cellIs" dxfId="316" priority="1722" operator="greaterThanOrEqual">
      <formula>1</formula>
    </cfRule>
    <cfRule type="cellIs" dxfId="315" priority="1723" operator="greaterThan">
      <formula>100%</formula>
    </cfRule>
  </conditionalFormatting>
  <conditionalFormatting sqref="J2863:K2865">
    <cfRule type="cellIs" dxfId="314" priority="1720" operator="greaterThanOrEqual">
      <formula>1</formula>
    </cfRule>
    <cfRule type="cellIs" dxfId="313" priority="1721" operator="greaterThan">
      <formula>100%</formula>
    </cfRule>
  </conditionalFormatting>
  <conditionalFormatting sqref="J2874:K2876">
    <cfRule type="cellIs" dxfId="312" priority="1718" operator="greaterThanOrEqual">
      <formula>1</formula>
    </cfRule>
    <cfRule type="cellIs" dxfId="311" priority="1719" operator="greaterThan">
      <formula>100%</formula>
    </cfRule>
  </conditionalFormatting>
  <conditionalFormatting sqref="J2884:K2886">
    <cfRule type="cellIs" dxfId="310" priority="1716" operator="greaterThanOrEqual">
      <formula>1</formula>
    </cfRule>
    <cfRule type="cellIs" dxfId="309" priority="1717" operator="greaterThan">
      <formula>100%</formula>
    </cfRule>
  </conditionalFormatting>
  <conditionalFormatting sqref="J2894:K2896">
    <cfRule type="cellIs" dxfId="308" priority="1714" operator="greaterThanOrEqual">
      <formula>1</formula>
    </cfRule>
    <cfRule type="cellIs" dxfId="307" priority="1715" operator="greaterThan">
      <formula>100%</formula>
    </cfRule>
  </conditionalFormatting>
  <conditionalFormatting sqref="J2904:K2906">
    <cfRule type="cellIs" dxfId="306" priority="1712" operator="greaterThanOrEqual">
      <formula>1</formula>
    </cfRule>
    <cfRule type="cellIs" dxfId="305" priority="1713" operator="greaterThan">
      <formula>100%</formula>
    </cfRule>
  </conditionalFormatting>
  <conditionalFormatting sqref="J2915:K2917">
    <cfRule type="cellIs" dxfId="304" priority="1710" operator="greaterThanOrEqual">
      <formula>1</formula>
    </cfRule>
    <cfRule type="cellIs" dxfId="303" priority="1711" operator="greaterThan">
      <formula>100%</formula>
    </cfRule>
  </conditionalFormatting>
  <conditionalFormatting sqref="J2925:K2927">
    <cfRule type="cellIs" dxfId="302" priority="1708" operator="greaterThanOrEqual">
      <formula>1</formula>
    </cfRule>
    <cfRule type="cellIs" dxfId="301" priority="1709" operator="greaterThan">
      <formula>100%</formula>
    </cfRule>
  </conditionalFormatting>
  <conditionalFormatting sqref="J2935:K2937">
    <cfRule type="cellIs" dxfId="300" priority="1706" operator="greaterThanOrEqual">
      <formula>1</formula>
    </cfRule>
    <cfRule type="cellIs" dxfId="299" priority="1707" operator="greaterThan">
      <formula>100%</formula>
    </cfRule>
  </conditionalFormatting>
  <conditionalFormatting sqref="J2945:K2947">
    <cfRule type="cellIs" dxfId="298" priority="716" operator="greaterThanOrEqual">
      <formula>1</formula>
    </cfRule>
    <cfRule type="cellIs" dxfId="297" priority="717" operator="greaterThan">
      <formula>100%</formula>
    </cfRule>
  </conditionalFormatting>
  <conditionalFormatting sqref="J2955:K2957">
    <cfRule type="cellIs" dxfId="296" priority="1702" operator="greaterThanOrEqual">
      <formula>1</formula>
    </cfRule>
    <cfRule type="cellIs" dxfId="295" priority="1703" operator="greaterThan">
      <formula>100%</formula>
    </cfRule>
  </conditionalFormatting>
  <conditionalFormatting sqref="J2965:K2967">
    <cfRule type="cellIs" dxfId="294" priority="1700" operator="greaterThanOrEqual">
      <formula>1</formula>
    </cfRule>
    <cfRule type="cellIs" dxfId="293" priority="1701" operator="greaterThan">
      <formula>100%</formula>
    </cfRule>
  </conditionalFormatting>
  <conditionalFormatting sqref="J2975:K2977">
    <cfRule type="cellIs" dxfId="292" priority="1698" operator="greaterThanOrEqual">
      <formula>1</formula>
    </cfRule>
    <cfRule type="cellIs" dxfId="291" priority="1699" operator="greaterThan">
      <formula>100%</formula>
    </cfRule>
  </conditionalFormatting>
  <conditionalFormatting sqref="J2985:K2987">
    <cfRule type="cellIs" dxfId="290" priority="1696" operator="greaterThanOrEqual">
      <formula>1</formula>
    </cfRule>
    <cfRule type="cellIs" dxfId="289" priority="1697" operator="greaterThan">
      <formula>100%</formula>
    </cfRule>
  </conditionalFormatting>
  <conditionalFormatting sqref="J3001:K3003">
    <cfRule type="cellIs" dxfId="288" priority="1694" operator="greaterThanOrEqual">
      <formula>1</formula>
    </cfRule>
    <cfRule type="cellIs" dxfId="287" priority="1695" operator="greaterThan">
      <formula>100%</formula>
    </cfRule>
  </conditionalFormatting>
  <conditionalFormatting sqref="J3011:K3013">
    <cfRule type="cellIs" dxfId="286" priority="1692" operator="greaterThanOrEqual">
      <formula>1</formula>
    </cfRule>
    <cfRule type="cellIs" dxfId="285" priority="1693" operator="greaterThan">
      <formula>100%</formula>
    </cfRule>
  </conditionalFormatting>
  <conditionalFormatting sqref="J3021:K3023">
    <cfRule type="cellIs" dxfId="284" priority="1690" operator="greaterThanOrEqual">
      <formula>1</formula>
    </cfRule>
    <cfRule type="cellIs" dxfId="283" priority="1691" operator="greaterThan">
      <formula>100%</formula>
    </cfRule>
  </conditionalFormatting>
  <conditionalFormatting sqref="J3031:K3033">
    <cfRule type="cellIs" dxfId="282" priority="1688" operator="greaterThanOrEqual">
      <formula>1</formula>
    </cfRule>
    <cfRule type="cellIs" dxfId="281" priority="1689" operator="greaterThan">
      <formula>100%</formula>
    </cfRule>
  </conditionalFormatting>
  <conditionalFormatting sqref="J3042:K3044">
    <cfRule type="cellIs" dxfId="280" priority="1686" operator="greaterThanOrEqual">
      <formula>1</formula>
    </cfRule>
    <cfRule type="cellIs" dxfId="279" priority="1687" operator="greaterThan">
      <formula>100%</formula>
    </cfRule>
  </conditionalFormatting>
  <conditionalFormatting sqref="J3052:K3054">
    <cfRule type="cellIs" dxfId="278" priority="1684" operator="greaterThanOrEqual">
      <formula>1</formula>
    </cfRule>
    <cfRule type="cellIs" dxfId="277" priority="1685" operator="greaterThan">
      <formula>100%</formula>
    </cfRule>
  </conditionalFormatting>
  <conditionalFormatting sqref="J3062:K3064">
    <cfRule type="cellIs" dxfId="276" priority="1682" operator="greaterThanOrEqual">
      <formula>1</formula>
    </cfRule>
    <cfRule type="cellIs" dxfId="275" priority="1683" operator="greaterThan">
      <formula>100%</formula>
    </cfRule>
  </conditionalFormatting>
  <conditionalFormatting sqref="J3074:K3076">
    <cfRule type="cellIs" dxfId="274" priority="1680" operator="greaterThanOrEqual">
      <formula>1</formula>
    </cfRule>
    <cfRule type="cellIs" dxfId="273" priority="1681" operator="greaterThan">
      <formula>100%</formula>
    </cfRule>
  </conditionalFormatting>
  <conditionalFormatting sqref="J3086:K3088">
    <cfRule type="cellIs" dxfId="272" priority="1678" operator="greaterThanOrEqual">
      <formula>1</formula>
    </cfRule>
    <cfRule type="cellIs" dxfId="271" priority="1679" operator="greaterThan">
      <formula>100%</formula>
    </cfRule>
  </conditionalFormatting>
  <conditionalFormatting sqref="J3096:K3098">
    <cfRule type="cellIs" dxfId="270" priority="1676" operator="greaterThanOrEqual">
      <formula>1</formula>
    </cfRule>
    <cfRule type="cellIs" dxfId="269" priority="1677" operator="greaterThan">
      <formula>100%</formula>
    </cfRule>
  </conditionalFormatting>
  <conditionalFormatting sqref="J3106:K3108">
    <cfRule type="cellIs" dxfId="268" priority="1674" operator="greaterThanOrEqual">
      <formula>1</formula>
    </cfRule>
    <cfRule type="cellIs" dxfId="267" priority="1675" operator="greaterThan">
      <formula>100%</formula>
    </cfRule>
  </conditionalFormatting>
  <conditionalFormatting sqref="J3116:K3118">
    <cfRule type="cellIs" dxfId="266" priority="713" operator="greaterThanOrEqual">
      <formula>1</formula>
    </cfRule>
    <cfRule type="cellIs" dxfId="265" priority="714" operator="greaterThan">
      <formula>100%</formula>
    </cfRule>
  </conditionalFormatting>
  <conditionalFormatting sqref="J3126:K3128">
    <cfRule type="cellIs" dxfId="264" priority="1670" operator="greaterThanOrEqual">
      <formula>1</formula>
    </cfRule>
    <cfRule type="cellIs" dxfId="263" priority="1671" operator="greaterThan">
      <formula>100%</formula>
    </cfRule>
  </conditionalFormatting>
  <conditionalFormatting sqref="J3136:K3138">
    <cfRule type="cellIs" dxfId="262" priority="1668" operator="greaterThanOrEqual">
      <formula>1</formula>
    </cfRule>
    <cfRule type="cellIs" dxfId="261" priority="1669" operator="greaterThan">
      <formula>100%</formula>
    </cfRule>
  </conditionalFormatting>
  <conditionalFormatting sqref="J3146:K3148">
    <cfRule type="cellIs" dxfId="260" priority="1666" operator="greaterThanOrEqual">
      <formula>1</formula>
    </cfRule>
    <cfRule type="cellIs" dxfId="259" priority="1667" operator="greaterThan">
      <formula>100%</formula>
    </cfRule>
  </conditionalFormatting>
  <conditionalFormatting sqref="J3156:K3158">
    <cfRule type="cellIs" dxfId="258" priority="1664" operator="greaterThanOrEqual">
      <formula>1</formula>
    </cfRule>
    <cfRule type="cellIs" dxfId="257" priority="1665" operator="greaterThan">
      <formula>100%</formula>
    </cfRule>
  </conditionalFormatting>
  <conditionalFormatting sqref="J3167:K3169">
    <cfRule type="cellIs" dxfId="256" priority="1662" operator="greaterThanOrEqual">
      <formula>1</formula>
    </cfRule>
    <cfRule type="cellIs" dxfId="255" priority="1663" operator="greaterThan">
      <formula>100%</formula>
    </cfRule>
  </conditionalFormatting>
  <conditionalFormatting sqref="J3177:K3179">
    <cfRule type="cellIs" dxfId="254" priority="1660" operator="greaterThanOrEqual">
      <formula>1</formula>
    </cfRule>
    <cfRule type="cellIs" dxfId="253" priority="1661" operator="greaterThan">
      <formula>100%</formula>
    </cfRule>
  </conditionalFormatting>
  <conditionalFormatting sqref="J3187:K3189">
    <cfRule type="cellIs" dxfId="252" priority="1658" operator="greaterThanOrEqual">
      <formula>1</formula>
    </cfRule>
    <cfRule type="cellIs" dxfId="251" priority="1659" operator="greaterThan">
      <formula>100%</formula>
    </cfRule>
  </conditionalFormatting>
  <conditionalFormatting sqref="J3197:K3199">
    <cfRule type="cellIs" dxfId="250" priority="1656" operator="greaterThanOrEqual">
      <formula>1</formula>
    </cfRule>
    <cfRule type="cellIs" dxfId="249" priority="1657" operator="greaterThan">
      <formula>100%</formula>
    </cfRule>
  </conditionalFormatting>
  <conditionalFormatting sqref="J3207:K3209">
    <cfRule type="cellIs" dxfId="248" priority="1654" operator="greaterThanOrEqual">
      <formula>1</formula>
    </cfRule>
    <cfRule type="cellIs" dxfId="247" priority="1655" operator="greaterThan">
      <formula>100%</formula>
    </cfRule>
  </conditionalFormatting>
  <conditionalFormatting sqref="J3217:K3219">
    <cfRule type="cellIs" dxfId="246" priority="1652" operator="greaterThanOrEqual">
      <formula>1</formula>
    </cfRule>
    <cfRule type="cellIs" dxfId="245" priority="1653" operator="greaterThan">
      <formula>100%</formula>
    </cfRule>
  </conditionalFormatting>
  <conditionalFormatting sqref="J3227:K3229">
    <cfRule type="cellIs" dxfId="244" priority="1650" operator="greaterThanOrEqual">
      <formula>1</formula>
    </cfRule>
    <cfRule type="cellIs" dxfId="243" priority="1651" operator="greaterThan">
      <formula>100%</formula>
    </cfRule>
  </conditionalFormatting>
  <conditionalFormatting sqref="J3237:K3239">
    <cfRule type="cellIs" dxfId="242" priority="1648" operator="greaterThanOrEqual">
      <formula>1</formula>
    </cfRule>
    <cfRule type="cellIs" dxfId="241" priority="1649" operator="greaterThan">
      <formula>100%</formula>
    </cfRule>
  </conditionalFormatting>
  <conditionalFormatting sqref="J3247:K3249">
    <cfRule type="cellIs" dxfId="240" priority="1646" operator="greaterThanOrEqual">
      <formula>1</formula>
    </cfRule>
    <cfRule type="cellIs" dxfId="239" priority="1647" operator="greaterThan">
      <formula>100%</formula>
    </cfRule>
  </conditionalFormatting>
  <conditionalFormatting sqref="J3257:K3259">
    <cfRule type="cellIs" dxfId="238" priority="1644" operator="greaterThanOrEqual">
      <formula>1</formula>
    </cfRule>
    <cfRule type="cellIs" dxfId="237" priority="1645" operator="greaterThan">
      <formula>100%</formula>
    </cfRule>
  </conditionalFormatting>
  <conditionalFormatting sqref="J3267:K3269">
    <cfRule type="cellIs" dxfId="236" priority="1642" operator="greaterThanOrEqual">
      <formula>1</formula>
    </cfRule>
    <cfRule type="cellIs" dxfId="235" priority="1643" operator="greaterThan">
      <formula>100%</formula>
    </cfRule>
  </conditionalFormatting>
  <conditionalFormatting sqref="J3277:K3279">
    <cfRule type="cellIs" dxfId="234" priority="1640" operator="greaterThanOrEqual">
      <formula>1</formula>
    </cfRule>
    <cfRule type="cellIs" dxfId="233" priority="1641" operator="greaterThan">
      <formula>100%</formula>
    </cfRule>
  </conditionalFormatting>
  <conditionalFormatting sqref="J3287:K3289">
    <cfRule type="cellIs" dxfId="232" priority="1638" operator="greaterThanOrEqual">
      <formula>1</formula>
    </cfRule>
    <cfRule type="cellIs" dxfId="231" priority="1639" operator="greaterThan">
      <formula>100%</formula>
    </cfRule>
  </conditionalFormatting>
  <conditionalFormatting sqref="J3298:K3300">
    <cfRule type="cellIs" dxfId="230" priority="1636" operator="greaterThanOrEqual">
      <formula>1</formula>
    </cfRule>
    <cfRule type="cellIs" dxfId="229" priority="1637" operator="greaterThan">
      <formula>100%</formula>
    </cfRule>
  </conditionalFormatting>
  <conditionalFormatting sqref="J3308:K3310">
    <cfRule type="cellIs" dxfId="228" priority="1634" operator="greaterThanOrEqual">
      <formula>1</formula>
    </cfRule>
    <cfRule type="cellIs" dxfId="227" priority="1635" operator="greaterThan">
      <formula>100%</formula>
    </cfRule>
  </conditionalFormatting>
  <conditionalFormatting sqref="J3318:K3320">
    <cfRule type="cellIs" dxfId="226" priority="1632" operator="greaterThanOrEqual">
      <formula>1</formula>
    </cfRule>
    <cfRule type="cellIs" dxfId="225" priority="1633" operator="greaterThan">
      <formula>100%</formula>
    </cfRule>
  </conditionalFormatting>
  <conditionalFormatting sqref="J3328:K3330">
    <cfRule type="cellIs" dxfId="224" priority="1630" operator="greaterThanOrEqual">
      <formula>1</formula>
    </cfRule>
    <cfRule type="cellIs" dxfId="223" priority="1631" operator="greaterThan">
      <formula>100%</formula>
    </cfRule>
  </conditionalFormatting>
  <conditionalFormatting sqref="J3339:K3341">
    <cfRule type="cellIs" dxfId="222" priority="1628" operator="greaterThanOrEqual">
      <formula>1</formula>
    </cfRule>
    <cfRule type="cellIs" dxfId="221" priority="1629" operator="greaterThan">
      <formula>100%</formula>
    </cfRule>
  </conditionalFormatting>
  <conditionalFormatting sqref="J3352:K3354">
    <cfRule type="cellIs" dxfId="220" priority="1626" operator="greaterThanOrEqual">
      <formula>1</formula>
    </cfRule>
    <cfRule type="cellIs" dxfId="219" priority="1627" operator="greaterThan">
      <formula>100%</formula>
    </cfRule>
  </conditionalFormatting>
  <conditionalFormatting sqref="J3362:K3364">
    <cfRule type="cellIs" dxfId="218" priority="1624" operator="greaterThanOrEqual">
      <formula>1</formula>
    </cfRule>
    <cfRule type="cellIs" dxfId="217" priority="1625" operator="greaterThan">
      <formula>100%</formula>
    </cfRule>
  </conditionalFormatting>
  <conditionalFormatting sqref="J3372:K3374">
    <cfRule type="cellIs" dxfId="216" priority="1622" operator="greaterThanOrEqual">
      <formula>1</formula>
    </cfRule>
    <cfRule type="cellIs" dxfId="215" priority="1623" operator="greaterThan">
      <formula>100%</formula>
    </cfRule>
  </conditionalFormatting>
  <conditionalFormatting sqref="J3384:K3386">
    <cfRule type="cellIs" dxfId="214" priority="1620" operator="greaterThanOrEqual">
      <formula>1</formula>
    </cfRule>
    <cfRule type="cellIs" dxfId="213" priority="1621" operator="greaterThan">
      <formula>100%</formula>
    </cfRule>
  </conditionalFormatting>
  <conditionalFormatting sqref="J3394:K3396">
    <cfRule type="cellIs" dxfId="212" priority="1618" operator="greaterThanOrEqual">
      <formula>1</formula>
    </cfRule>
    <cfRule type="cellIs" dxfId="211" priority="1619" operator="greaterThan">
      <formula>100%</formula>
    </cfRule>
  </conditionalFormatting>
  <conditionalFormatting sqref="J3404:K3406">
    <cfRule type="cellIs" dxfId="210" priority="1616" operator="greaterThanOrEqual">
      <formula>1</formula>
    </cfRule>
    <cfRule type="cellIs" dxfId="209" priority="1617" operator="greaterThan">
      <formula>100%</formula>
    </cfRule>
  </conditionalFormatting>
  <conditionalFormatting sqref="J3414:K3416">
    <cfRule type="cellIs" dxfId="208" priority="1614" operator="greaterThanOrEqual">
      <formula>1</formula>
    </cfRule>
    <cfRule type="cellIs" dxfId="207" priority="1615" operator="greaterThan">
      <formula>100%</formula>
    </cfRule>
  </conditionalFormatting>
  <conditionalFormatting sqref="J3424:K3426">
    <cfRule type="cellIs" dxfId="206" priority="1612" operator="greaterThanOrEqual">
      <formula>1</formula>
    </cfRule>
    <cfRule type="cellIs" dxfId="205" priority="1613" operator="greaterThan">
      <formula>100%</formula>
    </cfRule>
  </conditionalFormatting>
  <conditionalFormatting sqref="J3435:K3437">
    <cfRule type="cellIs" dxfId="204" priority="1610" operator="greaterThanOrEqual">
      <formula>1</formula>
    </cfRule>
    <cfRule type="cellIs" dxfId="203" priority="1611" operator="greaterThan">
      <formula>100%</formula>
    </cfRule>
  </conditionalFormatting>
  <conditionalFormatting sqref="J3445:K3447">
    <cfRule type="cellIs" dxfId="202" priority="1608" operator="greaterThanOrEqual">
      <formula>1</formula>
    </cfRule>
    <cfRule type="cellIs" dxfId="201" priority="1609" operator="greaterThan">
      <formula>100%</formula>
    </cfRule>
  </conditionalFormatting>
  <conditionalFormatting sqref="J3455:K3457">
    <cfRule type="cellIs" dxfId="200" priority="1606" operator="greaterThanOrEqual">
      <formula>1</formula>
    </cfRule>
    <cfRule type="cellIs" dxfId="199" priority="1607" operator="greaterThan">
      <formula>100%</formula>
    </cfRule>
  </conditionalFormatting>
  <conditionalFormatting sqref="J3465:K3467">
    <cfRule type="cellIs" dxfId="198" priority="1604" operator="greaterThanOrEqual">
      <formula>1</formula>
    </cfRule>
    <cfRule type="cellIs" dxfId="197" priority="1605" operator="greaterThan">
      <formula>100%</formula>
    </cfRule>
  </conditionalFormatting>
  <conditionalFormatting sqref="J3475:K3477">
    <cfRule type="cellIs" dxfId="196" priority="1602" operator="greaterThanOrEqual">
      <formula>1</formula>
    </cfRule>
    <cfRule type="cellIs" dxfId="195" priority="1603" operator="greaterThan">
      <formula>100%</formula>
    </cfRule>
  </conditionalFormatting>
  <conditionalFormatting sqref="J3485:K3487">
    <cfRule type="cellIs" dxfId="194" priority="1600" operator="greaterThanOrEqual">
      <formula>1</formula>
    </cfRule>
    <cfRule type="cellIs" dxfId="193" priority="1601" operator="greaterThan">
      <formula>100%</formula>
    </cfRule>
  </conditionalFormatting>
  <conditionalFormatting sqref="J3495:K3497">
    <cfRule type="cellIs" dxfId="192" priority="1598" operator="greaterThanOrEqual">
      <formula>1</formula>
    </cfRule>
    <cfRule type="cellIs" dxfId="191" priority="1599" operator="greaterThan">
      <formula>100%</formula>
    </cfRule>
  </conditionalFormatting>
  <conditionalFormatting sqref="J3505:K3507">
    <cfRule type="cellIs" dxfId="190" priority="1596" operator="greaterThanOrEqual">
      <formula>1</formula>
    </cfRule>
    <cfRule type="cellIs" dxfId="189" priority="1597" operator="greaterThan">
      <formula>100%</formula>
    </cfRule>
  </conditionalFormatting>
  <conditionalFormatting sqref="J3515:K3517">
    <cfRule type="cellIs" dxfId="188" priority="1594" operator="greaterThanOrEqual">
      <formula>1</formula>
    </cfRule>
    <cfRule type="cellIs" dxfId="187" priority="1595" operator="greaterThan">
      <formula>100%</formula>
    </cfRule>
  </conditionalFormatting>
  <conditionalFormatting sqref="J3525:K3527">
    <cfRule type="cellIs" dxfId="186" priority="1592" operator="greaterThanOrEqual">
      <formula>1</formula>
    </cfRule>
    <cfRule type="cellIs" dxfId="185" priority="1593" operator="greaterThan">
      <formula>100%</formula>
    </cfRule>
  </conditionalFormatting>
  <conditionalFormatting sqref="J3535:K3537">
    <cfRule type="cellIs" dxfId="184" priority="1590" operator="greaterThanOrEqual">
      <formula>1</formula>
    </cfRule>
    <cfRule type="cellIs" dxfId="183" priority="1591" operator="greaterThan">
      <formula>100%</formula>
    </cfRule>
  </conditionalFormatting>
  <conditionalFormatting sqref="J3545:K3547">
    <cfRule type="cellIs" dxfId="182" priority="1588" operator="greaterThanOrEqual">
      <formula>1</formula>
    </cfRule>
    <cfRule type="cellIs" dxfId="181" priority="1589" operator="greaterThan">
      <formula>100%</formula>
    </cfRule>
  </conditionalFormatting>
  <conditionalFormatting sqref="J3555:K3557">
    <cfRule type="cellIs" dxfId="180" priority="1586" operator="greaterThanOrEqual">
      <formula>1</formula>
    </cfRule>
    <cfRule type="cellIs" dxfId="179" priority="1587" operator="greaterThan">
      <formula>100%</formula>
    </cfRule>
  </conditionalFormatting>
  <conditionalFormatting sqref="J3566:K3568">
    <cfRule type="cellIs" dxfId="178" priority="1584" operator="greaterThanOrEqual">
      <formula>1</formula>
    </cfRule>
    <cfRule type="cellIs" dxfId="177" priority="1585" operator="greaterThan">
      <formula>100%</formula>
    </cfRule>
  </conditionalFormatting>
  <conditionalFormatting sqref="J3576:K3578">
    <cfRule type="cellIs" dxfId="176" priority="1582" operator="greaterThanOrEqual">
      <formula>1</formula>
    </cfRule>
    <cfRule type="cellIs" dxfId="175" priority="1583" operator="greaterThan">
      <formula>100%</formula>
    </cfRule>
  </conditionalFormatting>
  <conditionalFormatting sqref="J3586:K3588">
    <cfRule type="cellIs" dxfId="174" priority="1580" operator="greaterThanOrEqual">
      <formula>1</formula>
    </cfRule>
    <cfRule type="cellIs" dxfId="173" priority="1581" operator="greaterThan">
      <formula>100%</formula>
    </cfRule>
  </conditionalFormatting>
  <conditionalFormatting sqref="J3596:K3598">
    <cfRule type="cellIs" dxfId="172" priority="1578" operator="greaterThanOrEqual">
      <formula>1</formula>
    </cfRule>
    <cfRule type="cellIs" dxfId="171" priority="1579" operator="greaterThan">
      <formula>100%</formula>
    </cfRule>
  </conditionalFormatting>
  <conditionalFormatting sqref="J3606:K3608">
    <cfRule type="cellIs" dxfId="170" priority="1576" operator="greaterThanOrEqual">
      <formula>1</formula>
    </cfRule>
    <cfRule type="cellIs" dxfId="169" priority="1577" operator="greaterThan">
      <formula>100%</formula>
    </cfRule>
  </conditionalFormatting>
  <conditionalFormatting sqref="J3616:K3618">
    <cfRule type="cellIs" dxfId="168" priority="1574" operator="greaterThanOrEqual">
      <formula>1</formula>
    </cfRule>
    <cfRule type="cellIs" dxfId="167" priority="1575" operator="greaterThan">
      <formula>100%</formula>
    </cfRule>
  </conditionalFormatting>
  <conditionalFormatting sqref="J3626:K3628">
    <cfRule type="cellIs" dxfId="166" priority="1572" operator="greaterThanOrEqual">
      <formula>1</formula>
    </cfRule>
    <cfRule type="cellIs" dxfId="165" priority="1573" operator="greaterThan">
      <formula>100%</formula>
    </cfRule>
  </conditionalFormatting>
  <conditionalFormatting sqref="J3636:K3638">
    <cfRule type="cellIs" dxfId="164" priority="1570" operator="greaterThanOrEqual">
      <formula>1</formula>
    </cfRule>
    <cfRule type="cellIs" dxfId="163" priority="1571" operator="greaterThan">
      <formula>100%</formula>
    </cfRule>
  </conditionalFormatting>
  <conditionalFormatting sqref="J3646:K3648">
    <cfRule type="cellIs" dxfId="162" priority="1568" operator="greaterThanOrEqual">
      <formula>1</formula>
    </cfRule>
    <cfRule type="cellIs" dxfId="161" priority="1569" operator="greaterThan">
      <formula>100%</formula>
    </cfRule>
  </conditionalFormatting>
  <conditionalFormatting sqref="J3656:K3658">
    <cfRule type="cellIs" dxfId="160" priority="1566" operator="greaterThanOrEqual">
      <formula>1</formula>
    </cfRule>
    <cfRule type="cellIs" dxfId="159" priority="1567" operator="greaterThan">
      <formula>100%</formula>
    </cfRule>
  </conditionalFormatting>
  <conditionalFormatting sqref="J3666:K3668">
    <cfRule type="cellIs" dxfId="158" priority="1564" operator="greaterThanOrEqual">
      <formula>1</formula>
    </cfRule>
    <cfRule type="cellIs" dxfId="157" priority="1565" operator="greaterThan">
      <formula>100%</formula>
    </cfRule>
  </conditionalFormatting>
  <conditionalFormatting sqref="J3676:K3678">
    <cfRule type="cellIs" dxfId="156" priority="1562" operator="greaterThanOrEqual">
      <formula>1</formula>
    </cfRule>
    <cfRule type="cellIs" dxfId="155" priority="1563" operator="greaterThan">
      <formula>100%</formula>
    </cfRule>
  </conditionalFormatting>
  <conditionalFormatting sqref="J3686:K3688">
    <cfRule type="cellIs" dxfId="154" priority="1560" operator="greaterThanOrEqual">
      <formula>1</formula>
    </cfRule>
    <cfRule type="cellIs" dxfId="153" priority="1561" operator="greaterThan">
      <formula>100%</formula>
    </cfRule>
  </conditionalFormatting>
  <conditionalFormatting sqref="J3711:K3713">
    <cfRule type="cellIs" dxfId="152" priority="746" operator="greaterThanOrEqual">
      <formula>1</formula>
    </cfRule>
    <cfRule type="cellIs" dxfId="151" priority="747" operator="greaterThan">
      <formula>100%</formula>
    </cfRule>
  </conditionalFormatting>
  <conditionalFormatting sqref="J3757:K3759">
    <cfRule type="cellIs" dxfId="150" priority="743" operator="greaterThanOrEqual">
      <formula>1</formula>
    </cfRule>
    <cfRule type="cellIs" dxfId="149" priority="744" operator="greaterThan">
      <formula>100%</formula>
    </cfRule>
  </conditionalFormatting>
  <conditionalFormatting sqref="J3767:K3769">
    <cfRule type="cellIs" dxfId="148" priority="1554" operator="greaterThanOrEqual">
      <formula>1</formula>
    </cfRule>
    <cfRule type="cellIs" dxfId="147" priority="1555" operator="greaterThan">
      <formula>100%</formula>
    </cfRule>
  </conditionalFormatting>
  <conditionalFormatting sqref="J3777:K3779">
    <cfRule type="cellIs" dxfId="146" priority="1552" operator="greaterThanOrEqual">
      <formula>1</formula>
    </cfRule>
    <cfRule type="cellIs" dxfId="145" priority="1553" operator="greaterThan">
      <formula>100%</formula>
    </cfRule>
  </conditionalFormatting>
  <conditionalFormatting sqref="J3787:K3789">
    <cfRule type="cellIs" dxfId="144" priority="1550" operator="greaterThanOrEqual">
      <formula>1</formula>
    </cfRule>
    <cfRule type="cellIs" dxfId="143" priority="1551" operator="greaterThan">
      <formula>100%</formula>
    </cfRule>
  </conditionalFormatting>
  <conditionalFormatting sqref="J3797:K3799">
    <cfRule type="cellIs" dxfId="142" priority="1548" operator="greaterThanOrEqual">
      <formula>1</formula>
    </cfRule>
    <cfRule type="cellIs" dxfId="141" priority="1549" operator="greaterThan">
      <formula>100%</formula>
    </cfRule>
  </conditionalFormatting>
  <conditionalFormatting sqref="J3833:K3835">
    <cfRule type="cellIs" dxfId="140" priority="1546" operator="greaterThanOrEqual">
      <formula>1</formula>
    </cfRule>
    <cfRule type="cellIs" dxfId="139" priority="1547" operator="greaterThan">
      <formula>100%</formula>
    </cfRule>
  </conditionalFormatting>
  <conditionalFormatting sqref="J3843:K3845">
    <cfRule type="cellIs" dxfId="138" priority="1544" operator="greaterThanOrEqual">
      <formula>1</formula>
    </cfRule>
    <cfRule type="cellIs" dxfId="137" priority="1545" operator="greaterThan">
      <formula>100%</formula>
    </cfRule>
  </conditionalFormatting>
  <conditionalFormatting sqref="J3862:K3864">
    <cfRule type="cellIs" dxfId="136" priority="1542" operator="greaterThanOrEqual">
      <formula>1</formula>
    </cfRule>
    <cfRule type="cellIs" dxfId="135" priority="1543" operator="greaterThan">
      <formula>100%</formula>
    </cfRule>
  </conditionalFormatting>
  <conditionalFormatting sqref="J3872:K3874">
    <cfRule type="cellIs" dxfId="134" priority="1540" operator="greaterThanOrEqual">
      <formula>1</formula>
    </cfRule>
    <cfRule type="cellIs" dxfId="133" priority="1541" operator="greaterThan">
      <formula>100%</formula>
    </cfRule>
  </conditionalFormatting>
  <conditionalFormatting sqref="J3892:K3894">
    <cfRule type="cellIs" dxfId="132" priority="1538" operator="greaterThanOrEqual">
      <formula>1</formula>
    </cfRule>
    <cfRule type="cellIs" dxfId="131" priority="1539" operator="greaterThan">
      <formula>100%</formula>
    </cfRule>
  </conditionalFormatting>
  <conditionalFormatting sqref="J3902:K3904">
    <cfRule type="cellIs" dxfId="130" priority="1536" operator="greaterThanOrEqual">
      <formula>1</formula>
    </cfRule>
    <cfRule type="cellIs" dxfId="129" priority="1537" operator="greaterThan">
      <formula>100%</formula>
    </cfRule>
  </conditionalFormatting>
  <conditionalFormatting sqref="J3912:K3914">
    <cfRule type="cellIs" dxfId="128" priority="1534" operator="greaterThanOrEqual">
      <formula>1</formula>
    </cfRule>
    <cfRule type="cellIs" dxfId="127" priority="1535" operator="greaterThan">
      <formula>100%</formula>
    </cfRule>
  </conditionalFormatting>
  <conditionalFormatting sqref="J3922:K3924">
    <cfRule type="cellIs" dxfId="126" priority="1532" operator="greaterThanOrEqual">
      <formula>1</formula>
    </cfRule>
    <cfRule type="cellIs" dxfId="125" priority="1533" operator="greaterThan">
      <formula>100%</formula>
    </cfRule>
  </conditionalFormatting>
  <conditionalFormatting sqref="J3945:K3947">
    <cfRule type="cellIs" dxfId="124" priority="1530" operator="greaterThanOrEqual">
      <formula>1</formula>
    </cfRule>
    <cfRule type="cellIs" dxfId="123" priority="1531" operator="greaterThan">
      <formula>100%</formula>
    </cfRule>
  </conditionalFormatting>
  <conditionalFormatting sqref="J3955:K3957">
    <cfRule type="cellIs" dxfId="122" priority="1971" operator="greaterThanOrEqual">
      <formula>1</formula>
    </cfRule>
    <cfRule type="cellIs" dxfId="121" priority="1972" operator="greaterThan">
      <formula>100%</formula>
    </cfRule>
  </conditionalFormatting>
  <conditionalFormatting sqref="J3999:K4001">
    <cfRule type="cellIs" dxfId="120" priority="740" operator="greaterThanOrEqual">
      <formula>1</formula>
    </cfRule>
    <cfRule type="cellIs" dxfId="119" priority="741" operator="greaterThan">
      <formula>100%</formula>
    </cfRule>
  </conditionalFormatting>
  <conditionalFormatting sqref="J4053:K4055">
    <cfRule type="cellIs" dxfId="118" priority="737" operator="greaterThanOrEqual">
      <formula>1</formula>
    </cfRule>
    <cfRule type="cellIs" dxfId="117" priority="738" operator="greaterThan">
      <formula>100%</formula>
    </cfRule>
  </conditionalFormatting>
  <conditionalFormatting sqref="J4080:K4082">
    <cfRule type="cellIs" dxfId="116" priority="1447" operator="greaterThanOrEqual">
      <formula>1</formula>
    </cfRule>
    <cfRule type="cellIs" dxfId="115" priority="1448" operator="greaterThan">
      <formula>100%</formula>
    </cfRule>
  </conditionalFormatting>
  <conditionalFormatting sqref="J4214:K4216">
    <cfRule type="cellIs" dxfId="114" priority="1434" operator="greaterThanOrEqual">
      <formula>1</formula>
    </cfRule>
    <cfRule type="cellIs" dxfId="113" priority="1435" operator="greaterThan">
      <formula>100%</formula>
    </cfRule>
  </conditionalFormatting>
  <conditionalFormatting sqref="J4247:K4249">
    <cfRule type="cellIs" dxfId="112" priority="1425" operator="greaterThanOrEqual">
      <formula>1</formula>
    </cfRule>
    <cfRule type="cellIs" dxfId="111" priority="1426" operator="greaterThan">
      <formula>100%</formula>
    </cfRule>
  </conditionalFormatting>
  <conditionalFormatting sqref="J4258:K4260">
    <cfRule type="cellIs" dxfId="110" priority="1418" operator="greaterThanOrEqual">
      <formula>1</formula>
    </cfRule>
    <cfRule type="cellIs" dxfId="109" priority="1419" operator="greaterThan">
      <formula>100%</formula>
    </cfRule>
  </conditionalFormatting>
  <conditionalFormatting sqref="J4311:K4313">
    <cfRule type="cellIs" dxfId="108" priority="710" operator="greaterThanOrEqual">
      <formula>1</formula>
    </cfRule>
    <cfRule type="cellIs" dxfId="107" priority="711" operator="greaterThan">
      <formula>100%</formula>
    </cfRule>
  </conditionalFormatting>
  <conditionalFormatting sqref="J4363:K4365">
    <cfRule type="cellIs" dxfId="106" priority="707" operator="greaterThanOrEqual">
      <formula>1</formula>
    </cfRule>
    <cfRule type="cellIs" dxfId="105" priority="708" operator="greaterThan">
      <formula>100%</formula>
    </cfRule>
  </conditionalFormatting>
  <conditionalFormatting sqref="J4377:K4379">
    <cfRule type="cellIs" dxfId="104" priority="1383" operator="greaterThanOrEqual">
      <formula>1</formula>
    </cfRule>
    <cfRule type="cellIs" dxfId="103" priority="1384" operator="greaterThan">
      <formula>100%</formula>
    </cfRule>
  </conditionalFormatting>
  <conditionalFormatting sqref="J4423:K4425">
    <cfRule type="cellIs" dxfId="102" priority="704" operator="greaterThanOrEqual">
      <formula>1</formula>
    </cfRule>
    <cfRule type="cellIs" dxfId="101" priority="705" operator="greaterThan">
      <formula>100%</formula>
    </cfRule>
  </conditionalFormatting>
  <conditionalFormatting sqref="J4484:K4486">
    <cfRule type="cellIs" dxfId="100" priority="701" operator="greaterThanOrEqual">
      <formula>1</formula>
    </cfRule>
    <cfRule type="cellIs" dxfId="99" priority="702" operator="greaterThan">
      <formula>100%</formula>
    </cfRule>
  </conditionalFormatting>
  <conditionalFormatting sqref="J4537:K4539">
    <cfRule type="cellIs" dxfId="98" priority="734" operator="greaterThanOrEqual">
      <formula>1</formula>
    </cfRule>
    <cfRule type="cellIs" dxfId="97" priority="735" operator="greaterThan">
      <formula>100%</formula>
    </cfRule>
  </conditionalFormatting>
  <conditionalFormatting sqref="J4552:K4554">
    <cfRule type="cellIs" dxfId="96" priority="1359" operator="greaterThanOrEqual">
      <formula>1</formula>
    </cfRule>
    <cfRule type="cellIs" dxfId="95" priority="1360" operator="greaterThan">
      <formula>100%</formula>
    </cfRule>
  </conditionalFormatting>
  <conditionalFormatting sqref="J4588:K4590">
    <cfRule type="cellIs" dxfId="94" priority="731" operator="greaterThanOrEqual">
      <formula>1</formula>
    </cfRule>
    <cfRule type="cellIs" dxfId="93" priority="732" operator="greaterThan">
      <formula>100%</formula>
    </cfRule>
  </conditionalFormatting>
  <conditionalFormatting sqref="J4601:K4603">
    <cfRule type="cellIs" dxfId="92" priority="1347" operator="greaterThanOrEqual">
      <formula>1</formula>
    </cfRule>
    <cfRule type="cellIs" dxfId="91" priority="1348" operator="greaterThan">
      <formula>100%</formula>
    </cfRule>
  </conditionalFormatting>
  <conditionalFormatting sqref="J4610:K4612">
    <cfRule type="cellIs" dxfId="90" priority="1341" operator="greaterThanOrEqual">
      <formula>1</formula>
    </cfRule>
    <cfRule type="cellIs" dxfId="89" priority="1342" operator="greaterThan">
      <formula>100%</formula>
    </cfRule>
  </conditionalFormatting>
  <conditionalFormatting sqref="J4651:K4653">
    <cfRule type="cellIs" dxfId="88" priority="728" operator="greaterThanOrEqual">
      <formula>1</formula>
    </cfRule>
    <cfRule type="cellIs" dxfId="87" priority="729" operator="greaterThan">
      <formula>100%</formula>
    </cfRule>
  </conditionalFormatting>
  <conditionalFormatting sqref="J4691:K4693">
    <cfRule type="cellIs" dxfId="86" priority="725" operator="greaterThanOrEqual">
      <formula>1</formula>
    </cfRule>
    <cfRule type="cellIs" dxfId="85" priority="726" operator="greaterThan">
      <formula>100%</formula>
    </cfRule>
  </conditionalFormatting>
  <conditionalFormatting sqref="J4700:K4702">
    <cfRule type="cellIs" dxfId="84" priority="1037" operator="greaterThanOrEqual">
      <formula>1</formula>
    </cfRule>
    <cfRule type="cellIs" dxfId="83" priority="1038" operator="greaterThan">
      <formula>100%</formula>
    </cfRule>
  </conditionalFormatting>
  <conditionalFormatting sqref="J4735:K4737">
    <cfRule type="cellIs" dxfId="82" priority="1034" operator="greaterThanOrEqual">
      <formula>1</formula>
    </cfRule>
    <cfRule type="cellIs" dxfId="81" priority="1035" operator="greaterThan">
      <formula>100%</formula>
    </cfRule>
  </conditionalFormatting>
  <conditionalFormatting sqref="J4764:K4766">
    <cfRule type="cellIs" dxfId="80" priority="1031" operator="greaterThanOrEqual">
      <formula>1</formula>
    </cfRule>
    <cfRule type="cellIs" dxfId="79" priority="1032" operator="greaterThan">
      <formula>100%</formula>
    </cfRule>
  </conditionalFormatting>
  <conditionalFormatting sqref="J4773:K4775">
    <cfRule type="cellIs" dxfId="78" priority="1028" operator="greaterThanOrEqual">
      <formula>1</formula>
    </cfRule>
    <cfRule type="cellIs" dxfId="77" priority="1029" operator="greaterThan">
      <formula>100%</formula>
    </cfRule>
  </conditionalFormatting>
  <conditionalFormatting sqref="J4782:K4784">
    <cfRule type="cellIs" dxfId="76" priority="1025" operator="greaterThanOrEqual">
      <formula>1</formula>
    </cfRule>
    <cfRule type="cellIs" dxfId="75" priority="1026" operator="greaterThan">
      <formula>100%</formula>
    </cfRule>
  </conditionalFormatting>
  <conditionalFormatting sqref="K4025:R4025 R4026:R4027">
    <cfRule type="expression" dxfId="74" priority="2055">
      <formula>IF($T4024=$C$8,TRUE,FALSE)</formula>
    </cfRule>
  </conditionalFormatting>
  <conditionalFormatting sqref="C68:T69 C60:T64">
    <cfRule type="expression" dxfId="73" priority="678">
      <formula>IF($T60=$C$8,TRUE,FALSE)</formula>
    </cfRule>
  </conditionalFormatting>
  <conditionalFormatting sqref="I1655 T3756">
    <cfRule type="expression" dxfId="72" priority="2199">
      <formula>IF($T1656=$C$8,TRUE,FALSE)</formula>
    </cfRule>
  </conditionalFormatting>
  <conditionalFormatting sqref="B3756:S3756">
    <cfRule type="expression" dxfId="71" priority="2200">
      <formula>IF(#REF!=$C$8,TRUE,FALSE)</formula>
    </cfRule>
  </conditionalFormatting>
  <conditionalFormatting sqref="J4822:K4824">
    <cfRule type="cellIs" dxfId="70" priority="650" operator="greaterThanOrEqual">
      <formula>1</formula>
    </cfRule>
    <cfRule type="cellIs" dxfId="69" priority="651" operator="greaterThan">
      <formula>100%</formula>
    </cfRule>
  </conditionalFormatting>
  <conditionalFormatting sqref="J4862:K4864">
    <cfRule type="cellIs" dxfId="68" priority="647" operator="greaterThanOrEqual">
      <formula>1</formula>
    </cfRule>
    <cfRule type="cellIs" dxfId="67" priority="648" operator="greaterThan">
      <formula>100%</formula>
    </cfRule>
  </conditionalFormatting>
  <conditionalFormatting sqref="J4887:K4889">
    <cfRule type="cellIs" dxfId="66" priority="644" operator="greaterThanOrEqual">
      <formula>1</formula>
    </cfRule>
    <cfRule type="cellIs" dxfId="65" priority="645" operator="greaterThan">
      <formula>100%</formula>
    </cfRule>
  </conditionalFormatting>
  <conditionalFormatting sqref="J4896:K4898">
    <cfRule type="cellIs" dxfId="64" priority="641" operator="greaterThanOrEqual">
      <formula>1</formula>
    </cfRule>
    <cfRule type="cellIs" dxfId="63" priority="642" operator="greaterThan">
      <formula>100%</formula>
    </cfRule>
  </conditionalFormatting>
  <conditionalFormatting sqref="J4905:K4907">
    <cfRule type="cellIs" dxfId="62" priority="638" operator="greaterThanOrEqual">
      <formula>1</formula>
    </cfRule>
    <cfRule type="cellIs" dxfId="61" priority="639" operator="greaterThan">
      <formula>100%</formula>
    </cfRule>
  </conditionalFormatting>
  <conditionalFormatting sqref="J4914:K4916">
    <cfRule type="cellIs" dxfId="60" priority="635" operator="greaterThanOrEqual">
      <formula>1</formula>
    </cfRule>
    <cfRule type="cellIs" dxfId="59" priority="636" operator="greaterThan">
      <formula>100%</formula>
    </cfRule>
  </conditionalFormatting>
  <conditionalFormatting sqref="J4925:K4927">
    <cfRule type="cellIs" dxfId="58" priority="632" operator="greaterThanOrEqual">
      <formula>1</formula>
    </cfRule>
    <cfRule type="cellIs" dxfId="57" priority="633" operator="greaterThan">
      <formula>100%</formula>
    </cfRule>
  </conditionalFormatting>
  <conditionalFormatting sqref="C141:R143 T141:T143">
    <cfRule type="expression" dxfId="56" priority="631">
      <formula>IF($T141=$C$8,TRUE,FALSE)</formula>
    </cfRule>
  </conditionalFormatting>
  <conditionalFormatting sqref="C144:U144 S145:U145 U146:U150 S146:S147">
    <cfRule type="expression" dxfId="55" priority="580">
      <formula>IF($T144=$C$8,TRUE,FALSE)</formula>
    </cfRule>
  </conditionalFormatting>
  <conditionalFormatting sqref="C145:R145">
    <cfRule type="expression" dxfId="54" priority="535">
      <formula>IF($T145=$C$8,TRUE,FALSE)</formula>
    </cfRule>
  </conditionalFormatting>
  <conditionalFormatting sqref="C146:R146 T146">
    <cfRule type="expression" dxfId="53" priority="476">
      <formula>IF($T146=$C$8,TRUE,FALSE)</formula>
    </cfRule>
  </conditionalFormatting>
  <conditionalFormatting sqref="C147:R147 T147">
    <cfRule type="expression" dxfId="52" priority="418">
      <formula>IF($T147=$C$8,TRUE,FALSE)</formula>
    </cfRule>
  </conditionalFormatting>
  <conditionalFormatting sqref="D1585:I1585">
    <cfRule type="expression" dxfId="51" priority="359">
      <formula>IF($T1513=$C$8,TRUE,FALSE)</formula>
    </cfRule>
  </conditionalFormatting>
  <conditionalFormatting sqref="C148:T148 S149">
    <cfRule type="expression" dxfId="50" priority="357">
      <formula>IF($T148=$C$8,TRUE,FALSE)</formula>
    </cfRule>
  </conditionalFormatting>
  <conditionalFormatting sqref="C149:R149 T149">
    <cfRule type="expression" dxfId="49" priority="292">
      <formula>IF($T149=$C$8,TRUE,FALSE)</formula>
    </cfRule>
  </conditionalFormatting>
  <conditionalFormatting sqref="C150:T150 S151">
    <cfRule type="expression" dxfId="48" priority="232">
      <formula>IF($T150=$C$8,TRUE,FALSE)</formula>
    </cfRule>
  </conditionalFormatting>
  <conditionalFormatting sqref="C151:R151 T151">
    <cfRule type="expression" dxfId="47" priority="173">
      <formula>IF($T151=$C$8,TRUE,FALSE)</formula>
    </cfRule>
  </conditionalFormatting>
  <conditionalFormatting sqref="J4944:K4946">
    <cfRule type="cellIs" dxfId="46" priority="118" operator="greaterThanOrEqual">
      <formula>1</formula>
    </cfRule>
    <cfRule type="cellIs" dxfId="45" priority="119" operator="greaterThan">
      <formula>100%</formula>
    </cfRule>
  </conditionalFormatting>
  <conditionalFormatting sqref="J4953:K4955">
    <cfRule type="cellIs" dxfId="44" priority="115" operator="greaterThanOrEqual">
      <formula>1</formula>
    </cfRule>
    <cfRule type="cellIs" dxfId="43" priority="116" operator="greaterThan">
      <formula>100%</formula>
    </cfRule>
  </conditionalFormatting>
  <conditionalFormatting sqref="J4962:K4964">
    <cfRule type="cellIs" dxfId="42" priority="112" operator="greaterThanOrEqual">
      <formula>1</formula>
    </cfRule>
    <cfRule type="cellIs" dxfId="41" priority="113" operator="greaterThan">
      <formula>100%</formula>
    </cfRule>
  </conditionalFormatting>
  <conditionalFormatting sqref="J4971:K4973">
    <cfRule type="cellIs" dxfId="40" priority="109" operator="greaterThanOrEqual">
      <formula>1</formula>
    </cfRule>
    <cfRule type="cellIs" dxfId="39" priority="110" operator="greaterThan">
      <formula>100%</formula>
    </cfRule>
  </conditionalFormatting>
  <conditionalFormatting sqref="J5001:K5003">
    <cfRule type="cellIs" dxfId="38" priority="106" operator="greaterThanOrEqual">
      <formula>1</formula>
    </cfRule>
    <cfRule type="cellIs" dxfId="37" priority="107" operator="greaterThan">
      <formula>100%</formula>
    </cfRule>
  </conditionalFormatting>
  <conditionalFormatting sqref="J5010:K5012">
    <cfRule type="cellIs" dxfId="36" priority="103" operator="greaterThanOrEqual">
      <formula>1</formula>
    </cfRule>
    <cfRule type="cellIs" dxfId="35" priority="104" operator="greaterThan">
      <formula>100%</formula>
    </cfRule>
  </conditionalFormatting>
  <conditionalFormatting sqref="C65:T67">
    <cfRule type="expression" dxfId="34" priority="102">
      <formula>IF($T65=$C$8,TRUE,FALSE)</formula>
    </cfRule>
  </conditionalFormatting>
  <conditionalFormatting sqref="C152:U152">
    <cfRule type="expression" dxfId="33" priority="101">
      <formula>IF($T152=$C$8,TRUE,FALSE)</formula>
    </cfRule>
  </conditionalFormatting>
  <conditionalFormatting sqref="C283:T283">
    <cfRule type="expression" dxfId="32" priority="99">
      <formula>IF($T283=$C$8,TRUE,FALSE)</formula>
    </cfRule>
  </conditionalFormatting>
  <conditionalFormatting sqref="C346:T346">
    <cfRule type="expression" dxfId="31" priority="98">
      <formula>IF($T346=$C$8,TRUE,FALSE)</formula>
    </cfRule>
  </conditionalFormatting>
  <conditionalFormatting sqref="C536:U536 C541:U542 C537:R540 T537:U540 C543:R548 T543:U548">
    <cfRule type="expression" dxfId="30" priority="97">
      <formula>IF($T536=$C$8,TRUE,FALSE)</formula>
    </cfRule>
  </conditionalFormatting>
  <conditionalFormatting sqref="S537:S540">
    <cfRule type="expression" dxfId="29" priority="96">
      <formula>IF($T537=$C$8,TRUE,FALSE)</formula>
    </cfRule>
  </conditionalFormatting>
  <conditionalFormatting sqref="S543:S548">
    <cfRule type="expression" dxfId="28" priority="95">
      <formula>IF($T543=$C$8,TRUE,FALSE)</formula>
    </cfRule>
  </conditionalFormatting>
  <conditionalFormatting sqref="C580:T581">
    <cfRule type="expression" dxfId="27" priority="94">
      <formula>IF($T580=$C$8,TRUE,FALSE)</formula>
    </cfRule>
  </conditionalFormatting>
  <conditionalFormatting sqref="C914:U938">
    <cfRule type="expression" dxfId="26" priority="93">
      <formula>IF($T914=$C$8,TRUE,FALSE)</formula>
    </cfRule>
  </conditionalFormatting>
  <conditionalFormatting sqref="C1156:U1170">
    <cfRule type="expression" dxfId="25" priority="92">
      <formula>IF($T1156=$C$8,TRUE,FALSE)</formula>
    </cfRule>
  </conditionalFormatting>
  <conditionalFormatting sqref="C1271:U1271">
    <cfRule type="expression" dxfId="24" priority="91">
      <formula>IF($T1271=$C$8,TRUE,FALSE)</formula>
    </cfRule>
  </conditionalFormatting>
  <conditionalFormatting sqref="C1265:U1265 C1267:U1268 C1266:R1266 T1266:U1266 C1269:R1270 T1269:U1270">
    <cfRule type="expression" dxfId="23" priority="90">
      <formula>IF($T1265=$C$8,TRUE,FALSE)</formula>
    </cfRule>
  </conditionalFormatting>
  <conditionalFormatting sqref="S1266">
    <cfRule type="expression" dxfId="22" priority="89">
      <formula>IF($T1266=$C$8,TRUE,FALSE)</formula>
    </cfRule>
  </conditionalFormatting>
  <conditionalFormatting sqref="S1269">
    <cfRule type="expression" dxfId="21" priority="88">
      <formula>IF($T1269=$C$8,TRUE,FALSE)</formula>
    </cfRule>
  </conditionalFormatting>
  <conditionalFormatting sqref="S1270">
    <cfRule type="expression" dxfId="20" priority="87">
      <formula>IF($T1270=$C$8,TRUE,FALSE)</formula>
    </cfRule>
  </conditionalFormatting>
  <conditionalFormatting sqref="C1338:U1338">
    <cfRule type="expression" dxfId="19" priority="86">
      <formula>IF($T1338=$C$8,TRUE,FALSE)</formula>
    </cfRule>
  </conditionalFormatting>
  <conditionalFormatting sqref="C1357:R1357 T1357:U1357">
    <cfRule type="expression" dxfId="18" priority="85">
      <formula>IF($T1357=$C$8,TRUE,FALSE)</formula>
    </cfRule>
  </conditionalFormatting>
  <conditionalFormatting sqref="C1379:R1379 T1379:U1379">
    <cfRule type="expression" dxfId="17" priority="84">
      <formula>IF($T1379=$C$8,TRUE,FALSE)</formula>
    </cfRule>
  </conditionalFormatting>
  <conditionalFormatting sqref="C1397:R1397 T1397:U1397">
    <cfRule type="expression" dxfId="16" priority="83">
      <formula>IF($T1397=$C$8,TRUE,FALSE)</formula>
    </cfRule>
  </conditionalFormatting>
  <conditionalFormatting sqref="C1429:R1429 T1429:U1429">
    <cfRule type="expression" dxfId="15" priority="82">
      <formula>IF($T1429=$C$8,TRUE,FALSE)</formula>
    </cfRule>
  </conditionalFormatting>
  <conditionalFormatting sqref="C1445:R1445 T1445:U1445">
    <cfRule type="expression" dxfId="14" priority="81">
      <formula>IF($T1445=$C$8,TRUE,FALSE)</formula>
    </cfRule>
  </conditionalFormatting>
  <conditionalFormatting sqref="C1467:R1467 T1467:U1467">
    <cfRule type="expression" dxfId="13" priority="80">
      <formula>IF($T1467=$C$8,TRUE,FALSE)</formula>
    </cfRule>
  </conditionalFormatting>
  <conditionalFormatting sqref="C1495:R1495 T1495:U1495">
    <cfRule type="expression" dxfId="12" priority="79">
      <formula>IF($T1495=$C$8,TRUE,FALSE)</formula>
    </cfRule>
  </conditionalFormatting>
  <conditionalFormatting sqref="C1497:U1497">
    <cfRule type="expression" dxfId="11" priority="78">
      <formula>IF($T1497=$C$8,TRUE,FALSE)</formula>
    </cfRule>
  </conditionalFormatting>
  <conditionalFormatting sqref="C1582:T1582">
    <cfRule type="expression" dxfId="10" priority="36">
      <formula>IF($T1582=$C$8,TRUE,FALSE)</formula>
    </cfRule>
  </conditionalFormatting>
  <conditionalFormatting sqref="C1605:T1605">
    <cfRule type="expression" dxfId="9" priority="35">
      <formula>IF($T1605=$C$8,TRUE,FALSE)</formula>
    </cfRule>
  </conditionalFormatting>
  <conditionalFormatting sqref="C1607:T1607">
    <cfRule type="expression" dxfId="8" priority="34">
      <formula>IF($T1607=$C$8,TRUE,FALSE)</formula>
    </cfRule>
  </conditionalFormatting>
  <conditionalFormatting sqref="J1678">
    <cfRule type="expression" dxfId="7" priority="33">
      <formula>IF($T1678=$C$8,TRUE,FALSE)</formula>
    </cfRule>
  </conditionalFormatting>
  <conditionalFormatting sqref="C1679:R1679 C1680 T1679">
    <cfRule type="expression" dxfId="6" priority="32">
      <formula>IF($T1679=$C$8,TRUE,FALSE)</formula>
    </cfRule>
  </conditionalFormatting>
  <conditionalFormatting sqref="C1746:R1747 T1746:T1747">
    <cfRule type="expression" dxfId="5" priority="31">
      <formula>IF($T1746=$C$8,TRUE,FALSE)</formula>
    </cfRule>
  </conditionalFormatting>
  <conditionalFormatting sqref="C1800:T1802">
    <cfRule type="expression" dxfId="4" priority="23">
      <formula>IF($T1800=$C$8,TRUE,FALSE)</formula>
    </cfRule>
  </conditionalFormatting>
  <conditionalFormatting sqref="M1799:N1799">
    <cfRule type="expression" dxfId="3" priority="22">
      <formula>IF($T1799=$C$8,TRUE,FALSE)</formula>
    </cfRule>
  </conditionalFormatting>
  <conditionalFormatting sqref="C4202:T4210">
    <cfRule type="expression" dxfId="2" priority="4">
      <formula>IF($T4202=$C$8,TRUE,FALSE)</formula>
    </cfRule>
  </conditionalFormatting>
  <conditionalFormatting sqref="D4578:I4579">
    <cfRule type="expression" dxfId="1" priority="1">
      <formula>IF($T4578=$C$8,TRUE,FALSE)</formula>
    </cfRule>
  </conditionalFormatting>
  <conditionalFormatting sqref="D4583:I4583">
    <cfRule type="expression" dxfId="0" priority="2">
      <formula>IF($T4583=$C$8,TRUE,FALSE)</formula>
    </cfRule>
  </conditionalFormatting>
  <printOptions horizontalCentered="1"/>
  <pageMargins left="0.23622047244094488" right="0.23622047244094488" top="0.74803149606299213" bottom="0.74803149606299213" header="0.31496062992125984" footer="0.31496062992125984"/>
  <pageSetup paperSize="9" scale="38" firstPageNumber="28" fitToHeight="0" orientation="landscape" horizontalDpi="360" verticalDpi="360" r:id="rId1"/>
  <rowBreaks count="65" manualBreakCount="65">
    <brk id="94" min="1" max="20" man="1"/>
    <brk id="157" min="1" max="20" man="1"/>
    <brk id="218" min="1" max="20" man="1"/>
    <brk id="299" min="1" max="20" man="1"/>
    <brk id="352" min="1" max="20" man="1"/>
    <brk id="407" min="1" max="20" man="1"/>
    <brk id="457" min="1" max="20" man="1"/>
    <brk id="492" min="1" max="20" man="1"/>
    <brk id="521" min="1" max="20" man="1"/>
    <brk id="554" min="1" max="20" man="1"/>
    <brk id="587" min="1" max="20" man="1"/>
    <brk id="615" min="1" max="20" man="1"/>
    <brk id="662" min="1" max="20" man="1"/>
    <brk id="712" min="1" max="20" man="1"/>
    <brk id="746" min="1" max="20" man="1"/>
    <brk id="794" min="1" max="20" man="1"/>
    <brk id="835" min="1" max="20" man="1"/>
    <brk id="860" min="1" max="20" man="1"/>
    <brk id="872" min="1" max="20" man="1"/>
    <brk id="913" min="1" max="20" man="1"/>
    <brk id="947" min="1" max="20" man="1"/>
    <brk id="992" min="1" max="20" man="1"/>
    <brk id="1023" min="1" max="20" man="1"/>
    <brk id="1068" min="1" max="20" man="1"/>
    <brk id="1102" min="1" max="20" man="1"/>
    <brk id="1124" min="1" max="20" man="1"/>
    <brk id="1138" min="1" max="20" man="1"/>
    <brk id="1177" min="1" max="20" man="1"/>
    <brk id="1225" min="1" max="20" man="1"/>
    <brk id="1275" min="1" max="20" man="1"/>
    <brk id="1318" min="1" max="20" man="1"/>
    <brk id="1346" min="1" max="20" man="1"/>
    <brk id="1387" min="1" max="20" man="1"/>
    <brk id="1435" min="1" max="20" man="1"/>
    <brk id="1510" min="1" max="20" man="1"/>
    <brk id="1618" min="1" max="20" man="1"/>
    <brk id="1686" min="1" max="20" man="1"/>
    <brk id="1753" min="1" max="20" man="1"/>
    <brk id="1815" min="1" max="20" man="1"/>
    <brk id="2010" min="1" max="20" man="1"/>
    <brk id="2289" min="1" max="20" man="1"/>
    <brk id="2351" min="1" max="20" man="1"/>
    <brk id="2640" min="1" max="20" man="1"/>
    <brk id="3417" min="1" max="20" man="1"/>
    <brk id="3533" min="1" max="20" man="1"/>
    <brk id="3742" min="1" max="20" man="1"/>
    <brk id="3893" min="1" max="20" man="1"/>
    <brk id="4001" min="1" max="20" man="1"/>
    <brk id="4055" min="1" max="20" man="1"/>
    <brk id="4082" min="1" max="20" man="1"/>
    <brk id="4153" min="1" max="20" man="1"/>
    <brk id="4215" min="1" max="20" man="1"/>
    <brk id="4249" min="1" max="20" man="1"/>
    <brk id="4312" min="1" max="20" man="1"/>
    <brk id="4365" min="1" max="20" man="1"/>
    <brk id="4425" min="1" max="20" man="1"/>
    <brk id="4486" min="1" max="20" man="1"/>
    <brk id="4554" min="1" max="20" man="1"/>
    <brk id="4612" min="1" max="20" man="1"/>
    <brk id="4653" min="1" max="20" man="1"/>
    <brk id="4693" min="1" max="20" man="1"/>
    <brk id="4737" min="1" max="20" man="1"/>
    <brk id="4824" min="1" max="20" man="1"/>
    <brk id="4864" min="1" max="20" man="1"/>
    <brk id="4955" min="1" max="20" man="1"/>
  </rowBreaks>
  <ignoredErrors>
    <ignoredError sqref="R1406:R1412 R1416"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Z40"/>
  <sheetViews>
    <sheetView view="pageBreakPreview" zoomScaleNormal="100" zoomScaleSheetLayoutView="100" workbookViewId="0">
      <selection activeCell="F30" sqref="F30:F33"/>
    </sheetView>
  </sheetViews>
  <sheetFormatPr defaultRowHeight="15" x14ac:dyDescent="0.25"/>
  <cols>
    <col min="1" max="3" width="9.140625" style="1119"/>
    <col min="4" max="4" width="12.5703125" style="1119" customWidth="1"/>
    <col min="5" max="5" width="10.28515625" style="1119" bestFit="1" customWidth="1"/>
    <col min="6" max="6" width="18.85546875" style="1119" bestFit="1" customWidth="1"/>
    <col min="7" max="198" width="4.7109375" style="1119" customWidth="1"/>
    <col min="199" max="200" width="9.140625" style="1119" customWidth="1"/>
    <col min="201" max="201" width="13.28515625" style="1119" bestFit="1" customWidth="1"/>
    <col min="202" max="202" width="13.28515625" style="1119" customWidth="1"/>
    <col min="203" max="205" width="9.140625" style="1119"/>
    <col min="206" max="206" width="13.140625" style="1119" customWidth="1"/>
    <col min="207" max="207" width="9.140625" style="1119"/>
    <col min="208" max="208" width="12.140625" style="1119" bestFit="1" customWidth="1"/>
    <col min="209" max="16384" width="9.140625" style="1119"/>
  </cols>
  <sheetData>
    <row r="1" spans="1:208" ht="14.45" customHeight="1" x14ac:dyDescent="0.25">
      <c r="A1" s="1547" t="s">
        <v>895</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7"/>
      <c r="AM1" s="1547"/>
      <c r="AN1" s="1547"/>
      <c r="AO1" s="1547"/>
      <c r="AP1" s="1547"/>
      <c r="AQ1" s="1547"/>
      <c r="AR1" s="1547"/>
      <c r="AS1" s="1547"/>
      <c r="AT1" s="1547"/>
      <c r="AU1" s="1118"/>
      <c r="AV1" s="1118"/>
      <c r="AW1" s="1118"/>
      <c r="AX1" s="1118"/>
      <c r="AY1" s="1118"/>
      <c r="AZ1" s="1118"/>
      <c r="BA1" s="1118"/>
      <c r="BB1" s="1118"/>
      <c r="BC1" s="1118"/>
      <c r="BD1" s="1118"/>
      <c r="BE1" s="1118"/>
      <c r="BF1" s="1118"/>
      <c r="BG1" s="1118"/>
      <c r="BH1" s="1118"/>
      <c r="BI1" s="1118"/>
      <c r="BJ1" s="1118"/>
      <c r="BK1" s="1118"/>
      <c r="BL1" s="1118"/>
      <c r="BM1" s="1118"/>
      <c r="BN1" s="1118"/>
      <c r="BO1" s="1118"/>
      <c r="BP1" s="1118"/>
      <c r="BQ1" s="1118"/>
      <c r="BR1" s="1118"/>
      <c r="BS1" s="1118"/>
      <c r="BT1" s="1118"/>
      <c r="BU1" s="1118"/>
      <c r="BV1" s="1118"/>
      <c r="BW1" s="1118"/>
      <c r="BX1" s="1118"/>
      <c r="BY1" s="1118"/>
      <c r="BZ1" s="1118"/>
      <c r="CA1" s="1118"/>
      <c r="CB1" s="1118"/>
      <c r="CC1" s="1118"/>
      <c r="CD1" s="1118"/>
      <c r="CE1" s="1118"/>
      <c r="CF1" s="1118"/>
      <c r="CG1" s="1118"/>
      <c r="CH1" s="1118"/>
      <c r="CI1" s="1118"/>
      <c r="CJ1" s="1118"/>
      <c r="CK1" s="1118"/>
      <c r="CL1" s="1118"/>
      <c r="CM1" s="1118"/>
      <c r="CN1" s="1118"/>
      <c r="CO1" s="1118"/>
      <c r="CP1" s="1118"/>
      <c r="CQ1" s="1118"/>
      <c r="CR1" s="1118"/>
      <c r="CS1" s="1118"/>
      <c r="CT1" s="1118"/>
      <c r="CU1" s="1118"/>
      <c r="CV1" s="1118"/>
      <c r="CW1" s="1118"/>
      <c r="CX1" s="1118"/>
      <c r="CY1" s="1118"/>
      <c r="CZ1" s="1118"/>
      <c r="DA1" s="1118"/>
      <c r="DB1" s="1118"/>
      <c r="DC1" s="1118"/>
      <c r="DD1" s="1118"/>
      <c r="DE1" s="1118"/>
      <c r="DF1" s="1118"/>
      <c r="DG1" s="1118"/>
      <c r="DH1" s="1118"/>
      <c r="DI1" s="1118"/>
      <c r="DJ1" s="1118"/>
      <c r="DK1" s="1118"/>
      <c r="DL1" s="1118"/>
      <c r="DM1" s="1118"/>
      <c r="DN1" s="1118"/>
      <c r="DO1" s="1118"/>
      <c r="DP1" s="1118"/>
      <c r="DQ1" s="1118"/>
      <c r="DR1" s="1118"/>
      <c r="DS1" s="1118"/>
      <c r="DT1" s="1118"/>
      <c r="DU1" s="1118"/>
      <c r="DV1" s="1118"/>
      <c r="DW1" s="1118"/>
      <c r="DX1" s="1118"/>
      <c r="DY1" s="1118"/>
      <c r="DZ1" s="1118"/>
      <c r="EA1" s="1118"/>
      <c r="EB1" s="1118"/>
      <c r="EC1" s="1118"/>
      <c r="ED1" s="1118"/>
      <c r="EE1" s="1118"/>
      <c r="EF1" s="1118"/>
      <c r="EG1" s="1118"/>
      <c r="EH1" s="1118"/>
      <c r="EI1" s="1118"/>
      <c r="EJ1" s="1118"/>
      <c r="EK1" s="1118"/>
      <c r="EL1" s="1118"/>
      <c r="EM1" s="1118"/>
      <c r="EN1" s="1118"/>
      <c r="EO1" s="1118"/>
      <c r="EP1" s="1118"/>
      <c r="EQ1" s="1118"/>
      <c r="ER1" s="1118"/>
      <c r="ES1" s="1118"/>
      <c r="ET1" s="1118"/>
      <c r="EU1" s="1118"/>
      <c r="EV1" s="1118"/>
      <c r="EW1" s="1118"/>
      <c r="EX1" s="1118"/>
      <c r="EY1" s="1118"/>
      <c r="EZ1" s="1118"/>
      <c r="FA1" s="1118"/>
      <c r="FB1" s="1118"/>
      <c r="FC1" s="1118"/>
      <c r="FD1" s="1118"/>
      <c r="FE1" s="1118"/>
      <c r="FF1" s="1118"/>
      <c r="FG1" s="1118"/>
      <c r="FH1" s="1118"/>
      <c r="FI1" s="1118"/>
      <c r="FJ1" s="1118"/>
      <c r="FK1" s="1118"/>
      <c r="FL1" s="1118"/>
      <c r="FM1" s="1118"/>
      <c r="FN1" s="1118"/>
      <c r="FO1" s="1118"/>
      <c r="FP1" s="1118"/>
      <c r="FQ1" s="1118"/>
      <c r="FR1" s="1118"/>
      <c r="FS1" s="1118"/>
      <c r="FT1" s="1118"/>
      <c r="FU1" s="1118"/>
      <c r="FV1" s="1118"/>
      <c r="FW1" s="1118"/>
      <c r="FX1" s="1118"/>
      <c r="FY1" s="1118"/>
      <c r="FZ1" s="1118"/>
      <c r="GA1" s="1118"/>
      <c r="GB1" s="1118"/>
      <c r="GC1" s="1118"/>
      <c r="GD1" s="1118"/>
      <c r="GE1" s="1118"/>
      <c r="GF1" s="1118"/>
      <c r="GG1" s="1118"/>
      <c r="GH1" s="1118"/>
      <c r="GI1" s="1118"/>
      <c r="GJ1" s="1118"/>
      <c r="GK1" s="1118"/>
      <c r="GL1" s="1118"/>
      <c r="GM1" s="1118"/>
      <c r="GN1" s="1118"/>
      <c r="GO1" s="1118"/>
      <c r="GP1" s="1118"/>
      <c r="GQ1" s="1118"/>
      <c r="GR1" s="1118"/>
    </row>
    <row r="2" spans="1:208" ht="14.45" customHeight="1" x14ac:dyDescent="0.25">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7"/>
      <c r="AO2" s="1547"/>
      <c r="AP2" s="1547"/>
      <c r="AQ2" s="1547"/>
      <c r="AR2" s="1547"/>
      <c r="AS2" s="1547"/>
      <c r="AT2" s="1547"/>
      <c r="AU2" s="1118"/>
      <c r="AV2" s="1118"/>
      <c r="AW2" s="1118"/>
      <c r="AX2" s="1118"/>
      <c r="AY2" s="1118"/>
      <c r="AZ2" s="1118"/>
      <c r="BA2" s="1118"/>
      <c r="BB2" s="1118"/>
      <c r="BC2" s="1118"/>
      <c r="BD2" s="1118"/>
      <c r="BE2" s="1118"/>
      <c r="BF2" s="1118"/>
      <c r="BG2" s="1118"/>
      <c r="BH2" s="1118"/>
      <c r="BI2" s="1118"/>
      <c r="BJ2" s="1118"/>
      <c r="BK2" s="1118"/>
      <c r="BL2" s="1118"/>
      <c r="BM2" s="1118"/>
      <c r="BN2" s="1118"/>
      <c r="BO2" s="1118"/>
      <c r="BP2" s="1118"/>
      <c r="BQ2" s="1118"/>
      <c r="BR2" s="1118"/>
      <c r="BS2" s="1118"/>
      <c r="BT2" s="1118"/>
      <c r="BU2" s="1118"/>
      <c r="BV2" s="1118"/>
      <c r="BW2" s="1118"/>
      <c r="BX2" s="1118"/>
      <c r="BY2" s="1118"/>
      <c r="BZ2" s="1118"/>
      <c r="CA2" s="1118"/>
      <c r="CB2" s="1118"/>
      <c r="CC2" s="1118"/>
      <c r="CD2" s="1118"/>
      <c r="CE2" s="1118"/>
      <c r="CF2" s="1118"/>
      <c r="CG2" s="1118"/>
      <c r="CH2" s="1118"/>
      <c r="CI2" s="1118"/>
      <c r="CJ2" s="1118"/>
      <c r="CK2" s="1118"/>
      <c r="CL2" s="1118"/>
      <c r="CM2" s="1118"/>
      <c r="CN2" s="1118"/>
      <c r="CO2" s="1118"/>
      <c r="CP2" s="1118"/>
      <c r="CQ2" s="1118"/>
      <c r="CR2" s="1118"/>
      <c r="CS2" s="1118"/>
      <c r="CT2" s="1118"/>
      <c r="CU2" s="1118"/>
      <c r="CV2" s="1118"/>
      <c r="CW2" s="1118"/>
      <c r="CX2" s="1118"/>
      <c r="CY2" s="1118"/>
      <c r="CZ2" s="1118"/>
      <c r="DA2" s="1118"/>
      <c r="DB2" s="1118"/>
      <c r="DC2" s="1118"/>
      <c r="DD2" s="1118"/>
      <c r="DE2" s="1118"/>
      <c r="DF2" s="1118"/>
      <c r="DG2" s="1118"/>
      <c r="DH2" s="1118"/>
      <c r="DI2" s="1118"/>
      <c r="DJ2" s="1118"/>
      <c r="DK2" s="1118"/>
      <c r="DL2" s="1118"/>
      <c r="DM2" s="1118"/>
      <c r="DN2" s="1118"/>
      <c r="DO2" s="1118"/>
      <c r="DP2" s="1118"/>
      <c r="DQ2" s="1118"/>
      <c r="DR2" s="1118"/>
      <c r="DS2" s="1118"/>
      <c r="DT2" s="1118"/>
      <c r="DU2" s="1118"/>
      <c r="DV2" s="1118"/>
      <c r="DW2" s="1118"/>
      <c r="DX2" s="1118"/>
      <c r="DY2" s="1118"/>
      <c r="DZ2" s="1118"/>
      <c r="EA2" s="1118"/>
      <c r="EB2" s="1118"/>
      <c r="EC2" s="1118"/>
      <c r="ED2" s="1118"/>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c r="FV2" s="1118"/>
      <c r="FW2" s="1118"/>
      <c r="FX2" s="1118"/>
      <c r="FY2" s="1118"/>
      <c r="FZ2" s="1118"/>
      <c r="GA2" s="1118"/>
      <c r="GB2" s="1118"/>
      <c r="GC2" s="1118"/>
      <c r="GD2" s="1118"/>
      <c r="GE2" s="1118"/>
      <c r="GF2" s="1118"/>
      <c r="GG2" s="1118"/>
      <c r="GH2" s="1118"/>
      <c r="GI2" s="1118"/>
      <c r="GJ2" s="1118"/>
      <c r="GK2" s="1118"/>
      <c r="GL2" s="1118"/>
      <c r="GM2" s="1118"/>
      <c r="GN2" s="1118"/>
      <c r="GO2" s="1118"/>
      <c r="GP2" s="1118"/>
      <c r="GQ2" s="1118"/>
      <c r="GR2" s="1118"/>
    </row>
    <row r="3" spans="1:208" x14ac:dyDescent="0.25">
      <c r="A3" s="1549"/>
      <c r="B3" s="1550"/>
      <c r="C3" s="1551"/>
      <c r="D3" s="1554" t="s">
        <v>896</v>
      </c>
      <c r="E3" s="1555"/>
      <c r="F3" s="1555"/>
      <c r="G3" s="1555"/>
      <c r="H3" s="1555"/>
      <c r="I3" s="1555"/>
      <c r="J3" s="1555"/>
      <c r="K3" s="1555"/>
      <c r="L3" s="1555"/>
      <c r="M3" s="1555"/>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120"/>
      <c r="AO3" s="1121"/>
      <c r="AP3" s="1121"/>
      <c r="AQ3" s="1121"/>
      <c r="AR3" s="1121"/>
      <c r="AS3" s="1121"/>
      <c r="AT3" s="1121"/>
      <c r="AU3" s="1121"/>
      <c r="AV3" s="1121"/>
      <c r="AW3" s="1121"/>
      <c r="AX3" s="1121"/>
      <c r="AY3" s="1121"/>
      <c r="AZ3" s="1121"/>
      <c r="BA3" s="1121"/>
      <c r="BB3" s="1121"/>
      <c r="BC3" s="1121"/>
      <c r="BD3" s="1121"/>
      <c r="BE3" s="1121"/>
      <c r="BF3" s="1121"/>
      <c r="BG3" s="1121"/>
      <c r="BH3" s="1121"/>
      <c r="BI3" s="1121"/>
      <c r="BJ3" s="1121"/>
      <c r="BK3" s="1121"/>
      <c r="BL3" s="1121"/>
      <c r="BM3" s="1121"/>
      <c r="BN3" s="1121"/>
      <c r="BO3" s="1121"/>
      <c r="BP3" s="1121"/>
      <c r="BQ3" s="1121"/>
      <c r="BR3" s="1121"/>
      <c r="BS3" s="1121"/>
      <c r="BT3" s="1121"/>
      <c r="BU3" s="1121"/>
      <c r="BV3" s="1121"/>
      <c r="BW3" s="1121"/>
      <c r="BX3" s="1121"/>
      <c r="BY3" s="1121"/>
      <c r="BZ3" s="1121"/>
      <c r="CA3" s="1121"/>
      <c r="CB3" s="1121"/>
      <c r="CC3" s="1121"/>
      <c r="CD3" s="1121"/>
      <c r="CE3" s="1121"/>
      <c r="CF3" s="1121"/>
      <c r="CG3" s="1121"/>
      <c r="CH3" s="1121"/>
      <c r="CI3" s="1121"/>
      <c r="CJ3" s="1121"/>
      <c r="CK3" s="1121"/>
      <c r="CL3" s="1121"/>
      <c r="CM3" s="1121"/>
      <c r="CN3" s="1121"/>
      <c r="CO3" s="1121"/>
      <c r="CP3" s="1121"/>
      <c r="CQ3" s="1121"/>
      <c r="CR3" s="1121"/>
      <c r="CS3" s="1121"/>
      <c r="CT3" s="1121"/>
      <c r="CU3" s="1121"/>
      <c r="CV3" s="1121"/>
      <c r="CW3" s="1121"/>
      <c r="CX3" s="1121"/>
      <c r="CY3" s="1121"/>
      <c r="CZ3" s="1121"/>
      <c r="DA3" s="1121"/>
      <c r="DB3" s="1121"/>
      <c r="DC3" s="1121"/>
      <c r="DD3" s="1121"/>
      <c r="DE3" s="1121"/>
      <c r="DF3" s="1121"/>
      <c r="DG3" s="1121"/>
      <c r="DH3" s="1121"/>
      <c r="DI3" s="1121"/>
      <c r="DJ3" s="1121"/>
      <c r="DK3" s="1121"/>
      <c r="DL3" s="1121"/>
      <c r="DM3" s="1121"/>
      <c r="DN3" s="1121"/>
      <c r="DO3" s="1121"/>
      <c r="DP3" s="1121"/>
      <c r="DQ3" s="1121"/>
      <c r="DR3" s="1121"/>
      <c r="DS3" s="1121"/>
      <c r="DT3" s="1121"/>
      <c r="DU3" s="1121"/>
      <c r="DV3" s="1121"/>
      <c r="DW3" s="1121"/>
      <c r="DX3" s="1121"/>
      <c r="DY3" s="1121"/>
      <c r="DZ3" s="1121"/>
      <c r="EA3" s="1121"/>
      <c r="EB3" s="1121"/>
      <c r="EC3" s="1121"/>
      <c r="ED3" s="1121"/>
      <c r="EE3" s="1121"/>
      <c r="EF3" s="1121"/>
      <c r="EG3" s="1121"/>
      <c r="EH3" s="1121"/>
      <c r="EI3" s="1121"/>
      <c r="EJ3" s="1121"/>
      <c r="EK3" s="1121"/>
      <c r="EL3" s="1121"/>
      <c r="EM3" s="1121"/>
      <c r="EN3" s="1121"/>
      <c r="EO3" s="1121"/>
      <c r="EP3" s="1121"/>
      <c r="EQ3" s="1121"/>
      <c r="ER3" s="1121"/>
      <c r="ES3" s="1121"/>
      <c r="ET3" s="1121"/>
      <c r="EU3" s="1121"/>
      <c r="EV3" s="1121"/>
      <c r="EW3" s="1121"/>
      <c r="EX3" s="1121"/>
      <c r="EY3" s="1121"/>
      <c r="EZ3" s="1121"/>
      <c r="FA3" s="1121"/>
      <c r="FB3" s="1121"/>
      <c r="FC3" s="1121"/>
      <c r="FD3" s="1121"/>
      <c r="FE3" s="1121"/>
      <c r="FF3" s="1121"/>
      <c r="FG3" s="1121"/>
      <c r="FH3" s="1121"/>
      <c r="FI3" s="1121"/>
      <c r="FJ3" s="1121"/>
      <c r="FK3" s="1121"/>
      <c r="FL3" s="1121"/>
      <c r="FM3" s="1121"/>
      <c r="FN3" s="1121"/>
      <c r="FO3" s="1121"/>
      <c r="FP3" s="1121"/>
      <c r="FQ3" s="1121"/>
      <c r="FR3" s="1121"/>
      <c r="FS3" s="1121"/>
      <c r="FT3" s="1121"/>
      <c r="FU3" s="1121"/>
      <c r="FV3" s="1121"/>
      <c r="FW3" s="1121"/>
      <c r="FX3" s="1121"/>
      <c r="FY3" s="1121"/>
      <c r="FZ3" s="1121"/>
      <c r="GA3" s="1121"/>
      <c r="GB3" s="1121"/>
      <c r="GC3" s="1121"/>
      <c r="GD3" s="1121"/>
      <c r="GE3" s="1121"/>
      <c r="GF3" s="1121"/>
      <c r="GG3" s="1121"/>
      <c r="GH3" s="1121"/>
      <c r="GI3" s="1121"/>
      <c r="GJ3" s="1121"/>
      <c r="GK3" s="1121"/>
      <c r="GL3" s="1121"/>
      <c r="GM3" s="1121"/>
      <c r="GN3" s="1121"/>
      <c r="GO3" s="1121"/>
      <c r="GP3" s="1121"/>
      <c r="GQ3" s="1121"/>
      <c r="GR3" s="1121"/>
    </row>
    <row r="4" spans="1:208" x14ac:dyDescent="0.25">
      <c r="A4" s="1552"/>
      <c r="B4" s="1491"/>
      <c r="C4" s="1553"/>
      <c r="D4" s="1556" t="s">
        <v>897</v>
      </c>
      <c r="E4" s="1557"/>
      <c r="F4" s="1557"/>
      <c r="G4" s="1557"/>
      <c r="H4" s="1557"/>
      <c r="I4" s="1557"/>
      <c r="J4" s="1557"/>
      <c r="K4" s="1557"/>
      <c r="L4" s="1557"/>
      <c r="M4" s="1557"/>
      <c r="N4" s="1557"/>
      <c r="O4" s="1557"/>
      <c r="P4" s="1557"/>
      <c r="Q4" s="1557"/>
      <c r="R4" s="1557"/>
      <c r="S4" s="1557"/>
      <c r="T4" s="1557"/>
      <c r="U4" s="1557"/>
      <c r="V4" s="1557"/>
      <c r="W4" s="1557"/>
      <c r="X4" s="1557"/>
      <c r="Y4" s="1557"/>
      <c r="Z4" s="1557"/>
      <c r="AA4" s="1557"/>
      <c r="AB4" s="1557"/>
      <c r="AC4" s="1557"/>
      <c r="AD4" s="1557"/>
      <c r="AE4" s="1557"/>
      <c r="AF4" s="1557"/>
      <c r="AG4" s="1557"/>
      <c r="AH4" s="1557"/>
      <c r="AI4" s="1557"/>
      <c r="AJ4" s="1557"/>
      <c r="AK4" s="1557"/>
      <c r="AL4" s="1557"/>
      <c r="AM4" s="1557"/>
      <c r="AN4" s="1122"/>
      <c r="AO4" s="1123"/>
      <c r="AP4" s="1123"/>
      <c r="AQ4" s="1123"/>
      <c r="AR4" s="1123"/>
      <c r="AS4" s="1123"/>
      <c r="AT4" s="1123"/>
      <c r="AU4" s="1123"/>
      <c r="AV4" s="1123"/>
      <c r="AW4" s="1123"/>
      <c r="AX4" s="1123"/>
      <c r="AY4" s="1123"/>
      <c r="AZ4" s="1123"/>
      <c r="BA4" s="1123"/>
      <c r="BB4" s="1123"/>
      <c r="BC4" s="1123"/>
      <c r="BD4" s="1123"/>
      <c r="BE4" s="1123"/>
      <c r="BF4" s="1123"/>
      <c r="BG4" s="1123"/>
      <c r="BH4" s="1123"/>
      <c r="BI4" s="1123"/>
      <c r="BJ4" s="1123"/>
      <c r="BK4" s="1123"/>
      <c r="BL4" s="1123"/>
      <c r="BM4" s="1123"/>
      <c r="BN4" s="1123"/>
      <c r="BO4" s="1123"/>
      <c r="BP4" s="1123"/>
      <c r="BQ4" s="1123"/>
      <c r="BR4" s="1123"/>
      <c r="BS4" s="1123"/>
      <c r="BT4" s="1123"/>
      <c r="BU4" s="1123"/>
      <c r="BV4" s="1123"/>
      <c r="BW4" s="1123"/>
      <c r="BX4" s="1123"/>
      <c r="BY4" s="1123"/>
      <c r="BZ4" s="1123"/>
      <c r="CA4" s="1123"/>
      <c r="CB4" s="1123"/>
      <c r="CC4" s="1123"/>
      <c r="CD4" s="1123"/>
      <c r="CE4" s="1123"/>
      <c r="CF4" s="1123"/>
      <c r="CG4" s="1123"/>
      <c r="CH4" s="1123"/>
      <c r="CI4" s="1123"/>
      <c r="CJ4" s="1123"/>
      <c r="CK4" s="1123"/>
      <c r="CL4" s="1123"/>
      <c r="CM4" s="1123"/>
      <c r="CN4" s="1123"/>
      <c r="CO4" s="1123"/>
      <c r="CP4" s="1123"/>
      <c r="CQ4" s="1123"/>
      <c r="CR4" s="1123"/>
      <c r="CS4" s="1123"/>
      <c r="CT4" s="1123"/>
      <c r="CU4" s="1123"/>
      <c r="CV4" s="1123"/>
      <c r="CW4" s="1123"/>
      <c r="CX4" s="1123"/>
      <c r="CY4" s="1123"/>
      <c r="CZ4" s="1123"/>
      <c r="DA4" s="1123"/>
      <c r="DB4" s="1123"/>
      <c r="DC4" s="1123"/>
      <c r="DD4" s="1123"/>
      <c r="DE4" s="1123"/>
      <c r="DF4" s="1123"/>
      <c r="DG4" s="1123"/>
      <c r="DH4" s="1123"/>
      <c r="DI4" s="1123"/>
      <c r="DJ4" s="1123"/>
      <c r="DK4" s="1123"/>
      <c r="DL4" s="1123"/>
      <c r="DM4" s="1123"/>
      <c r="DN4" s="1123"/>
      <c r="DO4" s="1123"/>
      <c r="DP4" s="1123"/>
      <c r="DQ4" s="1123"/>
      <c r="DR4" s="1123"/>
      <c r="DS4" s="1123"/>
      <c r="DT4" s="1123"/>
      <c r="DU4" s="1123"/>
      <c r="DV4" s="1123"/>
      <c r="DW4" s="1123"/>
      <c r="DX4" s="1123"/>
      <c r="DY4" s="1123"/>
      <c r="DZ4" s="1123"/>
      <c r="EA4" s="1123"/>
      <c r="EB4" s="1123"/>
      <c r="EC4" s="1123"/>
      <c r="ED4" s="1123"/>
      <c r="EE4" s="1123"/>
      <c r="EF4" s="1123"/>
      <c r="EG4" s="1123"/>
      <c r="EH4" s="1123"/>
      <c r="EI4" s="1123"/>
      <c r="EJ4" s="1123"/>
      <c r="EK4" s="1123"/>
      <c r="EL4" s="1123"/>
      <c r="EM4" s="1123"/>
      <c r="EN4" s="1123"/>
      <c r="EO4" s="1123"/>
      <c r="EP4" s="1123"/>
      <c r="EQ4" s="1123"/>
      <c r="ER4" s="1123"/>
      <c r="ES4" s="1123"/>
      <c r="ET4" s="1123"/>
      <c r="EU4" s="1123"/>
      <c r="EV4" s="1123"/>
      <c r="EW4" s="1123"/>
      <c r="EX4" s="1123"/>
      <c r="EY4" s="1123"/>
      <c r="EZ4" s="1123"/>
      <c r="FA4" s="1123"/>
      <c r="FB4" s="1123"/>
      <c r="FC4" s="1123"/>
      <c r="FD4" s="1123"/>
      <c r="FE4" s="1123"/>
      <c r="FF4" s="1123"/>
      <c r="FG4" s="1123"/>
      <c r="FH4" s="1123"/>
      <c r="FI4" s="1123"/>
      <c r="FJ4" s="1123"/>
      <c r="FK4" s="1123"/>
      <c r="FL4" s="1123"/>
      <c r="FM4" s="1123"/>
      <c r="FN4" s="1123"/>
      <c r="FO4" s="1123"/>
      <c r="FP4" s="1123"/>
      <c r="FQ4" s="1123"/>
      <c r="FR4" s="1123"/>
      <c r="FS4" s="1123"/>
      <c r="FT4" s="1123"/>
      <c r="FU4" s="1123"/>
      <c r="FV4" s="1123"/>
      <c r="FW4" s="1123"/>
      <c r="FX4" s="1123"/>
      <c r="FY4" s="1123"/>
      <c r="FZ4" s="1123"/>
      <c r="GA4" s="1123"/>
      <c r="GB4" s="1123"/>
      <c r="GC4" s="1123"/>
      <c r="GD4" s="1123"/>
      <c r="GE4" s="1123"/>
      <c r="GF4" s="1123"/>
      <c r="GG4" s="1123"/>
      <c r="GH4" s="1123"/>
      <c r="GI4" s="1123"/>
      <c r="GJ4" s="1123"/>
      <c r="GK4" s="1123"/>
      <c r="GL4" s="1123"/>
      <c r="GM4" s="1123"/>
      <c r="GN4" s="1123"/>
      <c r="GO4" s="1123"/>
      <c r="GP4" s="1123"/>
      <c r="GQ4" s="1123"/>
      <c r="GR4" s="1123"/>
    </row>
    <row r="5" spans="1:208" x14ac:dyDescent="0.25">
      <c r="A5" s="1552"/>
      <c r="B5" s="1491"/>
      <c r="C5" s="1553"/>
      <c r="D5" s="1558" t="s">
        <v>898</v>
      </c>
      <c r="E5" s="1559"/>
      <c r="F5" s="1559"/>
      <c r="G5" s="1559"/>
      <c r="H5" s="1559"/>
      <c r="I5" s="1559"/>
      <c r="J5" s="1559"/>
      <c r="K5" s="1559"/>
      <c r="L5" s="1559"/>
      <c r="M5" s="1559"/>
      <c r="N5" s="1559"/>
      <c r="O5" s="1559"/>
      <c r="P5" s="1559"/>
      <c r="Q5" s="1559"/>
      <c r="R5" s="1559"/>
      <c r="S5" s="1559"/>
      <c r="T5" s="1559"/>
      <c r="U5" s="1559"/>
      <c r="V5" s="1559"/>
      <c r="W5" s="1559"/>
      <c r="X5" s="1559"/>
      <c r="Y5" s="1559"/>
      <c r="Z5" s="1559"/>
      <c r="AA5" s="1559"/>
      <c r="AB5" s="1559"/>
      <c r="AC5" s="1559"/>
      <c r="AD5" s="1559"/>
      <c r="AE5" s="1559"/>
      <c r="AF5" s="1559"/>
      <c r="AG5" s="1559"/>
      <c r="AH5" s="1559"/>
      <c r="AI5" s="1559"/>
      <c r="AJ5" s="1559"/>
      <c r="AK5" s="1559"/>
      <c r="AL5" s="1559"/>
      <c r="AM5" s="1559"/>
      <c r="AN5" s="1122"/>
      <c r="AO5" s="1123"/>
      <c r="AP5" s="1123"/>
      <c r="AQ5" s="1123"/>
      <c r="AR5" s="1123"/>
      <c r="AS5" s="1123"/>
      <c r="AT5" s="1123"/>
      <c r="AU5" s="1123"/>
      <c r="AV5" s="1123"/>
      <c r="AW5" s="1123"/>
      <c r="AX5" s="1123"/>
      <c r="AY5" s="1123"/>
      <c r="AZ5" s="1123"/>
      <c r="BA5" s="1123"/>
      <c r="BB5" s="1123"/>
      <c r="BC5" s="1123"/>
      <c r="BD5" s="1123"/>
      <c r="BE5" s="1123"/>
      <c r="BF5" s="1123"/>
      <c r="BG5" s="1123"/>
      <c r="BH5" s="1123"/>
      <c r="BI5" s="1123"/>
      <c r="BJ5" s="1123"/>
      <c r="BK5" s="1123"/>
      <c r="BL5" s="1123"/>
      <c r="BM5" s="1123"/>
      <c r="BN5" s="1123"/>
      <c r="BO5" s="1123"/>
      <c r="BP5" s="1123"/>
      <c r="BQ5" s="1123"/>
      <c r="BR5" s="1123"/>
      <c r="BS5" s="1123"/>
      <c r="BT5" s="1123"/>
      <c r="BU5" s="1123"/>
      <c r="BV5" s="1123"/>
      <c r="BW5" s="1123"/>
      <c r="BX5" s="1123"/>
      <c r="BY5" s="1123"/>
      <c r="BZ5" s="1123"/>
      <c r="CA5" s="1123"/>
      <c r="CB5" s="1123"/>
      <c r="CC5" s="1123"/>
      <c r="CD5" s="1123"/>
      <c r="CE5" s="1123"/>
      <c r="CF5" s="1123"/>
      <c r="CG5" s="1123"/>
      <c r="CH5" s="1123"/>
      <c r="CI5" s="1123"/>
      <c r="CJ5" s="1123"/>
      <c r="CK5" s="1123"/>
      <c r="CL5" s="1123"/>
      <c r="CM5" s="1123"/>
      <c r="CN5" s="1123"/>
      <c r="CO5" s="1123"/>
      <c r="CP5" s="1123"/>
      <c r="CQ5" s="1123"/>
      <c r="CR5" s="1123"/>
      <c r="CS5" s="1123"/>
      <c r="CT5" s="1123"/>
      <c r="CU5" s="1123"/>
      <c r="CV5" s="1123"/>
      <c r="CW5" s="1123"/>
      <c r="CX5" s="1123"/>
      <c r="CY5" s="1123"/>
      <c r="CZ5" s="1123"/>
      <c r="DA5" s="1123"/>
      <c r="DB5" s="1123"/>
      <c r="DC5" s="1123"/>
      <c r="DD5" s="1123"/>
      <c r="DE5" s="1123"/>
      <c r="DF5" s="1123"/>
      <c r="DG5" s="1123"/>
      <c r="DH5" s="1123"/>
      <c r="DI5" s="1123"/>
      <c r="DJ5" s="1123"/>
      <c r="DK5" s="1123"/>
      <c r="DL5" s="1123"/>
      <c r="DM5" s="1123"/>
      <c r="DN5" s="1123"/>
      <c r="DO5" s="1123"/>
      <c r="DP5" s="1123"/>
      <c r="DQ5" s="1123"/>
      <c r="DR5" s="1123"/>
      <c r="DS5" s="1123"/>
      <c r="DT5" s="1123"/>
      <c r="DU5" s="1123"/>
      <c r="DV5" s="1123"/>
      <c r="DW5" s="1123"/>
      <c r="DX5" s="1123"/>
      <c r="DY5" s="1123"/>
      <c r="DZ5" s="1123"/>
      <c r="EA5" s="1123"/>
      <c r="EB5" s="1123"/>
      <c r="EC5" s="1123"/>
      <c r="ED5" s="1123"/>
      <c r="EE5" s="1123"/>
      <c r="EF5" s="1123"/>
      <c r="EG5" s="1123"/>
      <c r="EH5" s="1123"/>
      <c r="EI5" s="1123"/>
      <c r="EJ5" s="1123"/>
      <c r="EK5" s="1123"/>
      <c r="EL5" s="1123"/>
      <c r="EM5" s="1123"/>
      <c r="EN5" s="1123"/>
      <c r="EO5" s="1123"/>
      <c r="EP5" s="1123"/>
      <c r="EQ5" s="1123"/>
      <c r="ER5" s="1123"/>
      <c r="ES5" s="1123"/>
      <c r="ET5" s="1123"/>
      <c r="EU5" s="1123"/>
      <c r="EV5" s="1123"/>
      <c r="EW5" s="1123"/>
      <c r="EX5" s="1123"/>
      <c r="EY5" s="1123"/>
      <c r="EZ5" s="1123"/>
      <c r="FA5" s="1123"/>
      <c r="FB5" s="1123"/>
      <c r="FC5" s="1123"/>
      <c r="FD5" s="1123"/>
      <c r="FE5" s="1123"/>
      <c r="FF5" s="1123"/>
      <c r="FG5" s="1123"/>
      <c r="FH5" s="1123"/>
      <c r="FI5" s="1123"/>
      <c r="FJ5" s="1123"/>
      <c r="FK5" s="1123"/>
      <c r="FL5" s="1123"/>
      <c r="FM5" s="1123"/>
      <c r="FN5" s="1123"/>
      <c r="FO5" s="1123"/>
      <c r="FP5" s="1123"/>
      <c r="FQ5" s="1123"/>
      <c r="FR5" s="1123"/>
      <c r="FS5" s="1123"/>
      <c r="FT5" s="1123"/>
      <c r="FU5" s="1123"/>
      <c r="FV5" s="1123"/>
      <c r="FW5" s="1123"/>
      <c r="FX5" s="1123"/>
      <c r="FY5" s="1123"/>
      <c r="FZ5" s="1123"/>
      <c r="GA5" s="1123"/>
      <c r="GB5" s="1123"/>
      <c r="GC5" s="1123"/>
      <c r="GD5" s="1123"/>
      <c r="GE5" s="1123"/>
      <c r="GF5" s="1123"/>
      <c r="GG5" s="1123"/>
      <c r="GH5" s="1123"/>
      <c r="GI5" s="1123"/>
      <c r="GJ5" s="1123"/>
      <c r="GK5" s="1123"/>
      <c r="GL5" s="1123"/>
      <c r="GM5" s="1123"/>
      <c r="GN5" s="1123"/>
      <c r="GO5" s="1123"/>
      <c r="GP5" s="1123"/>
      <c r="GQ5" s="1123"/>
      <c r="GR5" s="1123"/>
    </row>
    <row r="6" spans="1:208" x14ac:dyDescent="0.25">
      <c r="A6" s="1552"/>
      <c r="B6" s="1491"/>
      <c r="C6" s="1553"/>
      <c r="D6" s="1560" t="s">
        <v>1325</v>
      </c>
      <c r="E6" s="1561"/>
      <c r="F6" s="1561"/>
      <c r="G6" s="1561"/>
      <c r="H6" s="1561"/>
      <c r="I6" s="1561"/>
      <c r="J6" s="1561"/>
      <c r="K6" s="1561"/>
      <c r="L6" s="1561"/>
      <c r="M6" s="1561"/>
      <c r="N6" s="1561"/>
      <c r="O6" s="1561"/>
      <c r="P6" s="1561"/>
      <c r="Q6" s="1561"/>
      <c r="R6" s="1561"/>
      <c r="S6" s="1561"/>
      <c r="T6" s="1561"/>
      <c r="U6" s="1561"/>
      <c r="V6" s="1561"/>
      <c r="W6" s="1561"/>
      <c r="X6" s="1561"/>
      <c r="Y6" s="1561"/>
      <c r="Z6" s="1561"/>
      <c r="AA6" s="1561"/>
      <c r="AB6" s="1561"/>
      <c r="AC6" s="1561"/>
      <c r="AD6" s="1561"/>
      <c r="AE6" s="1561"/>
      <c r="AF6" s="1561"/>
      <c r="AG6" s="1561"/>
      <c r="AH6" s="1561"/>
      <c r="AI6" s="1561"/>
      <c r="AJ6" s="1561"/>
      <c r="AK6" s="1561"/>
      <c r="AL6" s="1561"/>
      <c r="AM6" s="1561"/>
      <c r="AN6" s="1122"/>
      <c r="AO6" s="1123"/>
      <c r="AP6" s="1123"/>
      <c r="AQ6" s="1123"/>
      <c r="AR6" s="1123"/>
      <c r="AS6" s="1123"/>
      <c r="AT6" s="1123"/>
      <c r="AU6" s="1123"/>
      <c r="AV6" s="1123"/>
      <c r="AW6" s="1123"/>
      <c r="AX6" s="1123"/>
      <c r="AY6" s="1123"/>
      <c r="AZ6" s="1123"/>
      <c r="BA6" s="1123"/>
      <c r="BB6" s="1123"/>
      <c r="BC6" s="1123"/>
      <c r="BD6" s="1123"/>
      <c r="BE6" s="1123"/>
      <c r="BF6" s="1123"/>
      <c r="BG6" s="1123"/>
      <c r="BH6" s="1123"/>
      <c r="BI6" s="1123"/>
      <c r="BJ6" s="1123"/>
      <c r="BK6" s="1123"/>
      <c r="BL6" s="1123"/>
      <c r="BM6" s="1123"/>
      <c r="BN6" s="1123"/>
      <c r="BO6" s="1123"/>
      <c r="BP6" s="1123"/>
      <c r="BQ6" s="1123"/>
      <c r="BR6" s="1123"/>
      <c r="BS6" s="1123"/>
      <c r="BT6" s="1123"/>
      <c r="BU6" s="1123"/>
      <c r="BV6" s="1123"/>
      <c r="BW6" s="1123"/>
      <c r="BX6" s="1123"/>
      <c r="BY6" s="1123"/>
      <c r="BZ6" s="1123"/>
      <c r="CA6" s="1123"/>
      <c r="CB6" s="1123"/>
      <c r="CC6" s="1123"/>
      <c r="CD6" s="1123"/>
      <c r="CE6" s="1123"/>
      <c r="CF6" s="1123"/>
      <c r="CG6" s="1123"/>
      <c r="CH6" s="1123"/>
      <c r="CI6" s="1123"/>
      <c r="CJ6" s="1123"/>
      <c r="CK6" s="1123"/>
      <c r="CL6" s="1123"/>
      <c r="CM6" s="1123"/>
      <c r="CN6" s="1123"/>
      <c r="CO6" s="1123"/>
      <c r="CP6" s="1123"/>
      <c r="CQ6" s="1123"/>
      <c r="CR6" s="1123"/>
      <c r="CS6" s="1123"/>
      <c r="CT6" s="1123"/>
      <c r="CU6" s="1123"/>
      <c r="CV6" s="1123"/>
      <c r="CW6" s="1123"/>
      <c r="CX6" s="1123"/>
      <c r="CY6" s="1123"/>
      <c r="CZ6" s="1123"/>
      <c r="DA6" s="1123"/>
      <c r="DB6" s="1123"/>
      <c r="DC6" s="1123"/>
      <c r="DD6" s="1123"/>
      <c r="DE6" s="1123"/>
      <c r="DF6" s="1123"/>
      <c r="DG6" s="1123"/>
      <c r="DH6" s="1123"/>
      <c r="DI6" s="1123"/>
      <c r="DJ6" s="1123"/>
      <c r="DK6" s="1123"/>
      <c r="DL6" s="1123"/>
      <c r="DM6" s="1123"/>
      <c r="DN6" s="1123"/>
      <c r="DO6" s="1123"/>
      <c r="DP6" s="1123"/>
      <c r="DQ6" s="1123"/>
      <c r="DR6" s="1123"/>
      <c r="DS6" s="1123"/>
      <c r="DT6" s="1123"/>
      <c r="DU6" s="1123"/>
      <c r="DV6" s="1123"/>
      <c r="DW6" s="1123"/>
      <c r="DX6" s="1123"/>
      <c r="DY6" s="1123"/>
      <c r="DZ6" s="1123"/>
      <c r="EA6" s="1123"/>
      <c r="EB6" s="1123"/>
      <c r="EC6" s="1123"/>
      <c r="ED6" s="1123"/>
      <c r="EE6" s="1123"/>
      <c r="EF6" s="1123"/>
      <c r="EG6" s="1123"/>
      <c r="EH6" s="1123"/>
      <c r="EI6" s="1123"/>
      <c r="EJ6" s="1123"/>
      <c r="EK6" s="1123"/>
      <c r="EL6" s="1123"/>
      <c r="EM6" s="1123"/>
      <c r="EN6" s="1123"/>
      <c r="EO6" s="1123"/>
      <c r="EP6" s="1123"/>
      <c r="EQ6" s="1123"/>
      <c r="ER6" s="1123"/>
      <c r="ES6" s="1123"/>
      <c r="ET6" s="1123"/>
      <c r="EU6" s="1123"/>
      <c r="EV6" s="1123"/>
      <c r="EW6" s="1123"/>
      <c r="EX6" s="1123"/>
      <c r="EY6" s="1123"/>
      <c r="EZ6" s="1123"/>
      <c r="FA6" s="1123"/>
      <c r="FB6" s="1123"/>
      <c r="FC6" s="1123"/>
      <c r="FD6" s="1123"/>
      <c r="FE6" s="1123"/>
      <c r="FF6" s="1123"/>
      <c r="FG6" s="1123"/>
      <c r="FH6" s="1123"/>
      <c r="FI6" s="1123"/>
      <c r="FJ6" s="1123"/>
      <c r="FK6" s="1123"/>
      <c r="FL6" s="1123"/>
      <c r="FM6" s="1123"/>
      <c r="FN6" s="1123"/>
      <c r="FO6" s="1123"/>
      <c r="FP6" s="1123"/>
      <c r="FQ6" s="1123"/>
      <c r="FR6" s="1123"/>
      <c r="FS6" s="1123"/>
      <c r="FT6" s="1123"/>
      <c r="FU6" s="1123"/>
      <c r="FV6" s="1123"/>
      <c r="FW6" s="1123"/>
      <c r="FX6" s="1123"/>
      <c r="FY6" s="1123"/>
      <c r="FZ6" s="1123"/>
      <c r="GA6" s="1123"/>
      <c r="GB6" s="1123"/>
      <c r="GC6" s="1123"/>
      <c r="GD6" s="1123"/>
      <c r="GE6" s="1123"/>
      <c r="GF6" s="1123"/>
      <c r="GG6" s="1123"/>
      <c r="GH6" s="1123"/>
      <c r="GI6" s="1123"/>
      <c r="GJ6" s="1123"/>
      <c r="GK6" s="1123"/>
      <c r="GL6" s="1123"/>
      <c r="GM6" s="1123"/>
      <c r="GN6" s="1123"/>
      <c r="GO6" s="1123"/>
      <c r="GP6" s="1123"/>
      <c r="GQ6" s="1123"/>
      <c r="GR6" s="1123"/>
    </row>
    <row r="7" spans="1:208" x14ac:dyDescent="0.25">
      <c r="A7" s="1552"/>
      <c r="B7" s="1491"/>
      <c r="C7" s="1553"/>
      <c r="D7" s="1558" t="s">
        <v>900</v>
      </c>
      <c r="E7" s="1559"/>
      <c r="F7" s="1559"/>
      <c r="G7" s="1559"/>
      <c r="H7" s="1559"/>
      <c r="I7" s="1559"/>
      <c r="J7" s="1559"/>
      <c r="K7" s="1559"/>
      <c r="L7" s="1559"/>
      <c r="M7" s="1559"/>
      <c r="N7" s="1559"/>
      <c r="O7" s="1559"/>
      <c r="P7" s="1559"/>
      <c r="Q7" s="1559"/>
      <c r="R7" s="1559"/>
      <c r="S7" s="1559"/>
      <c r="T7" s="1559"/>
      <c r="U7" s="1559"/>
      <c r="V7" s="1559"/>
      <c r="W7" s="1559"/>
      <c r="X7" s="1559"/>
      <c r="Y7" s="1559"/>
      <c r="Z7" s="1559"/>
      <c r="AA7" s="1559"/>
      <c r="AB7" s="1559"/>
      <c r="AC7" s="1559"/>
      <c r="AD7" s="1559"/>
      <c r="AE7" s="1559"/>
      <c r="AF7" s="1559"/>
      <c r="AG7" s="1559"/>
      <c r="AH7" s="1562"/>
      <c r="AI7" s="1558" t="s">
        <v>901</v>
      </c>
      <c r="AJ7" s="1559"/>
      <c r="AK7" s="1559"/>
      <c r="AL7" s="1559"/>
      <c r="AM7" s="1559"/>
      <c r="AN7" s="1122"/>
      <c r="AO7" s="1123"/>
      <c r="AP7" s="1123"/>
      <c r="AQ7" s="1123"/>
      <c r="AR7" s="1123"/>
      <c r="AS7" s="1123"/>
      <c r="AT7" s="1123"/>
      <c r="AU7" s="1123"/>
      <c r="AV7" s="1123"/>
      <c r="AW7" s="1123"/>
      <c r="AX7" s="1123"/>
      <c r="AY7" s="1123"/>
      <c r="AZ7" s="1123"/>
      <c r="BA7" s="1123"/>
      <c r="BB7" s="1123"/>
      <c r="BC7" s="1123"/>
      <c r="BD7" s="1123"/>
      <c r="BE7" s="1123"/>
      <c r="BF7" s="1123"/>
      <c r="BG7" s="1123"/>
      <c r="BH7" s="1123"/>
      <c r="BI7" s="1123"/>
      <c r="BJ7" s="1123"/>
      <c r="BK7" s="1123"/>
      <c r="BL7" s="1123"/>
      <c r="BM7" s="1123"/>
      <c r="BN7" s="1123"/>
      <c r="BO7" s="1123"/>
      <c r="BP7" s="1123"/>
      <c r="BQ7" s="1123"/>
      <c r="BR7" s="1123"/>
      <c r="BS7" s="1123"/>
      <c r="BT7" s="1123"/>
      <c r="BU7" s="1123"/>
      <c r="BV7" s="1123"/>
      <c r="BW7" s="1123"/>
      <c r="BX7" s="1123"/>
      <c r="BY7" s="1123"/>
      <c r="BZ7" s="1123"/>
      <c r="CA7" s="1123"/>
      <c r="CB7" s="1123"/>
      <c r="CC7" s="1123"/>
      <c r="CD7" s="1123"/>
      <c r="CE7" s="1123"/>
      <c r="CF7" s="1123"/>
      <c r="CG7" s="1123"/>
      <c r="CH7" s="1123"/>
      <c r="CI7" s="1123"/>
      <c r="CJ7" s="1123"/>
      <c r="CK7" s="1123"/>
      <c r="CL7" s="1123"/>
      <c r="CM7" s="1123"/>
      <c r="CN7" s="1123"/>
      <c r="CO7" s="1123"/>
      <c r="CP7" s="1123"/>
      <c r="CQ7" s="1123"/>
      <c r="CR7" s="1123"/>
      <c r="CS7" s="1123"/>
      <c r="CT7" s="1123"/>
      <c r="CU7" s="1123"/>
      <c r="CV7" s="1123"/>
      <c r="CW7" s="1123"/>
      <c r="CX7" s="1123"/>
      <c r="CY7" s="1123"/>
      <c r="CZ7" s="1123"/>
      <c r="DA7" s="1123"/>
      <c r="DB7" s="1123"/>
      <c r="DC7" s="1123"/>
      <c r="DD7" s="1123"/>
      <c r="DE7" s="1123"/>
      <c r="DF7" s="1123"/>
      <c r="DG7" s="1123"/>
      <c r="DH7" s="1123"/>
      <c r="DI7" s="1123"/>
      <c r="DJ7" s="1123"/>
      <c r="DK7" s="1123"/>
      <c r="DL7" s="1123"/>
      <c r="DM7" s="1123"/>
      <c r="DN7" s="1123"/>
      <c r="DO7" s="1123"/>
      <c r="DP7" s="1123"/>
      <c r="DQ7" s="1123"/>
      <c r="DR7" s="1123"/>
      <c r="DS7" s="1123"/>
      <c r="DT7" s="1123"/>
      <c r="DU7" s="1123"/>
      <c r="DV7" s="1123"/>
      <c r="DW7" s="1123"/>
      <c r="DX7" s="1123"/>
      <c r="DY7" s="1123"/>
      <c r="DZ7" s="1123"/>
      <c r="EA7" s="1123"/>
      <c r="EB7" s="1123"/>
      <c r="EC7" s="1123"/>
      <c r="ED7" s="1123"/>
      <c r="EE7" s="1123"/>
      <c r="EF7" s="1123"/>
      <c r="EG7" s="1123"/>
      <c r="EH7" s="1123"/>
      <c r="EI7" s="1123"/>
      <c r="EJ7" s="1123"/>
      <c r="EK7" s="1123"/>
      <c r="EL7" s="1123"/>
      <c r="EM7" s="1123"/>
      <c r="EN7" s="1123"/>
      <c r="EO7" s="1123"/>
      <c r="EP7" s="1123"/>
      <c r="EQ7" s="1123"/>
      <c r="ER7" s="1123"/>
      <c r="ES7" s="1123"/>
      <c r="ET7" s="1123"/>
      <c r="EU7" s="1123"/>
      <c r="EV7" s="1123"/>
      <c r="EW7" s="1123"/>
      <c r="EX7" s="1123"/>
      <c r="EY7" s="1123"/>
      <c r="EZ7" s="1123"/>
      <c r="FA7" s="1123"/>
      <c r="FB7" s="1123"/>
      <c r="FC7" s="1123"/>
      <c r="FD7" s="1123"/>
      <c r="FE7" s="1123"/>
      <c r="FF7" s="1123"/>
      <c r="FG7" s="1123"/>
      <c r="FH7" s="1123"/>
      <c r="FI7" s="1123"/>
      <c r="FJ7" s="1123"/>
      <c r="FK7" s="1123"/>
      <c r="FL7" s="1123"/>
      <c r="FM7" s="1123"/>
      <c r="FN7" s="1123"/>
      <c r="FO7" s="1123"/>
      <c r="FP7" s="1123"/>
      <c r="FQ7" s="1123"/>
      <c r="FR7" s="1123"/>
      <c r="FS7" s="1123"/>
      <c r="FT7" s="1123"/>
      <c r="FU7" s="1123"/>
      <c r="FV7" s="1123"/>
      <c r="FW7" s="1123"/>
      <c r="FX7" s="1123"/>
      <c r="FY7" s="1123"/>
      <c r="FZ7" s="1123"/>
      <c r="GA7" s="1123"/>
      <c r="GB7" s="1123"/>
      <c r="GC7" s="1123"/>
      <c r="GD7" s="1123"/>
      <c r="GE7" s="1123"/>
      <c r="GF7" s="1123"/>
      <c r="GG7" s="1123"/>
      <c r="GH7" s="1123"/>
      <c r="GI7" s="1123"/>
      <c r="GJ7" s="1123"/>
      <c r="GK7" s="1123"/>
      <c r="GL7" s="1123"/>
      <c r="GM7" s="1123"/>
      <c r="GN7" s="1123"/>
      <c r="GO7" s="1123"/>
      <c r="GP7" s="1123"/>
      <c r="GQ7" s="1123"/>
      <c r="GR7" s="1123"/>
    </row>
    <row r="8" spans="1:208" x14ac:dyDescent="0.25">
      <c r="A8" s="1552"/>
      <c r="B8" s="1491"/>
      <c r="C8" s="1553"/>
      <c r="D8" s="1563" t="s">
        <v>902</v>
      </c>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5"/>
      <c r="AI8" s="1566" t="s">
        <v>5</v>
      </c>
      <c r="AJ8" s="1567"/>
      <c r="AK8" s="1567"/>
      <c r="AL8" s="1567"/>
      <c r="AM8" s="1567"/>
      <c r="AN8" s="1122"/>
      <c r="AO8" s="1123"/>
      <c r="AP8" s="1123"/>
      <c r="AQ8" s="1123"/>
      <c r="AR8" s="1123"/>
      <c r="AS8" s="1123"/>
      <c r="AT8" s="1123"/>
      <c r="AU8" s="1123"/>
      <c r="AV8" s="1123"/>
      <c r="AW8" s="1123"/>
      <c r="AX8" s="1123"/>
      <c r="AY8" s="1123"/>
      <c r="AZ8" s="1123"/>
      <c r="BA8" s="1123"/>
      <c r="BB8" s="1123"/>
      <c r="BC8" s="1123"/>
      <c r="BD8" s="1123"/>
      <c r="BE8" s="1123"/>
      <c r="BF8" s="1123"/>
      <c r="BG8" s="1123"/>
      <c r="BH8" s="1123"/>
      <c r="BI8" s="1123"/>
      <c r="BJ8" s="1123"/>
      <c r="BK8" s="1123"/>
      <c r="BL8" s="1123"/>
      <c r="BM8" s="1123"/>
      <c r="BN8" s="1123"/>
      <c r="BO8" s="1123"/>
      <c r="BP8" s="1123"/>
      <c r="BQ8" s="1123"/>
      <c r="BR8" s="1123"/>
      <c r="BS8" s="1123"/>
      <c r="BT8" s="1123"/>
      <c r="BU8" s="1123"/>
      <c r="BV8" s="1123"/>
      <c r="BW8" s="1123"/>
      <c r="BX8" s="1123"/>
      <c r="BY8" s="1123"/>
      <c r="BZ8" s="1123"/>
      <c r="CA8" s="1123"/>
      <c r="CB8" s="1123"/>
      <c r="CC8" s="1123"/>
      <c r="CD8" s="1123"/>
      <c r="CE8" s="1123"/>
      <c r="CF8" s="1123"/>
      <c r="CG8" s="1123"/>
      <c r="CH8" s="1123"/>
      <c r="CI8" s="1123"/>
      <c r="CJ8" s="1123"/>
      <c r="CK8" s="1123"/>
      <c r="CL8" s="1123"/>
      <c r="CM8" s="1123"/>
      <c r="CN8" s="1123"/>
      <c r="CO8" s="1123"/>
      <c r="CP8" s="1123"/>
      <c r="CQ8" s="1123"/>
      <c r="CR8" s="1123"/>
      <c r="CS8" s="1123"/>
      <c r="CT8" s="1123"/>
      <c r="CU8" s="1123"/>
      <c r="CV8" s="1123"/>
      <c r="CW8" s="1123"/>
      <c r="CX8" s="1123"/>
      <c r="CY8" s="1123"/>
      <c r="CZ8" s="1123"/>
      <c r="DA8" s="1123"/>
      <c r="DB8" s="1123"/>
      <c r="DC8" s="1123"/>
      <c r="DD8" s="1123"/>
      <c r="DE8" s="1123"/>
      <c r="DF8" s="1123"/>
      <c r="DG8" s="1123"/>
      <c r="DH8" s="1123"/>
      <c r="DI8" s="1123"/>
      <c r="DJ8" s="1123"/>
      <c r="DK8" s="1123"/>
      <c r="DL8" s="1123"/>
      <c r="DM8" s="1123"/>
      <c r="DN8" s="1123"/>
      <c r="DO8" s="1123"/>
      <c r="DP8" s="1123"/>
      <c r="DQ8" s="1123"/>
      <c r="DR8" s="1123"/>
      <c r="DS8" s="1123"/>
      <c r="DT8" s="1123"/>
      <c r="DU8" s="1123"/>
      <c r="DV8" s="1123"/>
      <c r="DW8" s="1123"/>
      <c r="DX8" s="1123"/>
      <c r="DY8" s="1123"/>
      <c r="DZ8" s="1123"/>
      <c r="EA8" s="1123"/>
      <c r="EB8" s="1123"/>
      <c r="EC8" s="1123"/>
      <c r="ED8" s="1123"/>
      <c r="EE8" s="1123"/>
      <c r="EF8" s="1123"/>
      <c r="EG8" s="1123"/>
      <c r="EH8" s="1123"/>
      <c r="EI8" s="1123"/>
      <c r="EJ8" s="1123"/>
      <c r="EK8" s="1123"/>
      <c r="EL8" s="1123"/>
      <c r="EM8" s="1123"/>
      <c r="EN8" s="1123"/>
      <c r="EO8" s="1123"/>
      <c r="EP8" s="1123"/>
      <c r="EQ8" s="1123"/>
      <c r="ER8" s="1123"/>
      <c r="ES8" s="1123"/>
      <c r="ET8" s="1123"/>
      <c r="EU8" s="1123"/>
      <c r="EV8" s="1123"/>
      <c r="EW8" s="1123"/>
      <c r="EX8" s="1123"/>
      <c r="EY8" s="1123"/>
      <c r="EZ8" s="1123"/>
      <c r="FA8" s="1123"/>
      <c r="FB8" s="1123"/>
      <c r="FC8" s="1123"/>
      <c r="FD8" s="1123"/>
      <c r="FE8" s="1123"/>
      <c r="FF8" s="1123"/>
      <c r="FG8" s="1123"/>
      <c r="FH8" s="1123"/>
      <c r="FI8" s="1123"/>
      <c r="FJ8" s="1123"/>
      <c r="FK8" s="1123"/>
      <c r="FL8" s="1123"/>
      <c r="FM8" s="1123"/>
      <c r="FN8" s="1123"/>
      <c r="FO8" s="1123"/>
      <c r="FP8" s="1123"/>
      <c r="FQ8" s="1123"/>
      <c r="FR8" s="1123"/>
      <c r="FS8" s="1123"/>
      <c r="FT8" s="1123"/>
      <c r="FU8" s="1123"/>
      <c r="FV8" s="1123"/>
      <c r="FW8" s="1123"/>
      <c r="FX8" s="1123"/>
      <c r="FY8" s="1123"/>
      <c r="FZ8" s="1123"/>
      <c r="GA8" s="1123"/>
      <c r="GB8" s="1123"/>
      <c r="GC8" s="1123"/>
      <c r="GD8" s="1123"/>
      <c r="GE8" s="1123"/>
      <c r="GF8" s="1123"/>
      <c r="GG8" s="1123"/>
      <c r="GH8" s="1123"/>
      <c r="GI8" s="1123"/>
      <c r="GJ8" s="1123"/>
      <c r="GK8" s="1123"/>
      <c r="GL8" s="1123"/>
      <c r="GM8" s="1123"/>
      <c r="GN8" s="1123"/>
      <c r="GO8" s="1123"/>
      <c r="GP8" s="1123"/>
      <c r="GQ8" s="1123"/>
      <c r="GR8" s="1123"/>
    </row>
    <row r="9" spans="1:208" ht="18.75" customHeight="1" thickBot="1" x14ac:dyDescent="0.3">
      <c r="A9" s="1542" t="s">
        <v>895</v>
      </c>
      <c r="B9" s="1543"/>
      <c r="C9" s="1543"/>
      <c r="D9" s="1543"/>
      <c r="E9" s="1543"/>
      <c r="F9" s="1543"/>
      <c r="G9" s="1543"/>
      <c r="H9" s="1543"/>
      <c r="I9" s="1543"/>
      <c r="J9" s="1543"/>
      <c r="K9" s="1543"/>
      <c r="L9" s="1543"/>
      <c r="M9" s="1543"/>
      <c r="N9" s="1543"/>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3"/>
      <c r="AP9" s="1543"/>
      <c r="AQ9" s="1543"/>
      <c r="AR9" s="1543"/>
      <c r="AS9" s="1543"/>
      <c r="AT9" s="1543"/>
      <c r="AU9" s="1543"/>
      <c r="AV9" s="1543"/>
      <c r="AW9" s="1543"/>
      <c r="AX9" s="1543"/>
      <c r="AY9" s="1543"/>
      <c r="AZ9" s="1543"/>
      <c r="BA9" s="1543"/>
      <c r="BB9" s="1543"/>
      <c r="BC9" s="1543"/>
      <c r="BD9" s="1543"/>
      <c r="BE9" s="1543"/>
      <c r="BF9" s="1543"/>
      <c r="BG9" s="1543"/>
      <c r="BH9" s="1543"/>
      <c r="BI9" s="1543"/>
      <c r="BJ9" s="1543"/>
      <c r="BK9" s="1543"/>
      <c r="BL9" s="1543"/>
      <c r="BM9" s="1543"/>
      <c r="BN9" s="1543"/>
      <c r="BO9" s="1543"/>
      <c r="BP9" s="1543"/>
      <c r="BQ9" s="1543"/>
      <c r="BR9" s="1543"/>
      <c r="BS9" s="1543"/>
      <c r="BT9" s="1543"/>
      <c r="BU9" s="1543"/>
      <c r="BV9" s="1543"/>
      <c r="BW9" s="1543"/>
      <c r="BX9" s="1543"/>
      <c r="BY9" s="1543"/>
      <c r="BZ9" s="1543"/>
      <c r="CA9" s="1543"/>
      <c r="CB9" s="1543"/>
      <c r="CC9" s="1543"/>
      <c r="CD9" s="1543"/>
      <c r="CE9" s="1543"/>
      <c r="CF9" s="1543"/>
      <c r="CG9" s="1543"/>
      <c r="CH9" s="1543"/>
      <c r="CI9" s="1543"/>
      <c r="CJ9" s="1543"/>
      <c r="CK9" s="1543"/>
      <c r="CL9" s="1543"/>
      <c r="CM9" s="1543"/>
      <c r="CN9" s="1543"/>
      <c r="CO9" s="1543"/>
      <c r="CP9" s="1543"/>
      <c r="CQ9" s="1543"/>
      <c r="CR9" s="1543"/>
      <c r="CS9" s="1543"/>
      <c r="CT9" s="1543"/>
      <c r="CU9" s="1543"/>
      <c r="CV9" s="1543"/>
      <c r="CW9" s="1543"/>
      <c r="CX9" s="1543"/>
      <c r="CY9" s="1543"/>
      <c r="CZ9" s="1543"/>
      <c r="DA9" s="1543"/>
      <c r="DB9" s="1543"/>
      <c r="DC9" s="1543"/>
      <c r="DD9" s="1543"/>
      <c r="DE9" s="1543"/>
      <c r="DF9" s="1543"/>
      <c r="DG9" s="1543"/>
      <c r="DH9" s="1543"/>
      <c r="DI9" s="1543"/>
      <c r="DJ9" s="1543"/>
      <c r="DK9" s="1543"/>
      <c r="DL9" s="1543"/>
      <c r="DM9" s="1543"/>
      <c r="DN9" s="1543"/>
      <c r="DO9" s="1543"/>
      <c r="DP9" s="1543"/>
      <c r="DQ9" s="1543"/>
      <c r="DR9" s="1543"/>
      <c r="DS9" s="1543"/>
      <c r="DT9" s="1543"/>
      <c r="DU9" s="1543"/>
      <c r="DV9" s="1543"/>
      <c r="DW9" s="1543"/>
      <c r="DX9" s="1543"/>
      <c r="DY9" s="1543"/>
      <c r="DZ9" s="1543"/>
      <c r="EA9" s="1543"/>
      <c r="EB9" s="1543"/>
      <c r="EC9" s="1543"/>
      <c r="ED9" s="1543"/>
      <c r="EE9" s="1543"/>
      <c r="EF9" s="1543"/>
      <c r="EG9" s="1543"/>
      <c r="EH9" s="1543"/>
      <c r="EI9" s="1543"/>
      <c r="EJ9" s="1543"/>
      <c r="EK9" s="1543"/>
      <c r="EL9" s="1543"/>
      <c r="EM9" s="1543"/>
      <c r="EN9" s="1543"/>
      <c r="EO9" s="1543"/>
      <c r="EP9" s="1543"/>
      <c r="EQ9" s="1543"/>
      <c r="ER9" s="1543"/>
      <c r="ES9" s="1543"/>
      <c r="ET9" s="1543"/>
      <c r="EU9" s="1543"/>
      <c r="EV9" s="1543"/>
      <c r="EW9" s="1543"/>
      <c r="EX9" s="1543"/>
      <c r="EY9" s="1543"/>
      <c r="EZ9" s="1543"/>
      <c r="FA9" s="1543"/>
      <c r="FB9" s="1543"/>
      <c r="FC9" s="1543"/>
      <c r="FD9" s="1543"/>
      <c r="FE9" s="1543"/>
      <c r="FF9" s="1543"/>
      <c r="FG9" s="1543"/>
      <c r="FH9" s="1543"/>
      <c r="FI9" s="1543"/>
      <c r="FJ9" s="1543"/>
      <c r="FK9" s="1543"/>
      <c r="FL9" s="1543"/>
      <c r="FM9" s="1543"/>
      <c r="FN9" s="1543"/>
      <c r="FO9" s="1543"/>
      <c r="FP9" s="1543"/>
      <c r="FQ9" s="1543"/>
      <c r="FR9" s="1543"/>
      <c r="FS9" s="1543"/>
      <c r="FT9" s="1543"/>
      <c r="FU9" s="1543"/>
      <c r="FV9" s="1543"/>
      <c r="FW9" s="1543"/>
      <c r="FX9" s="1543"/>
      <c r="FY9" s="1543"/>
      <c r="FZ9" s="1543"/>
      <c r="GA9" s="1543"/>
      <c r="GB9" s="1543"/>
      <c r="GC9" s="1543"/>
      <c r="GD9" s="1543"/>
      <c r="GE9" s="1543"/>
      <c r="GF9" s="1543"/>
      <c r="GG9" s="1543"/>
      <c r="GH9" s="1543"/>
      <c r="GI9" s="1543"/>
      <c r="GJ9" s="1543"/>
      <c r="GK9" s="1543"/>
      <c r="GL9" s="1543"/>
      <c r="GM9" s="1543"/>
      <c r="GN9" s="1543"/>
      <c r="GO9" s="1543"/>
      <c r="GP9" s="1543"/>
      <c r="GQ9" s="1543"/>
      <c r="GR9" s="1544"/>
    </row>
    <row r="10" spans="1:208" ht="20.100000000000001" customHeight="1" x14ac:dyDescent="0.25">
      <c r="A10" s="1545" t="s">
        <v>903</v>
      </c>
      <c r="B10" s="1546" t="s">
        <v>904</v>
      </c>
      <c r="C10" s="1546"/>
      <c r="D10" s="1546"/>
      <c r="E10" s="1546"/>
      <c r="F10" s="1546" t="s">
        <v>905</v>
      </c>
      <c r="G10" s="1536">
        <v>44774</v>
      </c>
      <c r="H10" s="1536"/>
      <c r="I10" s="1536"/>
      <c r="J10" s="1536"/>
      <c r="K10" s="1536">
        <v>44805</v>
      </c>
      <c r="L10" s="1536"/>
      <c r="M10" s="1536"/>
      <c r="N10" s="1536"/>
      <c r="O10" s="1536">
        <v>44835</v>
      </c>
      <c r="P10" s="1536"/>
      <c r="Q10" s="1536"/>
      <c r="R10" s="1536"/>
      <c r="S10" s="1536">
        <v>44866</v>
      </c>
      <c r="T10" s="1536"/>
      <c r="U10" s="1536"/>
      <c r="V10" s="1536"/>
      <c r="W10" s="1536">
        <v>44896</v>
      </c>
      <c r="X10" s="1536"/>
      <c r="Y10" s="1536"/>
      <c r="Z10" s="1536"/>
      <c r="AA10" s="1536">
        <v>44927</v>
      </c>
      <c r="AB10" s="1536"/>
      <c r="AC10" s="1536"/>
      <c r="AD10" s="1536"/>
      <c r="AE10" s="1536">
        <v>44958</v>
      </c>
      <c r="AF10" s="1536"/>
      <c r="AG10" s="1536"/>
      <c r="AH10" s="1536"/>
      <c r="AI10" s="1536">
        <v>44986</v>
      </c>
      <c r="AJ10" s="1536"/>
      <c r="AK10" s="1536"/>
      <c r="AL10" s="1536"/>
      <c r="AM10" s="1536">
        <v>45017</v>
      </c>
      <c r="AN10" s="1536"/>
      <c r="AO10" s="1536"/>
      <c r="AP10" s="1536"/>
      <c r="AQ10" s="1536">
        <v>45047</v>
      </c>
      <c r="AR10" s="1536"/>
      <c r="AS10" s="1536"/>
      <c r="AT10" s="1536"/>
      <c r="AU10" s="1536">
        <v>45078</v>
      </c>
      <c r="AV10" s="1536"/>
      <c r="AW10" s="1536"/>
      <c r="AX10" s="1536"/>
      <c r="AY10" s="1536">
        <v>45108</v>
      </c>
      <c r="AZ10" s="1536"/>
      <c r="BA10" s="1536"/>
      <c r="BB10" s="1536"/>
      <c r="BC10" s="1536">
        <v>45139</v>
      </c>
      <c r="BD10" s="1536"/>
      <c r="BE10" s="1536"/>
      <c r="BF10" s="1536"/>
      <c r="BG10" s="1536">
        <v>45170</v>
      </c>
      <c r="BH10" s="1536"/>
      <c r="BI10" s="1536"/>
      <c r="BJ10" s="1536"/>
      <c r="BK10" s="1536">
        <v>45200</v>
      </c>
      <c r="BL10" s="1536"/>
      <c r="BM10" s="1536"/>
      <c r="BN10" s="1536"/>
      <c r="BO10" s="1536">
        <v>45231</v>
      </c>
      <c r="BP10" s="1536"/>
      <c r="BQ10" s="1536"/>
      <c r="BR10" s="1536"/>
      <c r="BS10" s="1536">
        <v>45261</v>
      </c>
      <c r="BT10" s="1536"/>
      <c r="BU10" s="1536"/>
      <c r="BV10" s="1536"/>
      <c r="BW10" s="1536">
        <v>45292</v>
      </c>
      <c r="BX10" s="1536"/>
      <c r="BY10" s="1536"/>
      <c r="BZ10" s="1536"/>
      <c r="CA10" s="1536">
        <v>45323</v>
      </c>
      <c r="CB10" s="1536"/>
      <c r="CC10" s="1536"/>
      <c r="CD10" s="1536"/>
      <c r="CE10" s="1536">
        <v>45352</v>
      </c>
      <c r="CF10" s="1536"/>
      <c r="CG10" s="1536"/>
      <c r="CH10" s="1536"/>
      <c r="CI10" s="1536">
        <v>45383</v>
      </c>
      <c r="CJ10" s="1536"/>
      <c r="CK10" s="1536"/>
      <c r="CL10" s="1536"/>
      <c r="CM10" s="1536">
        <v>45413</v>
      </c>
      <c r="CN10" s="1536"/>
      <c r="CO10" s="1536"/>
      <c r="CP10" s="1536"/>
      <c r="CQ10" s="1536">
        <v>45444</v>
      </c>
      <c r="CR10" s="1536"/>
      <c r="CS10" s="1536"/>
      <c r="CT10" s="1536"/>
      <c r="CU10" s="1536">
        <v>45474</v>
      </c>
      <c r="CV10" s="1536"/>
      <c r="CW10" s="1536"/>
      <c r="CX10" s="1536"/>
      <c r="CY10" s="1536">
        <v>45505</v>
      </c>
      <c r="CZ10" s="1536"/>
      <c r="DA10" s="1536"/>
      <c r="DB10" s="1536"/>
      <c r="DC10" s="1536">
        <v>45536</v>
      </c>
      <c r="DD10" s="1536"/>
      <c r="DE10" s="1536"/>
      <c r="DF10" s="1536"/>
      <c r="DG10" s="1536">
        <v>45566</v>
      </c>
      <c r="DH10" s="1536"/>
      <c r="DI10" s="1536"/>
      <c r="DJ10" s="1536"/>
      <c r="DK10" s="1536">
        <v>45597</v>
      </c>
      <c r="DL10" s="1536"/>
      <c r="DM10" s="1536"/>
      <c r="DN10" s="1536"/>
      <c r="DO10" s="1536">
        <v>45627</v>
      </c>
      <c r="DP10" s="1536"/>
      <c r="DQ10" s="1536"/>
      <c r="DR10" s="1536"/>
      <c r="DS10" s="1536">
        <v>45658</v>
      </c>
      <c r="DT10" s="1536"/>
      <c r="DU10" s="1536"/>
      <c r="DV10" s="1536"/>
      <c r="DW10" s="1536">
        <v>45689</v>
      </c>
      <c r="DX10" s="1536"/>
      <c r="DY10" s="1536"/>
      <c r="DZ10" s="1536"/>
      <c r="EA10" s="1536">
        <v>45717</v>
      </c>
      <c r="EB10" s="1536"/>
      <c r="EC10" s="1536"/>
      <c r="ED10" s="1536"/>
      <c r="EE10" s="1536">
        <v>45748</v>
      </c>
      <c r="EF10" s="1536"/>
      <c r="EG10" s="1536"/>
      <c r="EH10" s="1536"/>
      <c r="EI10" s="1536">
        <v>45778</v>
      </c>
      <c r="EJ10" s="1536"/>
      <c r="EK10" s="1536"/>
      <c r="EL10" s="1536"/>
      <c r="EM10" s="1536">
        <v>45809</v>
      </c>
      <c r="EN10" s="1536"/>
      <c r="EO10" s="1536"/>
      <c r="EP10" s="1536"/>
      <c r="EQ10" s="1536">
        <v>45839</v>
      </c>
      <c r="ER10" s="1536"/>
      <c r="ES10" s="1536"/>
      <c r="ET10" s="1536"/>
      <c r="EU10" s="1536">
        <v>45870</v>
      </c>
      <c r="EV10" s="1536"/>
      <c r="EW10" s="1536"/>
      <c r="EX10" s="1536"/>
      <c r="EY10" s="1536">
        <v>45901</v>
      </c>
      <c r="EZ10" s="1536"/>
      <c r="FA10" s="1536"/>
      <c r="FB10" s="1536"/>
      <c r="FC10" s="1536">
        <v>45931</v>
      </c>
      <c r="FD10" s="1536"/>
      <c r="FE10" s="1536"/>
      <c r="FF10" s="1536"/>
      <c r="FG10" s="1536">
        <v>45962</v>
      </c>
      <c r="FH10" s="1536"/>
      <c r="FI10" s="1536"/>
      <c r="FJ10" s="1536"/>
      <c r="FK10" s="1536">
        <v>45992</v>
      </c>
      <c r="FL10" s="1536"/>
      <c r="FM10" s="1536"/>
      <c r="FN10" s="1536"/>
      <c r="FO10" s="1536">
        <v>46023</v>
      </c>
      <c r="FP10" s="1536"/>
      <c r="FQ10" s="1536"/>
      <c r="FR10" s="1536"/>
      <c r="FS10" s="1536">
        <v>46054</v>
      </c>
      <c r="FT10" s="1536"/>
      <c r="FU10" s="1536"/>
      <c r="FV10" s="1536"/>
      <c r="FW10" s="1536">
        <v>46082</v>
      </c>
      <c r="FX10" s="1536"/>
      <c r="FY10" s="1536"/>
      <c r="FZ10" s="1536"/>
      <c r="GA10" s="1536">
        <v>46113</v>
      </c>
      <c r="GB10" s="1536"/>
      <c r="GC10" s="1536"/>
      <c r="GD10" s="1536"/>
      <c r="GE10" s="1536">
        <v>46143</v>
      </c>
      <c r="GF10" s="1536"/>
      <c r="GG10" s="1536"/>
      <c r="GH10" s="1536"/>
      <c r="GI10" s="1536">
        <v>46174</v>
      </c>
      <c r="GJ10" s="1536"/>
      <c r="GK10" s="1536"/>
      <c r="GL10" s="1536"/>
      <c r="GM10" s="1536">
        <v>46204</v>
      </c>
      <c r="GN10" s="1536"/>
      <c r="GO10" s="1536"/>
      <c r="GP10" s="1536"/>
      <c r="GQ10" s="1537" t="s">
        <v>906</v>
      </c>
      <c r="GR10" s="1538"/>
    </row>
    <row r="11" spans="1:208" ht="15.75" thickBot="1" x14ac:dyDescent="0.3">
      <c r="A11" s="1519"/>
      <c r="B11" s="1513"/>
      <c r="C11" s="1513"/>
      <c r="D11" s="1513"/>
      <c r="E11" s="1513"/>
      <c r="F11" s="1513"/>
      <c r="G11" s="1124">
        <v>1</v>
      </c>
      <c r="H11" s="1124">
        <v>2</v>
      </c>
      <c r="I11" s="1124">
        <v>3</v>
      </c>
      <c r="J11" s="1124">
        <v>4</v>
      </c>
      <c r="K11" s="1124">
        <v>1</v>
      </c>
      <c r="L11" s="1124">
        <v>2</v>
      </c>
      <c r="M11" s="1124">
        <v>3</v>
      </c>
      <c r="N11" s="1124">
        <v>4</v>
      </c>
      <c r="O11" s="1124">
        <v>1</v>
      </c>
      <c r="P11" s="1124">
        <v>2</v>
      </c>
      <c r="Q11" s="1124">
        <v>3</v>
      </c>
      <c r="R11" s="1124">
        <v>4</v>
      </c>
      <c r="S11" s="1124">
        <v>1</v>
      </c>
      <c r="T11" s="1124">
        <v>2</v>
      </c>
      <c r="U11" s="1124">
        <v>3</v>
      </c>
      <c r="V11" s="1124">
        <v>4</v>
      </c>
      <c r="W11" s="1124">
        <v>1</v>
      </c>
      <c r="X11" s="1124">
        <v>2</v>
      </c>
      <c r="Y11" s="1124">
        <v>3</v>
      </c>
      <c r="Z11" s="1124">
        <v>4</v>
      </c>
      <c r="AA11" s="1124">
        <v>1</v>
      </c>
      <c r="AB11" s="1124">
        <v>2</v>
      </c>
      <c r="AC11" s="1124">
        <v>3</v>
      </c>
      <c r="AD11" s="1124">
        <v>4</v>
      </c>
      <c r="AE11" s="1124">
        <v>1</v>
      </c>
      <c r="AF11" s="1124">
        <v>2</v>
      </c>
      <c r="AG11" s="1124">
        <v>3</v>
      </c>
      <c r="AH11" s="1124">
        <v>4</v>
      </c>
      <c r="AI11" s="1124">
        <v>1</v>
      </c>
      <c r="AJ11" s="1124">
        <v>2</v>
      </c>
      <c r="AK11" s="1124">
        <v>3</v>
      </c>
      <c r="AL11" s="1124">
        <v>4</v>
      </c>
      <c r="AM11" s="1124">
        <v>1</v>
      </c>
      <c r="AN11" s="1124">
        <v>2</v>
      </c>
      <c r="AO11" s="1124">
        <v>3</v>
      </c>
      <c r="AP11" s="1124">
        <v>4</v>
      </c>
      <c r="AQ11" s="1124">
        <v>1</v>
      </c>
      <c r="AR11" s="1124">
        <v>2</v>
      </c>
      <c r="AS11" s="1124">
        <v>3</v>
      </c>
      <c r="AT11" s="1124">
        <v>4</v>
      </c>
      <c r="AU11" s="1124">
        <v>1</v>
      </c>
      <c r="AV11" s="1124">
        <v>2</v>
      </c>
      <c r="AW11" s="1124">
        <v>3</v>
      </c>
      <c r="AX11" s="1124">
        <v>4</v>
      </c>
      <c r="AY11" s="1124">
        <v>1</v>
      </c>
      <c r="AZ11" s="1124">
        <v>2</v>
      </c>
      <c r="BA11" s="1124">
        <v>3</v>
      </c>
      <c r="BB11" s="1124">
        <v>4</v>
      </c>
      <c r="BC11" s="1124">
        <v>1</v>
      </c>
      <c r="BD11" s="1124">
        <v>2</v>
      </c>
      <c r="BE11" s="1124">
        <v>3</v>
      </c>
      <c r="BF11" s="1124">
        <v>4</v>
      </c>
      <c r="BG11" s="1124">
        <v>1</v>
      </c>
      <c r="BH11" s="1124">
        <v>2</v>
      </c>
      <c r="BI11" s="1124">
        <v>3</v>
      </c>
      <c r="BJ11" s="1124">
        <v>4</v>
      </c>
      <c r="BK11" s="1124">
        <v>1</v>
      </c>
      <c r="BL11" s="1124">
        <v>2</v>
      </c>
      <c r="BM11" s="1124">
        <v>3</v>
      </c>
      <c r="BN11" s="1124">
        <v>4</v>
      </c>
      <c r="BO11" s="1124">
        <v>1</v>
      </c>
      <c r="BP11" s="1124">
        <v>2</v>
      </c>
      <c r="BQ11" s="1124">
        <v>3</v>
      </c>
      <c r="BR11" s="1124">
        <v>4</v>
      </c>
      <c r="BS11" s="1124">
        <v>1</v>
      </c>
      <c r="BT11" s="1124">
        <v>2</v>
      </c>
      <c r="BU11" s="1124">
        <v>3</v>
      </c>
      <c r="BV11" s="1124">
        <v>4</v>
      </c>
      <c r="BW11" s="1124">
        <v>1</v>
      </c>
      <c r="BX11" s="1124">
        <v>2</v>
      </c>
      <c r="BY11" s="1124">
        <v>3</v>
      </c>
      <c r="BZ11" s="1124">
        <v>4</v>
      </c>
      <c r="CA11" s="1124">
        <v>1</v>
      </c>
      <c r="CB11" s="1124">
        <v>2</v>
      </c>
      <c r="CC11" s="1124">
        <v>3</v>
      </c>
      <c r="CD11" s="1124">
        <v>4</v>
      </c>
      <c r="CE11" s="1124">
        <v>1</v>
      </c>
      <c r="CF11" s="1124">
        <v>2</v>
      </c>
      <c r="CG11" s="1124">
        <v>3</v>
      </c>
      <c r="CH11" s="1124">
        <v>4</v>
      </c>
      <c r="CI11" s="1124">
        <v>1</v>
      </c>
      <c r="CJ11" s="1124">
        <v>2</v>
      </c>
      <c r="CK11" s="1124">
        <v>3</v>
      </c>
      <c r="CL11" s="1124">
        <v>4</v>
      </c>
      <c r="CM11" s="1124">
        <v>1</v>
      </c>
      <c r="CN11" s="1124">
        <v>2</v>
      </c>
      <c r="CO11" s="1124">
        <v>3</v>
      </c>
      <c r="CP11" s="1124">
        <v>4</v>
      </c>
      <c r="CQ11" s="1124">
        <v>1</v>
      </c>
      <c r="CR11" s="1124">
        <v>2</v>
      </c>
      <c r="CS11" s="1124">
        <v>3</v>
      </c>
      <c r="CT11" s="1124">
        <v>4</v>
      </c>
      <c r="CU11" s="1124">
        <v>1</v>
      </c>
      <c r="CV11" s="1124">
        <v>2</v>
      </c>
      <c r="CW11" s="1124">
        <v>3</v>
      </c>
      <c r="CX11" s="1124">
        <v>4</v>
      </c>
      <c r="CY11" s="1124">
        <v>1</v>
      </c>
      <c r="CZ11" s="1124">
        <v>2</v>
      </c>
      <c r="DA11" s="1124">
        <v>3</v>
      </c>
      <c r="DB11" s="1124">
        <v>4</v>
      </c>
      <c r="DC11" s="1124">
        <v>1</v>
      </c>
      <c r="DD11" s="1124">
        <v>2</v>
      </c>
      <c r="DE11" s="1124">
        <v>3</v>
      </c>
      <c r="DF11" s="1124">
        <v>4</v>
      </c>
      <c r="DG11" s="1124">
        <v>1</v>
      </c>
      <c r="DH11" s="1124">
        <v>2</v>
      </c>
      <c r="DI11" s="1124">
        <v>3</v>
      </c>
      <c r="DJ11" s="1124">
        <v>4</v>
      </c>
      <c r="DK11" s="1124">
        <v>1</v>
      </c>
      <c r="DL11" s="1124">
        <v>2</v>
      </c>
      <c r="DM11" s="1124">
        <v>3</v>
      </c>
      <c r="DN11" s="1124">
        <v>4</v>
      </c>
      <c r="DO11" s="1124">
        <v>1</v>
      </c>
      <c r="DP11" s="1124">
        <v>2</v>
      </c>
      <c r="DQ11" s="1124">
        <v>3</v>
      </c>
      <c r="DR11" s="1124">
        <v>4</v>
      </c>
      <c r="DS11" s="1124">
        <v>1</v>
      </c>
      <c r="DT11" s="1124">
        <v>2</v>
      </c>
      <c r="DU11" s="1124">
        <v>3</v>
      </c>
      <c r="DV11" s="1124">
        <v>4</v>
      </c>
      <c r="DW11" s="1124">
        <v>1</v>
      </c>
      <c r="DX11" s="1124">
        <v>2</v>
      </c>
      <c r="DY11" s="1124">
        <v>3</v>
      </c>
      <c r="DZ11" s="1124">
        <v>4</v>
      </c>
      <c r="EA11" s="1124">
        <f>DW11</f>
        <v>1</v>
      </c>
      <c r="EB11" s="1124">
        <f t="shared" ref="EB11:ED11" si="0">DX11</f>
        <v>2</v>
      </c>
      <c r="EC11" s="1124">
        <f t="shared" si="0"/>
        <v>3</v>
      </c>
      <c r="ED11" s="1124">
        <f t="shared" si="0"/>
        <v>4</v>
      </c>
      <c r="EE11" s="1124">
        <f>EA11</f>
        <v>1</v>
      </c>
      <c r="EF11" s="1124">
        <f t="shared" ref="EF11:GD11" si="1">EB11</f>
        <v>2</v>
      </c>
      <c r="EG11" s="1124">
        <f t="shared" si="1"/>
        <v>3</v>
      </c>
      <c r="EH11" s="1124">
        <f t="shared" si="1"/>
        <v>4</v>
      </c>
      <c r="EI11" s="1124">
        <f t="shared" si="1"/>
        <v>1</v>
      </c>
      <c r="EJ11" s="1124">
        <f t="shared" si="1"/>
        <v>2</v>
      </c>
      <c r="EK11" s="1124">
        <f t="shared" si="1"/>
        <v>3</v>
      </c>
      <c r="EL11" s="1124">
        <f t="shared" si="1"/>
        <v>4</v>
      </c>
      <c r="EM11" s="1124">
        <f t="shared" si="1"/>
        <v>1</v>
      </c>
      <c r="EN11" s="1124">
        <f t="shared" si="1"/>
        <v>2</v>
      </c>
      <c r="EO11" s="1124">
        <f t="shared" si="1"/>
        <v>3</v>
      </c>
      <c r="EP11" s="1124">
        <f t="shared" si="1"/>
        <v>4</v>
      </c>
      <c r="EQ11" s="1124">
        <f t="shared" si="1"/>
        <v>1</v>
      </c>
      <c r="ER11" s="1124">
        <f t="shared" si="1"/>
        <v>2</v>
      </c>
      <c r="ES11" s="1124">
        <f t="shared" si="1"/>
        <v>3</v>
      </c>
      <c r="ET11" s="1124">
        <f t="shared" si="1"/>
        <v>4</v>
      </c>
      <c r="EU11" s="1124">
        <f t="shared" si="1"/>
        <v>1</v>
      </c>
      <c r="EV11" s="1124">
        <f t="shared" si="1"/>
        <v>2</v>
      </c>
      <c r="EW11" s="1124">
        <f t="shared" si="1"/>
        <v>3</v>
      </c>
      <c r="EX11" s="1124">
        <f t="shared" si="1"/>
        <v>4</v>
      </c>
      <c r="EY11" s="1124">
        <f t="shared" si="1"/>
        <v>1</v>
      </c>
      <c r="EZ11" s="1124">
        <f t="shared" si="1"/>
        <v>2</v>
      </c>
      <c r="FA11" s="1124">
        <f t="shared" si="1"/>
        <v>3</v>
      </c>
      <c r="FB11" s="1124">
        <f t="shared" si="1"/>
        <v>4</v>
      </c>
      <c r="FC11" s="1124">
        <f t="shared" si="1"/>
        <v>1</v>
      </c>
      <c r="FD11" s="1124">
        <f t="shared" si="1"/>
        <v>2</v>
      </c>
      <c r="FE11" s="1124">
        <f t="shared" si="1"/>
        <v>3</v>
      </c>
      <c r="FF11" s="1124">
        <f t="shared" si="1"/>
        <v>4</v>
      </c>
      <c r="FG11" s="1124">
        <f t="shared" si="1"/>
        <v>1</v>
      </c>
      <c r="FH11" s="1124">
        <f t="shared" si="1"/>
        <v>2</v>
      </c>
      <c r="FI11" s="1124">
        <f t="shared" si="1"/>
        <v>3</v>
      </c>
      <c r="FJ11" s="1124">
        <f t="shared" si="1"/>
        <v>4</v>
      </c>
      <c r="FK11" s="1124">
        <f t="shared" si="1"/>
        <v>1</v>
      </c>
      <c r="FL11" s="1124">
        <f t="shared" si="1"/>
        <v>2</v>
      </c>
      <c r="FM11" s="1124">
        <f t="shared" si="1"/>
        <v>3</v>
      </c>
      <c r="FN11" s="1124">
        <f t="shared" si="1"/>
        <v>4</v>
      </c>
      <c r="FO11" s="1124">
        <f t="shared" si="1"/>
        <v>1</v>
      </c>
      <c r="FP11" s="1124">
        <f t="shared" si="1"/>
        <v>2</v>
      </c>
      <c r="FQ11" s="1124">
        <f t="shared" si="1"/>
        <v>3</v>
      </c>
      <c r="FR11" s="1124">
        <f t="shared" si="1"/>
        <v>4</v>
      </c>
      <c r="FS11" s="1124">
        <f t="shared" si="1"/>
        <v>1</v>
      </c>
      <c r="FT11" s="1124">
        <f t="shared" si="1"/>
        <v>2</v>
      </c>
      <c r="FU11" s="1124">
        <f t="shared" si="1"/>
        <v>3</v>
      </c>
      <c r="FV11" s="1124">
        <f t="shared" si="1"/>
        <v>4</v>
      </c>
      <c r="FW11" s="1124">
        <f t="shared" si="1"/>
        <v>1</v>
      </c>
      <c r="FX11" s="1124">
        <f t="shared" si="1"/>
        <v>2</v>
      </c>
      <c r="FY11" s="1124">
        <f t="shared" si="1"/>
        <v>3</v>
      </c>
      <c r="FZ11" s="1124">
        <f t="shared" si="1"/>
        <v>4</v>
      </c>
      <c r="GA11" s="1124">
        <f t="shared" si="1"/>
        <v>1</v>
      </c>
      <c r="GB11" s="1124">
        <f t="shared" si="1"/>
        <v>2</v>
      </c>
      <c r="GC11" s="1124">
        <f t="shared" si="1"/>
        <v>3</v>
      </c>
      <c r="GD11" s="1124">
        <f t="shared" si="1"/>
        <v>4</v>
      </c>
      <c r="GE11" s="1124">
        <f t="shared" ref="GE11:GL11" si="2">FW11</f>
        <v>1</v>
      </c>
      <c r="GF11" s="1124">
        <f t="shared" si="2"/>
        <v>2</v>
      </c>
      <c r="GG11" s="1124">
        <f t="shared" si="2"/>
        <v>3</v>
      </c>
      <c r="GH11" s="1124">
        <f t="shared" si="2"/>
        <v>4</v>
      </c>
      <c r="GI11" s="1124">
        <f t="shared" si="2"/>
        <v>1</v>
      </c>
      <c r="GJ11" s="1124">
        <f t="shared" si="2"/>
        <v>2</v>
      </c>
      <c r="GK11" s="1124">
        <f t="shared" si="2"/>
        <v>3</v>
      </c>
      <c r="GL11" s="1124">
        <f t="shared" si="2"/>
        <v>4</v>
      </c>
      <c r="GM11" s="1124">
        <v>1</v>
      </c>
      <c r="GN11" s="1124">
        <v>2</v>
      </c>
      <c r="GO11" s="1124">
        <v>3</v>
      </c>
      <c r="GP11" s="1124">
        <v>4</v>
      </c>
      <c r="GQ11" s="1539"/>
      <c r="GR11" s="1540"/>
    </row>
    <row r="12" spans="1:208" hidden="1" x14ac:dyDescent="0.25">
      <c r="A12" s="1519">
        <v>1</v>
      </c>
      <c r="B12" s="1541" t="s">
        <v>907</v>
      </c>
      <c r="C12" s="1513"/>
      <c r="D12" s="1513"/>
      <c r="E12" s="1125"/>
      <c r="F12" s="1525">
        <v>303374.46999999997</v>
      </c>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5"/>
      <c r="AC12" s="1125"/>
      <c r="AD12" s="1125"/>
      <c r="AE12" s="1125"/>
      <c r="AF12" s="1125"/>
      <c r="AG12" s="1125"/>
      <c r="AH12" s="1125"/>
      <c r="AI12" s="1125"/>
      <c r="AJ12" s="1125"/>
      <c r="AK12" s="1125"/>
      <c r="AL12" s="1125"/>
      <c r="AM12" s="1125"/>
      <c r="AN12" s="1125"/>
      <c r="AO12" s="1125"/>
      <c r="AP12" s="1125"/>
      <c r="AQ12" s="1125"/>
      <c r="AR12" s="1125"/>
      <c r="AS12" s="1125"/>
      <c r="AT12" s="1125"/>
      <c r="AU12" s="1125"/>
      <c r="AV12" s="1125"/>
      <c r="AW12" s="1125"/>
      <c r="AX12" s="1125"/>
      <c r="AY12" s="1125"/>
      <c r="AZ12" s="1125"/>
      <c r="BA12" s="1125"/>
      <c r="BB12" s="1125"/>
      <c r="BC12" s="1125"/>
      <c r="BD12" s="1125"/>
      <c r="BE12" s="1125"/>
      <c r="BF12" s="1125"/>
      <c r="BG12" s="1125"/>
      <c r="BH12" s="1125"/>
      <c r="BI12" s="1125"/>
      <c r="BJ12" s="1125"/>
      <c r="BK12" s="1125"/>
      <c r="BL12" s="1125"/>
      <c r="BM12" s="1125"/>
      <c r="BN12" s="1125"/>
      <c r="BO12" s="1125"/>
      <c r="BP12" s="1125"/>
      <c r="BQ12" s="1125"/>
      <c r="BR12" s="1125"/>
      <c r="BS12" s="1125"/>
      <c r="BT12" s="1125"/>
      <c r="BU12" s="1125"/>
      <c r="BV12" s="1125"/>
      <c r="BW12" s="1125"/>
      <c r="BX12" s="1125"/>
      <c r="BY12" s="1125"/>
      <c r="BZ12" s="1125"/>
      <c r="CA12" s="1125"/>
      <c r="CB12" s="1125"/>
      <c r="CC12" s="1125"/>
      <c r="CD12" s="1125"/>
      <c r="CE12" s="1125"/>
      <c r="CF12" s="1125"/>
      <c r="CG12" s="1125"/>
      <c r="CH12" s="1125"/>
      <c r="CI12" s="1125"/>
      <c r="CJ12" s="1125"/>
      <c r="CK12" s="1125"/>
      <c r="CL12" s="1125"/>
      <c r="CM12" s="1125"/>
      <c r="CN12" s="1125"/>
      <c r="CO12" s="1125"/>
      <c r="CP12" s="1125"/>
      <c r="CQ12" s="1125"/>
      <c r="CR12" s="1125"/>
      <c r="CS12" s="1125"/>
      <c r="CT12" s="1125"/>
      <c r="CU12" s="1125"/>
      <c r="CV12" s="1125"/>
      <c r="CW12" s="1125"/>
      <c r="CX12" s="1125"/>
      <c r="CY12" s="1125"/>
      <c r="CZ12" s="1125"/>
      <c r="DA12" s="1125"/>
      <c r="DB12" s="1125"/>
      <c r="DC12" s="1125"/>
      <c r="DD12" s="1125"/>
      <c r="DE12" s="1125"/>
      <c r="DF12" s="1125"/>
      <c r="DG12" s="1125"/>
      <c r="DH12" s="1125"/>
      <c r="DI12" s="1125"/>
      <c r="DJ12" s="1125"/>
      <c r="DK12" s="1125"/>
      <c r="DL12" s="1125"/>
      <c r="DM12" s="1125"/>
      <c r="DN12" s="1125"/>
      <c r="DO12" s="1125"/>
      <c r="DP12" s="1125"/>
      <c r="DQ12" s="1125"/>
      <c r="DR12" s="1125"/>
      <c r="DS12" s="1125"/>
      <c r="DT12" s="1125"/>
      <c r="DU12" s="1125"/>
      <c r="DV12" s="1125"/>
      <c r="DW12" s="1125"/>
      <c r="DX12" s="1125"/>
      <c r="DY12" s="1125"/>
      <c r="DZ12" s="1125"/>
      <c r="EA12" s="1125"/>
      <c r="EB12" s="1125"/>
      <c r="EC12" s="1125"/>
      <c r="ED12" s="1125"/>
      <c r="EE12" s="1125"/>
      <c r="EF12" s="1125"/>
      <c r="EG12" s="1125"/>
      <c r="EH12" s="1125"/>
      <c r="EI12" s="1125"/>
      <c r="EJ12" s="1125"/>
      <c r="EK12" s="1125"/>
      <c r="EL12" s="1125"/>
      <c r="EM12" s="1125"/>
      <c r="EN12" s="1125"/>
      <c r="EO12" s="1125"/>
      <c r="EP12" s="1125"/>
      <c r="EQ12" s="1125"/>
      <c r="ER12" s="1125"/>
      <c r="ES12" s="1125"/>
      <c r="ET12" s="1125"/>
      <c r="EU12" s="1125"/>
      <c r="EV12" s="1125"/>
      <c r="EW12" s="1125"/>
      <c r="EX12" s="1125"/>
      <c r="EY12" s="1125"/>
      <c r="EZ12" s="1125"/>
      <c r="FA12" s="1125"/>
      <c r="FB12" s="1125"/>
      <c r="FC12" s="1125"/>
      <c r="FD12" s="1125"/>
      <c r="FE12" s="1125"/>
      <c r="FF12" s="1125"/>
      <c r="FG12" s="1125"/>
      <c r="FH12" s="1125"/>
      <c r="FI12" s="1125"/>
      <c r="FJ12" s="1125"/>
      <c r="FK12" s="1125"/>
      <c r="FL12" s="1125"/>
      <c r="FM12" s="1125"/>
      <c r="FN12" s="1125"/>
      <c r="FO12" s="1125"/>
      <c r="FP12" s="1125"/>
      <c r="FQ12" s="1125"/>
      <c r="FR12" s="1125"/>
      <c r="FS12" s="1125"/>
      <c r="FT12" s="1125"/>
      <c r="FU12" s="1125"/>
      <c r="FV12" s="1125"/>
      <c r="FW12" s="1125"/>
      <c r="FX12" s="1125"/>
      <c r="FY12" s="1125"/>
      <c r="FZ12" s="1125"/>
      <c r="GA12" s="1125"/>
      <c r="GB12" s="1125"/>
      <c r="GC12" s="1125"/>
      <c r="GD12" s="1125"/>
      <c r="GE12" s="1125"/>
      <c r="GF12" s="1125"/>
      <c r="GG12" s="1125"/>
      <c r="GH12" s="1125"/>
      <c r="GI12" s="1125"/>
      <c r="GJ12" s="1125"/>
      <c r="GK12" s="1125"/>
      <c r="GL12" s="1125"/>
      <c r="GM12" s="1125"/>
      <c r="GN12" s="1125"/>
      <c r="GO12" s="1125"/>
      <c r="GP12" s="1125"/>
      <c r="GQ12" s="1532"/>
      <c r="GR12" s="1509"/>
    </row>
    <row r="13" spans="1:208" hidden="1" x14ac:dyDescent="0.25">
      <c r="A13" s="1519"/>
      <c r="B13" s="1541"/>
      <c r="C13" s="1513"/>
      <c r="D13" s="1513"/>
      <c r="E13" s="1126" t="s">
        <v>908</v>
      </c>
      <c r="F13" s="1525"/>
      <c r="G13" s="1527">
        <v>0.63190000000000002</v>
      </c>
      <c r="H13" s="1527"/>
      <c r="I13" s="1527"/>
      <c r="J13" s="1527"/>
      <c r="K13" s="1504">
        <f>((K14*100)/F12)/100</f>
        <v>2.2251872413654322E-2</v>
      </c>
      <c r="L13" s="1505"/>
      <c r="M13" s="1505"/>
      <c r="N13" s="1505"/>
      <c r="O13" s="1504">
        <f>((O14*100)/F12)/100</f>
        <v>1.1741100033895405E-2</v>
      </c>
      <c r="P13" s="1505"/>
      <c r="Q13" s="1505"/>
      <c r="R13" s="1505"/>
      <c r="S13" s="1504">
        <f>((S14*100)/$F$12)/100</f>
        <v>1.1741100033895405E-2</v>
      </c>
      <c r="T13" s="1505"/>
      <c r="U13" s="1505"/>
      <c r="V13" s="1505"/>
      <c r="W13" s="1504">
        <f>((W14*100)/$F12)/100</f>
        <v>1.1741100033895405E-2</v>
      </c>
      <c r="X13" s="1505"/>
      <c r="Y13" s="1505"/>
      <c r="Z13" s="1505"/>
      <c r="AA13" s="1504">
        <f t="shared" ref="AA13" si="3">((AA14*100)/$F$12)/100</f>
        <v>1.1741100033895405E-2</v>
      </c>
      <c r="AB13" s="1505"/>
      <c r="AC13" s="1505"/>
      <c r="AD13" s="1505"/>
      <c r="AE13" s="1504">
        <f t="shared" ref="AE13" si="4">((AE14*100)/$F$12)/100</f>
        <v>1.1741100033895405E-2</v>
      </c>
      <c r="AF13" s="1505"/>
      <c r="AG13" s="1505"/>
      <c r="AH13" s="1505"/>
      <c r="AI13" s="1504">
        <f t="shared" ref="AI13" si="5">((AI14*100)/$F$12)/100</f>
        <v>1.1741100033895405E-2</v>
      </c>
      <c r="AJ13" s="1505"/>
      <c r="AK13" s="1505"/>
      <c r="AL13" s="1505"/>
      <c r="AM13" s="1504">
        <f t="shared" ref="AM13" si="6">((AM14*100)/$F$12)/100</f>
        <v>1.1741100033895405E-2</v>
      </c>
      <c r="AN13" s="1505"/>
      <c r="AO13" s="1505"/>
      <c r="AP13" s="1505"/>
      <c r="AQ13" s="1504">
        <f t="shared" ref="AQ13" si="7">((AQ14*100)/$F$12)/100</f>
        <v>0</v>
      </c>
      <c r="AR13" s="1505"/>
      <c r="AS13" s="1505"/>
      <c r="AT13" s="1505"/>
      <c r="AU13" s="1504">
        <f t="shared" ref="AU13" si="8">((AU14*100)/$F$12)/100</f>
        <v>0</v>
      </c>
      <c r="AV13" s="1505"/>
      <c r="AW13" s="1505"/>
      <c r="AX13" s="1505"/>
      <c r="AY13" s="1504">
        <f t="shared" ref="AY13" si="9">((AY14*100)/$F$12)/100</f>
        <v>0</v>
      </c>
      <c r="AZ13" s="1505"/>
      <c r="BA13" s="1505"/>
      <c r="BB13" s="1505"/>
      <c r="BC13" s="1504">
        <f t="shared" ref="BC13" si="10">((BC14*100)/$F$12)/100</f>
        <v>0</v>
      </c>
      <c r="BD13" s="1505"/>
      <c r="BE13" s="1505"/>
      <c r="BF13" s="1505"/>
      <c r="BG13" s="1504">
        <f t="shared" ref="BG13" si="11">((BG14*100)/$F$12)/100</f>
        <v>0</v>
      </c>
      <c r="BH13" s="1505"/>
      <c r="BI13" s="1505"/>
      <c r="BJ13" s="1505"/>
      <c r="BK13" s="1504">
        <f t="shared" ref="BK13" si="12">((BK14*100)/$F$12)/100</f>
        <v>0</v>
      </c>
      <c r="BL13" s="1505"/>
      <c r="BM13" s="1505"/>
      <c r="BN13" s="1505"/>
      <c r="BO13" s="1504">
        <f t="shared" ref="BO13" si="13">((BO14*100)/$F$12)/100</f>
        <v>0</v>
      </c>
      <c r="BP13" s="1505"/>
      <c r="BQ13" s="1505"/>
      <c r="BR13" s="1505"/>
      <c r="BS13" s="1504">
        <f t="shared" ref="BS13" si="14">((BS14*100)/$F$12)/100</f>
        <v>0</v>
      </c>
      <c r="BT13" s="1505"/>
      <c r="BU13" s="1505"/>
      <c r="BV13" s="1505"/>
      <c r="BW13" s="1504">
        <f t="shared" ref="BW13" si="15">((BW14*100)/$F$12)/100</f>
        <v>3.0653634104412287E-2</v>
      </c>
      <c r="BX13" s="1505"/>
      <c r="BY13" s="1505"/>
      <c r="BZ13" s="1505"/>
      <c r="CA13" s="1504">
        <f t="shared" ref="CA13" si="16">((CA14*100)/$F$12)/100</f>
        <v>0.16535224602122917</v>
      </c>
      <c r="CB13" s="1505"/>
      <c r="CC13" s="1505"/>
      <c r="CD13" s="1505"/>
      <c r="CE13" s="1504">
        <f t="shared" ref="CE13" si="17">((CE14*100)/$F$12)/100</f>
        <v>8.545016988410396E-3</v>
      </c>
      <c r="CF13" s="1505"/>
      <c r="CG13" s="1505"/>
      <c r="CH13" s="1505"/>
      <c r="CI13" s="1504">
        <f t="shared" ref="CI13" si="18">((CI14*100)/$F$12)/100</f>
        <v>8.545016988410396E-3</v>
      </c>
      <c r="CJ13" s="1505"/>
      <c r="CK13" s="1505"/>
      <c r="CL13" s="1505"/>
      <c r="CM13" s="1504">
        <f t="shared" ref="CM13" si="19">((CM14*100)/$F$12)/100</f>
        <v>8.545016988410396E-3</v>
      </c>
      <c r="CN13" s="1505"/>
      <c r="CO13" s="1505"/>
      <c r="CP13" s="1505"/>
      <c r="CQ13" s="1504">
        <f t="shared" ref="CQ13" si="20">((CQ14*100)/$F$12)/100</f>
        <v>8.545016988410396E-3</v>
      </c>
      <c r="CR13" s="1505"/>
      <c r="CS13" s="1505"/>
      <c r="CT13" s="1505"/>
      <c r="CU13" s="1504">
        <f t="shared" ref="CU13" si="21">((CU14*100)/$F$12)/100</f>
        <v>8.545016988410396E-3</v>
      </c>
      <c r="CV13" s="1505"/>
      <c r="CW13" s="1505"/>
      <c r="CX13" s="1505"/>
      <c r="CY13" s="1504">
        <f t="shared" ref="CY13" si="22">((CY14*100)/$F$12)/100</f>
        <v>3.091759830680545E-2</v>
      </c>
      <c r="CZ13" s="1505"/>
      <c r="DA13" s="1505"/>
      <c r="DB13" s="1505"/>
      <c r="DC13" s="1504">
        <f t="shared" ref="DC13" si="23">((DC14*100)/$F$12)/100</f>
        <v>1.1741100033895405E-2</v>
      </c>
      <c r="DD13" s="1505"/>
      <c r="DE13" s="1505"/>
      <c r="DF13" s="1505"/>
      <c r="DG13" s="1504">
        <f t="shared" ref="DG13" si="24">((DG14*100)/$F$12)/100</f>
        <v>1.1741100033895405E-2</v>
      </c>
      <c r="DH13" s="1505"/>
      <c r="DI13" s="1505"/>
      <c r="DJ13" s="1505"/>
      <c r="DK13" s="1504">
        <f t="shared" ref="DK13" si="25">((DK14*100)/$F$12)/100</f>
        <v>1.1741100033895405E-2</v>
      </c>
      <c r="DL13" s="1505"/>
      <c r="DM13" s="1505"/>
      <c r="DN13" s="1505"/>
      <c r="DO13" s="1504">
        <f t="shared" ref="DO13" si="26">((DO14*100)/$F$12)/100</f>
        <v>1.1741100033895405E-2</v>
      </c>
      <c r="DP13" s="1505"/>
      <c r="DQ13" s="1505"/>
      <c r="DR13" s="1505"/>
      <c r="DS13" s="1504">
        <f t="shared" ref="DS13" si="27">((DS14*100)/$F$12)/100</f>
        <v>1.1741100033895405E-2</v>
      </c>
      <c r="DT13" s="1505"/>
      <c r="DU13" s="1505"/>
      <c r="DV13" s="1505"/>
      <c r="DW13" s="1504">
        <f t="shared" ref="DW13" si="28">((DW14*100)/$F$12)/100</f>
        <v>1.1741100033895405E-2</v>
      </c>
      <c r="DX13" s="1505"/>
      <c r="DY13" s="1505"/>
      <c r="DZ13" s="1505"/>
      <c r="EA13" s="1504">
        <f t="shared" ref="EA13" si="29">((EA14*100)/$F$12)/100</f>
        <v>1.9710541939424599E-2</v>
      </c>
      <c r="EB13" s="1505"/>
      <c r="EC13" s="1505"/>
      <c r="ED13" s="1505"/>
      <c r="EE13" s="1504">
        <f t="shared" ref="EE13" si="30">((EE14*100)/$F$12)/100</f>
        <v>1.9710541939424599E-2</v>
      </c>
      <c r="EF13" s="1505"/>
      <c r="EG13" s="1505"/>
      <c r="EH13" s="1505"/>
      <c r="EI13" s="1504">
        <f t="shared" ref="EI13" si="31">((EI14*100)/$F$12)/100</f>
        <v>1.9710541939424599E-2</v>
      </c>
      <c r="EJ13" s="1505"/>
      <c r="EK13" s="1505"/>
      <c r="EL13" s="1505"/>
      <c r="EM13" s="1504">
        <f t="shared" ref="EM13" si="32">((EM14*100)/$F$12)/100</f>
        <v>1.9710541939424599E-2</v>
      </c>
      <c r="EN13" s="1505"/>
      <c r="EO13" s="1505"/>
      <c r="EP13" s="1505"/>
      <c r="EQ13" s="1504">
        <f t="shared" ref="EQ13" si="33">((EQ14*100)/$F$12)/100</f>
        <v>1.9710541939424599E-2</v>
      </c>
      <c r="ER13" s="1505"/>
      <c r="ES13" s="1505"/>
      <c r="ET13" s="1505"/>
      <c r="EU13" s="1504">
        <f t="shared" ref="EU13" si="34">((EU14*100)/$F$12)/100</f>
        <v>1.9710541939424599E-2</v>
      </c>
      <c r="EV13" s="1505"/>
      <c r="EW13" s="1505"/>
      <c r="EX13" s="1505"/>
      <c r="EY13" s="1504">
        <f t="shared" ref="EY13" si="35">((EY14*100)/$F$12)/100</f>
        <v>1.9710541939424599E-2</v>
      </c>
      <c r="EZ13" s="1505"/>
      <c r="FA13" s="1505"/>
      <c r="FB13" s="1505"/>
      <c r="FC13" s="1504">
        <f t="shared" ref="FC13" si="36">((FC14*100)/$F$12)/100</f>
        <v>1.9710541939424599E-2</v>
      </c>
      <c r="FD13" s="1505"/>
      <c r="FE13" s="1505"/>
      <c r="FF13" s="1505"/>
      <c r="FG13" s="1504">
        <f t="shared" ref="FG13" si="37">((FG14*100)/$F$12)/100</f>
        <v>1.9710541939424599E-2</v>
      </c>
      <c r="FH13" s="1505"/>
      <c r="FI13" s="1505"/>
      <c r="FJ13" s="1505"/>
      <c r="FK13" s="1504">
        <f t="shared" ref="FK13" si="38">((FK14*100)/$F$12)/100</f>
        <v>1.9710541939424599E-2</v>
      </c>
      <c r="FL13" s="1505"/>
      <c r="FM13" s="1505"/>
      <c r="FN13" s="1505"/>
      <c r="FO13" s="1504">
        <f t="shared" ref="FO13" si="39">((FO14*100)/$F$12)/100</f>
        <v>1.9710541939424599E-2</v>
      </c>
      <c r="FP13" s="1505"/>
      <c r="FQ13" s="1505"/>
      <c r="FR13" s="1505"/>
      <c r="FS13" s="1504">
        <f t="shared" ref="FS13" si="40">((FS14*100)/$F$12)/100</f>
        <v>1.9710541939424599E-2</v>
      </c>
      <c r="FT13" s="1505"/>
      <c r="FU13" s="1505"/>
      <c r="FV13" s="1505"/>
      <c r="FW13" s="1504">
        <f t="shared" ref="FW13" si="41">((FW14*100)/$F$12)/100</f>
        <v>1.9710541939424599E-2</v>
      </c>
      <c r="FX13" s="1505"/>
      <c r="FY13" s="1505"/>
      <c r="FZ13" s="1505"/>
      <c r="GA13" s="1504">
        <f t="shared" ref="GA13" si="42">((GA14*100)/$F$12)/100</f>
        <v>9.8552709697122994E-3</v>
      </c>
      <c r="GB13" s="1505"/>
      <c r="GC13" s="1505"/>
      <c r="GD13" s="1505"/>
      <c r="GE13" s="1504">
        <f t="shared" ref="GE13" si="43">((GE14*100)/$F$12)/100</f>
        <v>9.8552709697122994E-3</v>
      </c>
      <c r="GF13" s="1505"/>
      <c r="GG13" s="1505"/>
      <c r="GH13" s="1505"/>
      <c r="GI13" s="1504">
        <f t="shared" ref="GI13" si="44">((GI14*100)/$F$12)/100</f>
        <v>1.5330190770502204E-2</v>
      </c>
      <c r="GJ13" s="1505"/>
      <c r="GK13" s="1505"/>
      <c r="GL13" s="1505"/>
      <c r="GM13" s="1504">
        <f t="shared" ref="GM13" si="45">((GM14*100)/$F$12)/100</f>
        <v>1.5330421508441357E-2</v>
      </c>
      <c r="GN13" s="1505"/>
      <c r="GO13" s="1505"/>
      <c r="GP13" s="1505"/>
      <c r="GQ13" s="1498">
        <f>((GQ14*100)/F12)/100</f>
        <v>0.30660819943088796</v>
      </c>
      <c r="GR13" s="1517"/>
    </row>
    <row r="14" spans="1:208" hidden="1" x14ac:dyDescent="0.25">
      <c r="A14" s="1519"/>
      <c r="B14" s="1541"/>
      <c r="C14" s="1513"/>
      <c r="D14" s="1513"/>
      <c r="E14" s="1125" t="s">
        <v>909</v>
      </c>
      <c r="F14" s="1525"/>
      <c r="G14" s="1515">
        <v>75496.81</v>
      </c>
      <c r="H14" s="1515"/>
      <c r="I14" s="1515"/>
      <c r="J14" s="1515"/>
      <c r="K14" s="1515">
        <v>6750.65</v>
      </c>
      <c r="L14" s="1515"/>
      <c r="M14" s="1515"/>
      <c r="N14" s="1515"/>
      <c r="O14" s="1515">
        <v>3561.95</v>
      </c>
      <c r="P14" s="1515"/>
      <c r="Q14" s="1515"/>
      <c r="R14" s="1515"/>
      <c r="S14" s="1515">
        <v>3561.95</v>
      </c>
      <c r="T14" s="1515"/>
      <c r="U14" s="1515"/>
      <c r="V14" s="1515"/>
      <c r="W14" s="1515">
        <v>3561.95</v>
      </c>
      <c r="X14" s="1515"/>
      <c r="Y14" s="1515"/>
      <c r="Z14" s="1515"/>
      <c r="AA14" s="1533">
        <v>3561.95</v>
      </c>
      <c r="AB14" s="1534"/>
      <c r="AC14" s="1534"/>
      <c r="AD14" s="1535"/>
      <c r="AE14" s="1533">
        <v>3561.95</v>
      </c>
      <c r="AF14" s="1534"/>
      <c r="AG14" s="1534"/>
      <c r="AH14" s="1535"/>
      <c r="AI14" s="1515">
        <v>3561.95</v>
      </c>
      <c r="AJ14" s="1515"/>
      <c r="AK14" s="1515"/>
      <c r="AL14" s="1515"/>
      <c r="AM14" s="1515">
        <v>3561.95</v>
      </c>
      <c r="AN14" s="1515"/>
      <c r="AO14" s="1515"/>
      <c r="AP14" s="1515"/>
      <c r="AQ14" s="1515">
        <v>0</v>
      </c>
      <c r="AR14" s="1515"/>
      <c r="AS14" s="1515"/>
      <c r="AT14" s="1515"/>
      <c r="AU14" s="1515">
        <v>0</v>
      </c>
      <c r="AV14" s="1515"/>
      <c r="AW14" s="1515"/>
      <c r="AX14" s="1515"/>
      <c r="AY14" s="1515">
        <v>0</v>
      </c>
      <c r="AZ14" s="1515"/>
      <c r="BA14" s="1515"/>
      <c r="BB14" s="1515"/>
      <c r="BC14" s="1515">
        <v>0</v>
      </c>
      <c r="BD14" s="1515"/>
      <c r="BE14" s="1515"/>
      <c r="BF14" s="1515"/>
      <c r="BG14" s="1515">
        <v>0</v>
      </c>
      <c r="BH14" s="1515"/>
      <c r="BI14" s="1515"/>
      <c r="BJ14" s="1515"/>
      <c r="BK14" s="1515">
        <v>0</v>
      </c>
      <c r="BL14" s="1515"/>
      <c r="BM14" s="1515"/>
      <c r="BN14" s="1515"/>
      <c r="BO14" s="1515">
        <v>0</v>
      </c>
      <c r="BP14" s="1515"/>
      <c r="BQ14" s="1515"/>
      <c r="BR14" s="1515"/>
      <c r="BS14" s="1515">
        <v>0</v>
      </c>
      <c r="BT14" s="1515"/>
      <c r="BU14" s="1515"/>
      <c r="BV14" s="1515"/>
      <c r="BW14" s="1515">
        <v>9299.5300000000007</v>
      </c>
      <c r="BX14" s="1515"/>
      <c r="BY14" s="1515"/>
      <c r="BZ14" s="1515"/>
      <c r="CA14" s="1515">
        <v>50163.65</v>
      </c>
      <c r="CB14" s="1515"/>
      <c r="CC14" s="1515"/>
      <c r="CD14" s="1515"/>
      <c r="CE14" s="1515">
        <v>2592.34</v>
      </c>
      <c r="CF14" s="1515"/>
      <c r="CG14" s="1515"/>
      <c r="CH14" s="1515"/>
      <c r="CI14" s="1515">
        <v>2592.34</v>
      </c>
      <c r="CJ14" s="1515"/>
      <c r="CK14" s="1515"/>
      <c r="CL14" s="1515"/>
      <c r="CM14" s="1515">
        <v>2592.34</v>
      </c>
      <c r="CN14" s="1515"/>
      <c r="CO14" s="1515"/>
      <c r="CP14" s="1515"/>
      <c r="CQ14" s="1515">
        <v>2592.34</v>
      </c>
      <c r="CR14" s="1515"/>
      <c r="CS14" s="1515"/>
      <c r="CT14" s="1515"/>
      <c r="CU14" s="1515">
        <v>2592.34</v>
      </c>
      <c r="CV14" s="1515"/>
      <c r="CW14" s="1515"/>
      <c r="CX14" s="1515"/>
      <c r="CY14" s="1515">
        <v>9379.61</v>
      </c>
      <c r="CZ14" s="1515"/>
      <c r="DA14" s="1515"/>
      <c r="DB14" s="1515"/>
      <c r="DC14" s="1515">
        <v>3561.95</v>
      </c>
      <c r="DD14" s="1515"/>
      <c r="DE14" s="1515"/>
      <c r="DF14" s="1515"/>
      <c r="DG14" s="1515">
        <v>3561.95</v>
      </c>
      <c r="DH14" s="1515"/>
      <c r="DI14" s="1515"/>
      <c r="DJ14" s="1515"/>
      <c r="DK14" s="1515">
        <v>3561.95</v>
      </c>
      <c r="DL14" s="1515"/>
      <c r="DM14" s="1515"/>
      <c r="DN14" s="1515"/>
      <c r="DO14" s="1515">
        <v>3561.95</v>
      </c>
      <c r="DP14" s="1515"/>
      <c r="DQ14" s="1515"/>
      <c r="DR14" s="1515"/>
      <c r="DS14" s="1515">
        <v>3561.95</v>
      </c>
      <c r="DT14" s="1515"/>
      <c r="DU14" s="1515"/>
      <c r="DV14" s="1515"/>
      <c r="DW14" s="1515">
        <v>3561.95</v>
      </c>
      <c r="DX14" s="1515"/>
      <c r="DY14" s="1515"/>
      <c r="DZ14" s="1515"/>
      <c r="EA14" s="1515">
        <f>$GV14</f>
        <v>5979.6752142857094</v>
      </c>
      <c r="EB14" s="1515"/>
      <c r="EC14" s="1515"/>
      <c r="ED14" s="1515"/>
      <c r="EE14" s="1515">
        <f t="shared" ref="EE14" si="46">$GV14</f>
        <v>5979.6752142857094</v>
      </c>
      <c r="EF14" s="1515"/>
      <c r="EG14" s="1515"/>
      <c r="EH14" s="1515"/>
      <c r="EI14" s="1515">
        <f t="shared" ref="EI14" si="47">$GV14</f>
        <v>5979.6752142857094</v>
      </c>
      <c r="EJ14" s="1515"/>
      <c r="EK14" s="1515"/>
      <c r="EL14" s="1515"/>
      <c r="EM14" s="1515">
        <f t="shared" ref="EM14" si="48">$GV14</f>
        <v>5979.6752142857094</v>
      </c>
      <c r="EN14" s="1515"/>
      <c r="EO14" s="1515"/>
      <c r="EP14" s="1515"/>
      <c r="EQ14" s="1515">
        <f t="shared" ref="EQ14" si="49">$GV14</f>
        <v>5979.6752142857094</v>
      </c>
      <c r="ER14" s="1515"/>
      <c r="ES14" s="1515"/>
      <c r="ET14" s="1515"/>
      <c r="EU14" s="1515">
        <f t="shared" ref="EU14" si="50">$GV14</f>
        <v>5979.6752142857094</v>
      </c>
      <c r="EV14" s="1515"/>
      <c r="EW14" s="1515"/>
      <c r="EX14" s="1515"/>
      <c r="EY14" s="1515">
        <f t="shared" ref="EY14" si="51">$GV14</f>
        <v>5979.6752142857094</v>
      </c>
      <c r="EZ14" s="1515"/>
      <c r="FA14" s="1515"/>
      <c r="FB14" s="1515"/>
      <c r="FC14" s="1515">
        <f t="shared" ref="FC14" si="52">$GV14</f>
        <v>5979.6752142857094</v>
      </c>
      <c r="FD14" s="1515"/>
      <c r="FE14" s="1515"/>
      <c r="FF14" s="1515"/>
      <c r="FG14" s="1515">
        <f t="shared" ref="FG14" si="53">$GV14</f>
        <v>5979.6752142857094</v>
      </c>
      <c r="FH14" s="1515"/>
      <c r="FI14" s="1515"/>
      <c r="FJ14" s="1515"/>
      <c r="FK14" s="1515">
        <f t="shared" ref="FK14" si="54">$GV14</f>
        <v>5979.6752142857094</v>
      </c>
      <c r="FL14" s="1515"/>
      <c r="FM14" s="1515"/>
      <c r="FN14" s="1515"/>
      <c r="FO14" s="1515">
        <f t="shared" ref="FO14" si="55">$GV14</f>
        <v>5979.6752142857094</v>
      </c>
      <c r="FP14" s="1515"/>
      <c r="FQ14" s="1515"/>
      <c r="FR14" s="1515"/>
      <c r="FS14" s="1515">
        <f t="shared" ref="FS14" si="56">$GV14</f>
        <v>5979.6752142857094</v>
      </c>
      <c r="FT14" s="1515"/>
      <c r="FU14" s="1515"/>
      <c r="FV14" s="1515"/>
      <c r="FW14" s="1515">
        <f t="shared" ref="FW14" si="57">$GV14</f>
        <v>5979.6752142857094</v>
      </c>
      <c r="FX14" s="1515"/>
      <c r="FY14" s="1515"/>
      <c r="FZ14" s="1515"/>
      <c r="GA14" s="1515">
        <f>GV14/2</f>
        <v>2989.8376071428547</v>
      </c>
      <c r="GB14" s="1515"/>
      <c r="GC14" s="1515"/>
      <c r="GD14" s="1515"/>
      <c r="GE14" s="1515">
        <f>GV14/2</f>
        <v>2989.8376071428547</v>
      </c>
      <c r="GF14" s="1515"/>
      <c r="GG14" s="1515"/>
      <c r="GH14" s="1515"/>
      <c r="GI14" s="1515">
        <f>$GU14-0.07</f>
        <v>4650.7884999999969</v>
      </c>
      <c r="GJ14" s="1515"/>
      <c r="GK14" s="1515"/>
      <c r="GL14" s="1515"/>
      <c r="GM14" s="1515">
        <f>GU14</f>
        <v>4650.8584999999966</v>
      </c>
      <c r="GN14" s="1515"/>
      <c r="GO14" s="1515"/>
      <c r="GP14" s="1515"/>
      <c r="GQ14" s="1508">
        <f>SUM(EA14:GP14)</f>
        <v>93017.099999999919</v>
      </c>
      <c r="GR14" s="1509"/>
      <c r="GS14" s="1127">
        <f>SUM(G14:DZ14)</f>
        <v>210357.30000000005</v>
      </c>
      <c r="GT14" s="1128">
        <f>F12-GS14</f>
        <v>93017.169999999925</v>
      </c>
      <c r="GU14" s="1119">
        <f>GT14*0.1/2</f>
        <v>4650.8584999999966</v>
      </c>
      <c r="GV14" s="1119">
        <f>GT14*0.9/14</f>
        <v>5979.6752142857094</v>
      </c>
      <c r="GX14" s="1127">
        <f>SUM(G14:GP14)</f>
        <v>303374.40000000002</v>
      </c>
      <c r="GY14" s="1128">
        <f>GX14-F12</f>
        <v>-6.9999999948777258E-2</v>
      </c>
      <c r="GZ14" s="1128">
        <f>GM14+GM17+GM20+GM23+GM26+GM29</f>
        <v>1415515.0319999999</v>
      </c>
    </row>
    <row r="15" spans="1:208" hidden="1" x14ac:dyDescent="0.25">
      <c r="A15" s="1519">
        <v>2</v>
      </c>
      <c r="B15" s="1521" t="s">
        <v>910</v>
      </c>
      <c r="C15" s="1522"/>
      <c r="D15" s="1522"/>
      <c r="E15" s="1125"/>
      <c r="F15" s="1525">
        <v>32014475.989999998</v>
      </c>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c r="AE15" s="1125"/>
      <c r="AF15" s="1125"/>
      <c r="AG15" s="1125"/>
      <c r="AH15" s="1125"/>
      <c r="AI15" s="1125"/>
      <c r="AJ15" s="1125"/>
      <c r="AK15" s="1125"/>
      <c r="AL15" s="1125"/>
      <c r="AM15" s="1125"/>
      <c r="AN15" s="1125"/>
      <c r="AO15" s="1125"/>
      <c r="AP15" s="1125"/>
      <c r="AQ15" s="1125"/>
      <c r="AR15" s="1125"/>
      <c r="AS15" s="1125"/>
      <c r="AT15" s="1125"/>
      <c r="AU15" s="1125"/>
      <c r="AV15" s="1125"/>
      <c r="AW15" s="1125"/>
      <c r="AX15" s="1125"/>
      <c r="AY15" s="1125"/>
      <c r="AZ15" s="1125"/>
      <c r="BA15" s="1125"/>
      <c r="BB15" s="1125"/>
      <c r="BC15" s="1125"/>
      <c r="BD15" s="1125"/>
      <c r="BE15" s="1125"/>
      <c r="BF15" s="1125"/>
      <c r="BG15" s="1125"/>
      <c r="BH15" s="1125"/>
      <c r="BI15" s="1125"/>
      <c r="BJ15" s="1125"/>
      <c r="BK15" s="1125"/>
      <c r="BL15" s="1125"/>
      <c r="BM15" s="1125"/>
      <c r="BN15" s="1125"/>
      <c r="BO15" s="1125"/>
      <c r="BP15" s="1125"/>
      <c r="BQ15" s="1125"/>
      <c r="BR15" s="1125"/>
      <c r="BS15" s="1125"/>
      <c r="BT15" s="1125"/>
      <c r="BU15" s="1125"/>
      <c r="BV15" s="1125"/>
      <c r="BW15" s="1125"/>
      <c r="BX15" s="1125"/>
      <c r="BY15" s="1125"/>
      <c r="BZ15" s="1125"/>
      <c r="CA15" s="1125"/>
      <c r="CB15" s="1125"/>
      <c r="CC15" s="1125"/>
      <c r="CD15" s="1125"/>
      <c r="CE15" s="1125"/>
      <c r="CF15" s="1125"/>
      <c r="CG15" s="1125"/>
      <c r="CH15" s="1125"/>
      <c r="CI15" s="1125"/>
      <c r="CJ15" s="1125"/>
      <c r="CK15" s="1125"/>
      <c r="CL15" s="1125"/>
      <c r="CM15" s="1125"/>
      <c r="CN15" s="1125"/>
      <c r="CO15" s="1125"/>
      <c r="CP15" s="1125"/>
      <c r="CQ15" s="1125"/>
      <c r="CR15" s="1125"/>
      <c r="CS15" s="1125"/>
      <c r="CT15" s="1125"/>
      <c r="CU15" s="1125"/>
      <c r="CV15" s="1125"/>
      <c r="CW15" s="1125"/>
      <c r="CX15" s="1125"/>
      <c r="CY15" s="1125"/>
      <c r="CZ15" s="1125"/>
      <c r="DA15" s="1125"/>
      <c r="DB15" s="1125"/>
      <c r="DC15" s="1125"/>
      <c r="DD15" s="1125"/>
      <c r="DE15" s="1125"/>
      <c r="DF15" s="1125"/>
      <c r="DG15" s="1125"/>
      <c r="DH15" s="1125"/>
      <c r="DI15" s="1125"/>
      <c r="DJ15" s="1125"/>
      <c r="DK15" s="1125"/>
      <c r="DL15" s="1125"/>
      <c r="DM15" s="1125"/>
      <c r="DN15" s="1125"/>
      <c r="DO15" s="1125"/>
      <c r="DP15" s="1125"/>
      <c r="DQ15" s="1125"/>
      <c r="DR15" s="1125"/>
      <c r="DS15" s="1125"/>
      <c r="DT15" s="1125"/>
      <c r="DU15" s="1125"/>
      <c r="DV15" s="1125"/>
      <c r="DW15" s="1125"/>
      <c r="DX15" s="1125"/>
      <c r="DY15" s="1125"/>
      <c r="DZ15" s="1125"/>
      <c r="EA15" s="1125"/>
      <c r="EB15" s="1125"/>
      <c r="EC15" s="1125"/>
      <c r="ED15" s="1125"/>
      <c r="EE15" s="1125"/>
      <c r="EF15" s="1125"/>
      <c r="EG15" s="1125"/>
      <c r="EH15" s="1125"/>
      <c r="EI15" s="1125"/>
      <c r="EJ15" s="1125"/>
      <c r="EK15" s="1125"/>
      <c r="EL15" s="1125"/>
      <c r="EM15" s="1125"/>
      <c r="EN15" s="1125"/>
      <c r="EO15" s="1125"/>
      <c r="EP15" s="1125"/>
      <c r="EQ15" s="1125"/>
      <c r="ER15" s="1125"/>
      <c r="ES15" s="1125"/>
      <c r="ET15" s="1125"/>
      <c r="EU15" s="1125"/>
      <c r="EV15" s="1125"/>
      <c r="EW15" s="1125"/>
      <c r="EX15" s="1125"/>
      <c r="EY15" s="1125"/>
      <c r="EZ15" s="1125"/>
      <c r="FA15" s="1125"/>
      <c r="FB15" s="1125"/>
      <c r="FC15" s="1125"/>
      <c r="FD15" s="1125"/>
      <c r="FE15" s="1125"/>
      <c r="FF15" s="1125"/>
      <c r="FG15" s="1125"/>
      <c r="FH15" s="1125"/>
      <c r="FI15" s="1125"/>
      <c r="FJ15" s="1125"/>
      <c r="FK15" s="1125"/>
      <c r="FL15" s="1125"/>
      <c r="FM15" s="1125"/>
      <c r="FN15" s="1125"/>
      <c r="FO15" s="1125"/>
      <c r="FP15" s="1125"/>
      <c r="FQ15" s="1125"/>
      <c r="FR15" s="1125"/>
      <c r="FS15" s="1125"/>
      <c r="FT15" s="1125"/>
      <c r="FU15" s="1125"/>
      <c r="FV15" s="1125"/>
      <c r="FW15" s="1125"/>
      <c r="FX15" s="1125"/>
      <c r="FY15" s="1125"/>
      <c r="FZ15" s="1125"/>
      <c r="GA15" s="1125"/>
      <c r="GB15" s="1125"/>
      <c r="GC15" s="1125"/>
      <c r="GD15" s="1125"/>
      <c r="GE15" s="1125"/>
      <c r="GF15" s="1125"/>
      <c r="GG15" s="1125"/>
      <c r="GH15" s="1125"/>
      <c r="GI15" s="1125"/>
      <c r="GJ15" s="1125"/>
      <c r="GK15" s="1125"/>
      <c r="GL15" s="1125"/>
      <c r="GM15" s="1125"/>
      <c r="GN15" s="1125"/>
      <c r="GO15" s="1125"/>
      <c r="GP15" s="1125"/>
      <c r="GQ15" s="1532"/>
      <c r="GR15" s="1509"/>
    </row>
    <row r="16" spans="1:208" hidden="1" x14ac:dyDescent="0.25">
      <c r="A16" s="1519"/>
      <c r="B16" s="1521"/>
      <c r="C16" s="1522"/>
      <c r="D16" s="1522"/>
      <c r="E16" s="1126" t="s">
        <v>908</v>
      </c>
      <c r="F16" s="1525"/>
      <c r="G16" s="1527">
        <v>0</v>
      </c>
      <c r="H16" s="1527"/>
      <c r="I16" s="1527"/>
      <c r="J16" s="1527"/>
      <c r="K16" s="1504">
        <f>((K17*100)/F15)/100</f>
        <v>3.8172075669197923E-3</v>
      </c>
      <c r="L16" s="1505"/>
      <c r="M16" s="1505"/>
      <c r="N16" s="1505"/>
      <c r="O16" s="1504">
        <f>((O17*100)/F15)/100</f>
        <v>1.6169095198112597E-2</v>
      </c>
      <c r="P16" s="1505"/>
      <c r="Q16" s="1505"/>
      <c r="R16" s="1505"/>
      <c r="S16" s="1504">
        <f>((S17*100)/F15)/100</f>
        <v>6.9484213975416686E-3</v>
      </c>
      <c r="T16" s="1505"/>
      <c r="U16" s="1505"/>
      <c r="V16" s="1505"/>
      <c r="W16" s="1504">
        <f>((W17*100)/$F15)/100</f>
        <v>9.5712399008408694E-3</v>
      </c>
      <c r="X16" s="1505"/>
      <c r="Y16" s="1505"/>
      <c r="Z16" s="1505"/>
      <c r="AA16" s="1504">
        <f t="shared" ref="AA16" si="58">((AA17*100)/$F15)/100</f>
        <v>3.1893169212544093E-3</v>
      </c>
      <c r="AB16" s="1505"/>
      <c r="AC16" s="1505"/>
      <c r="AD16" s="1505"/>
      <c r="AE16" s="1504">
        <f t="shared" ref="AE16" si="59">((AE17*100)/$F15)/100</f>
        <v>1.627821520998133E-2</v>
      </c>
      <c r="AF16" s="1505"/>
      <c r="AG16" s="1505"/>
      <c r="AH16" s="1505"/>
      <c r="AI16" s="1504">
        <f t="shared" ref="AI16" si="60">((AI17*100)/$F15)/100</f>
        <v>3.4583914487491198E-3</v>
      </c>
      <c r="AJ16" s="1505"/>
      <c r="AK16" s="1505"/>
      <c r="AL16" s="1505"/>
      <c r="AM16" s="1504">
        <f t="shared" ref="AM16" si="61">((AM17*100)/$F15)/100</f>
        <v>1.7488992484989915E-2</v>
      </c>
      <c r="AN16" s="1505"/>
      <c r="AO16" s="1505"/>
      <c r="AP16" s="1505"/>
      <c r="AQ16" s="1504">
        <f t="shared" ref="AQ16" si="62">((AQ17*100)/$F15)/100</f>
        <v>1.8749639075382536E-2</v>
      </c>
      <c r="AR16" s="1505"/>
      <c r="AS16" s="1505"/>
      <c r="AT16" s="1505"/>
      <c r="AU16" s="1504">
        <f t="shared" ref="AU16" si="63">((AU17*100)/$F15)/100</f>
        <v>2.3684047811272643E-2</v>
      </c>
      <c r="AV16" s="1505"/>
      <c r="AW16" s="1505"/>
      <c r="AX16" s="1505"/>
      <c r="AY16" s="1504">
        <f t="shared" ref="AY16" si="64">((AY17*100)/$F15)/100</f>
        <v>3.3175657172454007E-2</v>
      </c>
      <c r="AZ16" s="1505"/>
      <c r="BA16" s="1505"/>
      <c r="BB16" s="1505"/>
      <c r="BC16" s="1504">
        <f t="shared" ref="BC16" si="65">((BC17*100)/$F15)/100</f>
        <v>1.2316925009897688E-2</v>
      </c>
      <c r="BD16" s="1505"/>
      <c r="BE16" s="1505"/>
      <c r="BF16" s="1505"/>
      <c r="BG16" s="1504">
        <f t="shared" ref="BG16" si="66">((BG17*100)/$F15)/100</f>
        <v>1.2018185152247436E-2</v>
      </c>
      <c r="BH16" s="1505"/>
      <c r="BI16" s="1505"/>
      <c r="BJ16" s="1505"/>
      <c r="BK16" s="1504">
        <f t="shared" ref="BK16" si="67">((BK17*100)/$F15)/100</f>
        <v>9.3228235281198508E-3</v>
      </c>
      <c r="BL16" s="1505"/>
      <c r="BM16" s="1505"/>
      <c r="BN16" s="1505"/>
      <c r="BO16" s="1504">
        <f t="shared" ref="BO16" si="68">((BO17*100)/$F15)/100</f>
        <v>6.1924496300337535E-3</v>
      </c>
      <c r="BP16" s="1505"/>
      <c r="BQ16" s="1505"/>
      <c r="BR16" s="1505"/>
      <c r="BS16" s="1504">
        <f t="shared" ref="BS16" si="69">((BS17*100)/$F15)/100</f>
        <v>2.4444801165711665E-3</v>
      </c>
      <c r="BT16" s="1505"/>
      <c r="BU16" s="1505"/>
      <c r="BV16" s="1505"/>
      <c r="BW16" s="1504">
        <f t="shared" ref="BW16" si="70">((BW17*100)/$F15)/100</f>
        <v>7.4927395367935246E-3</v>
      </c>
      <c r="BX16" s="1505"/>
      <c r="BY16" s="1505"/>
      <c r="BZ16" s="1505"/>
      <c r="CA16" s="1504">
        <f t="shared" ref="CA16" si="71">((CA17*100)/$F15)/100</f>
        <v>1.0855755381051921E-2</v>
      </c>
      <c r="CB16" s="1505"/>
      <c r="CC16" s="1505"/>
      <c r="CD16" s="1505"/>
      <c r="CE16" s="1504">
        <f t="shared" ref="CE16" si="72">((CE17*100)/$F15)/100</f>
        <v>2.4631097514958889E-2</v>
      </c>
      <c r="CF16" s="1505"/>
      <c r="CG16" s="1505"/>
      <c r="CH16" s="1505"/>
      <c r="CI16" s="1504">
        <f t="shared" ref="CI16" si="73">((CI17*100)/$F15)/100</f>
        <v>3.201723465098015E-2</v>
      </c>
      <c r="CJ16" s="1505"/>
      <c r="CK16" s="1505"/>
      <c r="CL16" s="1505"/>
      <c r="CM16" s="1504">
        <f t="shared" ref="CM16" si="74">((CM17*100)/$F15)/100</f>
        <v>1.5379891901207407E-2</v>
      </c>
      <c r="CN16" s="1505"/>
      <c r="CO16" s="1505"/>
      <c r="CP16" s="1505"/>
      <c r="CQ16" s="1504">
        <f t="shared" ref="CQ16" si="75">((CQ17*100)/$F15)/100</f>
        <v>2.6323384467177718E-2</v>
      </c>
      <c r="CR16" s="1505"/>
      <c r="CS16" s="1505"/>
      <c r="CT16" s="1505"/>
      <c r="CU16" s="1504">
        <f t="shared" ref="CU16" si="76">((CU17*100)/$F15)/100</f>
        <v>1.3043962991318041E-2</v>
      </c>
      <c r="CV16" s="1505"/>
      <c r="CW16" s="1505"/>
      <c r="CX16" s="1505"/>
      <c r="CY16" s="1504">
        <f t="shared" ref="CY16" si="77">((CY17*100)/$F15)/100</f>
        <v>1.7575500850794967E-2</v>
      </c>
      <c r="CZ16" s="1505"/>
      <c r="DA16" s="1505"/>
      <c r="DB16" s="1505"/>
      <c r="DC16" s="1504">
        <f t="shared" ref="DC16" si="78">((DC17*100)/$F15)/100</f>
        <v>2.98638462893673E-2</v>
      </c>
      <c r="DD16" s="1505"/>
      <c r="DE16" s="1505"/>
      <c r="DF16" s="1505"/>
      <c r="DG16" s="1504">
        <f t="shared" ref="DG16" si="79">((DG17*100)/$F15)/100</f>
        <v>1.7755657165138567E-2</v>
      </c>
      <c r="DH16" s="1505"/>
      <c r="DI16" s="1505"/>
      <c r="DJ16" s="1505"/>
      <c r="DK16" s="1504">
        <f t="shared" ref="DK16" si="80">((DK17*100)/$F15)/100</f>
        <v>1.0873186245769941E-2</v>
      </c>
      <c r="DL16" s="1505"/>
      <c r="DM16" s="1505"/>
      <c r="DN16" s="1505"/>
      <c r="DO16" s="1504">
        <f t="shared" ref="DO16" si="81">((DO17*100)/$F15)/100</f>
        <v>1.4734805284564024E-2</v>
      </c>
      <c r="DP16" s="1505"/>
      <c r="DQ16" s="1505"/>
      <c r="DR16" s="1505"/>
      <c r="DS16" s="1504">
        <f t="shared" ref="DS16" si="82">((DS17*100)/$F15)/100</f>
        <v>2.0872160150574436E-2</v>
      </c>
      <c r="DT16" s="1505"/>
      <c r="DU16" s="1505"/>
      <c r="DV16" s="1505"/>
      <c r="DW16" s="1504">
        <f t="shared" ref="DW16" si="83">((DW17*100)/$F15)/100</f>
        <v>2.1291953371747194E-2</v>
      </c>
      <c r="DX16" s="1505"/>
      <c r="DY16" s="1505"/>
      <c r="DZ16" s="1505"/>
      <c r="EA16" s="1504">
        <f t="shared" ref="EA16" si="84">((EA17*100)/$F15)/100</f>
        <v>3.4872668779769168E-2</v>
      </c>
      <c r="EB16" s="1505"/>
      <c r="EC16" s="1505"/>
      <c r="ED16" s="1505"/>
      <c r="EE16" s="1504">
        <f t="shared" ref="EE16" si="85">((EE17*100)/$F15)/100</f>
        <v>3.4872668779769168E-2</v>
      </c>
      <c r="EF16" s="1505"/>
      <c r="EG16" s="1505"/>
      <c r="EH16" s="1505"/>
      <c r="EI16" s="1504">
        <f t="shared" ref="EI16" si="86">((EI17*100)/$F15)/100</f>
        <v>3.4872668779769168E-2</v>
      </c>
      <c r="EJ16" s="1505"/>
      <c r="EK16" s="1505"/>
      <c r="EL16" s="1505"/>
      <c r="EM16" s="1504">
        <f t="shared" ref="EM16" si="87">((EM17*100)/$F15)/100</f>
        <v>3.4872668779769168E-2</v>
      </c>
      <c r="EN16" s="1505"/>
      <c r="EO16" s="1505"/>
      <c r="EP16" s="1505"/>
      <c r="EQ16" s="1504">
        <f t="shared" ref="EQ16" si="88">((EQ17*100)/$F15)/100</f>
        <v>3.4872668779769168E-2</v>
      </c>
      <c r="ER16" s="1505"/>
      <c r="ES16" s="1505"/>
      <c r="ET16" s="1505"/>
      <c r="EU16" s="1504">
        <f t="shared" ref="EU16" si="89">((EU17*100)/$F15)/100</f>
        <v>3.4872668779769168E-2</v>
      </c>
      <c r="EV16" s="1505"/>
      <c r="EW16" s="1505"/>
      <c r="EX16" s="1505"/>
      <c r="EY16" s="1504">
        <f t="shared" ref="EY16" si="90">((EY17*100)/$F15)/100</f>
        <v>3.4872668779769168E-2</v>
      </c>
      <c r="EZ16" s="1505"/>
      <c r="FA16" s="1505"/>
      <c r="FB16" s="1505"/>
      <c r="FC16" s="1504">
        <f t="shared" ref="FC16" si="91">((FC17*100)/$F15)/100</f>
        <v>3.4872668779769168E-2</v>
      </c>
      <c r="FD16" s="1505"/>
      <c r="FE16" s="1505"/>
      <c r="FF16" s="1505"/>
      <c r="FG16" s="1504">
        <f t="shared" ref="FG16" si="92">((FG17*100)/$F15)/100</f>
        <v>3.4872668779769168E-2</v>
      </c>
      <c r="FH16" s="1505"/>
      <c r="FI16" s="1505"/>
      <c r="FJ16" s="1505"/>
      <c r="FK16" s="1504">
        <f t="shared" ref="FK16" si="93">((FK17*100)/$F15)/100</f>
        <v>3.4872668779769168E-2</v>
      </c>
      <c r="FL16" s="1505"/>
      <c r="FM16" s="1505"/>
      <c r="FN16" s="1505"/>
      <c r="FO16" s="1504">
        <f t="shared" ref="FO16" si="94">((FO17*100)/$F15)/100</f>
        <v>3.4872668779769168E-2</v>
      </c>
      <c r="FP16" s="1505"/>
      <c r="FQ16" s="1505"/>
      <c r="FR16" s="1505"/>
      <c r="FS16" s="1504">
        <f t="shared" ref="FS16" si="95">((FS17*100)/$F15)/100</f>
        <v>3.4872668779769168E-2</v>
      </c>
      <c r="FT16" s="1505"/>
      <c r="FU16" s="1505"/>
      <c r="FV16" s="1505"/>
      <c r="FW16" s="1504">
        <f t="shared" ref="FW16" si="96">((FW17*100)/$F15)/100</f>
        <v>3.4872668779769168E-2</v>
      </c>
      <c r="FX16" s="1505"/>
      <c r="FY16" s="1505"/>
      <c r="FZ16" s="1505"/>
      <c r="GA16" s="1504">
        <f t="shared" ref="GA16" si="97">((GA17*100)/$F15)/100</f>
        <v>1.7436334389884584E-2</v>
      </c>
      <c r="GB16" s="1505"/>
      <c r="GC16" s="1505"/>
      <c r="GD16" s="1505"/>
      <c r="GE16" s="1504">
        <f t="shared" ref="GE16" si="98">((GE17*100)/$F15)/100</f>
        <v>1.7436334389884584E-2</v>
      </c>
      <c r="GF16" s="1505"/>
      <c r="GG16" s="1505"/>
      <c r="GH16" s="1505"/>
      <c r="GI16" s="1504">
        <f t="shared" ref="GI16" si="99">((GI17*100)/$F15)/100</f>
        <v>2.7123185891633265E-2</v>
      </c>
      <c r="GJ16" s="1505"/>
      <c r="GK16" s="1505"/>
      <c r="GL16" s="1505"/>
      <c r="GM16" s="1504">
        <f t="shared" ref="GM16" si="100">((GM17*100)/$F15)/100</f>
        <v>2.7123186828709352E-2</v>
      </c>
      <c r="GN16" s="1505"/>
      <c r="GO16" s="1505"/>
      <c r="GP16" s="1505"/>
      <c r="GQ16" s="1498">
        <f>((GQ17*100)/F15)/100</f>
        <v>0.54246373563711092</v>
      </c>
      <c r="GR16" s="1517"/>
    </row>
    <row r="17" spans="1:207" hidden="1" x14ac:dyDescent="0.25">
      <c r="A17" s="1519"/>
      <c r="B17" s="1521"/>
      <c r="C17" s="1522"/>
      <c r="D17" s="1522"/>
      <c r="E17" s="1125" t="s">
        <v>909</v>
      </c>
      <c r="F17" s="1525"/>
      <c r="G17" s="1515">
        <v>0</v>
      </c>
      <c r="H17" s="1515"/>
      <c r="I17" s="1515"/>
      <c r="J17" s="1515"/>
      <c r="K17" s="1515">
        <v>122205.9</v>
      </c>
      <c r="L17" s="1515"/>
      <c r="M17" s="1515"/>
      <c r="N17" s="1515"/>
      <c r="O17" s="1515">
        <v>517645.11</v>
      </c>
      <c r="P17" s="1515"/>
      <c r="Q17" s="1515"/>
      <c r="R17" s="1515"/>
      <c r="S17" s="1533">
        <v>222450.07</v>
      </c>
      <c r="T17" s="1534"/>
      <c r="U17" s="1534"/>
      <c r="V17" s="1535"/>
      <c r="W17" s="1533">
        <v>306418.23</v>
      </c>
      <c r="X17" s="1534"/>
      <c r="Y17" s="1534"/>
      <c r="Z17" s="1535"/>
      <c r="AA17" s="1515">
        <v>102104.31</v>
      </c>
      <c r="AB17" s="1515"/>
      <c r="AC17" s="1515"/>
      <c r="AD17" s="1515"/>
      <c r="AE17" s="1515">
        <v>521138.53</v>
      </c>
      <c r="AF17" s="1515"/>
      <c r="AG17" s="1515"/>
      <c r="AH17" s="1515"/>
      <c r="AI17" s="1515">
        <v>110718.59</v>
      </c>
      <c r="AJ17" s="1515"/>
      <c r="AK17" s="1515"/>
      <c r="AL17" s="1515"/>
      <c r="AM17" s="1515">
        <v>559900.93000000005</v>
      </c>
      <c r="AN17" s="1515"/>
      <c r="AO17" s="1515"/>
      <c r="AP17" s="1515"/>
      <c r="AQ17" s="1515">
        <v>600259.87</v>
      </c>
      <c r="AR17" s="1515"/>
      <c r="AS17" s="1515"/>
      <c r="AT17" s="1515"/>
      <c r="AU17" s="1515">
        <v>758232.38</v>
      </c>
      <c r="AV17" s="1515"/>
      <c r="AW17" s="1515"/>
      <c r="AX17" s="1515"/>
      <c r="AY17" s="1515">
        <v>1062101.28</v>
      </c>
      <c r="AZ17" s="1515"/>
      <c r="BA17" s="1515"/>
      <c r="BB17" s="1515"/>
      <c r="BC17" s="1515">
        <v>394319.9</v>
      </c>
      <c r="BD17" s="1515"/>
      <c r="BE17" s="1515"/>
      <c r="BF17" s="1515"/>
      <c r="BG17" s="1515">
        <v>384755.9</v>
      </c>
      <c r="BH17" s="1515"/>
      <c r="BI17" s="1515"/>
      <c r="BJ17" s="1515"/>
      <c r="BK17" s="1515">
        <v>298465.31</v>
      </c>
      <c r="BL17" s="1515"/>
      <c r="BM17" s="1515"/>
      <c r="BN17" s="1515"/>
      <c r="BO17" s="1515">
        <v>198248.03</v>
      </c>
      <c r="BP17" s="1515"/>
      <c r="BQ17" s="1515"/>
      <c r="BR17" s="1515"/>
      <c r="BS17" s="1515">
        <v>78258.75</v>
      </c>
      <c r="BT17" s="1515"/>
      <c r="BU17" s="1515"/>
      <c r="BV17" s="1515"/>
      <c r="BW17" s="1515">
        <v>239876.13</v>
      </c>
      <c r="BX17" s="1515"/>
      <c r="BY17" s="1515"/>
      <c r="BZ17" s="1515"/>
      <c r="CA17" s="1515">
        <v>347541.32</v>
      </c>
      <c r="CB17" s="1515"/>
      <c r="CC17" s="1515"/>
      <c r="CD17" s="1515"/>
      <c r="CE17" s="1515">
        <v>788551.68000000005</v>
      </c>
      <c r="CF17" s="1515"/>
      <c r="CG17" s="1515"/>
      <c r="CH17" s="1515"/>
      <c r="CI17" s="1515">
        <v>1025014.99</v>
      </c>
      <c r="CJ17" s="1515"/>
      <c r="CK17" s="1515"/>
      <c r="CL17" s="1515"/>
      <c r="CM17" s="1515">
        <v>492379.18</v>
      </c>
      <c r="CN17" s="1515"/>
      <c r="CO17" s="1515"/>
      <c r="CP17" s="1515"/>
      <c r="CQ17" s="1515">
        <v>842729.36</v>
      </c>
      <c r="CR17" s="1515"/>
      <c r="CS17" s="1515"/>
      <c r="CT17" s="1515"/>
      <c r="CU17" s="1515">
        <v>417595.64</v>
      </c>
      <c r="CV17" s="1515"/>
      <c r="CW17" s="1515"/>
      <c r="CX17" s="1515"/>
      <c r="CY17" s="1533">
        <v>562670.44999999995</v>
      </c>
      <c r="CZ17" s="1534"/>
      <c r="DA17" s="1534"/>
      <c r="DB17" s="1535"/>
      <c r="DC17" s="1515">
        <v>956075.39</v>
      </c>
      <c r="DD17" s="1515"/>
      <c r="DE17" s="1515"/>
      <c r="DF17" s="1515"/>
      <c r="DG17" s="1515">
        <v>568438.06000000006</v>
      </c>
      <c r="DH17" s="1515"/>
      <c r="DI17" s="1515"/>
      <c r="DJ17" s="1515"/>
      <c r="DK17" s="1515">
        <v>348099.36</v>
      </c>
      <c r="DL17" s="1515"/>
      <c r="DM17" s="1515"/>
      <c r="DN17" s="1515"/>
      <c r="DO17" s="1515">
        <v>471727.07</v>
      </c>
      <c r="DP17" s="1515"/>
      <c r="DQ17" s="1515"/>
      <c r="DR17" s="1515"/>
      <c r="DS17" s="1515">
        <v>668211.27</v>
      </c>
      <c r="DT17" s="1515"/>
      <c r="DU17" s="1515"/>
      <c r="DV17" s="1515"/>
      <c r="DW17" s="1515">
        <v>681650.73</v>
      </c>
      <c r="DX17" s="1515"/>
      <c r="DY17" s="1515"/>
      <c r="DZ17" s="1515"/>
      <c r="EA17" s="1515">
        <f t="shared" ref="EA17" si="101">$GV17</f>
        <v>1116430.2173571426</v>
      </c>
      <c r="EB17" s="1515"/>
      <c r="EC17" s="1515"/>
      <c r="ED17" s="1515"/>
      <c r="EE17" s="1515">
        <f t="shared" ref="EE17" si="102">$GV17</f>
        <v>1116430.2173571426</v>
      </c>
      <c r="EF17" s="1515"/>
      <c r="EG17" s="1515"/>
      <c r="EH17" s="1515"/>
      <c r="EI17" s="1515">
        <f t="shared" ref="EI17" si="103">$GV17</f>
        <v>1116430.2173571426</v>
      </c>
      <c r="EJ17" s="1515"/>
      <c r="EK17" s="1515"/>
      <c r="EL17" s="1515"/>
      <c r="EM17" s="1515">
        <f t="shared" ref="EM17" si="104">$GV17</f>
        <v>1116430.2173571426</v>
      </c>
      <c r="EN17" s="1515"/>
      <c r="EO17" s="1515"/>
      <c r="EP17" s="1515"/>
      <c r="EQ17" s="1515">
        <f t="shared" ref="EQ17" si="105">$GV17</f>
        <v>1116430.2173571426</v>
      </c>
      <c r="ER17" s="1515"/>
      <c r="ES17" s="1515"/>
      <c r="ET17" s="1515"/>
      <c r="EU17" s="1515">
        <f t="shared" ref="EU17" si="106">$GV17</f>
        <v>1116430.2173571426</v>
      </c>
      <c r="EV17" s="1515"/>
      <c r="EW17" s="1515"/>
      <c r="EX17" s="1515"/>
      <c r="EY17" s="1515">
        <f t="shared" ref="EY17" si="107">$GV17</f>
        <v>1116430.2173571426</v>
      </c>
      <c r="EZ17" s="1515"/>
      <c r="FA17" s="1515"/>
      <c r="FB17" s="1515"/>
      <c r="FC17" s="1515">
        <f t="shared" ref="FC17" si="108">$GV17</f>
        <v>1116430.2173571426</v>
      </c>
      <c r="FD17" s="1515"/>
      <c r="FE17" s="1515"/>
      <c r="FF17" s="1515"/>
      <c r="FG17" s="1515">
        <f t="shared" ref="FG17" si="109">$GV17</f>
        <v>1116430.2173571426</v>
      </c>
      <c r="FH17" s="1515"/>
      <c r="FI17" s="1515"/>
      <c r="FJ17" s="1515"/>
      <c r="FK17" s="1515">
        <f t="shared" ref="FK17" si="110">$GV17</f>
        <v>1116430.2173571426</v>
      </c>
      <c r="FL17" s="1515"/>
      <c r="FM17" s="1515"/>
      <c r="FN17" s="1515"/>
      <c r="FO17" s="1515">
        <f t="shared" ref="FO17" si="111">$GV17</f>
        <v>1116430.2173571426</v>
      </c>
      <c r="FP17" s="1515"/>
      <c r="FQ17" s="1515"/>
      <c r="FR17" s="1515"/>
      <c r="FS17" s="1515">
        <f t="shared" ref="FS17" si="112">$GV17</f>
        <v>1116430.2173571426</v>
      </c>
      <c r="FT17" s="1515"/>
      <c r="FU17" s="1515"/>
      <c r="FV17" s="1515"/>
      <c r="FW17" s="1515">
        <f t="shared" ref="FW17" si="113">$GV17</f>
        <v>1116430.2173571426</v>
      </c>
      <c r="FX17" s="1515"/>
      <c r="FY17" s="1515"/>
      <c r="FZ17" s="1515"/>
      <c r="GA17" s="1515">
        <f>GV17/2</f>
        <v>558215.1086785713</v>
      </c>
      <c r="GB17" s="1515"/>
      <c r="GC17" s="1515"/>
      <c r="GD17" s="1515"/>
      <c r="GE17" s="1515">
        <f>GV17/2</f>
        <v>558215.1086785713</v>
      </c>
      <c r="GF17" s="1515"/>
      <c r="GG17" s="1515"/>
      <c r="GH17" s="1515"/>
      <c r="GI17" s="1533">
        <f>$GU17-0.03</f>
        <v>868334.58349999983</v>
      </c>
      <c r="GJ17" s="1534"/>
      <c r="GK17" s="1534"/>
      <c r="GL17" s="1535"/>
      <c r="GM17" s="1533">
        <f>$GU17</f>
        <v>868334.61349999986</v>
      </c>
      <c r="GN17" s="1534"/>
      <c r="GO17" s="1534"/>
      <c r="GP17" s="1535"/>
      <c r="GQ17" s="1508">
        <f>SUM(EA17:GP17)</f>
        <v>17366692.239999995</v>
      </c>
      <c r="GR17" s="1509"/>
      <c r="GS17" s="1127">
        <f>SUM(G17:DZ17)</f>
        <v>14647783.720000001</v>
      </c>
      <c r="GT17" s="1128">
        <f>F15-GS17</f>
        <v>17366692.269999996</v>
      </c>
      <c r="GU17" s="1119">
        <f>GT17*0.1/2</f>
        <v>868334.61349999986</v>
      </c>
      <c r="GV17" s="1119">
        <f>GT17*0.9/14</f>
        <v>1116430.2173571426</v>
      </c>
      <c r="GX17" s="1127">
        <f>SUM(G17:GP17)</f>
        <v>32014475.960000012</v>
      </c>
      <c r="GY17" s="1128">
        <f>GX17-F15</f>
        <v>-2.9999986290931702E-2</v>
      </c>
    </row>
    <row r="18" spans="1:207" hidden="1" x14ac:dyDescent="0.25">
      <c r="A18" s="1519">
        <v>3</v>
      </c>
      <c r="B18" s="1521" t="s">
        <v>911</v>
      </c>
      <c r="C18" s="1522"/>
      <c r="D18" s="1522"/>
      <c r="E18" s="1125"/>
      <c r="F18" s="1525">
        <v>1673943.39</v>
      </c>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25"/>
      <c r="AS18" s="1125"/>
      <c r="AT18" s="1125"/>
      <c r="AU18" s="1125"/>
      <c r="AV18" s="1125"/>
      <c r="AW18" s="1125"/>
      <c r="AX18" s="1125"/>
      <c r="AY18" s="1125"/>
      <c r="AZ18" s="1125"/>
      <c r="BA18" s="1125"/>
      <c r="BB18" s="1125"/>
      <c r="BC18" s="1125"/>
      <c r="BD18" s="1125"/>
      <c r="BE18" s="1125"/>
      <c r="BF18" s="1125"/>
      <c r="BG18" s="1125"/>
      <c r="BH18" s="1125"/>
      <c r="BI18" s="1125"/>
      <c r="BJ18" s="1125"/>
      <c r="BK18" s="1125"/>
      <c r="BL18" s="1125"/>
      <c r="BM18" s="1125"/>
      <c r="BN18" s="1125"/>
      <c r="BO18" s="1125"/>
      <c r="BP18" s="1125"/>
      <c r="BQ18" s="1125"/>
      <c r="BR18" s="1125"/>
      <c r="BS18" s="1125"/>
      <c r="BT18" s="1125"/>
      <c r="BU18" s="1125"/>
      <c r="BV18" s="1125"/>
      <c r="BW18" s="1125"/>
      <c r="BX18" s="1125"/>
      <c r="BY18" s="1125"/>
      <c r="BZ18" s="1125"/>
      <c r="CA18" s="1125"/>
      <c r="CB18" s="1125"/>
      <c r="CC18" s="1125"/>
      <c r="CD18" s="1125"/>
      <c r="CE18" s="1125"/>
      <c r="CF18" s="1125"/>
      <c r="CG18" s="1125"/>
      <c r="CH18" s="1125"/>
      <c r="CI18" s="1125"/>
      <c r="CJ18" s="1125"/>
      <c r="CK18" s="1125"/>
      <c r="CL18" s="1125"/>
      <c r="CM18" s="1125"/>
      <c r="CN18" s="1125"/>
      <c r="CO18" s="1125"/>
      <c r="CP18" s="1125"/>
      <c r="CQ18" s="1125"/>
      <c r="CR18" s="1125"/>
      <c r="CS18" s="1125"/>
      <c r="CT18" s="1125"/>
      <c r="CU18" s="1125"/>
      <c r="CV18" s="1125"/>
      <c r="CW18" s="1125"/>
      <c r="CX18" s="1125"/>
      <c r="CY18" s="1125"/>
      <c r="CZ18" s="1125"/>
      <c r="DA18" s="1125"/>
      <c r="DB18" s="1125"/>
      <c r="DC18" s="1125"/>
      <c r="DD18" s="1125"/>
      <c r="DE18" s="1125"/>
      <c r="DF18" s="1125"/>
      <c r="DG18" s="1125"/>
      <c r="DH18" s="1125"/>
      <c r="DI18" s="1125"/>
      <c r="DJ18" s="1125"/>
      <c r="DK18" s="1125"/>
      <c r="DL18" s="1125"/>
      <c r="DM18" s="1125"/>
      <c r="DN18" s="1125"/>
      <c r="DO18" s="1125"/>
      <c r="DP18" s="1125"/>
      <c r="DQ18" s="1125"/>
      <c r="DR18" s="1125"/>
      <c r="DS18" s="1125"/>
      <c r="DT18" s="1125"/>
      <c r="DU18" s="1125"/>
      <c r="DV18" s="1125"/>
      <c r="DW18" s="1125"/>
      <c r="DX18" s="1125"/>
      <c r="DY18" s="1125"/>
      <c r="DZ18" s="1125"/>
      <c r="EA18" s="1125"/>
      <c r="EB18" s="1125"/>
      <c r="EC18" s="1125"/>
      <c r="ED18" s="1125"/>
      <c r="EE18" s="1125"/>
      <c r="EF18" s="1125"/>
      <c r="EG18" s="1125"/>
      <c r="EH18" s="1125"/>
      <c r="EI18" s="1125"/>
      <c r="EJ18" s="1125"/>
      <c r="EK18" s="1125"/>
      <c r="EL18" s="1125"/>
      <c r="EM18" s="1125"/>
      <c r="EN18" s="1125"/>
      <c r="EO18" s="1125"/>
      <c r="EP18" s="1125"/>
      <c r="EQ18" s="1125"/>
      <c r="ER18" s="1125"/>
      <c r="ES18" s="1125"/>
      <c r="ET18" s="1125"/>
      <c r="EU18" s="1125"/>
      <c r="EV18" s="1125"/>
      <c r="EW18" s="1125"/>
      <c r="EX18" s="1125"/>
      <c r="EY18" s="1125"/>
      <c r="EZ18" s="1125"/>
      <c r="FA18" s="1125"/>
      <c r="FB18" s="1125"/>
      <c r="FC18" s="1125"/>
      <c r="FD18" s="1125"/>
      <c r="FE18" s="1125"/>
      <c r="FF18" s="1125"/>
      <c r="FG18" s="1125"/>
      <c r="FH18" s="1125"/>
      <c r="FI18" s="1125"/>
      <c r="FJ18" s="1125"/>
      <c r="FK18" s="1125"/>
      <c r="FL18" s="1125"/>
      <c r="FM18" s="1125"/>
      <c r="FN18" s="1125"/>
      <c r="FO18" s="1125"/>
      <c r="FP18" s="1125"/>
      <c r="FQ18" s="1125"/>
      <c r="FR18" s="1125"/>
      <c r="FS18" s="1125"/>
      <c r="FT18" s="1125"/>
      <c r="FU18" s="1125"/>
      <c r="FV18" s="1125"/>
      <c r="FW18" s="1125"/>
      <c r="FX18" s="1125"/>
      <c r="FY18" s="1125"/>
      <c r="FZ18" s="1125"/>
      <c r="GA18" s="1125"/>
      <c r="GB18" s="1125"/>
      <c r="GC18" s="1125"/>
      <c r="GD18" s="1125"/>
      <c r="GE18" s="1125"/>
      <c r="GF18" s="1125"/>
      <c r="GG18" s="1125"/>
      <c r="GH18" s="1125"/>
      <c r="GI18" s="1125"/>
      <c r="GJ18" s="1125"/>
      <c r="GK18" s="1125"/>
      <c r="GL18" s="1125"/>
      <c r="GM18" s="1125"/>
      <c r="GN18" s="1125"/>
      <c r="GO18" s="1125"/>
      <c r="GP18" s="1125"/>
      <c r="GQ18" s="1532"/>
      <c r="GR18" s="1509"/>
    </row>
    <row r="19" spans="1:207" hidden="1" x14ac:dyDescent="0.25">
      <c r="A19" s="1519"/>
      <c r="B19" s="1521"/>
      <c r="C19" s="1522"/>
      <c r="D19" s="1522"/>
      <c r="E19" s="1126" t="s">
        <v>908</v>
      </c>
      <c r="F19" s="1525"/>
      <c r="G19" s="1527">
        <v>0</v>
      </c>
      <c r="H19" s="1527"/>
      <c r="I19" s="1527"/>
      <c r="J19" s="1527"/>
      <c r="K19" s="1527">
        <v>0</v>
      </c>
      <c r="L19" s="1527"/>
      <c r="M19" s="1527"/>
      <c r="N19" s="1527"/>
      <c r="O19" s="1527">
        <v>0</v>
      </c>
      <c r="P19" s="1527"/>
      <c r="Q19" s="1527"/>
      <c r="R19" s="1527"/>
      <c r="S19" s="1527">
        <v>0</v>
      </c>
      <c r="T19" s="1527"/>
      <c r="U19" s="1527"/>
      <c r="V19" s="1527"/>
      <c r="W19" s="1504">
        <f t="shared" ref="W19" si="114">((W20*100)/$F18)/100</f>
        <v>0</v>
      </c>
      <c r="X19" s="1505"/>
      <c r="Y19" s="1505"/>
      <c r="Z19" s="1505"/>
      <c r="AA19" s="1504">
        <f t="shared" ref="AA19" si="115">((AA20*100)/$F18)/100</f>
        <v>0</v>
      </c>
      <c r="AB19" s="1505"/>
      <c r="AC19" s="1505"/>
      <c r="AD19" s="1505"/>
      <c r="AE19" s="1504">
        <f t="shared" ref="AE19" si="116">((AE20*100)/$F18)/100</f>
        <v>0</v>
      </c>
      <c r="AF19" s="1505"/>
      <c r="AG19" s="1505"/>
      <c r="AH19" s="1505"/>
      <c r="AI19" s="1504">
        <f t="shared" ref="AI19" si="117">((AI20*100)/$F18)/100</f>
        <v>0</v>
      </c>
      <c r="AJ19" s="1505"/>
      <c r="AK19" s="1505"/>
      <c r="AL19" s="1505"/>
      <c r="AM19" s="1504">
        <f t="shared" ref="AM19" si="118">((AM20*100)/$F18)/100</f>
        <v>0</v>
      </c>
      <c r="AN19" s="1505"/>
      <c r="AO19" s="1505"/>
      <c r="AP19" s="1505"/>
      <c r="AQ19" s="1504">
        <f t="shared" ref="AQ19" si="119">((AQ20*100)/$F18)/100</f>
        <v>0</v>
      </c>
      <c r="AR19" s="1505"/>
      <c r="AS19" s="1505"/>
      <c r="AT19" s="1505"/>
      <c r="AU19" s="1504">
        <f t="shared" ref="AU19" si="120">((AU20*100)/$F18)/100</f>
        <v>0</v>
      </c>
      <c r="AV19" s="1505"/>
      <c r="AW19" s="1505"/>
      <c r="AX19" s="1505"/>
      <c r="AY19" s="1504">
        <f t="shared" ref="AY19" si="121">((AY20*100)/$F18)/100</f>
        <v>0</v>
      </c>
      <c r="AZ19" s="1505"/>
      <c r="BA19" s="1505"/>
      <c r="BB19" s="1505"/>
      <c r="BC19" s="1504">
        <f t="shared" ref="BC19" si="122">((BC20*100)/$F18)/100</f>
        <v>0</v>
      </c>
      <c r="BD19" s="1505"/>
      <c r="BE19" s="1505"/>
      <c r="BF19" s="1505"/>
      <c r="BG19" s="1504">
        <f t="shared" ref="BG19" si="123">((BG20*100)/$F18)/100</f>
        <v>0</v>
      </c>
      <c r="BH19" s="1505"/>
      <c r="BI19" s="1505"/>
      <c r="BJ19" s="1505"/>
      <c r="BK19" s="1504">
        <f t="shared" ref="BK19" si="124">((BK20*100)/$F18)/100</f>
        <v>0</v>
      </c>
      <c r="BL19" s="1505"/>
      <c r="BM19" s="1505"/>
      <c r="BN19" s="1505"/>
      <c r="BO19" s="1504">
        <f t="shared" ref="BO19" si="125">((BO20*100)/$F18)/100</f>
        <v>0</v>
      </c>
      <c r="BP19" s="1505"/>
      <c r="BQ19" s="1505"/>
      <c r="BR19" s="1505"/>
      <c r="BS19" s="1504">
        <f t="shared" ref="BS19" si="126">((BS20*100)/$F18)/100</f>
        <v>0</v>
      </c>
      <c r="BT19" s="1505"/>
      <c r="BU19" s="1505"/>
      <c r="BV19" s="1505"/>
      <c r="BW19" s="1504">
        <f t="shared" ref="BW19" si="127">((BW20*100)/$F18)/100</f>
        <v>3.2309157121496205E-3</v>
      </c>
      <c r="BX19" s="1505"/>
      <c r="BY19" s="1505"/>
      <c r="BZ19" s="1505"/>
      <c r="CA19" s="1504">
        <f t="shared" ref="CA19" si="128">((CA20*100)/$F18)/100</f>
        <v>0</v>
      </c>
      <c r="CB19" s="1505"/>
      <c r="CC19" s="1505"/>
      <c r="CD19" s="1505"/>
      <c r="CE19" s="1504">
        <f t="shared" ref="CE19" si="129">((CE20*100)/$F18)/100</f>
        <v>0</v>
      </c>
      <c r="CF19" s="1505"/>
      <c r="CG19" s="1505"/>
      <c r="CH19" s="1505"/>
      <c r="CI19" s="1504">
        <f t="shared" ref="CI19" si="130">((CI20*100)/$F18)/100</f>
        <v>0</v>
      </c>
      <c r="CJ19" s="1505"/>
      <c r="CK19" s="1505"/>
      <c r="CL19" s="1505"/>
      <c r="CM19" s="1504">
        <f t="shared" ref="CM19" si="131">((CM20*100)/$F18)/100</f>
        <v>0</v>
      </c>
      <c r="CN19" s="1505"/>
      <c r="CO19" s="1505"/>
      <c r="CP19" s="1505"/>
      <c r="CQ19" s="1504">
        <f t="shared" ref="CQ19" si="132">((CQ20*100)/$F18)/100</f>
        <v>0</v>
      </c>
      <c r="CR19" s="1505"/>
      <c r="CS19" s="1505"/>
      <c r="CT19" s="1505"/>
      <c r="CU19" s="1504">
        <f t="shared" ref="CU19" si="133">((CU20*100)/$F18)/100</f>
        <v>3.3531002503017745E-3</v>
      </c>
      <c r="CV19" s="1505"/>
      <c r="CW19" s="1505"/>
      <c r="CX19" s="1505"/>
      <c r="CY19" s="1504">
        <f t="shared" ref="CY19" si="134">((CY20*100)/$F18)/100</f>
        <v>0</v>
      </c>
      <c r="CZ19" s="1505"/>
      <c r="DA19" s="1505"/>
      <c r="DB19" s="1505"/>
      <c r="DC19" s="1504">
        <f t="shared" ref="DC19" si="135">((DC20*100)/$F18)/100</f>
        <v>0</v>
      </c>
      <c r="DD19" s="1505"/>
      <c r="DE19" s="1505"/>
      <c r="DF19" s="1505"/>
      <c r="DG19" s="1504">
        <f t="shared" ref="DG19" si="136">((DG20*100)/$F18)/100</f>
        <v>6.5655924003499315E-3</v>
      </c>
      <c r="DH19" s="1505"/>
      <c r="DI19" s="1505"/>
      <c r="DJ19" s="1505"/>
      <c r="DK19" s="1504">
        <f t="shared" ref="DK19" si="137">((DK20*100)/$F18)/100</f>
        <v>0</v>
      </c>
      <c r="DL19" s="1505"/>
      <c r="DM19" s="1505"/>
      <c r="DN19" s="1505"/>
      <c r="DO19" s="1504">
        <f t="shared" ref="DO19" si="138">((DO20*100)/$F18)/100</f>
        <v>0</v>
      </c>
      <c r="DP19" s="1505"/>
      <c r="DQ19" s="1505"/>
      <c r="DR19" s="1505"/>
      <c r="DS19" s="1504">
        <f t="shared" ref="DS19" si="139">((DS20*100)/$F18)/100</f>
        <v>0</v>
      </c>
      <c r="DT19" s="1505"/>
      <c r="DU19" s="1505"/>
      <c r="DV19" s="1505"/>
      <c r="DW19" s="1504">
        <f t="shared" ref="DW19" si="140">((DW20*100)/$F18)/100</f>
        <v>0</v>
      </c>
      <c r="DX19" s="1505"/>
      <c r="DY19" s="1505"/>
      <c r="DZ19" s="1505"/>
      <c r="EA19" s="1504">
        <f t="shared" ref="EA19" si="141">((EA20*100)/$F18)/100</f>
        <v>6.3440382319534208E-2</v>
      </c>
      <c r="EB19" s="1505"/>
      <c r="EC19" s="1505"/>
      <c r="ED19" s="1505"/>
      <c r="EE19" s="1504">
        <f t="shared" ref="EE19" si="142">((EE20*100)/$F18)/100</f>
        <v>6.3440382319534208E-2</v>
      </c>
      <c r="EF19" s="1505"/>
      <c r="EG19" s="1505"/>
      <c r="EH19" s="1505"/>
      <c r="EI19" s="1504">
        <f t="shared" ref="EI19" si="143">((EI20*100)/$F18)/100</f>
        <v>6.3440382319534208E-2</v>
      </c>
      <c r="EJ19" s="1505"/>
      <c r="EK19" s="1505"/>
      <c r="EL19" s="1505"/>
      <c r="EM19" s="1504">
        <f t="shared" ref="EM19" si="144">((EM20*100)/$F18)/100</f>
        <v>6.3440382319534208E-2</v>
      </c>
      <c r="EN19" s="1505"/>
      <c r="EO19" s="1505"/>
      <c r="EP19" s="1505"/>
      <c r="EQ19" s="1504">
        <f t="shared" ref="EQ19" si="145">((EQ20*100)/$F18)/100</f>
        <v>6.3440382319534208E-2</v>
      </c>
      <c r="ER19" s="1505"/>
      <c r="ES19" s="1505"/>
      <c r="ET19" s="1505"/>
      <c r="EU19" s="1504">
        <f t="shared" ref="EU19" si="146">((EU20*100)/$F18)/100</f>
        <v>6.3440382319534208E-2</v>
      </c>
      <c r="EV19" s="1505"/>
      <c r="EW19" s="1505"/>
      <c r="EX19" s="1505"/>
      <c r="EY19" s="1504">
        <f t="shared" ref="EY19" si="147">((EY20*100)/$F18)/100</f>
        <v>6.3440382319534208E-2</v>
      </c>
      <c r="EZ19" s="1505"/>
      <c r="FA19" s="1505"/>
      <c r="FB19" s="1505"/>
      <c r="FC19" s="1504">
        <f t="shared" ref="FC19" si="148">((FC20*100)/$F18)/100</f>
        <v>6.3440382319534208E-2</v>
      </c>
      <c r="FD19" s="1505"/>
      <c r="FE19" s="1505"/>
      <c r="FF19" s="1505"/>
      <c r="FG19" s="1504">
        <f t="shared" ref="FG19" si="149">((FG20*100)/$F18)/100</f>
        <v>6.3440382319534208E-2</v>
      </c>
      <c r="FH19" s="1505"/>
      <c r="FI19" s="1505"/>
      <c r="FJ19" s="1505"/>
      <c r="FK19" s="1504">
        <f t="shared" ref="FK19" si="150">((FK20*100)/$F18)/100</f>
        <v>6.3440382319534208E-2</v>
      </c>
      <c r="FL19" s="1505"/>
      <c r="FM19" s="1505"/>
      <c r="FN19" s="1505"/>
      <c r="FO19" s="1504">
        <f t="shared" ref="FO19" si="151">((FO20*100)/$F18)/100</f>
        <v>6.3440382319534208E-2</v>
      </c>
      <c r="FP19" s="1505"/>
      <c r="FQ19" s="1505"/>
      <c r="FR19" s="1505"/>
      <c r="FS19" s="1504">
        <f t="shared" ref="FS19" si="152">((FS20*100)/$F18)/100</f>
        <v>6.3440382319534208E-2</v>
      </c>
      <c r="FT19" s="1505"/>
      <c r="FU19" s="1505"/>
      <c r="FV19" s="1505"/>
      <c r="FW19" s="1504">
        <f t="shared" ref="FW19" si="153">((FW20*100)/$F18)/100</f>
        <v>6.3440382319534208E-2</v>
      </c>
      <c r="FX19" s="1505"/>
      <c r="FY19" s="1505"/>
      <c r="FZ19" s="1505"/>
      <c r="GA19" s="1504">
        <f t="shared" ref="GA19" si="154">((GA20*100)/$F18)/100</f>
        <v>3.1720191159767104E-2</v>
      </c>
      <c r="GB19" s="1505"/>
      <c r="GC19" s="1505"/>
      <c r="GD19" s="1505"/>
      <c r="GE19" s="1504">
        <f t="shared" ref="GE19" si="155">((GE20*100)/$F18)/100</f>
        <v>3.1720191159767104E-2</v>
      </c>
      <c r="GF19" s="1505"/>
      <c r="GG19" s="1505"/>
      <c r="GH19" s="1505"/>
      <c r="GI19" s="1504">
        <f t="shared" ref="GI19" si="156">((GI20*100)/$F18)/100</f>
        <v>4.9342519581859937E-2</v>
      </c>
      <c r="GJ19" s="1505"/>
      <c r="GK19" s="1505"/>
      <c r="GL19" s="1505"/>
      <c r="GM19" s="1504">
        <f t="shared" ref="GM19" si="157">((GM20*100)/$F18)/100</f>
        <v>4.9342519581859937E-2</v>
      </c>
      <c r="GN19" s="1505"/>
      <c r="GO19" s="1505"/>
      <c r="GP19" s="1505"/>
      <c r="GQ19" s="1498">
        <f>((GQ20*100)/F18)/100</f>
        <v>0.98685039163719834</v>
      </c>
      <c r="GR19" s="1517"/>
    </row>
    <row r="20" spans="1:207" hidden="1" x14ac:dyDescent="0.25">
      <c r="A20" s="1519"/>
      <c r="B20" s="1521"/>
      <c r="C20" s="1522"/>
      <c r="D20" s="1522"/>
      <c r="E20" s="1125" t="s">
        <v>909</v>
      </c>
      <c r="F20" s="1525"/>
      <c r="G20" s="1515">
        <v>0</v>
      </c>
      <c r="H20" s="1515"/>
      <c r="I20" s="1515"/>
      <c r="J20" s="1515"/>
      <c r="K20" s="1515">
        <v>0</v>
      </c>
      <c r="L20" s="1515"/>
      <c r="M20" s="1515"/>
      <c r="N20" s="1515"/>
      <c r="O20" s="1515">
        <v>0</v>
      </c>
      <c r="P20" s="1515"/>
      <c r="Q20" s="1515"/>
      <c r="R20" s="1515"/>
      <c r="S20" s="1515">
        <v>0</v>
      </c>
      <c r="T20" s="1515"/>
      <c r="U20" s="1515"/>
      <c r="V20" s="1515"/>
      <c r="W20" s="1515">
        <v>0</v>
      </c>
      <c r="X20" s="1515"/>
      <c r="Y20" s="1515"/>
      <c r="Z20" s="1515"/>
      <c r="AA20" s="1515">
        <v>0</v>
      </c>
      <c r="AB20" s="1515"/>
      <c r="AC20" s="1515"/>
      <c r="AD20" s="1515"/>
      <c r="AE20" s="1515">
        <v>0</v>
      </c>
      <c r="AF20" s="1515"/>
      <c r="AG20" s="1515"/>
      <c r="AH20" s="1515"/>
      <c r="AI20" s="1515">
        <v>0</v>
      </c>
      <c r="AJ20" s="1515"/>
      <c r="AK20" s="1515"/>
      <c r="AL20" s="1515"/>
      <c r="AM20" s="1515">
        <v>0</v>
      </c>
      <c r="AN20" s="1515"/>
      <c r="AO20" s="1515"/>
      <c r="AP20" s="1515"/>
      <c r="AQ20" s="1515">
        <v>0</v>
      </c>
      <c r="AR20" s="1515"/>
      <c r="AS20" s="1515"/>
      <c r="AT20" s="1515"/>
      <c r="AU20" s="1515">
        <v>0</v>
      </c>
      <c r="AV20" s="1515"/>
      <c r="AW20" s="1515"/>
      <c r="AX20" s="1515"/>
      <c r="AY20" s="1515">
        <v>0</v>
      </c>
      <c r="AZ20" s="1515"/>
      <c r="BA20" s="1515"/>
      <c r="BB20" s="1515"/>
      <c r="BC20" s="1515">
        <v>0</v>
      </c>
      <c r="BD20" s="1515"/>
      <c r="BE20" s="1515"/>
      <c r="BF20" s="1515"/>
      <c r="BG20" s="1515">
        <v>0</v>
      </c>
      <c r="BH20" s="1515"/>
      <c r="BI20" s="1515"/>
      <c r="BJ20" s="1515"/>
      <c r="BK20" s="1515">
        <v>0</v>
      </c>
      <c r="BL20" s="1515"/>
      <c r="BM20" s="1515"/>
      <c r="BN20" s="1515"/>
      <c r="BO20" s="1515">
        <v>0</v>
      </c>
      <c r="BP20" s="1515"/>
      <c r="BQ20" s="1515"/>
      <c r="BR20" s="1515"/>
      <c r="BS20" s="1515">
        <v>0</v>
      </c>
      <c r="BT20" s="1515"/>
      <c r="BU20" s="1515"/>
      <c r="BV20" s="1515"/>
      <c r="BW20" s="1515">
        <v>5408.37</v>
      </c>
      <c r="BX20" s="1515"/>
      <c r="BY20" s="1515"/>
      <c r="BZ20" s="1515"/>
      <c r="CA20" s="1515">
        <v>0</v>
      </c>
      <c r="CB20" s="1515"/>
      <c r="CC20" s="1515"/>
      <c r="CD20" s="1515"/>
      <c r="CE20" s="1515">
        <f>'[3]11 - FINANCEIRO'!K159</f>
        <v>0</v>
      </c>
      <c r="CF20" s="1515"/>
      <c r="CG20" s="1515"/>
      <c r="CH20" s="1515"/>
      <c r="CI20" s="1515">
        <f>'[3]11 - FINANCEIRO'!K159</f>
        <v>0</v>
      </c>
      <c r="CJ20" s="1515"/>
      <c r="CK20" s="1515"/>
      <c r="CL20" s="1515"/>
      <c r="CM20" s="1515">
        <v>0</v>
      </c>
      <c r="CN20" s="1515"/>
      <c r="CO20" s="1515"/>
      <c r="CP20" s="1515"/>
      <c r="CQ20" s="1515">
        <v>0</v>
      </c>
      <c r="CR20" s="1515"/>
      <c r="CS20" s="1515"/>
      <c r="CT20" s="1515"/>
      <c r="CU20" s="1515">
        <v>5612.9</v>
      </c>
      <c r="CV20" s="1515"/>
      <c r="CW20" s="1515"/>
      <c r="CX20" s="1515"/>
      <c r="CY20" s="1515">
        <v>0</v>
      </c>
      <c r="CZ20" s="1515"/>
      <c r="DA20" s="1515"/>
      <c r="DB20" s="1515"/>
      <c r="DC20" s="1515">
        <v>0</v>
      </c>
      <c r="DD20" s="1515"/>
      <c r="DE20" s="1515"/>
      <c r="DF20" s="1515"/>
      <c r="DG20" s="1515">
        <v>10990.43</v>
      </c>
      <c r="DH20" s="1515"/>
      <c r="DI20" s="1515"/>
      <c r="DJ20" s="1515"/>
      <c r="DK20" s="1515">
        <v>0</v>
      </c>
      <c r="DL20" s="1515"/>
      <c r="DM20" s="1515"/>
      <c r="DN20" s="1515"/>
      <c r="DO20" s="1515">
        <v>0</v>
      </c>
      <c r="DP20" s="1515"/>
      <c r="DQ20" s="1515"/>
      <c r="DR20" s="1515"/>
      <c r="DS20" s="1515">
        <v>0</v>
      </c>
      <c r="DT20" s="1515"/>
      <c r="DU20" s="1515"/>
      <c r="DV20" s="1515"/>
      <c r="DW20" s="1515">
        <v>0</v>
      </c>
      <c r="DX20" s="1515"/>
      <c r="DY20" s="1515"/>
      <c r="DZ20" s="1515"/>
      <c r="EA20" s="1515">
        <f t="shared" ref="EA20:FW20" si="158">$GV20</f>
        <v>106195.60864285714</v>
      </c>
      <c r="EB20" s="1515"/>
      <c r="EC20" s="1515"/>
      <c r="ED20" s="1515"/>
      <c r="EE20" s="1515">
        <f t="shared" si="158"/>
        <v>106195.60864285714</v>
      </c>
      <c r="EF20" s="1515"/>
      <c r="EG20" s="1515"/>
      <c r="EH20" s="1515"/>
      <c r="EI20" s="1515">
        <f t="shared" si="158"/>
        <v>106195.60864285714</v>
      </c>
      <c r="EJ20" s="1515"/>
      <c r="EK20" s="1515"/>
      <c r="EL20" s="1515"/>
      <c r="EM20" s="1515">
        <f t="shared" si="158"/>
        <v>106195.60864285714</v>
      </c>
      <c r="EN20" s="1515"/>
      <c r="EO20" s="1515"/>
      <c r="EP20" s="1515"/>
      <c r="EQ20" s="1515">
        <f t="shared" si="158"/>
        <v>106195.60864285714</v>
      </c>
      <c r="ER20" s="1515"/>
      <c r="ES20" s="1515"/>
      <c r="ET20" s="1515"/>
      <c r="EU20" s="1515">
        <f t="shared" si="158"/>
        <v>106195.60864285714</v>
      </c>
      <c r="EV20" s="1515"/>
      <c r="EW20" s="1515"/>
      <c r="EX20" s="1515"/>
      <c r="EY20" s="1515">
        <f t="shared" si="158"/>
        <v>106195.60864285714</v>
      </c>
      <c r="EZ20" s="1515"/>
      <c r="FA20" s="1515"/>
      <c r="FB20" s="1515"/>
      <c r="FC20" s="1515">
        <f t="shared" si="158"/>
        <v>106195.60864285714</v>
      </c>
      <c r="FD20" s="1515"/>
      <c r="FE20" s="1515"/>
      <c r="FF20" s="1515"/>
      <c r="FG20" s="1515">
        <f t="shared" si="158"/>
        <v>106195.60864285714</v>
      </c>
      <c r="FH20" s="1515"/>
      <c r="FI20" s="1515"/>
      <c r="FJ20" s="1515"/>
      <c r="FK20" s="1515">
        <f t="shared" si="158"/>
        <v>106195.60864285714</v>
      </c>
      <c r="FL20" s="1515"/>
      <c r="FM20" s="1515"/>
      <c r="FN20" s="1515"/>
      <c r="FO20" s="1515">
        <f t="shared" si="158"/>
        <v>106195.60864285714</v>
      </c>
      <c r="FP20" s="1515"/>
      <c r="FQ20" s="1515"/>
      <c r="FR20" s="1515"/>
      <c r="FS20" s="1515">
        <f t="shared" si="158"/>
        <v>106195.60864285714</v>
      </c>
      <c r="FT20" s="1515"/>
      <c r="FU20" s="1515"/>
      <c r="FV20" s="1515"/>
      <c r="FW20" s="1515">
        <f t="shared" si="158"/>
        <v>106195.60864285714</v>
      </c>
      <c r="FX20" s="1515"/>
      <c r="FY20" s="1515"/>
      <c r="FZ20" s="1515"/>
      <c r="GA20" s="1515">
        <f>GV20/2</f>
        <v>53097.804321428572</v>
      </c>
      <c r="GB20" s="1515"/>
      <c r="GC20" s="1515"/>
      <c r="GD20" s="1515"/>
      <c r="GE20" s="1515">
        <f>GV20/2</f>
        <v>53097.804321428572</v>
      </c>
      <c r="GF20" s="1515"/>
      <c r="GG20" s="1515"/>
      <c r="GH20" s="1515"/>
      <c r="GI20" s="1533">
        <f>$GU20</f>
        <v>82596.584499999997</v>
      </c>
      <c r="GJ20" s="1534"/>
      <c r="GK20" s="1534"/>
      <c r="GL20" s="1535"/>
      <c r="GM20" s="1533">
        <f>$GU20</f>
        <v>82596.584499999997</v>
      </c>
      <c r="GN20" s="1534"/>
      <c r="GO20" s="1534"/>
      <c r="GP20" s="1535"/>
      <c r="GQ20" s="1508">
        <f>SUM(EA20:GP20)</f>
        <v>1651931.6899999995</v>
      </c>
      <c r="GR20" s="1509"/>
      <c r="GS20" s="1127">
        <f>SUM(G20:DZ20)</f>
        <v>22011.7</v>
      </c>
      <c r="GT20" s="1128">
        <f>F18-GS20</f>
        <v>1651931.69</v>
      </c>
      <c r="GU20" s="1119">
        <f>GT20*0.1/2</f>
        <v>82596.584499999997</v>
      </c>
      <c r="GV20" s="1119">
        <f>GT20*0.9/14</f>
        <v>106195.60864285714</v>
      </c>
      <c r="GX20" s="1127">
        <f>SUM(G20:GP20)</f>
        <v>1673943.3899999997</v>
      </c>
      <c r="GY20" s="1128">
        <f>GX20-F18</f>
        <v>0</v>
      </c>
    </row>
    <row r="21" spans="1:207" hidden="1" x14ac:dyDescent="0.25">
      <c r="A21" s="1519">
        <v>4</v>
      </c>
      <c r="B21" s="1521" t="s">
        <v>912</v>
      </c>
      <c r="C21" s="1522"/>
      <c r="D21" s="1522"/>
      <c r="E21" s="1125"/>
      <c r="F21" s="1525">
        <v>1421956.64</v>
      </c>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5"/>
      <c r="BE21" s="1125"/>
      <c r="BF21" s="1125"/>
      <c r="BG21" s="1125"/>
      <c r="BH21" s="1125"/>
      <c r="BI21" s="1125"/>
      <c r="BJ21" s="1125"/>
      <c r="BK21" s="1125"/>
      <c r="BL21" s="1125"/>
      <c r="BM21" s="1125"/>
      <c r="BN21" s="1125"/>
      <c r="BO21" s="1125"/>
      <c r="BP21" s="1125"/>
      <c r="BQ21" s="1125"/>
      <c r="BR21" s="1125"/>
      <c r="BS21" s="1125"/>
      <c r="BT21" s="1125"/>
      <c r="BU21" s="1125"/>
      <c r="BV21" s="1125"/>
      <c r="BW21" s="1125"/>
      <c r="BX21" s="1125"/>
      <c r="BY21" s="1125"/>
      <c r="BZ21" s="1125"/>
      <c r="CA21" s="1125"/>
      <c r="CB21" s="1125"/>
      <c r="CC21" s="1125"/>
      <c r="CD21" s="1125"/>
      <c r="CE21" s="1125"/>
      <c r="CF21" s="1125"/>
      <c r="CG21" s="1125"/>
      <c r="CH21" s="1125"/>
      <c r="CI21" s="1125"/>
      <c r="CJ21" s="1125"/>
      <c r="CK21" s="1125"/>
      <c r="CL21" s="1125"/>
      <c r="CM21" s="1125"/>
      <c r="CN21" s="1125"/>
      <c r="CO21" s="1125"/>
      <c r="CP21" s="1125"/>
      <c r="CQ21" s="1125"/>
      <c r="CR21" s="1125"/>
      <c r="CS21" s="1125"/>
      <c r="CT21" s="1125"/>
      <c r="CU21" s="1125"/>
      <c r="CV21" s="1125"/>
      <c r="CW21" s="1125"/>
      <c r="CX21" s="1125"/>
      <c r="CY21" s="1125"/>
      <c r="CZ21" s="1125"/>
      <c r="DA21" s="1125"/>
      <c r="DB21" s="1125"/>
      <c r="DC21" s="1125"/>
      <c r="DD21" s="1125"/>
      <c r="DE21" s="1125"/>
      <c r="DF21" s="1125"/>
      <c r="DG21" s="1125"/>
      <c r="DH21" s="1125"/>
      <c r="DI21" s="1125"/>
      <c r="DJ21" s="1125"/>
      <c r="DK21" s="1125"/>
      <c r="DL21" s="1125"/>
      <c r="DM21" s="1125"/>
      <c r="DN21" s="1125"/>
      <c r="DO21" s="1125"/>
      <c r="DP21" s="1125"/>
      <c r="DQ21" s="1125"/>
      <c r="DR21" s="1125"/>
      <c r="DS21" s="1125"/>
      <c r="DT21" s="1125"/>
      <c r="DU21" s="1125"/>
      <c r="DV21" s="1125"/>
      <c r="DW21" s="1125"/>
      <c r="DX21" s="1125"/>
      <c r="DY21" s="1125"/>
      <c r="DZ21" s="1125"/>
      <c r="EA21" s="1125"/>
      <c r="EB21" s="1125"/>
      <c r="EC21" s="1125"/>
      <c r="ED21" s="1125"/>
      <c r="EE21" s="1125"/>
      <c r="EF21" s="1125"/>
      <c r="EG21" s="1125"/>
      <c r="EH21" s="1125"/>
      <c r="EI21" s="1125"/>
      <c r="EJ21" s="1125"/>
      <c r="EK21" s="1125"/>
      <c r="EL21" s="1125"/>
      <c r="EM21" s="1125"/>
      <c r="EN21" s="1125"/>
      <c r="EO21" s="1125"/>
      <c r="EP21" s="1125"/>
      <c r="EQ21" s="1125"/>
      <c r="ER21" s="1125"/>
      <c r="ES21" s="1125"/>
      <c r="ET21" s="1125"/>
      <c r="EU21" s="1125"/>
      <c r="EV21" s="1125"/>
      <c r="EW21" s="1125"/>
      <c r="EX21" s="1125"/>
      <c r="EY21" s="1125"/>
      <c r="EZ21" s="1125"/>
      <c r="FA21" s="1125"/>
      <c r="FB21" s="1125"/>
      <c r="FC21" s="1125"/>
      <c r="FD21" s="1125"/>
      <c r="FE21" s="1125"/>
      <c r="FF21" s="1125"/>
      <c r="FG21" s="1125"/>
      <c r="FH21" s="1125"/>
      <c r="FI21" s="1125"/>
      <c r="FJ21" s="1125"/>
      <c r="FK21" s="1125"/>
      <c r="FL21" s="1125"/>
      <c r="FM21" s="1125"/>
      <c r="FN21" s="1125"/>
      <c r="FO21" s="1125"/>
      <c r="FP21" s="1125"/>
      <c r="FQ21" s="1125"/>
      <c r="FR21" s="1125"/>
      <c r="FS21" s="1125"/>
      <c r="FT21" s="1125"/>
      <c r="FU21" s="1125"/>
      <c r="FV21" s="1125"/>
      <c r="FW21" s="1125"/>
      <c r="FX21" s="1125"/>
      <c r="FY21" s="1125"/>
      <c r="FZ21" s="1125"/>
      <c r="GA21" s="1125"/>
      <c r="GB21" s="1125"/>
      <c r="GC21" s="1125"/>
      <c r="GD21" s="1125"/>
      <c r="GE21" s="1125"/>
      <c r="GF21" s="1125"/>
      <c r="GG21" s="1125"/>
      <c r="GH21" s="1125"/>
      <c r="GI21" s="1125"/>
      <c r="GJ21" s="1125"/>
      <c r="GK21" s="1125"/>
      <c r="GL21" s="1125"/>
      <c r="GM21" s="1125"/>
      <c r="GN21" s="1125"/>
      <c r="GO21" s="1125"/>
      <c r="GP21" s="1125"/>
      <c r="GQ21" s="1532"/>
      <c r="GR21" s="1509"/>
    </row>
    <row r="22" spans="1:207" hidden="1" x14ac:dyDescent="0.25">
      <c r="A22" s="1519"/>
      <c r="B22" s="1521"/>
      <c r="C22" s="1522"/>
      <c r="D22" s="1522"/>
      <c r="E22" s="1126" t="s">
        <v>908</v>
      </c>
      <c r="F22" s="1525"/>
      <c r="G22" s="1527">
        <v>0</v>
      </c>
      <c r="H22" s="1527"/>
      <c r="I22" s="1527"/>
      <c r="J22" s="1527"/>
      <c r="K22" s="1527">
        <v>0</v>
      </c>
      <c r="L22" s="1527"/>
      <c r="M22" s="1527"/>
      <c r="N22" s="1527"/>
      <c r="O22" s="1527">
        <v>0</v>
      </c>
      <c r="P22" s="1527"/>
      <c r="Q22" s="1527"/>
      <c r="R22" s="1527"/>
      <c r="S22" s="1527">
        <v>0</v>
      </c>
      <c r="T22" s="1527"/>
      <c r="U22" s="1527"/>
      <c r="V22" s="1527"/>
      <c r="W22" s="1504">
        <f t="shared" ref="W22" si="159">((W23*100)/$F21)/100</f>
        <v>0</v>
      </c>
      <c r="X22" s="1505"/>
      <c r="Y22" s="1505"/>
      <c r="Z22" s="1505"/>
      <c r="AA22" s="1504">
        <f t="shared" ref="AA22" si="160">((AA23*100)/$F21)/100</f>
        <v>0</v>
      </c>
      <c r="AB22" s="1505"/>
      <c r="AC22" s="1505"/>
      <c r="AD22" s="1505"/>
      <c r="AE22" s="1504">
        <f t="shared" ref="AE22" si="161">((AE23*100)/$F21)/100</f>
        <v>0</v>
      </c>
      <c r="AF22" s="1505"/>
      <c r="AG22" s="1505"/>
      <c r="AH22" s="1505"/>
      <c r="AI22" s="1504">
        <f t="shared" ref="AI22" si="162">((AI23*100)/$F21)/100</f>
        <v>0</v>
      </c>
      <c r="AJ22" s="1505"/>
      <c r="AK22" s="1505"/>
      <c r="AL22" s="1505"/>
      <c r="AM22" s="1504">
        <f t="shared" ref="AM22" si="163">((AM23*100)/$F21)/100</f>
        <v>0</v>
      </c>
      <c r="AN22" s="1505"/>
      <c r="AO22" s="1505"/>
      <c r="AP22" s="1505"/>
      <c r="AQ22" s="1504">
        <f t="shared" ref="AQ22" si="164">((AQ23*100)/$F21)/100</f>
        <v>0</v>
      </c>
      <c r="AR22" s="1505"/>
      <c r="AS22" s="1505"/>
      <c r="AT22" s="1505"/>
      <c r="AU22" s="1504">
        <f t="shared" ref="AU22" si="165">((AU23*100)/$F21)/100</f>
        <v>0</v>
      </c>
      <c r="AV22" s="1505"/>
      <c r="AW22" s="1505"/>
      <c r="AX22" s="1505"/>
      <c r="AY22" s="1504">
        <f t="shared" ref="AY22" si="166">((AY23*100)/$F21)/100</f>
        <v>0</v>
      </c>
      <c r="AZ22" s="1505"/>
      <c r="BA22" s="1505"/>
      <c r="BB22" s="1505"/>
      <c r="BC22" s="1504">
        <f t="shared" ref="BC22" si="167">((BC23*100)/$F21)/100</f>
        <v>0</v>
      </c>
      <c r="BD22" s="1505"/>
      <c r="BE22" s="1505"/>
      <c r="BF22" s="1505"/>
      <c r="BG22" s="1504">
        <f t="shared" ref="BG22" si="168">((BG23*100)/$F21)/100</f>
        <v>0</v>
      </c>
      <c r="BH22" s="1505"/>
      <c r="BI22" s="1505"/>
      <c r="BJ22" s="1505"/>
      <c r="BK22" s="1504">
        <f t="shared" ref="BK22" si="169">((BK23*100)/$F21)/100</f>
        <v>0</v>
      </c>
      <c r="BL22" s="1505"/>
      <c r="BM22" s="1505"/>
      <c r="BN22" s="1505"/>
      <c r="BO22" s="1504">
        <f t="shared" ref="BO22" si="170">((BO23*100)/$F21)/100</f>
        <v>0</v>
      </c>
      <c r="BP22" s="1505"/>
      <c r="BQ22" s="1505"/>
      <c r="BR22" s="1505"/>
      <c r="BS22" s="1504">
        <f t="shared" ref="BS22" si="171">((BS23*100)/$F21)/100</f>
        <v>0</v>
      </c>
      <c r="BT22" s="1505"/>
      <c r="BU22" s="1505"/>
      <c r="BV22" s="1505"/>
      <c r="BW22" s="1504">
        <f t="shared" ref="BW22" si="172">((BW23*100)/$F21)/100</f>
        <v>0</v>
      </c>
      <c r="BX22" s="1505"/>
      <c r="BY22" s="1505"/>
      <c r="BZ22" s="1505"/>
      <c r="CA22" s="1504">
        <f t="shared" ref="CA22" si="173">((CA23*100)/$F21)/100</f>
        <v>0</v>
      </c>
      <c r="CB22" s="1505"/>
      <c r="CC22" s="1505"/>
      <c r="CD22" s="1505"/>
      <c r="CE22" s="1504">
        <f t="shared" ref="CE22" si="174">((CE23*100)/$F21)/100</f>
        <v>0</v>
      </c>
      <c r="CF22" s="1505"/>
      <c r="CG22" s="1505"/>
      <c r="CH22" s="1505"/>
      <c r="CI22" s="1504">
        <f t="shared" ref="CI22" si="175">((CI23*100)/$F21)/100</f>
        <v>0</v>
      </c>
      <c r="CJ22" s="1505"/>
      <c r="CK22" s="1505"/>
      <c r="CL22" s="1505"/>
      <c r="CM22" s="1504">
        <f t="shared" ref="CM22" si="176">((CM23*100)/$F21)/100</f>
        <v>0</v>
      </c>
      <c r="CN22" s="1505"/>
      <c r="CO22" s="1505"/>
      <c r="CP22" s="1505"/>
      <c r="CQ22" s="1504">
        <f t="shared" ref="CQ22" si="177">((CQ23*100)/$F21)/100</f>
        <v>0</v>
      </c>
      <c r="CR22" s="1505"/>
      <c r="CS22" s="1505"/>
      <c r="CT22" s="1505"/>
      <c r="CU22" s="1504">
        <f t="shared" ref="CU22" si="178">((CU23*100)/$F21)/100</f>
        <v>0.12825872102541749</v>
      </c>
      <c r="CV22" s="1505"/>
      <c r="CW22" s="1505"/>
      <c r="CX22" s="1505"/>
      <c r="CY22" s="1504">
        <f t="shared" ref="CY22" si="179">((CY23*100)/$F21)/100</f>
        <v>1.7864412518232623E-2</v>
      </c>
      <c r="CZ22" s="1505"/>
      <c r="DA22" s="1505"/>
      <c r="DB22" s="1505"/>
      <c r="DC22" s="1504">
        <f t="shared" ref="DC22" si="180">((DC23*100)/$F21)/100</f>
        <v>0</v>
      </c>
      <c r="DD22" s="1505"/>
      <c r="DE22" s="1505"/>
      <c r="DF22" s="1505"/>
      <c r="DG22" s="1504">
        <f t="shared" ref="DG22" si="181">((DG23*100)/$F21)/100</f>
        <v>0</v>
      </c>
      <c r="DH22" s="1505"/>
      <c r="DI22" s="1505"/>
      <c r="DJ22" s="1505"/>
      <c r="DK22" s="1504">
        <f t="shared" ref="DK22" si="182">((DK23*100)/$F21)/100</f>
        <v>6.5506202777041084E-2</v>
      </c>
      <c r="DL22" s="1505"/>
      <c r="DM22" s="1505"/>
      <c r="DN22" s="1505"/>
      <c r="DO22" s="1504">
        <f t="shared" ref="DO22" si="183">((DO23*100)/$F21)/100</f>
        <v>4.4615080527349978E-2</v>
      </c>
      <c r="DP22" s="1505"/>
      <c r="DQ22" s="1505"/>
      <c r="DR22" s="1505"/>
      <c r="DS22" s="1504">
        <f t="shared" ref="DS22" si="184">((DS23*100)/$F21)/100</f>
        <v>7.8098513608685005E-3</v>
      </c>
      <c r="DT22" s="1505"/>
      <c r="DU22" s="1505"/>
      <c r="DV22" s="1505"/>
      <c r="DW22" s="1504">
        <f t="shared" ref="DW22" si="185">((DW23*100)/$F21)/100</f>
        <v>5.1116185933770808E-4</v>
      </c>
      <c r="DX22" s="1505"/>
      <c r="DY22" s="1505"/>
      <c r="DZ22" s="1505"/>
      <c r="EA22" s="1504">
        <f t="shared" ref="EA22" si="186">((EA23*100)/$F21)/100</f>
        <v>4.7277936638469811E-2</v>
      </c>
      <c r="EB22" s="1505"/>
      <c r="EC22" s="1505"/>
      <c r="ED22" s="1505"/>
      <c r="EE22" s="1504">
        <f t="shared" ref="EE22" si="187">((EE23*100)/$F21)/100</f>
        <v>4.7277936638469811E-2</v>
      </c>
      <c r="EF22" s="1505"/>
      <c r="EG22" s="1505"/>
      <c r="EH22" s="1505"/>
      <c r="EI22" s="1504">
        <f t="shared" ref="EI22" si="188">((EI23*100)/$F21)/100</f>
        <v>4.7277936638469811E-2</v>
      </c>
      <c r="EJ22" s="1505"/>
      <c r="EK22" s="1505"/>
      <c r="EL22" s="1505"/>
      <c r="EM22" s="1504">
        <f t="shared" ref="EM22" si="189">((EM23*100)/$F21)/100</f>
        <v>4.7277936638469811E-2</v>
      </c>
      <c r="EN22" s="1505"/>
      <c r="EO22" s="1505"/>
      <c r="EP22" s="1505"/>
      <c r="EQ22" s="1504">
        <f t="shared" ref="EQ22" si="190">((EQ23*100)/$F21)/100</f>
        <v>4.7277936638469811E-2</v>
      </c>
      <c r="ER22" s="1505"/>
      <c r="ES22" s="1505"/>
      <c r="ET22" s="1505"/>
      <c r="EU22" s="1504">
        <f t="shared" ref="EU22" si="191">((EU23*100)/$F21)/100</f>
        <v>4.7277936638469811E-2</v>
      </c>
      <c r="EV22" s="1505"/>
      <c r="EW22" s="1505"/>
      <c r="EX22" s="1505"/>
      <c r="EY22" s="1504">
        <f t="shared" ref="EY22" si="192">((EY23*100)/$F21)/100</f>
        <v>4.7277936638469811E-2</v>
      </c>
      <c r="EZ22" s="1505"/>
      <c r="FA22" s="1505"/>
      <c r="FB22" s="1505"/>
      <c r="FC22" s="1504">
        <f t="shared" ref="FC22" si="193">((FC23*100)/$F21)/100</f>
        <v>4.7277936638469811E-2</v>
      </c>
      <c r="FD22" s="1505"/>
      <c r="FE22" s="1505"/>
      <c r="FF22" s="1505"/>
      <c r="FG22" s="1504">
        <f t="shared" ref="FG22" si="194">((FG23*100)/$F21)/100</f>
        <v>4.7277936638469811E-2</v>
      </c>
      <c r="FH22" s="1505"/>
      <c r="FI22" s="1505"/>
      <c r="FJ22" s="1505"/>
      <c r="FK22" s="1504">
        <f t="shared" ref="FK22" si="195">((FK23*100)/$F21)/100</f>
        <v>4.7277936638469811E-2</v>
      </c>
      <c r="FL22" s="1505"/>
      <c r="FM22" s="1505"/>
      <c r="FN22" s="1505"/>
      <c r="FO22" s="1504">
        <f t="shared" ref="FO22" si="196">((FO23*100)/$F21)/100</f>
        <v>4.7277936638469811E-2</v>
      </c>
      <c r="FP22" s="1505"/>
      <c r="FQ22" s="1505"/>
      <c r="FR22" s="1505"/>
      <c r="FS22" s="1504">
        <f t="shared" ref="FS22" si="197">((FS23*100)/$F21)/100</f>
        <v>4.7277936638469811E-2</v>
      </c>
      <c r="FT22" s="1505"/>
      <c r="FU22" s="1505"/>
      <c r="FV22" s="1505"/>
      <c r="FW22" s="1504">
        <f t="shared" ref="FW22" si="198">((FW23*100)/$F21)/100</f>
        <v>4.7277936638469811E-2</v>
      </c>
      <c r="FX22" s="1505"/>
      <c r="FY22" s="1505"/>
      <c r="FZ22" s="1505"/>
      <c r="GA22" s="1504">
        <f t="shared" ref="GA22" si="199">((GA23*100)/$F21)/100</f>
        <v>2.3638933156418688E-2</v>
      </c>
      <c r="GB22" s="1505"/>
      <c r="GC22" s="1505"/>
      <c r="GD22" s="1505"/>
      <c r="GE22" s="1504">
        <f t="shared" ref="GE22" si="200">((GE23*100)/$F21)/100</f>
        <v>2.3638968319234906E-2</v>
      </c>
      <c r="GF22" s="1505"/>
      <c r="GG22" s="1505"/>
      <c r="GH22" s="1505"/>
      <c r="GI22" s="1504">
        <f t="shared" ref="GI22" si="201">((GI23*100)/$F21)/100</f>
        <v>3.6771728496587629E-2</v>
      </c>
      <c r="GJ22" s="1505"/>
      <c r="GK22" s="1505"/>
      <c r="GL22" s="1505"/>
      <c r="GM22" s="1504">
        <f t="shared" ref="GM22" si="202">((GM23*100)/$F21)/100</f>
        <v>3.6771728496587629E-2</v>
      </c>
      <c r="GN22" s="1505"/>
      <c r="GO22" s="1505"/>
      <c r="GP22" s="1505"/>
      <c r="GQ22" s="1498">
        <f>((GQ23*100)/F21)/100</f>
        <v>0.73543453476893628</v>
      </c>
      <c r="GR22" s="1517"/>
    </row>
    <row r="23" spans="1:207" hidden="1" x14ac:dyDescent="0.25">
      <c r="A23" s="1519"/>
      <c r="B23" s="1521"/>
      <c r="C23" s="1522"/>
      <c r="D23" s="1522"/>
      <c r="E23" s="1125" t="s">
        <v>909</v>
      </c>
      <c r="F23" s="1525"/>
      <c r="G23" s="1515">
        <v>0</v>
      </c>
      <c r="H23" s="1515"/>
      <c r="I23" s="1515"/>
      <c r="J23" s="1515"/>
      <c r="K23" s="1515">
        <v>0</v>
      </c>
      <c r="L23" s="1515"/>
      <c r="M23" s="1515"/>
      <c r="N23" s="1515"/>
      <c r="O23" s="1515">
        <v>0</v>
      </c>
      <c r="P23" s="1515"/>
      <c r="Q23" s="1515"/>
      <c r="R23" s="1515"/>
      <c r="S23" s="1515">
        <v>0</v>
      </c>
      <c r="T23" s="1515"/>
      <c r="U23" s="1515"/>
      <c r="V23" s="1515"/>
      <c r="W23" s="1515">
        <v>0</v>
      </c>
      <c r="X23" s="1515"/>
      <c r="Y23" s="1515"/>
      <c r="Z23" s="1515"/>
      <c r="AA23" s="1515">
        <v>0</v>
      </c>
      <c r="AB23" s="1515"/>
      <c r="AC23" s="1515"/>
      <c r="AD23" s="1515"/>
      <c r="AE23" s="1515">
        <v>0</v>
      </c>
      <c r="AF23" s="1515"/>
      <c r="AG23" s="1515"/>
      <c r="AH23" s="1515"/>
      <c r="AI23" s="1515">
        <v>0</v>
      </c>
      <c r="AJ23" s="1515"/>
      <c r="AK23" s="1515"/>
      <c r="AL23" s="1515"/>
      <c r="AM23" s="1515">
        <v>0</v>
      </c>
      <c r="AN23" s="1515"/>
      <c r="AO23" s="1515"/>
      <c r="AP23" s="1515"/>
      <c r="AQ23" s="1515">
        <v>0</v>
      </c>
      <c r="AR23" s="1515"/>
      <c r="AS23" s="1515"/>
      <c r="AT23" s="1515"/>
      <c r="AU23" s="1515">
        <v>0</v>
      </c>
      <c r="AV23" s="1515"/>
      <c r="AW23" s="1515"/>
      <c r="AX23" s="1515"/>
      <c r="AY23" s="1515">
        <v>0</v>
      </c>
      <c r="AZ23" s="1515"/>
      <c r="BA23" s="1515"/>
      <c r="BB23" s="1515"/>
      <c r="BC23" s="1515">
        <v>0</v>
      </c>
      <c r="BD23" s="1515"/>
      <c r="BE23" s="1515"/>
      <c r="BF23" s="1515"/>
      <c r="BG23" s="1515">
        <v>0</v>
      </c>
      <c r="BH23" s="1515"/>
      <c r="BI23" s="1515"/>
      <c r="BJ23" s="1515"/>
      <c r="BK23" s="1515">
        <v>0</v>
      </c>
      <c r="BL23" s="1515"/>
      <c r="BM23" s="1515"/>
      <c r="BN23" s="1515"/>
      <c r="BO23" s="1515">
        <v>0</v>
      </c>
      <c r="BP23" s="1515"/>
      <c r="BQ23" s="1515"/>
      <c r="BR23" s="1515"/>
      <c r="BS23" s="1515">
        <v>0</v>
      </c>
      <c r="BT23" s="1515"/>
      <c r="BU23" s="1515"/>
      <c r="BV23" s="1515"/>
      <c r="BW23" s="1515">
        <v>0</v>
      </c>
      <c r="BX23" s="1515"/>
      <c r="BY23" s="1515"/>
      <c r="BZ23" s="1515"/>
      <c r="CA23" s="1515">
        <v>0</v>
      </c>
      <c r="CB23" s="1515"/>
      <c r="CC23" s="1515"/>
      <c r="CD23" s="1515"/>
      <c r="CE23" s="1515">
        <f>'[3]11 - FINANCEIRO'!K256</f>
        <v>0</v>
      </c>
      <c r="CF23" s="1515"/>
      <c r="CG23" s="1515"/>
      <c r="CH23" s="1515"/>
      <c r="CI23" s="1515">
        <v>0</v>
      </c>
      <c r="CJ23" s="1515"/>
      <c r="CK23" s="1515"/>
      <c r="CL23" s="1515"/>
      <c r="CM23" s="1515">
        <v>0</v>
      </c>
      <c r="CN23" s="1515"/>
      <c r="CO23" s="1515"/>
      <c r="CP23" s="1515"/>
      <c r="CQ23" s="1515">
        <v>0</v>
      </c>
      <c r="CR23" s="1515"/>
      <c r="CS23" s="1515"/>
      <c r="CT23" s="1515"/>
      <c r="CU23" s="1515">
        <v>182378.34</v>
      </c>
      <c r="CV23" s="1515"/>
      <c r="CW23" s="1515"/>
      <c r="CX23" s="1515"/>
      <c r="CY23" s="1533">
        <v>25402.42</v>
      </c>
      <c r="CZ23" s="1534"/>
      <c r="DA23" s="1534"/>
      <c r="DB23" s="1535"/>
      <c r="DC23" s="1515">
        <v>0</v>
      </c>
      <c r="DD23" s="1515"/>
      <c r="DE23" s="1515"/>
      <c r="DF23" s="1515"/>
      <c r="DG23" s="1515">
        <v>0</v>
      </c>
      <c r="DH23" s="1515"/>
      <c r="DI23" s="1515"/>
      <c r="DJ23" s="1515"/>
      <c r="DK23" s="1515">
        <v>93146.98</v>
      </c>
      <c r="DL23" s="1515"/>
      <c r="DM23" s="1515"/>
      <c r="DN23" s="1515"/>
      <c r="DO23" s="1515">
        <v>63440.71</v>
      </c>
      <c r="DP23" s="1515"/>
      <c r="DQ23" s="1515"/>
      <c r="DR23" s="1515"/>
      <c r="DS23" s="1515">
        <v>11105.27</v>
      </c>
      <c r="DT23" s="1515"/>
      <c r="DU23" s="1515"/>
      <c r="DV23" s="1515"/>
      <c r="DW23" s="1515">
        <v>726.85</v>
      </c>
      <c r="DX23" s="1515"/>
      <c r="DY23" s="1515"/>
      <c r="DZ23" s="1515"/>
      <c r="EA23" s="1515">
        <f>$GV23</f>
        <v>67227.175928571422</v>
      </c>
      <c r="EB23" s="1515"/>
      <c r="EC23" s="1515"/>
      <c r="ED23" s="1515"/>
      <c r="EE23" s="1515">
        <f>$GV23</f>
        <v>67227.175928571422</v>
      </c>
      <c r="EF23" s="1515"/>
      <c r="EG23" s="1515"/>
      <c r="EH23" s="1515"/>
      <c r="EI23" s="1515">
        <f>$GV23</f>
        <v>67227.175928571422</v>
      </c>
      <c r="EJ23" s="1515"/>
      <c r="EK23" s="1515"/>
      <c r="EL23" s="1515"/>
      <c r="EM23" s="1515">
        <f>$GV23</f>
        <v>67227.175928571422</v>
      </c>
      <c r="EN23" s="1515"/>
      <c r="EO23" s="1515"/>
      <c r="EP23" s="1515"/>
      <c r="EQ23" s="1515">
        <f>$GV23</f>
        <v>67227.175928571422</v>
      </c>
      <c r="ER23" s="1515"/>
      <c r="ES23" s="1515"/>
      <c r="ET23" s="1515"/>
      <c r="EU23" s="1515">
        <f>$GV23</f>
        <v>67227.175928571422</v>
      </c>
      <c r="EV23" s="1515"/>
      <c r="EW23" s="1515"/>
      <c r="EX23" s="1515"/>
      <c r="EY23" s="1515">
        <f>$GV23</f>
        <v>67227.175928571422</v>
      </c>
      <c r="EZ23" s="1515"/>
      <c r="FA23" s="1515"/>
      <c r="FB23" s="1515"/>
      <c r="FC23" s="1515">
        <f>$GV23</f>
        <v>67227.175928571422</v>
      </c>
      <c r="FD23" s="1515"/>
      <c r="FE23" s="1515"/>
      <c r="FF23" s="1515"/>
      <c r="FG23" s="1515">
        <f>$GV23</f>
        <v>67227.175928571422</v>
      </c>
      <c r="FH23" s="1515"/>
      <c r="FI23" s="1515"/>
      <c r="FJ23" s="1515"/>
      <c r="FK23" s="1515">
        <f>$GV23</f>
        <v>67227.175928571422</v>
      </c>
      <c r="FL23" s="1515"/>
      <c r="FM23" s="1515"/>
      <c r="FN23" s="1515"/>
      <c r="FO23" s="1515">
        <f>$GV23</f>
        <v>67227.175928571422</v>
      </c>
      <c r="FP23" s="1515"/>
      <c r="FQ23" s="1515"/>
      <c r="FR23" s="1515"/>
      <c r="FS23" s="1515">
        <f>$GV23</f>
        <v>67227.175928571422</v>
      </c>
      <c r="FT23" s="1515"/>
      <c r="FU23" s="1515"/>
      <c r="FV23" s="1515"/>
      <c r="FW23" s="1515">
        <f>$GV23</f>
        <v>67227.175928571422</v>
      </c>
      <c r="FX23" s="1515"/>
      <c r="FY23" s="1515"/>
      <c r="FZ23" s="1515"/>
      <c r="GA23" s="1515">
        <f>GV23/2-0.05</f>
        <v>33613.537964285708</v>
      </c>
      <c r="GB23" s="1515"/>
      <c r="GC23" s="1515"/>
      <c r="GD23" s="1515"/>
      <c r="GE23" s="1515">
        <f>GV23/2</f>
        <v>33613.587964285711</v>
      </c>
      <c r="GF23" s="1515"/>
      <c r="GG23" s="1515"/>
      <c r="GH23" s="1515"/>
      <c r="GI23" s="1533">
        <f>$GU23</f>
        <v>52287.803499999995</v>
      </c>
      <c r="GJ23" s="1534"/>
      <c r="GK23" s="1534"/>
      <c r="GL23" s="1535"/>
      <c r="GM23" s="1533">
        <f>$GU23</f>
        <v>52287.803499999995</v>
      </c>
      <c r="GN23" s="1534"/>
      <c r="GO23" s="1534"/>
      <c r="GP23" s="1535"/>
      <c r="GQ23" s="1508">
        <f>SUM(EA23:GP23)</f>
        <v>1045756.0199999998</v>
      </c>
      <c r="GR23" s="1509"/>
      <c r="GS23" s="1127">
        <f>SUM(G23:DZ23)</f>
        <v>376200.57</v>
      </c>
      <c r="GT23" s="1128">
        <f>F21-GS23</f>
        <v>1045756.0699999998</v>
      </c>
      <c r="GU23" s="1119">
        <f>GT23*0.1/2</f>
        <v>52287.803499999995</v>
      </c>
      <c r="GV23" s="1119">
        <f>GT23*0.9/14</f>
        <v>67227.175928571422</v>
      </c>
      <c r="GX23" s="1127">
        <f>SUM(G23:GP23)</f>
        <v>1421956.5899999996</v>
      </c>
      <c r="GY23" s="1128">
        <f>GX23-F21</f>
        <v>-5.0000000279396772E-2</v>
      </c>
    </row>
    <row r="24" spans="1:207" hidden="1" x14ac:dyDescent="0.25">
      <c r="A24" s="1519">
        <v>5</v>
      </c>
      <c r="B24" s="1521" t="s">
        <v>913</v>
      </c>
      <c r="C24" s="1522"/>
      <c r="D24" s="1522"/>
      <c r="E24" s="1125"/>
      <c r="F24" s="1525">
        <v>2279664.9500000002</v>
      </c>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c r="AT24" s="1125"/>
      <c r="AU24" s="1125"/>
      <c r="AV24" s="1125"/>
      <c r="AW24" s="1125"/>
      <c r="AX24" s="1125"/>
      <c r="AY24" s="1125"/>
      <c r="AZ24" s="1125"/>
      <c r="BA24" s="1125"/>
      <c r="BB24" s="1125"/>
      <c r="BC24" s="1125"/>
      <c r="BD24" s="1125"/>
      <c r="BE24" s="1125"/>
      <c r="BF24" s="1125"/>
      <c r="BG24" s="1125"/>
      <c r="BH24" s="1125"/>
      <c r="BI24" s="1125"/>
      <c r="BJ24" s="1125"/>
      <c r="BK24" s="1125"/>
      <c r="BL24" s="1125"/>
      <c r="BM24" s="1125"/>
      <c r="BN24" s="1125"/>
      <c r="BO24" s="1125"/>
      <c r="BP24" s="1125"/>
      <c r="BQ24" s="1125"/>
      <c r="BR24" s="1125"/>
      <c r="BS24" s="1125"/>
      <c r="BT24" s="1125"/>
      <c r="BU24" s="1125"/>
      <c r="BV24" s="1125"/>
      <c r="BW24" s="1125"/>
      <c r="BX24" s="1125"/>
      <c r="BY24" s="1125"/>
      <c r="BZ24" s="1125"/>
      <c r="CA24" s="1125"/>
      <c r="CB24" s="1125"/>
      <c r="CC24" s="1125"/>
      <c r="CD24" s="1125"/>
      <c r="CE24" s="1125"/>
      <c r="CF24" s="1125"/>
      <c r="CG24" s="1125"/>
      <c r="CH24" s="1125"/>
      <c r="CI24" s="1125"/>
      <c r="CJ24" s="1125"/>
      <c r="CK24" s="1125"/>
      <c r="CL24" s="1125"/>
      <c r="CM24" s="1125"/>
      <c r="CN24" s="1125"/>
      <c r="CO24" s="1125"/>
      <c r="CP24" s="1125"/>
      <c r="CQ24" s="1125"/>
      <c r="CR24" s="1125"/>
      <c r="CS24" s="1125"/>
      <c r="CT24" s="1125"/>
      <c r="CU24" s="1125"/>
      <c r="CV24" s="1125"/>
      <c r="CW24" s="1125"/>
      <c r="CX24" s="1125"/>
      <c r="CY24" s="1125"/>
      <c r="CZ24" s="1125"/>
      <c r="DA24" s="1125"/>
      <c r="DB24" s="1125"/>
      <c r="DC24" s="1125"/>
      <c r="DD24" s="1125"/>
      <c r="DE24" s="1125"/>
      <c r="DF24" s="1125"/>
      <c r="DG24" s="1125"/>
      <c r="DH24" s="1125"/>
      <c r="DI24" s="1125"/>
      <c r="DJ24" s="1125"/>
      <c r="DK24" s="1125"/>
      <c r="DL24" s="1125"/>
      <c r="DM24" s="1125"/>
      <c r="DN24" s="1125"/>
      <c r="DO24" s="1125"/>
      <c r="DP24" s="1125"/>
      <c r="DQ24" s="1125"/>
      <c r="DR24" s="1125"/>
      <c r="DS24" s="1125"/>
      <c r="DT24" s="1125"/>
      <c r="DU24" s="1125"/>
      <c r="DV24" s="1125"/>
      <c r="DW24" s="1125"/>
      <c r="DX24" s="1125"/>
      <c r="DY24" s="1125"/>
      <c r="DZ24" s="1125"/>
      <c r="EA24" s="1125"/>
      <c r="EB24" s="1125"/>
      <c r="EC24" s="1125"/>
      <c r="ED24" s="1125"/>
      <c r="EE24" s="1125"/>
      <c r="EF24" s="1125"/>
      <c r="EG24" s="1125"/>
      <c r="EH24" s="1125"/>
      <c r="EI24" s="1125"/>
      <c r="EJ24" s="1125"/>
      <c r="EK24" s="1125"/>
      <c r="EL24" s="1125"/>
      <c r="EM24" s="1125"/>
      <c r="EN24" s="1125"/>
      <c r="EO24" s="1125"/>
      <c r="EP24" s="1125"/>
      <c r="EQ24" s="1125"/>
      <c r="ER24" s="1125"/>
      <c r="ES24" s="1125"/>
      <c r="ET24" s="1125"/>
      <c r="EU24" s="1125"/>
      <c r="EV24" s="1125"/>
      <c r="EW24" s="1125"/>
      <c r="EX24" s="1125"/>
      <c r="EY24" s="1125"/>
      <c r="EZ24" s="1125"/>
      <c r="FA24" s="1125"/>
      <c r="FB24" s="1125"/>
      <c r="FC24" s="1125"/>
      <c r="FD24" s="1125"/>
      <c r="FE24" s="1125"/>
      <c r="FF24" s="1125"/>
      <c r="FG24" s="1125"/>
      <c r="FH24" s="1125"/>
      <c r="FI24" s="1125"/>
      <c r="FJ24" s="1125"/>
      <c r="FK24" s="1125"/>
      <c r="FL24" s="1125"/>
      <c r="FM24" s="1125"/>
      <c r="FN24" s="1125"/>
      <c r="FO24" s="1125"/>
      <c r="FP24" s="1125"/>
      <c r="FQ24" s="1125"/>
      <c r="FR24" s="1125"/>
      <c r="FS24" s="1125"/>
      <c r="FT24" s="1125"/>
      <c r="FU24" s="1125"/>
      <c r="FV24" s="1125"/>
      <c r="FW24" s="1125"/>
      <c r="FX24" s="1125"/>
      <c r="FY24" s="1125"/>
      <c r="FZ24" s="1125"/>
      <c r="GA24" s="1125"/>
      <c r="GB24" s="1125"/>
      <c r="GC24" s="1125"/>
      <c r="GD24" s="1125"/>
      <c r="GE24" s="1125"/>
      <c r="GF24" s="1125"/>
      <c r="GG24" s="1125"/>
      <c r="GH24" s="1125"/>
      <c r="GI24" s="1125"/>
      <c r="GJ24" s="1125"/>
      <c r="GK24" s="1125"/>
      <c r="GL24" s="1125"/>
      <c r="GM24" s="1125"/>
      <c r="GN24" s="1125"/>
      <c r="GO24" s="1125"/>
      <c r="GP24" s="1125"/>
      <c r="GQ24" s="1532"/>
      <c r="GR24" s="1509"/>
    </row>
    <row r="25" spans="1:207" hidden="1" x14ac:dyDescent="0.25">
      <c r="A25" s="1519"/>
      <c r="B25" s="1521"/>
      <c r="C25" s="1522"/>
      <c r="D25" s="1522"/>
      <c r="E25" s="1126" t="s">
        <v>908</v>
      </c>
      <c r="F25" s="1525"/>
      <c r="G25" s="1527">
        <v>0</v>
      </c>
      <c r="H25" s="1527"/>
      <c r="I25" s="1527"/>
      <c r="J25" s="1527"/>
      <c r="K25" s="1527">
        <v>0</v>
      </c>
      <c r="L25" s="1527"/>
      <c r="M25" s="1527"/>
      <c r="N25" s="1527"/>
      <c r="O25" s="1527">
        <v>0</v>
      </c>
      <c r="P25" s="1527"/>
      <c r="Q25" s="1527"/>
      <c r="R25" s="1527"/>
      <c r="S25" s="1527">
        <v>0</v>
      </c>
      <c r="T25" s="1527"/>
      <c r="U25" s="1527"/>
      <c r="V25" s="1527"/>
      <c r="W25" s="1504">
        <f t="shared" ref="W25" si="203">((W26*100)/$F24)/100</f>
        <v>0</v>
      </c>
      <c r="X25" s="1505"/>
      <c r="Y25" s="1505"/>
      <c r="Z25" s="1505"/>
      <c r="AA25" s="1504">
        <f t="shared" ref="AA25" si="204">((AA26*100)/$F24)/100</f>
        <v>0</v>
      </c>
      <c r="AB25" s="1505"/>
      <c r="AC25" s="1505"/>
      <c r="AD25" s="1505"/>
      <c r="AE25" s="1504">
        <f t="shared" ref="AE25" si="205">((AE26*100)/$F24)/100</f>
        <v>0</v>
      </c>
      <c r="AF25" s="1505"/>
      <c r="AG25" s="1505"/>
      <c r="AH25" s="1505"/>
      <c r="AI25" s="1504">
        <f t="shared" ref="AI25" si="206">((AI26*100)/$F24)/100</f>
        <v>0</v>
      </c>
      <c r="AJ25" s="1505"/>
      <c r="AK25" s="1505"/>
      <c r="AL25" s="1505"/>
      <c r="AM25" s="1504">
        <f t="shared" ref="AM25" si="207">((AM26*100)/$F24)/100</f>
        <v>6.832275944761093E-4</v>
      </c>
      <c r="AN25" s="1505"/>
      <c r="AO25" s="1505"/>
      <c r="AP25" s="1505"/>
      <c r="AQ25" s="1504">
        <f t="shared" ref="AQ25" si="208">((AQ26*100)/$F24)/100</f>
        <v>0</v>
      </c>
      <c r="AR25" s="1505"/>
      <c r="AS25" s="1505"/>
      <c r="AT25" s="1505"/>
      <c r="AU25" s="1504">
        <f t="shared" ref="AU25" si="209">((AU26*100)/$F24)/100</f>
        <v>0</v>
      </c>
      <c r="AV25" s="1505"/>
      <c r="AW25" s="1505"/>
      <c r="AX25" s="1505"/>
      <c r="AY25" s="1504">
        <f t="shared" ref="AY25" si="210">((AY26*100)/$F24)/100</f>
        <v>0</v>
      </c>
      <c r="AZ25" s="1505"/>
      <c r="BA25" s="1505"/>
      <c r="BB25" s="1505"/>
      <c r="BC25" s="1504">
        <f t="shared" ref="BC25" si="211">((BC26*100)/$F24)/100</f>
        <v>0</v>
      </c>
      <c r="BD25" s="1505"/>
      <c r="BE25" s="1505"/>
      <c r="BF25" s="1505"/>
      <c r="BG25" s="1504">
        <f t="shared" ref="BG25" si="212">((BG26*100)/$F24)/100</f>
        <v>0</v>
      </c>
      <c r="BH25" s="1505"/>
      <c r="BI25" s="1505"/>
      <c r="BJ25" s="1505"/>
      <c r="BK25" s="1504">
        <f t="shared" ref="BK25" si="213">((BK26*100)/$F24)/100</f>
        <v>7.5919533701652078E-3</v>
      </c>
      <c r="BL25" s="1505"/>
      <c r="BM25" s="1505"/>
      <c r="BN25" s="1505"/>
      <c r="BO25" s="1504">
        <f t="shared" ref="BO25" si="214">((BO26*100)/$F24)/100</f>
        <v>3.9719170135067436E-3</v>
      </c>
      <c r="BP25" s="1505"/>
      <c r="BQ25" s="1505"/>
      <c r="BR25" s="1505"/>
      <c r="BS25" s="1504">
        <f t="shared" ref="BS25" si="215">((BS26*100)/$F24)/100</f>
        <v>2.1270230960913794E-4</v>
      </c>
      <c r="BT25" s="1505"/>
      <c r="BU25" s="1505"/>
      <c r="BV25" s="1505"/>
      <c r="BW25" s="1504">
        <f t="shared" ref="BW25" si="216">((BW26*100)/$F24)/100</f>
        <v>8.2597006196020156E-3</v>
      </c>
      <c r="BX25" s="1505"/>
      <c r="BY25" s="1505"/>
      <c r="BZ25" s="1505"/>
      <c r="CA25" s="1504">
        <f t="shared" ref="CA25" si="217">((CA26*100)/$F24)/100</f>
        <v>3.3463149924729069E-2</v>
      </c>
      <c r="CB25" s="1505"/>
      <c r="CC25" s="1505"/>
      <c r="CD25" s="1505"/>
      <c r="CE25" s="1504">
        <f t="shared" ref="CE25" si="218">((CE26*100)/$F24)/100</f>
        <v>3.0011559374108899E-3</v>
      </c>
      <c r="CF25" s="1505"/>
      <c r="CG25" s="1505"/>
      <c r="CH25" s="1505"/>
      <c r="CI25" s="1504">
        <f t="shared" ref="CI25" si="219">((CI26*100)/$F24)/100</f>
        <v>1.8310081049410353E-2</v>
      </c>
      <c r="CJ25" s="1505"/>
      <c r="CK25" s="1505"/>
      <c r="CL25" s="1505"/>
      <c r="CM25" s="1504">
        <f t="shared" ref="CM25" si="220">((CM26*100)/$F24)/100</f>
        <v>6.4049806968344176E-3</v>
      </c>
      <c r="CN25" s="1505"/>
      <c r="CO25" s="1505"/>
      <c r="CP25" s="1505"/>
      <c r="CQ25" s="1504">
        <f t="shared" ref="CQ25" si="221">((CQ26*100)/$F24)/100</f>
        <v>8.7475179192451052E-3</v>
      </c>
      <c r="CR25" s="1505"/>
      <c r="CS25" s="1505"/>
      <c r="CT25" s="1505"/>
      <c r="CU25" s="1504">
        <f t="shared" ref="CU25" si="222">((CU26*100)/$F24)/100</f>
        <v>3.6094720849219525E-2</v>
      </c>
      <c r="CV25" s="1505"/>
      <c r="CW25" s="1505"/>
      <c r="CX25" s="1505"/>
      <c r="CY25" s="1504">
        <f t="shared" ref="CY25" si="223">((CY26*100)/$F24)/100</f>
        <v>2.1129464661023981E-3</v>
      </c>
      <c r="CZ25" s="1505"/>
      <c r="DA25" s="1505"/>
      <c r="DB25" s="1505"/>
      <c r="DC25" s="1504">
        <f t="shared" ref="DC25" si="224">((DC26*100)/$F24)/100</f>
        <v>1.0639598595398854E-2</v>
      </c>
      <c r="DD25" s="1505"/>
      <c r="DE25" s="1505"/>
      <c r="DF25" s="1505"/>
      <c r="DG25" s="1504">
        <f t="shared" ref="DG25" si="225">((DG26*100)/$F24)/100</f>
        <v>1.4035308127187724E-2</v>
      </c>
      <c r="DH25" s="1505"/>
      <c r="DI25" s="1505"/>
      <c r="DJ25" s="1505"/>
      <c r="DK25" s="1504">
        <f t="shared" ref="DK25" si="226">((DK26*100)/$F24)/100</f>
        <v>8.446109591674863E-4</v>
      </c>
      <c r="DL25" s="1505"/>
      <c r="DM25" s="1505"/>
      <c r="DN25" s="1505"/>
      <c r="DO25" s="1504">
        <f t="shared" ref="DO25" si="227">((DO26*100)/$F24)/100</f>
        <v>0</v>
      </c>
      <c r="DP25" s="1505"/>
      <c r="DQ25" s="1505"/>
      <c r="DR25" s="1505"/>
      <c r="DS25" s="1504">
        <f t="shared" ref="DS25" si="228">((DS26*100)/$F24)/100</f>
        <v>5.4315525621429581E-3</v>
      </c>
      <c r="DT25" s="1505"/>
      <c r="DU25" s="1505"/>
      <c r="DV25" s="1505"/>
      <c r="DW25" s="1504">
        <f t="shared" ref="DW25" si="229">((DW26*100)/$F24)/100</f>
        <v>4.4118233251776752E-2</v>
      </c>
      <c r="DX25" s="1505"/>
      <c r="DY25" s="1505"/>
      <c r="DZ25" s="1505"/>
      <c r="EA25" s="1504">
        <f t="shared" ref="EA25" si="230">((EA26*100)/$F24)/100</f>
        <v>5.1077842444722917E-2</v>
      </c>
      <c r="EB25" s="1505"/>
      <c r="EC25" s="1505"/>
      <c r="ED25" s="1505"/>
      <c r="EE25" s="1504">
        <f t="shared" ref="EE25" si="231">((EE26*100)/$F24)/100</f>
        <v>5.1077842444722917E-2</v>
      </c>
      <c r="EF25" s="1505"/>
      <c r="EG25" s="1505"/>
      <c r="EH25" s="1505"/>
      <c r="EI25" s="1504">
        <f t="shared" ref="EI25" si="232">((EI26*100)/$F24)/100</f>
        <v>5.1077842444722917E-2</v>
      </c>
      <c r="EJ25" s="1505"/>
      <c r="EK25" s="1505"/>
      <c r="EL25" s="1505"/>
      <c r="EM25" s="1504">
        <f t="shared" ref="EM25" si="233">((EM26*100)/$F24)/100</f>
        <v>5.1077842444722917E-2</v>
      </c>
      <c r="EN25" s="1505"/>
      <c r="EO25" s="1505"/>
      <c r="EP25" s="1505"/>
      <c r="EQ25" s="1504">
        <f t="shared" ref="EQ25" si="234">((EQ26*100)/$F24)/100</f>
        <v>5.1077842444722917E-2</v>
      </c>
      <c r="ER25" s="1505"/>
      <c r="ES25" s="1505"/>
      <c r="ET25" s="1505"/>
      <c r="EU25" s="1504">
        <f t="shared" ref="EU25" si="235">((EU26*100)/$F24)/100</f>
        <v>5.1077842444722917E-2</v>
      </c>
      <c r="EV25" s="1505"/>
      <c r="EW25" s="1505"/>
      <c r="EX25" s="1505"/>
      <c r="EY25" s="1504">
        <f t="shared" ref="EY25" si="236">((EY26*100)/$F24)/100</f>
        <v>5.1077842444722917E-2</v>
      </c>
      <c r="EZ25" s="1505"/>
      <c r="FA25" s="1505"/>
      <c r="FB25" s="1505"/>
      <c r="FC25" s="1504">
        <f t="shared" ref="FC25" si="237">((FC26*100)/$F24)/100</f>
        <v>5.1077842444722917E-2</v>
      </c>
      <c r="FD25" s="1505"/>
      <c r="FE25" s="1505"/>
      <c r="FF25" s="1505"/>
      <c r="FG25" s="1504">
        <f t="shared" ref="FG25" si="238">((FG26*100)/$F24)/100</f>
        <v>5.1077842444722917E-2</v>
      </c>
      <c r="FH25" s="1505"/>
      <c r="FI25" s="1505"/>
      <c r="FJ25" s="1505"/>
      <c r="FK25" s="1504">
        <f t="shared" ref="FK25" si="239">((FK26*100)/$F24)/100</f>
        <v>5.1077842444722917E-2</v>
      </c>
      <c r="FL25" s="1505"/>
      <c r="FM25" s="1505"/>
      <c r="FN25" s="1505"/>
      <c r="FO25" s="1504">
        <f t="shared" ref="FO25" si="240">((FO26*100)/$F24)/100</f>
        <v>5.1077842444722917E-2</v>
      </c>
      <c r="FP25" s="1505"/>
      <c r="FQ25" s="1505"/>
      <c r="FR25" s="1505"/>
      <c r="FS25" s="1504">
        <f t="shared" ref="FS25" si="241">((FS26*100)/$F24)/100</f>
        <v>5.1077842444722917E-2</v>
      </c>
      <c r="FT25" s="1505"/>
      <c r="FU25" s="1505"/>
      <c r="FV25" s="1505"/>
      <c r="FW25" s="1504">
        <f t="shared" ref="FW25" si="242">((FW26*100)/$F24)/100</f>
        <v>5.1077842444722917E-2</v>
      </c>
      <c r="FX25" s="1505"/>
      <c r="FY25" s="1505"/>
      <c r="FZ25" s="1505"/>
      <c r="GA25" s="1504">
        <f t="shared" ref="GA25" si="243">((GA26*100)/$F24)/100</f>
        <v>2.5538908062532863E-2</v>
      </c>
      <c r="GB25" s="1505"/>
      <c r="GC25" s="1505"/>
      <c r="GD25" s="1505"/>
      <c r="GE25" s="1504">
        <f t="shared" ref="GE25" si="244">((GE26*100)/$F24)/100</f>
        <v>2.5538921222361458E-2</v>
      </c>
      <c r="GF25" s="1505"/>
      <c r="GG25" s="1505"/>
      <c r="GH25" s="1505"/>
      <c r="GI25" s="1504">
        <f t="shared" ref="GI25" si="245">((GI26*100)/$F24)/100</f>
        <v>3.9727210790340049E-2</v>
      </c>
      <c r="GJ25" s="1505"/>
      <c r="GK25" s="1505"/>
      <c r="GL25" s="1505"/>
      <c r="GM25" s="1504">
        <f t="shared" ref="GM25" si="246">((GM26*100)/$F24)/100</f>
        <v>3.9727210790340049E-2</v>
      </c>
      <c r="GN25" s="1505"/>
      <c r="GO25" s="1505"/>
      <c r="GP25" s="1505"/>
      <c r="GQ25" s="1498">
        <f>((GQ26*100)/F24)/100</f>
        <v>0.79454420264697223</v>
      </c>
      <c r="GR25" s="1517"/>
    </row>
    <row r="26" spans="1:207" hidden="1" x14ac:dyDescent="0.25">
      <c r="A26" s="1528"/>
      <c r="B26" s="1529"/>
      <c r="C26" s="1530"/>
      <c r="D26" s="1530"/>
      <c r="E26" s="1129" t="s">
        <v>909</v>
      </c>
      <c r="F26" s="1531"/>
      <c r="G26" s="1518">
        <v>0</v>
      </c>
      <c r="H26" s="1518"/>
      <c r="I26" s="1518"/>
      <c r="J26" s="1518"/>
      <c r="K26" s="1518">
        <v>0</v>
      </c>
      <c r="L26" s="1518"/>
      <c r="M26" s="1518"/>
      <c r="N26" s="1518"/>
      <c r="O26" s="1518">
        <v>3493.42</v>
      </c>
      <c r="P26" s="1518"/>
      <c r="Q26" s="1518"/>
      <c r="R26" s="1518"/>
      <c r="S26" s="1518">
        <v>0</v>
      </c>
      <c r="T26" s="1518"/>
      <c r="U26" s="1518"/>
      <c r="V26" s="1518"/>
      <c r="W26" s="1518">
        <v>0</v>
      </c>
      <c r="X26" s="1518"/>
      <c r="Y26" s="1518"/>
      <c r="Z26" s="1518"/>
      <c r="AA26" s="1518">
        <v>0</v>
      </c>
      <c r="AB26" s="1518"/>
      <c r="AC26" s="1518"/>
      <c r="AD26" s="1518"/>
      <c r="AE26" s="1518">
        <v>0</v>
      </c>
      <c r="AF26" s="1518"/>
      <c r="AG26" s="1518"/>
      <c r="AH26" s="1518"/>
      <c r="AI26" s="1518">
        <v>0</v>
      </c>
      <c r="AJ26" s="1518"/>
      <c r="AK26" s="1518"/>
      <c r="AL26" s="1518"/>
      <c r="AM26" s="1518">
        <v>1557.53</v>
      </c>
      <c r="AN26" s="1518"/>
      <c r="AO26" s="1518"/>
      <c r="AP26" s="1518"/>
      <c r="AQ26" s="1518">
        <v>0</v>
      </c>
      <c r="AR26" s="1518"/>
      <c r="AS26" s="1518"/>
      <c r="AT26" s="1518"/>
      <c r="AU26" s="1518">
        <v>0</v>
      </c>
      <c r="AV26" s="1518"/>
      <c r="AW26" s="1518"/>
      <c r="AX26" s="1518"/>
      <c r="AY26" s="1518">
        <v>0</v>
      </c>
      <c r="AZ26" s="1518"/>
      <c r="BA26" s="1518"/>
      <c r="BB26" s="1518"/>
      <c r="BC26" s="1518">
        <v>0</v>
      </c>
      <c r="BD26" s="1518"/>
      <c r="BE26" s="1518"/>
      <c r="BF26" s="1518"/>
      <c r="BG26" s="1518">
        <v>0</v>
      </c>
      <c r="BH26" s="1518"/>
      <c r="BI26" s="1518"/>
      <c r="BJ26" s="1518"/>
      <c r="BK26" s="1518">
        <v>17307.11</v>
      </c>
      <c r="BL26" s="1518"/>
      <c r="BM26" s="1518"/>
      <c r="BN26" s="1518"/>
      <c r="BO26" s="1518">
        <v>9054.64</v>
      </c>
      <c r="BP26" s="1518"/>
      <c r="BQ26" s="1518"/>
      <c r="BR26" s="1518"/>
      <c r="BS26" s="1518">
        <v>484.89</v>
      </c>
      <c r="BT26" s="1518"/>
      <c r="BU26" s="1518"/>
      <c r="BV26" s="1518"/>
      <c r="BW26" s="1518">
        <v>18829.349999999999</v>
      </c>
      <c r="BX26" s="1518"/>
      <c r="BY26" s="1518"/>
      <c r="BZ26" s="1518"/>
      <c r="CA26" s="1518">
        <v>76284.77</v>
      </c>
      <c r="CB26" s="1518"/>
      <c r="CC26" s="1518"/>
      <c r="CD26" s="1518"/>
      <c r="CE26" s="1518">
        <v>6841.63</v>
      </c>
      <c r="CF26" s="1518"/>
      <c r="CG26" s="1518"/>
      <c r="CH26" s="1518"/>
      <c r="CI26" s="1518">
        <v>41740.85</v>
      </c>
      <c r="CJ26" s="1518"/>
      <c r="CK26" s="1518"/>
      <c r="CL26" s="1518"/>
      <c r="CM26" s="1518">
        <v>14601.21</v>
      </c>
      <c r="CN26" s="1518"/>
      <c r="CO26" s="1518"/>
      <c r="CP26" s="1518"/>
      <c r="CQ26" s="1518">
        <v>19941.41</v>
      </c>
      <c r="CR26" s="1518"/>
      <c r="CS26" s="1518"/>
      <c r="CT26" s="1518"/>
      <c r="CU26" s="1518">
        <v>82283.87</v>
      </c>
      <c r="CV26" s="1518"/>
      <c r="CW26" s="1518"/>
      <c r="CX26" s="1518"/>
      <c r="CY26" s="1518">
        <v>4816.8100000000004</v>
      </c>
      <c r="CZ26" s="1518"/>
      <c r="DA26" s="1518"/>
      <c r="DB26" s="1518"/>
      <c r="DC26" s="1518">
        <v>24254.720000000001</v>
      </c>
      <c r="DD26" s="1518"/>
      <c r="DE26" s="1518"/>
      <c r="DF26" s="1518"/>
      <c r="DG26" s="1518">
        <v>31995.8</v>
      </c>
      <c r="DH26" s="1518"/>
      <c r="DI26" s="1518"/>
      <c r="DJ26" s="1518"/>
      <c r="DK26" s="1518">
        <v>1925.43</v>
      </c>
      <c r="DL26" s="1518"/>
      <c r="DM26" s="1518"/>
      <c r="DN26" s="1518"/>
      <c r="DO26" s="1518">
        <v>0</v>
      </c>
      <c r="DP26" s="1518"/>
      <c r="DQ26" s="1518"/>
      <c r="DR26" s="1518"/>
      <c r="DS26" s="1518">
        <v>12382.12</v>
      </c>
      <c r="DT26" s="1518"/>
      <c r="DU26" s="1518"/>
      <c r="DV26" s="1518"/>
      <c r="DW26" s="1518">
        <v>100574.79</v>
      </c>
      <c r="DX26" s="1518"/>
      <c r="DY26" s="1518"/>
      <c r="DZ26" s="1518"/>
      <c r="EA26" s="1515">
        <f>$GV26</f>
        <v>116440.36714285717</v>
      </c>
      <c r="EB26" s="1515"/>
      <c r="EC26" s="1515"/>
      <c r="ED26" s="1515"/>
      <c r="EE26" s="1515">
        <f>$GV26</f>
        <v>116440.36714285717</v>
      </c>
      <c r="EF26" s="1515"/>
      <c r="EG26" s="1515"/>
      <c r="EH26" s="1515"/>
      <c r="EI26" s="1515">
        <f>$GV26</f>
        <v>116440.36714285717</v>
      </c>
      <c r="EJ26" s="1515"/>
      <c r="EK26" s="1515"/>
      <c r="EL26" s="1515"/>
      <c r="EM26" s="1515">
        <f>$GV26</f>
        <v>116440.36714285717</v>
      </c>
      <c r="EN26" s="1515"/>
      <c r="EO26" s="1515"/>
      <c r="EP26" s="1515"/>
      <c r="EQ26" s="1515">
        <f>$GV26</f>
        <v>116440.36714285717</v>
      </c>
      <c r="ER26" s="1515"/>
      <c r="ES26" s="1515"/>
      <c r="ET26" s="1515"/>
      <c r="EU26" s="1515">
        <f>$GV26</f>
        <v>116440.36714285717</v>
      </c>
      <c r="EV26" s="1515"/>
      <c r="EW26" s="1515"/>
      <c r="EX26" s="1515"/>
      <c r="EY26" s="1515">
        <f>$GV26</f>
        <v>116440.36714285717</v>
      </c>
      <c r="EZ26" s="1515"/>
      <c r="FA26" s="1515"/>
      <c r="FB26" s="1515"/>
      <c r="FC26" s="1515">
        <f>$GV26</f>
        <v>116440.36714285717</v>
      </c>
      <c r="FD26" s="1515"/>
      <c r="FE26" s="1515"/>
      <c r="FF26" s="1515"/>
      <c r="FG26" s="1515">
        <f>$GV26</f>
        <v>116440.36714285717</v>
      </c>
      <c r="FH26" s="1515"/>
      <c r="FI26" s="1515"/>
      <c r="FJ26" s="1515"/>
      <c r="FK26" s="1515">
        <f>$GV26</f>
        <v>116440.36714285717</v>
      </c>
      <c r="FL26" s="1515"/>
      <c r="FM26" s="1515"/>
      <c r="FN26" s="1515"/>
      <c r="FO26" s="1515">
        <f>$GV26</f>
        <v>116440.36714285717</v>
      </c>
      <c r="FP26" s="1515"/>
      <c r="FQ26" s="1515"/>
      <c r="FR26" s="1515"/>
      <c r="FS26" s="1515">
        <f>$GV26</f>
        <v>116440.36714285717</v>
      </c>
      <c r="FT26" s="1515"/>
      <c r="FU26" s="1515"/>
      <c r="FV26" s="1515"/>
      <c r="FW26" s="1515">
        <f>$GV26</f>
        <v>116440.36714285717</v>
      </c>
      <c r="FX26" s="1515"/>
      <c r="FY26" s="1515"/>
      <c r="FZ26" s="1515"/>
      <c r="GA26" s="1515">
        <f>GV26/2-0.03</f>
        <v>58220.153571428586</v>
      </c>
      <c r="GB26" s="1515"/>
      <c r="GC26" s="1515"/>
      <c r="GD26" s="1515"/>
      <c r="GE26" s="1515">
        <f>GV26/2</f>
        <v>58220.183571428584</v>
      </c>
      <c r="GF26" s="1515"/>
      <c r="GG26" s="1515"/>
      <c r="GH26" s="1515"/>
      <c r="GI26" s="1515">
        <f>$GU26</f>
        <v>90564.730000000025</v>
      </c>
      <c r="GJ26" s="1515"/>
      <c r="GK26" s="1515"/>
      <c r="GL26" s="1515"/>
      <c r="GM26" s="1515">
        <f>$GU26</f>
        <v>90564.730000000025</v>
      </c>
      <c r="GN26" s="1515"/>
      <c r="GO26" s="1515"/>
      <c r="GP26" s="1515"/>
      <c r="GQ26" s="1508">
        <f>SUM(EA26:GP26)</f>
        <v>1811294.57</v>
      </c>
      <c r="GR26" s="1509"/>
      <c r="GS26" s="1127">
        <f>SUM(G26:DZ26)</f>
        <v>468370.34999999992</v>
      </c>
      <c r="GT26" s="1128">
        <f>F24-GS26</f>
        <v>1811294.6000000003</v>
      </c>
      <c r="GU26" s="1119">
        <f>GT26*0.1/2</f>
        <v>90564.730000000025</v>
      </c>
      <c r="GV26" s="1119">
        <f>GT26*0.9/14</f>
        <v>116440.36714285717</v>
      </c>
      <c r="GX26" s="1127">
        <f>SUM(G26:GP26)</f>
        <v>2279664.9199999995</v>
      </c>
      <c r="GY26" s="1128">
        <f>GX26-F24</f>
        <v>-3.0000000726431608E-2</v>
      </c>
    </row>
    <row r="27" spans="1:207" hidden="1" x14ac:dyDescent="0.25">
      <c r="A27" s="1519">
        <v>6</v>
      </c>
      <c r="B27" s="1521" t="s">
        <v>914</v>
      </c>
      <c r="C27" s="1522"/>
      <c r="D27" s="1522"/>
      <c r="E27" s="1125"/>
      <c r="F27" s="1525">
        <v>10494264.699999999</v>
      </c>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125"/>
      <c r="AP27" s="1125"/>
      <c r="AQ27" s="1125"/>
      <c r="AR27" s="1125"/>
      <c r="AS27" s="1125"/>
      <c r="AT27" s="1125"/>
      <c r="AU27" s="1125"/>
      <c r="AV27" s="1125"/>
      <c r="AW27" s="1125"/>
      <c r="AX27" s="1125"/>
      <c r="AY27" s="1125"/>
      <c r="AZ27" s="1125"/>
      <c r="BA27" s="1125"/>
      <c r="BB27" s="1125"/>
      <c r="BC27" s="1125"/>
      <c r="BD27" s="1125"/>
      <c r="BE27" s="1125"/>
      <c r="BF27" s="1125"/>
      <c r="BG27" s="1125"/>
      <c r="BH27" s="1125"/>
      <c r="BI27" s="1125"/>
      <c r="BJ27" s="1125"/>
      <c r="BK27" s="1125"/>
      <c r="BL27" s="1125"/>
      <c r="BM27" s="1125"/>
      <c r="BN27" s="1125"/>
      <c r="BO27" s="1125"/>
      <c r="BP27" s="1125"/>
      <c r="BQ27" s="1125"/>
      <c r="BR27" s="1125"/>
      <c r="BS27" s="1125"/>
      <c r="BT27" s="1125"/>
      <c r="BU27" s="1125"/>
      <c r="BV27" s="1125"/>
      <c r="BW27" s="1125"/>
      <c r="BX27" s="1125"/>
      <c r="BY27" s="1125"/>
      <c r="BZ27" s="1125"/>
      <c r="CA27" s="1125"/>
      <c r="CB27" s="1125"/>
      <c r="CC27" s="1125"/>
      <c r="CD27" s="1125"/>
      <c r="CE27" s="1125"/>
      <c r="CF27" s="1125"/>
      <c r="CG27" s="1125"/>
      <c r="CH27" s="1125"/>
      <c r="CI27" s="1125"/>
      <c r="CJ27" s="1125"/>
      <c r="CK27" s="1125"/>
      <c r="CL27" s="1125"/>
      <c r="CM27" s="1125"/>
      <c r="CN27" s="1125"/>
      <c r="CO27" s="1125"/>
      <c r="CP27" s="1125"/>
      <c r="CQ27" s="1125"/>
      <c r="CR27" s="1125"/>
      <c r="CS27" s="1125"/>
      <c r="CT27" s="1125"/>
      <c r="CU27" s="1125"/>
      <c r="CV27" s="1125"/>
      <c r="CW27" s="1125"/>
      <c r="CX27" s="1125"/>
      <c r="CY27" s="1125"/>
      <c r="CZ27" s="1125"/>
      <c r="DA27" s="1125"/>
      <c r="DB27" s="1125"/>
      <c r="DC27" s="1125"/>
      <c r="DD27" s="1125"/>
      <c r="DE27" s="1125"/>
      <c r="DF27" s="1125"/>
      <c r="DG27" s="1125"/>
      <c r="DH27" s="1125"/>
      <c r="DI27" s="1125"/>
      <c r="DJ27" s="1125"/>
      <c r="DK27" s="1125"/>
      <c r="DL27" s="1125"/>
      <c r="DM27" s="1125"/>
      <c r="DN27" s="1125"/>
      <c r="DO27" s="1125"/>
      <c r="DP27" s="1125"/>
      <c r="DQ27" s="1125"/>
      <c r="DR27" s="1125"/>
      <c r="DS27" s="1125"/>
      <c r="DT27" s="1125"/>
      <c r="DU27" s="1125"/>
      <c r="DV27" s="1125"/>
      <c r="DW27" s="1125"/>
      <c r="DX27" s="1125"/>
      <c r="DY27" s="1125"/>
      <c r="DZ27" s="1125"/>
      <c r="EA27" s="1125"/>
      <c r="EB27" s="1125"/>
      <c r="EC27" s="1125"/>
      <c r="ED27" s="1125"/>
      <c r="EE27" s="1125"/>
      <c r="EF27" s="1125"/>
      <c r="EG27" s="1125"/>
      <c r="EH27" s="1125"/>
      <c r="EI27" s="1125"/>
      <c r="EJ27" s="1125"/>
      <c r="EK27" s="1125"/>
      <c r="EL27" s="1125"/>
      <c r="EM27" s="1125"/>
      <c r="EN27" s="1125"/>
      <c r="EO27" s="1125"/>
      <c r="EP27" s="1125"/>
      <c r="EQ27" s="1125"/>
      <c r="ER27" s="1125"/>
      <c r="ES27" s="1125"/>
      <c r="ET27" s="1125"/>
      <c r="EU27" s="1125"/>
      <c r="EV27" s="1125"/>
      <c r="EW27" s="1125"/>
      <c r="EX27" s="1125"/>
      <c r="EY27" s="1125"/>
      <c r="EZ27" s="1125"/>
      <c r="FA27" s="1125"/>
      <c r="FB27" s="1125"/>
      <c r="FC27" s="1125"/>
      <c r="FD27" s="1125"/>
      <c r="FE27" s="1125"/>
      <c r="FF27" s="1125"/>
      <c r="FG27" s="1125"/>
      <c r="FH27" s="1125"/>
      <c r="FI27" s="1125"/>
      <c r="FJ27" s="1125"/>
      <c r="FK27" s="1125"/>
      <c r="FL27" s="1125"/>
      <c r="FM27" s="1125"/>
      <c r="FN27" s="1125"/>
      <c r="FO27" s="1125"/>
      <c r="FP27" s="1125"/>
      <c r="FQ27" s="1125"/>
      <c r="FR27" s="1125"/>
      <c r="FS27" s="1125"/>
      <c r="FT27" s="1125"/>
      <c r="FU27" s="1125"/>
      <c r="FV27" s="1125"/>
      <c r="FW27" s="1125"/>
      <c r="FX27" s="1125"/>
      <c r="FY27" s="1125"/>
      <c r="FZ27" s="1125"/>
      <c r="GA27" s="1125"/>
      <c r="GB27" s="1125"/>
      <c r="GC27" s="1125"/>
      <c r="GD27" s="1125"/>
      <c r="GE27" s="1125"/>
      <c r="GF27" s="1125"/>
      <c r="GG27" s="1125"/>
      <c r="GH27" s="1125"/>
      <c r="GI27" s="1125"/>
      <c r="GJ27" s="1125"/>
      <c r="GK27" s="1125"/>
      <c r="GL27" s="1125"/>
      <c r="GM27" s="1125"/>
      <c r="GN27" s="1125"/>
      <c r="GO27" s="1125"/>
      <c r="GP27" s="1125"/>
      <c r="GQ27" s="1130"/>
      <c r="GR27" s="1131"/>
    </row>
    <row r="28" spans="1:207" hidden="1" x14ac:dyDescent="0.25">
      <c r="A28" s="1519"/>
      <c r="B28" s="1521"/>
      <c r="C28" s="1522"/>
      <c r="D28" s="1522"/>
      <c r="E28" s="1126" t="s">
        <v>908</v>
      </c>
      <c r="F28" s="1525"/>
      <c r="G28" s="1527">
        <v>0</v>
      </c>
      <c r="H28" s="1527"/>
      <c r="I28" s="1527"/>
      <c r="J28" s="1527"/>
      <c r="K28" s="1527">
        <v>0</v>
      </c>
      <c r="L28" s="1527"/>
      <c r="M28" s="1527"/>
      <c r="N28" s="1527"/>
      <c r="O28" s="1527">
        <v>0</v>
      </c>
      <c r="P28" s="1527"/>
      <c r="Q28" s="1527"/>
      <c r="R28" s="1527"/>
      <c r="S28" s="1527">
        <v>0</v>
      </c>
      <c r="T28" s="1527"/>
      <c r="U28" s="1527"/>
      <c r="V28" s="1527"/>
      <c r="W28" s="1504">
        <f t="shared" ref="W28" si="247">((W29*100)/$F27)/100</f>
        <v>0</v>
      </c>
      <c r="X28" s="1505"/>
      <c r="Y28" s="1505"/>
      <c r="Z28" s="1505"/>
      <c r="AA28" s="1504">
        <f t="shared" ref="AA28" si="248">((AA29*100)/$F27)/100</f>
        <v>0</v>
      </c>
      <c r="AB28" s="1505"/>
      <c r="AC28" s="1505"/>
      <c r="AD28" s="1505"/>
      <c r="AE28" s="1504">
        <f t="shared" ref="AE28" si="249">((AE29*100)/$F27)/100</f>
        <v>0</v>
      </c>
      <c r="AF28" s="1505"/>
      <c r="AG28" s="1505"/>
      <c r="AH28" s="1505"/>
      <c r="AI28" s="1504">
        <f t="shared" ref="AI28" si="250">((AI29*100)/$F27)/100</f>
        <v>0</v>
      </c>
      <c r="AJ28" s="1505"/>
      <c r="AK28" s="1505"/>
      <c r="AL28" s="1505"/>
      <c r="AM28" s="1504">
        <f t="shared" ref="AM28" si="251">((AM29*100)/$F27)/100</f>
        <v>0</v>
      </c>
      <c r="AN28" s="1505"/>
      <c r="AO28" s="1505"/>
      <c r="AP28" s="1505"/>
      <c r="AQ28" s="1504">
        <f t="shared" ref="AQ28" si="252">((AQ29*100)/$F27)/100</f>
        <v>0</v>
      </c>
      <c r="AR28" s="1505"/>
      <c r="AS28" s="1505"/>
      <c r="AT28" s="1505"/>
      <c r="AU28" s="1504">
        <f t="shared" ref="AU28" si="253">((AU29*100)/$F27)/100</f>
        <v>0</v>
      </c>
      <c r="AV28" s="1505"/>
      <c r="AW28" s="1505"/>
      <c r="AX28" s="1505"/>
      <c r="AY28" s="1504">
        <f t="shared" ref="AY28" si="254">((AY29*100)/$F27)/100</f>
        <v>0</v>
      </c>
      <c r="AZ28" s="1505"/>
      <c r="BA28" s="1505"/>
      <c r="BB28" s="1505"/>
      <c r="BC28" s="1504">
        <f t="shared" ref="BC28" si="255">((BC29*100)/$F27)/100</f>
        <v>0</v>
      </c>
      <c r="BD28" s="1505"/>
      <c r="BE28" s="1505"/>
      <c r="BF28" s="1505"/>
      <c r="BG28" s="1504">
        <f t="shared" ref="BG28" si="256">((BG29*100)/$F27)/100</f>
        <v>0</v>
      </c>
      <c r="BH28" s="1505"/>
      <c r="BI28" s="1505"/>
      <c r="BJ28" s="1505"/>
      <c r="BK28" s="1504">
        <f t="shared" ref="BK28" si="257">((BK29*100)/$F27)/100</f>
        <v>0</v>
      </c>
      <c r="BL28" s="1505"/>
      <c r="BM28" s="1505"/>
      <c r="BN28" s="1505"/>
      <c r="BO28" s="1504">
        <f t="shared" ref="BO28" si="258">((BO29*100)/$F27)/100</f>
        <v>0</v>
      </c>
      <c r="BP28" s="1505"/>
      <c r="BQ28" s="1505"/>
      <c r="BR28" s="1505"/>
      <c r="BS28" s="1504">
        <f t="shared" ref="BS28" si="259">((BS29*100)/$F27)/100</f>
        <v>0</v>
      </c>
      <c r="BT28" s="1505"/>
      <c r="BU28" s="1505"/>
      <c r="BV28" s="1505"/>
      <c r="BW28" s="1504">
        <f t="shared" ref="BW28" si="260">((BW29*100)/$F27)/100</f>
        <v>0</v>
      </c>
      <c r="BX28" s="1505"/>
      <c r="BY28" s="1505"/>
      <c r="BZ28" s="1505"/>
      <c r="CA28" s="1504">
        <f t="shared" ref="CA28" si="261">((CA29*100)/$F27)/100</f>
        <v>0.13194415231397774</v>
      </c>
      <c r="CB28" s="1505"/>
      <c r="CC28" s="1505"/>
      <c r="CD28" s="1505"/>
      <c r="CE28" s="1504">
        <f t="shared" ref="CE28" si="262">((CE29*100)/$F27)/100</f>
        <v>1.0764722753753295E-2</v>
      </c>
      <c r="CF28" s="1505"/>
      <c r="CG28" s="1505"/>
      <c r="CH28" s="1505"/>
      <c r="CI28" s="1504">
        <f t="shared" ref="CI28" si="263">((CI29*100)/$F27)/100</f>
        <v>4.4010706152666423E-3</v>
      </c>
      <c r="CJ28" s="1505"/>
      <c r="CK28" s="1505"/>
      <c r="CL28" s="1505"/>
      <c r="CM28" s="1504">
        <f t="shared" ref="CM28" si="264">((CM29*100)/$F27)/100</f>
        <v>9.7962966381055748E-3</v>
      </c>
      <c r="CN28" s="1505"/>
      <c r="CO28" s="1505"/>
      <c r="CP28" s="1505"/>
      <c r="CQ28" s="1504">
        <f t="shared" ref="CQ28" si="265">((CQ29*100)/$F27)/100</f>
        <v>3.03039430671117E-3</v>
      </c>
      <c r="CR28" s="1505"/>
      <c r="CS28" s="1505"/>
      <c r="CT28" s="1505"/>
      <c r="CU28" s="1504">
        <f t="shared" ref="CU28" si="266">((CU29*100)/$F27)/100</f>
        <v>4.7758124492514467E-3</v>
      </c>
      <c r="CV28" s="1505"/>
      <c r="CW28" s="1505"/>
      <c r="CX28" s="1505"/>
      <c r="CY28" s="1504">
        <f t="shared" ref="CY28" si="267">((CY29*100)/$F27)/100</f>
        <v>9.6698299405388558E-2</v>
      </c>
      <c r="CZ28" s="1505"/>
      <c r="DA28" s="1505"/>
      <c r="DB28" s="1505"/>
      <c r="DC28" s="1504">
        <f t="shared" ref="DC28" si="268">((DC29*100)/$F27)/100</f>
        <v>5.3828217235648734E-2</v>
      </c>
      <c r="DD28" s="1505"/>
      <c r="DE28" s="1505"/>
      <c r="DF28" s="1505"/>
      <c r="DG28" s="1504">
        <f t="shared" ref="DG28" si="269">((DG29*100)/$F27)/100</f>
        <v>2.6540553146138963E-2</v>
      </c>
      <c r="DH28" s="1505"/>
      <c r="DI28" s="1505"/>
      <c r="DJ28" s="1505"/>
      <c r="DK28" s="1504">
        <f t="shared" ref="DK28" si="270">((DK29*100)/$F27)/100</f>
        <v>1.1856960307090405E-2</v>
      </c>
      <c r="DL28" s="1505"/>
      <c r="DM28" s="1505"/>
      <c r="DN28" s="1505"/>
      <c r="DO28" s="1504">
        <f t="shared" ref="DO28" si="271">((DO29*100)/$F27)/100</f>
        <v>1.422676998036842E-2</v>
      </c>
      <c r="DP28" s="1505"/>
      <c r="DQ28" s="1505"/>
      <c r="DR28" s="1505"/>
      <c r="DS28" s="1504">
        <f t="shared" ref="DS28" si="272">((DS29*100)/$F27)/100</f>
        <v>1.7366899464618994E-2</v>
      </c>
      <c r="DT28" s="1505"/>
      <c r="DU28" s="1505"/>
      <c r="DV28" s="1505"/>
      <c r="DW28" s="1504">
        <f t="shared" ref="DW28" si="273">((DW29*100)/$F27)/100</f>
        <v>1.0477028466796727E-2</v>
      </c>
      <c r="DX28" s="1505"/>
      <c r="DY28" s="1505"/>
      <c r="DZ28" s="1505"/>
      <c r="EA28" s="1504">
        <f t="shared" ref="EA28" si="274">((EA29*100)/$F27)/100</f>
        <v>3.8847395758942499E-2</v>
      </c>
      <c r="EB28" s="1505"/>
      <c r="EC28" s="1505"/>
      <c r="ED28" s="1505"/>
      <c r="EE28" s="1504">
        <f t="shared" ref="EE28" si="275">((EE29*100)/$F27)/100</f>
        <v>3.8847395758942499E-2</v>
      </c>
      <c r="EF28" s="1505"/>
      <c r="EG28" s="1505"/>
      <c r="EH28" s="1505"/>
      <c r="EI28" s="1504">
        <f t="shared" ref="EI28" si="276">((EI29*100)/$F27)/100</f>
        <v>3.8847395758942499E-2</v>
      </c>
      <c r="EJ28" s="1505"/>
      <c r="EK28" s="1505"/>
      <c r="EL28" s="1505"/>
      <c r="EM28" s="1504">
        <f t="shared" ref="EM28" si="277">((EM29*100)/$F27)/100</f>
        <v>3.8847395758942499E-2</v>
      </c>
      <c r="EN28" s="1505"/>
      <c r="EO28" s="1505"/>
      <c r="EP28" s="1505"/>
      <c r="EQ28" s="1504">
        <f t="shared" ref="EQ28" si="278">((EQ29*100)/$F27)/100</f>
        <v>3.8847395758942499E-2</v>
      </c>
      <c r="ER28" s="1505"/>
      <c r="ES28" s="1505"/>
      <c r="ET28" s="1505"/>
      <c r="EU28" s="1504">
        <f t="shared" ref="EU28" si="279">((EU29*100)/$F27)/100</f>
        <v>3.8847395758942499E-2</v>
      </c>
      <c r="EV28" s="1505"/>
      <c r="EW28" s="1505"/>
      <c r="EX28" s="1505"/>
      <c r="EY28" s="1504">
        <f t="shared" ref="EY28" si="280">((EY29*100)/$F27)/100</f>
        <v>3.8847395758942499E-2</v>
      </c>
      <c r="EZ28" s="1505"/>
      <c r="FA28" s="1505"/>
      <c r="FB28" s="1505"/>
      <c r="FC28" s="1504">
        <f t="shared" ref="FC28" si="281">((FC29*100)/$F27)/100</f>
        <v>3.8847395758942499E-2</v>
      </c>
      <c r="FD28" s="1505"/>
      <c r="FE28" s="1505"/>
      <c r="FF28" s="1505"/>
      <c r="FG28" s="1504">
        <f t="shared" ref="FG28" si="282">((FG29*100)/$F27)/100</f>
        <v>3.8847395758942499E-2</v>
      </c>
      <c r="FH28" s="1505"/>
      <c r="FI28" s="1505"/>
      <c r="FJ28" s="1505"/>
      <c r="FK28" s="1504">
        <f t="shared" ref="FK28" si="283">((FK29*100)/$F27)/100</f>
        <v>3.8847395758942499E-2</v>
      </c>
      <c r="FL28" s="1505"/>
      <c r="FM28" s="1505"/>
      <c r="FN28" s="1505"/>
      <c r="FO28" s="1504">
        <f t="shared" ref="FO28" si="284">((FO29*100)/$F27)/100</f>
        <v>3.8847395758942499E-2</v>
      </c>
      <c r="FP28" s="1505"/>
      <c r="FQ28" s="1505"/>
      <c r="FR28" s="1505"/>
      <c r="FS28" s="1504">
        <f t="shared" ref="FS28" si="285">((FS29*100)/$F27)/100</f>
        <v>3.8847395758942499E-2</v>
      </c>
      <c r="FT28" s="1505"/>
      <c r="FU28" s="1505"/>
      <c r="FV28" s="1505"/>
      <c r="FW28" s="1504">
        <f t="shared" ref="FW28" si="286">((FW29*100)/$F27)/100</f>
        <v>3.8847395758942499E-2</v>
      </c>
      <c r="FX28" s="1505"/>
      <c r="FY28" s="1505"/>
      <c r="FZ28" s="1505"/>
      <c r="GA28" s="1504">
        <f t="shared" ref="GA28" si="287">((GA29*100)/$F27)/100</f>
        <v>1.9423702643978479E-2</v>
      </c>
      <c r="GB28" s="1505"/>
      <c r="GC28" s="1505"/>
      <c r="GD28" s="1505"/>
      <c r="GE28" s="1504">
        <f t="shared" ref="GE28" si="288">((GE29*100)/$F27)/100</f>
        <v>1.9423697879471249E-2</v>
      </c>
      <c r="GF28" s="1505"/>
      <c r="GG28" s="1505"/>
      <c r="GH28" s="1505"/>
      <c r="GI28" s="1504">
        <f t="shared" ref="GI28" si="289">((GI29*100)/$F27)/100</f>
        <v>3.0214641145844174E-2</v>
      </c>
      <c r="GJ28" s="1505"/>
      <c r="GK28" s="1505"/>
      <c r="GL28" s="1505"/>
      <c r="GM28" s="1504">
        <f t="shared" ref="GM28" si="290">((GM29*100)/$F27)/100</f>
        <v>3.0214641145844174E-2</v>
      </c>
      <c r="GN28" s="1505"/>
      <c r="GO28" s="1505"/>
      <c r="GP28" s="1505"/>
      <c r="GQ28" s="1498">
        <f>((GQ29*100)/F27)/100</f>
        <v>0.60429282768139059</v>
      </c>
      <c r="GR28" s="1517"/>
    </row>
    <row r="29" spans="1:207" ht="15.75" hidden="1" thickBot="1" x14ac:dyDescent="0.3">
      <c r="A29" s="1520"/>
      <c r="B29" s="1523"/>
      <c r="C29" s="1524"/>
      <c r="D29" s="1524"/>
      <c r="E29" s="1132" t="s">
        <v>909</v>
      </c>
      <c r="F29" s="1526"/>
      <c r="G29" s="1516">
        <v>0</v>
      </c>
      <c r="H29" s="1516"/>
      <c r="I29" s="1516"/>
      <c r="J29" s="1516"/>
      <c r="K29" s="1516">
        <v>0</v>
      </c>
      <c r="L29" s="1516"/>
      <c r="M29" s="1516"/>
      <c r="N29" s="1516"/>
      <c r="O29" s="1516">
        <v>0</v>
      </c>
      <c r="P29" s="1516"/>
      <c r="Q29" s="1516"/>
      <c r="R29" s="1516"/>
      <c r="S29" s="1516">
        <v>0</v>
      </c>
      <c r="T29" s="1516"/>
      <c r="U29" s="1516"/>
      <c r="V29" s="1516"/>
      <c r="W29" s="1516">
        <v>0</v>
      </c>
      <c r="X29" s="1516"/>
      <c r="Y29" s="1516"/>
      <c r="Z29" s="1516"/>
      <c r="AA29" s="1516">
        <v>0</v>
      </c>
      <c r="AB29" s="1516"/>
      <c r="AC29" s="1516"/>
      <c r="AD29" s="1516"/>
      <c r="AE29" s="1516">
        <v>0</v>
      </c>
      <c r="AF29" s="1516"/>
      <c r="AG29" s="1516"/>
      <c r="AH29" s="1516"/>
      <c r="AI29" s="1516">
        <v>0</v>
      </c>
      <c r="AJ29" s="1516"/>
      <c r="AK29" s="1516"/>
      <c r="AL29" s="1516"/>
      <c r="AM29" s="1516">
        <v>0</v>
      </c>
      <c r="AN29" s="1516"/>
      <c r="AO29" s="1516"/>
      <c r="AP29" s="1516"/>
      <c r="AQ29" s="1516">
        <v>0</v>
      </c>
      <c r="AR29" s="1516"/>
      <c r="AS29" s="1516"/>
      <c r="AT29" s="1516"/>
      <c r="AU29" s="1516">
        <v>0</v>
      </c>
      <c r="AV29" s="1516"/>
      <c r="AW29" s="1516"/>
      <c r="AX29" s="1516"/>
      <c r="AY29" s="1516">
        <v>0</v>
      </c>
      <c r="AZ29" s="1516"/>
      <c r="BA29" s="1516"/>
      <c r="BB29" s="1516"/>
      <c r="BC29" s="1516">
        <v>0</v>
      </c>
      <c r="BD29" s="1516"/>
      <c r="BE29" s="1516"/>
      <c r="BF29" s="1516"/>
      <c r="BG29" s="1516">
        <v>0</v>
      </c>
      <c r="BH29" s="1516"/>
      <c r="BI29" s="1516"/>
      <c r="BJ29" s="1516"/>
      <c r="BK29" s="1516">
        <v>0</v>
      </c>
      <c r="BL29" s="1516"/>
      <c r="BM29" s="1516"/>
      <c r="BN29" s="1516"/>
      <c r="BO29" s="1516">
        <v>0</v>
      </c>
      <c r="BP29" s="1516"/>
      <c r="BQ29" s="1516"/>
      <c r="BR29" s="1516"/>
      <c r="BS29" s="1516">
        <v>0</v>
      </c>
      <c r="BT29" s="1516"/>
      <c r="BU29" s="1516"/>
      <c r="BV29" s="1516"/>
      <c r="BW29" s="1516">
        <v>0</v>
      </c>
      <c r="BX29" s="1516"/>
      <c r="BY29" s="1516"/>
      <c r="BZ29" s="1516"/>
      <c r="CA29" s="1516">
        <v>1384656.86</v>
      </c>
      <c r="CB29" s="1516"/>
      <c r="CC29" s="1516"/>
      <c r="CD29" s="1516"/>
      <c r="CE29" s="1516">
        <v>112967.85</v>
      </c>
      <c r="CF29" s="1516"/>
      <c r="CG29" s="1516"/>
      <c r="CH29" s="1516"/>
      <c r="CI29" s="1516">
        <v>46186</v>
      </c>
      <c r="CJ29" s="1516"/>
      <c r="CK29" s="1516"/>
      <c r="CL29" s="1516"/>
      <c r="CM29" s="1516">
        <v>102804.93</v>
      </c>
      <c r="CN29" s="1516"/>
      <c r="CO29" s="1516"/>
      <c r="CP29" s="1516"/>
      <c r="CQ29" s="1516">
        <v>31801.759999999998</v>
      </c>
      <c r="CR29" s="1516"/>
      <c r="CS29" s="1516"/>
      <c r="CT29" s="1516"/>
      <c r="CU29" s="1516">
        <v>50118.64</v>
      </c>
      <c r="CV29" s="1516"/>
      <c r="CW29" s="1516"/>
      <c r="CX29" s="1516"/>
      <c r="CY29" s="1516">
        <v>1014777.55</v>
      </c>
      <c r="CZ29" s="1516"/>
      <c r="DA29" s="1516"/>
      <c r="DB29" s="1516"/>
      <c r="DC29" s="1516">
        <v>564887.56000000006</v>
      </c>
      <c r="DD29" s="1516"/>
      <c r="DE29" s="1516"/>
      <c r="DF29" s="1516"/>
      <c r="DG29" s="1516">
        <v>278523.59000000003</v>
      </c>
      <c r="DH29" s="1516"/>
      <c r="DI29" s="1516"/>
      <c r="DJ29" s="1516"/>
      <c r="DK29" s="1516">
        <v>124430.08</v>
      </c>
      <c r="DL29" s="1516"/>
      <c r="DM29" s="1516"/>
      <c r="DN29" s="1516"/>
      <c r="DO29" s="1516">
        <v>149299.49</v>
      </c>
      <c r="DP29" s="1516"/>
      <c r="DQ29" s="1516"/>
      <c r="DR29" s="1516"/>
      <c r="DS29" s="1516">
        <v>182252.84</v>
      </c>
      <c r="DT29" s="1516"/>
      <c r="DU29" s="1516"/>
      <c r="DV29" s="1516"/>
      <c r="DW29" s="1516">
        <v>109948.71</v>
      </c>
      <c r="DX29" s="1516"/>
      <c r="DY29" s="1516"/>
      <c r="DZ29" s="1516"/>
      <c r="EA29" s="1515">
        <f>$GV29</f>
        <v>407674.85399999999</v>
      </c>
      <c r="EB29" s="1515"/>
      <c r="EC29" s="1515"/>
      <c r="ED29" s="1515"/>
      <c r="EE29" s="1515">
        <f>$GV29</f>
        <v>407674.85399999999</v>
      </c>
      <c r="EF29" s="1515"/>
      <c r="EG29" s="1515"/>
      <c r="EH29" s="1515"/>
      <c r="EI29" s="1515">
        <f>$GV29</f>
        <v>407674.85399999999</v>
      </c>
      <c r="EJ29" s="1515"/>
      <c r="EK29" s="1515"/>
      <c r="EL29" s="1515"/>
      <c r="EM29" s="1515">
        <f>$GV29</f>
        <v>407674.85399999999</v>
      </c>
      <c r="EN29" s="1515"/>
      <c r="EO29" s="1515"/>
      <c r="EP29" s="1515"/>
      <c r="EQ29" s="1515">
        <f>$GV29</f>
        <v>407674.85399999999</v>
      </c>
      <c r="ER29" s="1515"/>
      <c r="ES29" s="1515"/>
      <c r="ET29" s="1515"/>
      <c r="EU29" s="1515">
        <f>$GV29</f>
        <v>407674.85399999999</v>
      </c>
      <c r="EV29" s="1515"/>
      <c r="EW29" s="1515"/>
      <c r="EX29" s="1515"/>
      <c r="EY29" s="1515">
        <f>$GV29</f>
        <v>407674.85399999999</v>
      </c>
      <c r="EZ29" s="1515"/>
      <c r="FA29" s="1515"/>
      <c r="FB29" s="1515"/>
      <c r="FC29" s="1515">
        <f>$GV29</f>
        <v>407674.85399999999</v>
      </c>
      <c r="FD29" s="1515"/>
      <c r="FE29" s="1515"/>
      <c r="FF29" s="1515"/>
      <c r="FG29" s="1515">
        <f>$GV29</f>
        <v>407674.85399999999</v>
      </c>
      <c r="FH29" s="1515"/>
      <c r="FI29" s="1515"/>
      <c r="FJ29" s="1515"/>
      <c r="FK29" s="1515">
        <f>$GV29</f>
        <v>407674.85399999999</v>
      </c>
      <c r="FL29" s="1515"/>
      <c r="FM29" s="1515"/>
      <c r="FN29" s="1515"/>
      <c r="FO29" s="1515">
        <f>$GV29</f>
        <v>407674.85399999999</v>
      </c>
      <c r="FP29" s="1515"/>
      <c r="FQ29" s="1515"/>
      <c r="FR29" s="1515"/>
      <c r="FS29" s="1515">
        <f>$GV29</f>
        <v>407674.85399999999</v>
      </c>
      <c r="FT29" s="1515"/>
      <c r="FU29" s="1515"/>
      <c r="FV29" s="1515"/>
      <c r="FW29" s="1515">
        <f>$GV29</f>
        <v>407674.85399999999</v>
      </c>
      <c r="FX29" s="1515"/>
      <c r="FY29" s="1515"/>
      <c r="FZ29" s="1515"/>
      <c r="GA29" s="1515">
        <f>GV29/2+0.05</f>
        <v>203837.47699999998</v>
      </c>
      <c r="GB29" s="1515"/>
      <c r="GC29" s="1515"/>
      <c r="GD29" s="1515"/>
      <c r="GE29" s="1515">
        <f>GV29/2</f>
        <v>203837.427</v>
      </c>
      <c r="GF29" s="1515"/>
      <c r="GG29" s="1515"/>
      <c r="GH29" s="1515"/>
      <c r="GI29" s="1515">
        <f>$GU29</f>
        <v>317080.44200000004</v>
      </c>
      <c r="GJ29" s="1515"/>
      <c r="GK29" s="1515"/>
      <c r="GL29" s="1515"/>
      <c r="GM29" s="1515">
        <f>$GU29</f>
        <v>317080.44200000004</v>
      </c>
      <c r="GN29" s="1515"/>
      <c r="GO29" s="1515"/>
      <c r="GP29" s="1515"/>
      <c r="GQ29" s="1508">
        <f>SUM(EA29:GP29)</f>
        <v>6341608.8899999997</v>
      </c>
      <c r="GR29" s="1509"/>
      <c r="GS29" s="1127">
        <f>SUM(G29:DZ29)</f>
        <v>4152655.8599999994</v>
      </c>
      <c r="GT29" s="1128">
        <f>F27-GS29</f>
        <v>6341608.8399999999</v>
      </c>
      <c r="GU29" s="1119">
        <f>GT29*0.1/2</f>
        <v>317080.44200000004</v>
      </c>
      <c r="GV29" s="1119">
        <f>GT29*0.9/14</f>
        <v>407674.85399999999</v>
      </c>
      <c r="GX29" s="1127">
        <f>SUM(G29:GP29)</f>
        <v>10494264.750000002</v>
      </c>
      <c r="GY29" s="1128">
        <f>GX29-F27</f>
        <v>5.0000002607703209E-2</v>
      </c>
    </row>
    <row r="30" spans="1:207" x14ac:dyDescent="0.25">
      <c r="A30" s="1510" t="s">
        <v>915</v>
      </c>
      <c r="B30" s="1511"/>
      <c r="C30" s="1511"/>
      <c r="D30" s="1511"/>
      <c r="E30" s="1511"/>
      <c r="F30" s="1512">
        <f>F12+F15+F18+F21+F24+F27</f>
        <v>48187680.140000001</v>
      </c>
      <c r="G30" s="1504">
        <f>((G32*100)/F30)/100</f>
        <v>1.5667243117049542E-3</v>
      </c>
      <c r="H30" s="1505"/>
      <c r="I30" s="1505"/>
      <c r="J30" s="1505"/>
      <c r="K30" s="1504">
        <f>((K32*100)/F30)/100</f>
        <v>2.676129035997208E-3</v>
      </c>
      <c r="L30" s="1505"/>
      <c r="M30" s="1505"/>
      <c r="N30" s="1505"/>
      <c r="O30" s="1504">
        <f>((O32*100)/F30)/100</f>
        <v>1.0888685209073856E-2</v>
      </c>
      <c r="P30" s="1505"/>
      <c r="Q30" s="1505"/>
      <c r="R30" s="1505"/>
      <c r="S30" s="1504">
        <f>((S32*100)/F30)/100</f>
        <v>4.6902448788438394E-3</v>
      </c>
      <c r="T30" s="1505"/>
      <c r="U30" s="1505"/>
      <c r="V30" s="1505"/>
      <c r="W30" s="1504">
        <f>((W32*100)/F30)/100</f>
        <v>6.4327682739532691E-3</v>
      </c>
      <c r="X30" s="1505"/>
      <c r="Y30" s="1505"/>
      <c r="Z30" s="1505"/>
      <c r="AA30" s="1504">
        <f>((AA32*100)/F30)/100</f>
        <v>2.1928065367124352E-3</v>
      </c>
      <c r="AB30" s="1505"/>
      <c r="AC30" s="1505"/>
      <c r="AD30" s="1505"/>
      <c r="AE30" s="1504">
        <f>((AE32*100)/$F30)/100</f>
        <v>1.0879801403114403E-2</v>
      </c>
      <c r="AF30" s="1505"/>
      <c r="AG30" s="1505"/>
      <c r="AH30" s="1505"/>
      <c r="AI30" s="1504">
        <f t="shared" ref="AI30" si="291">((AI32*100)/$F30)/100</f>
        <v>2.3715717309482414E-3</v>
      </c>
      <c r="AJ30" s="1505"/>
      <c r="AK30" s="1505"/>
      <c r="AL30" s="1505"/>
      <c r="AM30" s="1504">
        <f t="shared" ref="AM30" si="292">((AM32*100)/$F30)/100</f>
        <v>1.1725412145976779E-2</v>
      </c>
      <c r="AN30" s="1505"/>
      <c r="AO30" s="1505"/>
      <c r="AP30" s="1505"/>
      <c r="AQ30" s="1504">
        <f t="shared" ref="AQ30:CY30" si="293">((AQ32*100)/$F30)/100</f>
        <v>1.2456708192966768E-2</v>
      </c>
      <c r="AR30" s="1505"/>
      <c r="AS30" s="1505"/>
      <c r="AT30" s="1505"/>
      <c r="AU30" s="1504">
        <f t="shared" si="293"/>
        <v>1.5734984083008399E-2</v>
      </c>
      <c r="AV30" s="1505"/>
      <c r="AW30" s="1505"/>
      <c r="AX30" s="1505"/>
      <c r="AY30" s="1504">
        <f t="shared" si="293"/>
        <v>2.2040929899805713E-2</v>
      </c>
      <c r="AZ30" s="1505"/>
      <c r="BA30" s="1505"/>
      <c r="BB30" s="1505"/>
      <c r="BC30" s="1504">
        <f t="shared" si="293"/>
        <v>8.1830023535970128E-3</v>
      </c>
      <c r="BD30" s="1505"/>
      <c r="BE30" s="1505"/>
      <c r="BF30" s="1505"/>
      <c r="BG30" s="1504">
        <f t="shared" si="293"/>
        <v>7.9845283873837877E-3</v>
      </c>
      <c r="BH30" s="1505"/>
      <c r="BI30" s="1505"/>
      <c r="BJ30" s="1505"/>
      <c r="BK30" s="1504">
        <f t="shared" si="293"/>
        <v>6.5529699517093212E-3</v>
      </c>
      <c r="BL30" s="1505"/>
      <c r="BM30" s="1505"/>
      <c r="BN30" s="1505"/>
      <c r="BO30" s="1504">
        <f t="shared" si="293"/>
        <v>4.3019848516824659E-3</v>
      </c>
      <c r="BP30" s="1505"/>
      <c r="BQ30" s="1505"/>
      <c r="BR30" s="1505"/>
      <c r="BS30" s="1504">
        <f t="shared" si="293"/>
        <v>1.6341031519098981E-3</v>
      </c>
      <c r="BT30" s="1505"/>
      <c r="BU30" s="1505"/>
      <c r="BV30" s="1505"/>
      <c r="BW30" s="1504">
        <f t="shared" si="293"/>
        <v>5.6739270121668071E-3</v>
      </c>
      <c r="BX30" s="1505"/>
      <c r="BY30" s="1505"/>
      <c r="BZ30" s="1505"/>
      <c r="CA30" s="1504">
        <f t="shared" si="293"/>
        <v>3.8571198999412963E-2</v>
      </c>
      <c r="CB30" s="1505"/>
      <c r="CC30" s="1505"/>
      <c r="CD30" s="1505"/>
      <c r="CE30" s="1504">
        <f t="shared" si="293"/>
        <v>1.8904282118446053E-2</v>
      </c>
      <c r="CF30" s="1505"/>
      <c r="CG30" s="1505"/>
      <c r="CH30" s="1505"/>
      <c r="CI30" s="1504">
        <f t="shared" si="293"/>
        <v>2.3149779710478505E-2</v>
      </c>
      <c r="CJ30" s="1505"/>
      <c r="CK30" s="1505"/>
      <c r="CL30" s="1505"/>
      <c r="CM30" s="1504">
        <f t="shared" si="293"/>
        <v>1.2708178900101747E-2</v>
      </c>
      <c r="CN30" s="1505"/>
      <c r="CO30" s="1505"/>
      <c r="CP30" s="1505"/>
      <c r="CQ30" s="1504">
        <f t="shared" si="293"/>
        <v>1.8616062599273325E-2</v>
      </c>
      <c r="CR30" s="1505"/>
      <c r="CS30" s="1505"/>
      <c r="CT30" s="1505"/>
      <c r="CU30" s="1504">
        <f t="shared" si="293"/>
        <v>1.5368694401730545E-2</v>
      </c>
      <c r="CV30" s="1505"/>
      <c r="CW30" s="1505"/>
      <c r="CX30" s="1505"/>
      <c r="CY30" s="1504">
        <f t="shared" si="293"/>
        <v>3.3557266822183233E-2</v>
      </c>
      <c r="CZ30" s="1505"/>
      <c r="DA30" s="1505"/>
      <c r="DB30" s="1505"/>
      <c r="DC30" s="1504">
        <f t="shared" ref="DC30:FK30" si="294">((DC32*100)/$F30)/100</f>
        <v>3.2140572351694867E-2</v>
      </c>
      <c r="DD30" s="1505"/>
      <c r="DE30" s="1505"/>
      <c r="DF30" s="1505"/>
      <c r="DG30" s="1504">
        <f t="shared" si="294"/>
        <v>1.8542287725910017E-2</v>
      </c>
      <c r="DH30" s="1505"/>
      <c r="DI30" s="1505"/>
      <c r="DJ30" s="1505"/>
      <c r="DK30" s="1504">
        <f t="shared" si="294"/>
        <v>1.1852900956024315E-2</v>
      </c>
      <c r="DL30" s="1505"/>
      <c r="DM30" s="1505"/>
      <c r="DN30" s="1505"/>
      <c r="DO30" s="1504">
        <f t="shared" si="294"/>
        <v>1.4278114613549853E-2</v>
      </c>
      <c r="DP30" s="1505"/>
      <c r="DQ30" s="1505"/>
      <c r="DR30" s="1505"/>
      <c r="DS30" s="1504">
        <f t="shared" si="294"/>
        <v>1.8210327773625003E-2</v>
      </c>
      <c r="DT30" s="1505"/>
      <c r="DU30" s="1505"/>
      <c r="DV30" s="1505"/>
      <c r="DW30" s="1504">
        <f t="shared" si="294"/>
        <v>1.8603573099918894E-2</v>
      </c>
      <c r="DX30" s="1505"/>
      <c r="DY30" s="1505"/>
      <c r="DZ30" s="1505"/>
      <c r="EA30" s="1504">
        <f t="shared" si="294"/>
        <v>3.7767908581575346E-2</v>
      </c>
      <c r="EB30" s="1505"/>
      <c r="EC30" s="1505"/>
      <c r="ED30" s="1505"/>
      <c r="EE30" s="1504">
        <f t="shared" si="294"/>
        <v>3.7767908581575346E-2</v>
      </c>
      <c r="EF30" s="1505"/>
      <c r="EG30" s="1505"/>
      <c r="EH30" s="1505"/>
      <c r="EI30" s="1504">
        <f t="shared" si="294"/>
        <v>3.7767908581575346E-2</v>
      </c>
      <c r="EJ30" s="1505"/>
      <c r="EK30" s="1505"/>
      <c r="EL30" s="1505"/>
      <c r="EM30" s="1504">
        <f t="shared" si="294"/>
        <v>3.7767908581575346E-2</v>
      </c>
      <c r="EN30" s="1505"/>
      <c r="EO30" s="1505"/>
      <c r="EP30" s="1505"/>
      <c r="EQ30" s="1504">
        <f t="shared" si="294"/>
        <v>3.7767908581575346E-2</v>
      </c>
      <c r="ER30" s="1505"/>
      <c r="ES30" s="1505"/>
      <c r="ET30" s="1505"/>
      <c r="EU30" s="1504">
        <f t="shared" si="294"/>
        <v>3.7767908581575346E-2</v>
      </c>
      <c r="EV30" s="1505"/>
      <c r="EW30" s="1505"/>
      <c r="EX30" s="1505"/>
      <c r="EY30" s="1504">
        <f t="shared" si="294"/>
        <v>3.7767908581575346E-2</v>
      </c>
      <c r="EZ30" s="1505"/>
      <c r="FA30" s="1505"/>
      <c r="FB30" s="1505"/>
      <c r="FC30" s="1504">
        <f t="shared" si="294"/>
        <v>3.7767908581575346E-2</v>
      </c>
      <c r="FD30" s="1505"/>
      <c r="FE30" s="1505"/>
      <c r="FF30" s="1505"/>
      <c r="FG30" s="1504">
        <f t="shared" si="294"/>
        <v>3.7767908581575346E-2</v>
      </c>
      <c r="FH30" s="1505"/>
      <c r="FI30" s="1505"/>
      <c r="FJ30" s="1505"/>
      <c r="FK30" s="1504">
        <f t="shared" si="294"/>
        <v>3.7767908581575346E-2</v>
      </c>
      <c r="FL30" s="1505"/>
      <c r="FM30" s="1505"/>
      <c r="FN30" s="1505"/>
      <c r="FO30" s="1504">
        <f t="shared" ref="FO30:GM30" si="295">((FO32*100)/$F30)/100</f>
        <v>3.7767908581575346E-2</v>
      </c>
      <c r="FP30" s="1505"/>
      <c r="FQ30" s="1505"/>
      <c r="FR30" s="1505"/>
      <c r="FS30" s="1504">
        <f t="shared" si="295"/>
        <v>3.7767908581575346E-2</v>
      </c>
      <c r="FT30" s="1505"/>
      <c r="FU30" s="1505"/>
      <c r="FV30" s="1505"/>
      <c r="FW30" s="1504">
        <f t="shared" si="295"/>
        <v>3.7767908581575346E-2</v>
      </c>
      <c r="FX30" s="1505"/>
      <c r="FY30" s="1505"/>
      <c r="FZ30" s="1505"/>
      <c r="GA30" s="1504">
        <f t="shared" si="295"/>
        <v>1.8883953668221907E-2</v>
      </c>
      <c r="GB30" s="1505"/>
      <c r="GC30" s="1505"/>
      <c r="GD30" s="1505"/>
      <c r="GE30" s="1504">
        <f t="shared" ref="GE30" si="296">((GE32*100)/$F30)/100</f>
        <v>1.8883954290787673E-2</v>
      </c>
      <c r="GF30" s="1505"/>
      <c r="GG30" s="1505"/>
      <c r="GH30" s="1505"/>
      <c r="GI30" s="1504">
        <f t="shared" si="295"/>
        <v>2.937503793267272E-2</v>
      </c>
      <c r="GJ30" s="1505"/>
      <c r="GK30" s="1505"/>
      <c r="GL30" s="1505"/>
      <c r="GM30" s="1504">
        <f t="shared" si="295"/>
        <v>2.9375040007891942E-2</v>
      </c>
      <c r="GN30" s="1505"/>
      <c r="GO30" s="1505"/>
      <c r="GP30" s="1505"/>
      <c r="GQ30" s="1506">
        <f>((GQ32*100)/F30)/100</f>
        <v>0.41922601962386175</v>
      </c>
      <c r="GR30" s="1507"/>
    </row>
    <row r="31" spans="1:207" x14ac:dyDescent="0.25">
      <c r="A31" s="1501" t="s">
        <v>916</v>
      </c>
      <c r="B31" s="1484"/>
      <c r="C31" s="1484"/>
      <c r="D31" s="1484"/>
      <c r="E31" s="1484"/>
      <c r="F31" s="1513"/>
      <c r="G31" s="1498">
        <f>G30</f>
        <v>1.5667243117049542E-3</v>
      </c>
      <c r="H31" s="1484"/>
      <c r="I31" s="1484"/>
      <c r="J31" s="1484"/>
      <c r="K31" s="1498">
        <f>G31+K30</f>
        <v>4.2428533477021618E-3</v>
      </c>
      <c r="L31" s="1484"/>
      <c r="M31" s="1484"/>
      <c r="N31" s="1484"/>
      <c r="O31" s="1499">
        <f>O30+K31</f>
        <v>1.5131538556776018E-2</v>
      </c>
      <c r="P31" s="1502"/>
      <c r="Q31" s="1502"/>
      <c r="R31" s="1503"/>
      <c r="S31" s="1499">
        <f>S30+O31</f>
        <v>1.9821783435619855E-2</v>
      </c>
      <c r="T31" s="1502"/>
      <c r="U31" s="1502"/>
      <c r="V31" s="1503"/>
      <c r="W31" s="1499">
        <f t="shared" ref="W31" si="297">W30+S31</f>
        <v>2.6254551709573123E-2</v>
      </c>
      <c r="X31" s="1502"/>
      <c r="Y31" s="1502"/>
      <c r="Z31" s="1503"/>
      <c r="AA31" s="1499">
        <f t="shared" ref="AA31" si="298">AA30+W31</f>
        <v>2.844735824628556E-2</v>
      </c>
      <c r="AB31" s="1502"/>
      <c r="AC31" s="1502"/>
      <c r="AD31" s="1503"/>
      <c r="AE31" s="1499">
        <f t="shared" ref="AE31" si="299">AE30+AA31</f>
        <v>3.9327159649399965E-2</v>
      </c>
      <c r="AF31" s="1502"/>
      <c r="AG31" s="1502"/>
      <c r="AH31" s="1503"/>
      <c r="AI31" s="1499">
        <f t="shared" ref="AI31" si="300">AI30+AE31</f>
        <v>4.1698731380348207E-2</v>
      </c>
      <c r="AJ31" s="1502"/>
      <c r="AK31" s="1502"/>
      <c r="AL31" s="1503"/>
      <c r="AM31" s="1499">
        <f t="shared" ref="AM31" si="301">AM30+AI31</f>
        <v>5.3424143526324984E-2</v>
      </c>
      <c r="AN31" s="1502"/>
      <c r="AO31" s="1502"/>
      <c r="AP31" s="1503"/>
      <c r="AQ31" s="1499">
        <f>AQ30+AM31</f>
        <v>6.5880851719291755E-2</v>
      </c>
      <c r="AR31" s="1502"/>
      <c r="AS31" s="1502"/>
      <c r="AT31" s="1503"/>
      <c r="AU31" s="1499">
        <f t="shared" ref="AU31" si="302">AU30+AQ31</f>
        <v>8.1615835802300155E-2</v>
      </c>
      <c r="AV31" s="1502"/>
      <c r="AW31" s="1502"/>
      <c r="AX31" s="1503"/>
      <c r="AY31" s="1499">
        <f t="shared" ref="AY31" si="303">AY30+AU31</f>
        <v>0.10365676570210587</v>
      </c>
      <c r="AZ31" s="1502"/>
      <c r="BA31" s="1502"/>
      <c r="BB31" s="1503"/>
      <c r="BC31" s="1499">
        <f t="shared" ref="BC31" si="304">BC30+AY31</f>
        <v>0.11183976805570288</v>
      </c>
      <c r="BD31" s="1502"/>
      <c r="BE31" s="1502"/>
      <c r="BF31" s="1503"/>
      <c r="BG31" s="1499">
        <f t="shared" ref="BG31" si="305">BG30+BC31</f>
        <v>0.11982429644308666</v>
      </c>
      <c r="BH31" s="1502"/>
      <c r="BI31" s="1502"/>
      <c r="BJ31" s="1503"/>
      <c r="BK31" s="1499">
        <f t="shared" ref="BK31" si="306">BK30+BG31</f>
        <v>0.12637726639479599</v>
      </c>
      <c r="BL31" s="1502"/>
      <c r="BM31" s="1502"/>
      <c r="BN31" s="1503"/>
      <c r="BO31" s="1499">
        <f t="shared" ref="BO31" si="307">BO30+BK31</f>
        <v>0.13067925124647845</v>
      </c>
      <c r="BP31" s="1502"/>
      <c r="BQ31" s="1502"/>
      <c r="BR31" s="1503"/>
      <c r="BS31" s="1499">
        <f t="shared" ref="BS31" si="308">BS30+BO31</f>
        <v>0.13231335439838834</v>
      </c>
      <c r="BT31" s="1502"/>
      <c r="BU31" s="1502"/>
      <c r="BV31" s="1503"/>
      <c r="BW31" s="1499">
        <f t="shared" ref="BW31" si="309">BW30+BS31</f>
        <v>0.13798728141055516</v>
      </c>
      <c r="BX31" s="1502"/>
      <c r="BY31" s="1502"/>
      <c r="BZ31" s="1503"/>
      <c r="CA31" s="1499">
        <f t="shared" ref="CA31" si="310">CA30+BW31</f>
        <v>0.17655848040996813</v>
      </c>
      <c r="CB31" s="1502"/>
      <c r="CC31" s="1502"/>
      <c r="CD31" s="1503"/>
      <c r="CE31" s="1499">
        <f t="shared" ref="CE31" si="311">CE30+CA31</f>
        <v>0.19546276252841419</v>
      </c>
      <c r="CF31" s="1502"/>
      <c r="CG31" s="1502"/>
      <c r="CH31" s="1503"/>
      <c r="CI31" s="1499">
        <f>CI30+CE31</f>
        <v>0.2186125422388927</v>
      </c>
      <c r="CJ31" s="1502"/>
      <c r="CK31" s="1502"/>
      <c r="CL31" s="1503"/>
      <c r="CM31" s="1499">
        <f t="shared" ref="CM31" si="312">CM30+CI31</f>
        <v>0.23132072113899446</v>
      </c>
      <c r="CN31" s="1502"/>
      <c r="CO31" s="1502"/>
      <c r="CP31" s="1503"/>
      <c r="CQ31" s="1499">
        <f t="shared" ref="CQ31" si="313">CQ30+CM31</f>
        <v>0.24993678373826778</v>
      </c>
      <c r="CR31" s="1502"/>
      <c r="CS31" s="1502"/>
      <c r="CT31" s="1503"/>
      <c r="CU31" s="1499">
        <f t="shared" ref="CU31" si="314">CU30+CQ31</f>
        <v>0.26530547813999833</v>
      </c>
      <c r="CV31" s="1502"/>
      <c r="CW31" s="1502"/>
      <c r="CX31" s="1503"/>
      <c r="CY31" s="1499">
        <f t="shared" ref="CY31" si="315">CY30+CU31</f>
        <v>0.29886274496218157</v>
      </c>
      <c r="CZ31" s="1502"/>
      <c r="DA31" s="1502"/>
      <c r="DB31" s="1503"/>
      <c r="DC31" s="1499">
        <f t="shared" ref="DC31" si="316">DC30+CY31</f>
        <v>0.33100331731387644</v>
      </c>
      <c r="DD31" s="1502"/>
      <c r="DE31" s="1502"/>
      <c r="DF31" s="1503"/>
      <c r="DG31" s="1499">
        <f t="shared" ref="DG31" si="317">DG30+DC31</f>
        <v>0.34954560503978649</v>
      </c>
      <c r="DH31" s="1502"/>
      <c r="DI31" s="1502"/>
      <c r="DJ31" s="1503"/>
      <c r="DK31" s="1499">
        <f t="shared" ref="DK31" si="318">DK30+DG31</f>
        <v>0.3613985059958108</v>
      </c>
      <c r="DL31" s="1502"/>
      <c r="DM31" s="1502"/>
      <c r="DN31" s="1503"/>
      <c r="DO31" s="1499">
        <f t="shared" ref="DO31" si="319">DO30+DK31</f>
        <v>0.37567662060936063</v>
      </c>
      <c r="DP31" s="1502"/>
      <c r="DQ31" s="1502"/>
      <c r="DR31" s="1503"/>
      <c r="DS31" s="1499">
        <f t="shared" ref="DS31" si="320">DS30+DO31</f>
        <v>0.39388694838298566</v>
      </c>
      <c r="DT31" s="1502"/>
      <c r="DU31" s="1502"/>
      <c r="DV31" s="1503"/>
      <c r="DW31" s="1499">
        <f t="shared" ref="DW31" si="321">DW30+DS31</f>
        <v>0.41249052148290455</v>
      </c>
      <c r="DX31" s="1502"/>
      <c r="DY31" s="1502"/>
      <c r="DZ31" s="1503"/>
      <c r="EA31" s="1499">
        <f t="shared" ref="EA31" si="322">EA30+DW31</f>
        <v>0.45025843006447991</v>
      </c>
      <c r="EB31" s="1502"/>
      <c r="EC31" s="1502"/>
      <c r="ED31" s="1503"/>
      <c r="EE31" s="1499">
        <f t="shared" ref="EE31" si="323">EE30+EA31</f>
        <v>0.48802633864605527</v>
      </c>
      <c r="EF31" s="1502"/>
      <c r="EG31" s="1502"/>
      <c r="EH31" s="1503"/>
      <c r="EI31" s="1499">
        <f t="shared" ref="EI31" si="324">EI30+EE31</f>
        <v>0.52579424722763057</v>
      </c>
      <c r="EJ31" s="1502"/>
      <c r="EK31" s="1502"/>
      <c r="EL31" s="1503"/>
      <c r="EM31" s="1498">
        <f t="shared" ref="EM31" si="325">EM30+EI31</f>
        <v>0.56356215580920588</v>
      </c>
      <c r="EN31" s="1484"/>
      <c r="EO31" s="1484"/>
      <c r="EP31" s="1484"/>
      <c r="EQ31" s="1498">
        <f t="shared" ref="EQ31" si="326">EQ30+EM31</f>
        <v>0.60133006439078118</v>
      </c>
      <c r="ER31" s="1484"/>
      <c r="ES31" s="1484"/>
      <c r="ET31" s="1484"/>
      <c r="EU31" s="1498">
        <f t="shared" ref="EU31" si="327">EU30+EQ31</f>
        <v>0.63909797297235649</v>
      </c>
      <c r="EV31" s="1484"/>
      <c r="EW31" s="1484"/>
      <c r="EX31" s="1484"/>
      <c r="EY31" s="1498">
        <f t="shared" ref="EY31" si="328">EY30+EU31</f>
        <v>0.67686588155393179</v>
      </c>
      <c r="EZ31" s="1484"/>
      <c r="FA31" s="1484"/>
      <c r="FB31" s="1484"/>
      <c r="FC31" s="1498">
        <f t="shared" ref="FC31" si="329">FC30+EY31</f>
        <v>0.7146337901355071</v>
      </c>
      <c r="FD31" s="1484"/>
      <c r="FE31" s="1484"/>
      <c r="FF31" s="1484"/>
      <c r="FG31" s="1498">
        <f t="shared" ref="FG31" si="330">FG30+FC31</f>
        <v>0.7524016987170824</v>
      </c>
      <c r="FH31" s="1484"/>
      <c r="FI31" s="1484"/>
      <c r="FJ31" s="1484"/>
      <c r="FK31" s="1498">
        <f t="shared" ref="FK31" si="331">FK30+FG31</f>
        <v>0.79016960729865771</v>
      </c>
      <c r="FL31" s="1484"/>
      <c r="FM31" s="1484"/>
      <c r="FN31" s="1484"/>
      <c r="FO31" s="1498">
        <f t="shared" ref="FO31" si="332">FO30+FK31</f>
        <v>0.82793751588023301</v>
      </c>
      <c r="FP31" s="1484"/>
      <c r="FQ31" s="1484"/>
      <c r="FR31" s="1484"/>
      <c r="FS31" s="1498">
        <f t="shared" ref="FS31" si="333">FS30+FO31</f>
        <v>0.86570542446180831</v>
      </c>
      <c r="FT31" s="1484"/>
      <c r="FU31" s="1484"/>
      <c r="FV31" s="1484"/>
      <c r="FW31" s="1498">
        <f t="shared" ref="FW31" si="334">FW30+FS31</f>
        <v>0.90347333304338362</v>
      </c>
      <c r="FX31" s="1484"/>
      <c r="FY31" s="1484"/>
      <c r="FZ31" s="1484"/>
      <c r="GA31" s="1498">
        <f t="shared" ref="GA31" si="335">GA30+FW31</f>
        <v>0.92235728671160555</v>
      </c>
      <c r="GB31" s="1484"/>
      <c r="GC31" s="1484"/>
      <c r="GD31" s="1484"/>
      <c r="GE31" s="1498">
        <f t="shared" ref="GE31" si="336">GE30+FW31</f>
        <v>0.92235728733417133</v>
      </c>
      <c r="GF31" s="1484"/>
      <c r="GG31" s="1484"/>
      <c r="GH31" s="1484"/>
      <c r="GI31" s="1498">
        <f t="shared" ref="GI31" si="337">GI30+GA31</f>
        <v>0.95173232464427826</v>
      </c>
      <c r="GJ31" s="1484"/>
      <c r="GK31" s="1484"/>
      <c r="GL31" s="1484"/>
      <c r="GM31" s="1498">
        <f t="shared" ref="GM31" si="338">GM30+GI31</f>
        <v>0.98110736465217019</v>
      </c>
      <c r="GN31" s="1484"/>
      <c r="GO31" s="1484"/>
      <c r="GP31" s="1484"/>
      <c r="GQ31" s="1499">
        <f>GQ30</f>
        <v>0.41922601962386175</v>
      </c>
      <c r="GR31" s="1500"/>
    </row>
    <row r="32" spans="1:207" x14ac:dyDescent="0.25">
      <c r="A32" s="1501" t="s">
        <v>917</v>
      </c>
      <c r="B32" s="1484"/>
      <c r="C32" s="1484"/>
      <c r="D32" s="1484"/>
      <c r="E32" s="1484"/>
      <c r="F32" s="1513"/>
      <c r="G32" s="1488">
        <v>75496.81</v>
      </c>
      <c r="H32" s="1489"/>
      <c r="I32" s="1489"/>
      <c r="J32" s="1490"/>
      <c r="K32" s="1488">
        <v>128956.45</v>
      </c>
      <c r="L32" s="1489"/>
      <c r="M32" s="1489"/>
      <c r="N32" s="1490"/>
      <c r="O32" s="1488">
        <v>524700.48</v>
      </c>
      <c r="P32" s="1489"/>
      <c r="Q32" s="1489"/>
      <c r="R32" s="1490"/>
      <c r="S32" s="1488">
        <f>S14+S17+S20+S23+S26</f>
        <v>226012.02000000002</v>
      </c>
      <c r="T32" s="1489"/>
      <c r="U32" s="1489"/>
      <c r="V32" s="1490"/>
      <c r="W32" s="1488">
        <v>309980.18</v>
      </c>
      <c r="X32" s="1489"/>
      <c r="Y32" s="1489"/>
      <c r="Z32" s="1490"/>
      <c r="AA32" s="1488">
        <f>AA14+AA17+AA20+AA23+AA26</f>
        <v>105666.26</v>
      </c>
      <c r="AB32" s="1489"/>
      <c r="AC32" s="1489"/>
      <c r="AD32" s="1490"/>
      <c r="AE32" s="1488">
        <v>524272.39</v>
      </c>
      <c r="AF32" s="1489"/>
      <c r="AG32" s="1489"/>
      <c r="AH32" s="1490"/>
      <c r="AI32" s="1488">
        <v>114280.54</v>
      </c>
      <c r="AJ32" s="1489"/>
      <c r="AK32" s="1489"/>
      <c r="AL32" s="1490"/>
      <c r="AM32" s="1488">
        <f>AM14+AM17+AM20+AM23+AM26</f>
        <v>565020.41</v>
      </c>
      <c r="AN32" s="1489"/>
      <c r="AO32" s="1489"/>
      <c r="AP32" s="1490"/>
      <c r="AQ32" s="1488">
        <f>AQ14+AQ17+AQ20+AQ23+AQ26</f>
        <v>600259.87</v>
      </c>
      <c r="AR32" s="1489"/>
      <c r="AS32" s="1489"/>
      <c r="AT32" s="1490"/>
      <c r="AU32" s="1488">
        <f>AU14+AU17+AU20+AU23+AU26</f>
        <v>758232.38</v>
      </c>
      <c r="AV32" s="1489"/>
      <c r="AW32" s="1489"/>
      <c r="AX32" s="1490"/>
      <c r="AY32" s="1488">
        <f>AY14+AY17+AY20+AY23+AY26</f>
        <v>1062101.28</v>
      </c>
      <c r="AZ32" s="1489"/>
      <c r="BA32" s="1489"/>
      <c r="BB32" s="1490"/>
      <c r="BC32" s="1488">
        <f>BC14+BC17+BC20+BC23+BC26</f>
        <v>394319.9</v>
      </c>
      <c r="BD32" s="1489"/>
      <c r="BE32" s="1489"/>
      <c r="BF32" s="1490"/>
      <c r="BG32" s="1488">
        <f>BG14+BG17+BG20+BG23+BG26</f>
        <v>384755.9</v>
      </c>
      <c r="BH32" s="1489"/>
      <c r="BI32" s="1489"/>
      <c r="BJ32" s="1490"/>
      <c r="BK32" s="1488">
        <f>BK14+BK17+BK20+BK23+BK26</f>
        <v>315772.42</v>
      </c>
      <c r="BL32" s="1489"/>
      <c r="BM32" s="1489"/>
      <c r="BN32" s="1490"/>
      <c r="BO32" s="1488">
        <f>BO14+BO17+BO20+BO23+BO26</f>
        <v>207302.66999999998</v>
      </c>
      <c r="BP32" s="1489"/>
      <c r="BQ32" s="1489"/>
      <c r="BR32" s="1490"/>
      <c r="BS32" s="1488">
        <f>BS26+BS17</f>
        <v>78743.64</v>
      </c>
      <c r="BT32" s="1489"/>
      <c r="BU32" s="1489"/>
      <c r="BV32" s="1490"/>
      <c r="BW32" s="1488">
        <f>BW14+BW17+BW20+BW23+BW26+BW29</f>
        <v>273413.38</v>
      </c>
      <c r="BX32" s="1489"/>
      <c r="BY32" s="1489"/>
      <c r="BZ32" s="1490"/>
      <c r="CA32" s="1488">
        <v>1858656.6</v>
      </c>
      <c r="CB32" s="1489"/>
      <c r="CC32" s="1489"/>
      <c r="CD32" s="1490"/>
      <c r="CE32" s="1488">
        <f>CE14+CE17+CE20+CE23+CE26+CE29</f>
        <v>910953.5</v>
      </c>
      <c r="CF32" s="1489"/>
      <c r="CG32" s="1489"/>
      <c r="CH32" s="1490"/>
      <c r="CI32" s="1488">
        <f>CI14+CI17+CI20+CI23+CI26+CI29</f>
        <v>1115534.18</v>
      </c>
      <c r="CJ32" s="1489"/>
      <c r="CK32" s="1489"/>
      <c r="CL32" s="1490"/>
      <c r="CM32" s="1488">
        <f>CM14+CM17+CM20+CM23+CM26+CM29</f>
        <v>612377.66</v>
      </c>
      <c r="CN32" s="1489"/>
      <c r="CO32" s="1489"/>
      <c r="CP32" s="1490"/>
      <c r="CQ32" s="1488">
        <f>CQ14+CQ17+CQ20+CQ23+CQ26+CQ29</f>
        <v>897064.87</v>
      </c>
      <c r="CR32" s="1489"/>
      <c r="CS32" s="1489"/>
      <c r="CT32" s="1490"/>
      <c r="CU32" s="1488">
        <f>CU14+CU17+CU20+CU23+CU26+CU29</f>
        <v>740581.7300000001</v>
      </c>
      <c r="CV32" s="1489"/>
      <c r="CW32" s="1489"/>
      <c r="CX32" s="1490"/>
      <c r="CY32" s="1488">
        <f>CY14+CY17+CY20+CY23+CY26+CY29</f>
        <v>1617046.84</v>
      </c>
      <c r="CZ32" s="1489"/>
      <c r="DA32" s="1489"/>
      <c r="DB32" s="1490"/>
      <c r="DC32" s="1488">
        <f>DC14+DC17+DC20+DC23+DC26+DC29</f>
        <v>1548779.62</v>
      </c>
      <c r="DD32" s="1489"/>
      <c r="DE32" s="1489"/>
      <c r="DF32" s="1490"/>
      <c r="DG32" s="1488">
        <f>DG14+DG17+DG20+DG23+DG26+DG29</f>
        <v>893509.83000000007</v>
      </c>
      <c r="DH32" s="1489"/>
      <c r="DI32" s="1489"/>
      <c r="DJ32" s="1490"/>
      <c r="DK32" s="1488">
        <f>DK14+DK17+DK20+DK23+DK26+DK29</f>
        <v>571163.79999999993</v>
      </c>
      <c r="DL32" s="1489"/>
      <c r="DM32" s="1489"/>
      <c r="DN32" s="1490"/>
      <c r="DO32" s="1488">
        <f>DO14+DO17+DO20+DO23+DO26+DO29</f>
        <v>688029.22</v>
      </c>
      <c r="DP32" s="1489"/>
      <c r="DQ32" s="1489"/>
      <c r="DR32" s="1490"/>
      <c r="DS32" s="1488">
        <f>DS14+DS17+DS20+DS23+DS26+DS29</f>
        <v>877513.45</v>
      </c>
      <c r="DT32" s="1489"/>
      <c r="DU32" s="1489"/>
      <c r="DV32" s="1490"/>
      <c r="DW32" s="1488">
        <f>DW14+DW17+DW20+DW23+DW26+DW29</f>
        <v>896463.02999999991</v>
      </c>
      <c r="DX32" s="1489"/>
      <c r="DY32" s="1489"/>
      <c r="DZ32" s="1490"/>
      <c r="EA32" s="1488">
        <f t="shared" ref="EA32" si="339">EA14+EA17+EA20+EA23+EA26+EA29</f>
        <v>1819947.8982857142</v>
      </c>
      <c r="EB32" s="1489"/>
      <c r="EC32" s="1489"/>
      <c r="ED32" s="1490"/>
      <c r="EE32" s="1488">
        <f t="shared" ref="EE32" si="340">EE14+EE17+EE20+EE23+EE26+EE29</f>
        <v>1819947.8982857142</v>
      </c>
      <c r="EF32" s="1489"/>
      <c r="EG32" s="1489"/>
      <c r="EH32" s="1490"/>
      <c r="EI32" s="1488">
        <f t="shared" ref="EI32" si="341">EI14+EI17+EI20+EI23+EI26+EI29</f>
        <v>1819947.8982857142</v>
      </c>
      <c r="EJ32" s="1489"/>
      <c r="EK32" s="1489"/>
      <c r="EL32" s="1490"/>
      <c r="EM32" s="1488">
        <f t="shared" ref="EM32" si="342">EM14+EM17+EM20+EM23+EM26+EM29</f>
        <v>1819947.8982857142</v>
      </c>
      <c r="EN32" s="1489"/>
      <c r="EO32" s="1489"/>
      <c r="EP32" s="1490"/>
      <c r="EQ32" s="1488">
        <f t="shared" ref="EQ32" si="343">EQ14+EQ17+EQ20+EQ23+EQ26+EQ29</f>
        <v>1819947.8982857142</v>
      </c>
      <c r="ER32" s="1489"/>
      <c r="ES32" s="1489"/>
      <c r="ET32" s="1490"/>
      <c r="EU32" s="1488">
        <f t="shared" ref="EU32" si="344">EU14+EU17+EU20+EU23+EU26+EU29</f>
        <v>1819947.8982857142</v>
      </c>
      <c r="EV32" s="1489"/>
      <c r="EW32" s="1489"/>
      <c r="EX32" s="1490"/>
      <c r="EY32" s="1488">
        <f t="shared" ref="EY32" si="345">EY14+EY17+EY20+EY23+EY26+EY29</f>
        <v>1819947.8982857142</v>
      </c>
      <c r="EZ32" s="1489"/>
      <c r="FA32" s="1489"/>
      <c r="FB32" s="1490"/>
      <c r="FC32" s="1488">
        <f t="shared" ref="FC32" si="346">FC14+FC17+FC20+FC23+FC26+FC29</f>
        <v>1819947.8982857142</v>
      </c>
      <c r="FD32" s="1489"/>
      <c r="FE32" s="1489"/>
      <c r="FF32" s="1490"/>
      <c r="FG32" s="1488">
        <f t="shared" ref="FG32" si="347">FG14+FG17+FG20+FG23+FG26+FG29</f>
        <v>1819947.8982857142</v>
      </c>
      <c r="FH32" s="1489"/>
      <c r="FI32" s="1489"/>
      <c r="FJ32" s="1490"/>
      <c r="FK32" s="1488">
        <f t="shared" ref="FK32" si="348">FK14+FK17+FK20+FK23+FK26+FK29</f>
        <v>1819947.8982857142</v>
      </c>
      <c r="FL32" s="1489"/>
      <c r="FM32" s="1489"/>
      <c r="FN32" s="1490"/>
      <c r="FO32" s="1488">
        <f t="shared" ref="FO32" si="349">FO14+FO17+FO20+FO23+FO26+FO29</f>
        <v>1819947.8982857142</v>
      </c>
      <c r="FP32" s="1489"/>
      <c r="FQ32" s="1489"/>
      <c r="FR32" s="1490"/>
      <c r="FS32" s="1488">
        <f t="shared" ref="FS32" si="350">FS14+FS17+FS20+FS23+FS26+FS29</f>
        <v>1819947.8982857142</v>
      </c>
      <c r="FT32" s="1489"/>
      <c r="FU32" s="1489"/>
      <c r="FV32" s="1490"/>
      <c r="FW32" s="1488">
        <f t="shared" ref="FW32:GM32" si="351">FW14+FW17+FW20+FW23+FW26+FW29</f>
        <v>1819947.8982857142</v>
      </c>
      <c r="FX32" s="1489"/>
      <c r="FY32" s="1489"/>
      <c r="FZ32" s="1490"/>
      <c r="GA32" s="1488">
        <f t="shared" si="351"/>
        <v>909973.91914285696</v>
      </c>
      <c r="GB32" s="1489"/>
      <c r="GC32" s="1489"/>
      <c r="GD32" s="1490"/>
      <c r="GE32" s="1488">
        <f t="shared" si="351"/>
        <v>909973.94914285711</v>
      </c>
      <c r="GF32" s="1489"/>
      <c r="GG32" s="1489"/>
      <c r="GH32" s="1490"/>
      <c r="GI32" s="1488">
        <f t="shared" si="351"/>
        <v>1415514.932</v>
      </c>
      <c r="GJ32" s="1489"/>
      <c r="GK32" s="1489"/>
      <c r="GL32" s="1490"/>
      <c r="GM32" s="1488">
        <f t="shared" si="351"/>
        <v>1415515.0319999999</v>
      </c>
      <c r="GN32" s="1489"/>
      <c r="GO32" s="1489"/>
      <c r="GP32" s="1490"/>
      <c r="GQ32" s="1488">
        <f>'[3]11 - FINANCEIRO'!M306</f>
        <v>20201529.340000011</v>
      </c>
      <c r="GR32" s="1497"/>
    </row>
    <row r="33" spans="1:202" ht="15.75" thickBot="1" x14ac:dyDescent="0.3">
      <c r="A33" s="1496" t="s">
        <v>918</v>
      </c>
      <c r="B33" s="1486"/>
      <c r="C33" s="1486"/>
      <c r="D33" s="1486"/>
      <c r="E33" s="1486"/>
      <c r="F33" s="1514"/>
      <c r="G33" s="1487">
        <f>G32</f>
        <v>75496.81</v>
      </c>
      <c r="H33" s="1486"/>
      <c r="I33" s="1486"/>
      <c r="J33" s="1486"/>
      <c r="K33" s="1487">
        <f>K32+G33</f>
        <v>204453.26</v>
      </c>
      <c r="L33" s="1486"/>
      <c r="M33" s="1486"/>
      <c r="N33" s="1486"/>
      <c r="O33" s="1487">
        <f>O32+K33</f>
        <v>729153.74</v>
      </c>
      <c r="P33" s="1486"/>
      <c r="Q33" s="1486"/>
      <c r="R33" s="1486"/>
      <c r="S33" s="1487">
        <f>S32+O33</f>
        <v>955165.76</v>
      </c>
      <c r="T33" s="1486"/>
      <c r="U33" s="1486"/>
      <c r="V33" s="1486"/>
      <c r="W33" s="1487">
        <f>W32+S33</f>
        <v>1265145.94</v>
      </c>
      <c r="X33" s="1486"/>
      <c r="Y33" s="1486"/>
      <c r="Z33" s="1486"/>
      <c r="AA33" s="1487">
        <f>AA32+W33</f>
        <v>1370812.2</v>
      </c>
      <c r="AB33" s="1486"/>
      <c r="AC33" s="1486"/>
      <c r="AD33" s="1486"/>
      <c r="AE33" s="1487">
        <f t="shared" ref="AE33" si="352">AE32+AA33</f>
        <v>1895084.5899999999</v>
      </c>
      <c r="AF33" s="1486"/>
      <c r="AG33" s="1486"/>
      <c r="AH33" s="1486"/>
      <c r="AI33" s="1487">
        <f t="shared" ref="AI33" si="353">AI32+AE33</f>
        <v>2009365.13</v>
      </c>
      <c r="AJ33" s="1486"/>
      <c r="AK33" s="1486"/>
      <c r="AL33" s="1486"/>
      <c r="AM33" s="1487">
        <f t="shared" ref="AM33" si="354">AM32+AI33</f>
        <v>2574385.54</v>
      </c>
      <c r="AN33" s="1486"/>
      <c r="AO33" s="1486"/>
      <c r="AP33" s="1486"/>
      <c r="AQ33" s="1487">
        <f t="shared" ref="AQ33" si="355">AQ32+AM33</f>
        <v>3174645.41</v>
      </c>
      <c r="AR33" s="1486"/>
      <c r="AS33" s="1486"/>
      <c r="AT33" s="1486"/>
      <c r="AU33" s="1487">
        <f t="shared" ref="AU33" si="356">AU32+AQ33</f>
        <v>3932877.79</v>
      </c>
      <c r="AV33" s="1486"/>
      <c r="AW33" s="1486"/>
      <c r="AX33" s="1486"/>
      <c r="AY33" s="1487">
        <f t="shared" ref="AY33" si="357">AY32+AU33</f>
        <v>4994979.07</v>
      </c>
      <c r="AZ33" s="1486"/>
      <c r="BA33" s="1486"/>
      <c r="BB33" s="1486"/>
      <c r="BC33" s="1487">
        <f t="shared" ref="BC33" si="358">BC32+AY33</f>
        <v>5389298.9700000007</v>
      </c>
      <c r="BD33" s="1486"/>
      <c r="BE33" s="1486"/>
      <c r="BF33" s="1486"/>
      <c r="BG33" s="1487">
        <f t="shared" ref="BG33" si="359">BG32+BC33</f>
        <v>5774054.870000001</v>
      </c>
      <c r="BH33" s="1486"/>
      <c r="BI33" s="1486"/>
      <c r="BJ33" s="1486"/>
      <c r="BK33" s="1487">
        <f t="shared" ref="BK33" si="360">BK32+BG33</f>
        <v>6089827.290000001</v>
      </c>
      <c r="BL33" s="1486"/>
      <c r="BM33" s="1486"/>
      <c r="BN33" s="1486"/>
      <c r="BO33" s="1487">
        <f t="shared" ref="BO33" si="361">BO32+BK33</f>
        <v>6297129.9600000009</v>
      </c>
      <c r="BP33" s="1486"/>
      <c r="BQ33" s="1486"/>
      <c r="BR33" s="1486"/>
      <c r="BS33" s="1487">
        <f t="shared" ref="BS33" si="362">BS32+BO33</f>
        <v>6375873.6000000006</v>
      </c>
      <c r="BT33" s="1486"/>
      <c r="BU33" s="1486"/>
      <c r="BV33" s="1486"/>
      <c r="BW33" s="1487">
        <f t="shared" ref="BW33" si="363">BW32+BS33</f>
        <v>6649286.9800000004</v>
      </c>
      <c r="BX33" s="1486"/>
      <c r="BY33" s="1486"/>
      <c r="BZ33" s="1486"/>
      <c r="CA33" s="1487">
        <f t="shared" ref="CA33" si="364">CA32+BW33</f>
        <v>8507943.5800000001</v>
      </c>
      <c r="CB33" s="1486"/>
      <c r="CC33" s="1486"/>
      <c r="CD33" s="1486"/>
      <c r="CE33" s="1487">
        <f t="shared" ref="CE33" si="365">CE32+CA33</f>
        <v>9418897.0800000001</v>
      </c>
      <c r="CF33" s="1486"/>
      <c r="CG33" s="1486"/>
      <c r="CH33" s="1486"/>
      <c r="CI33" s="1487">
        <f t="shared" ref="CI33" si="366">CI32+CE33</f>
        <v>10534431.26</v>
      </c>
      <c r="CJ33" s="1486"/>
      <c r="CK33" s="1486"/>
      <c r="CL33" s="1486"/>
      <c r="CM33" s="1487">
        <f t="shared" ref="CM33" si="367">CM32+CI33</f>
        <v>11146808.92</v>
      </c>
      <c r="CN33" s="1486"/>
      <c r="CO33" s="1486"/>
      <c r="CP33" s="1486"/>
      <c r="CQ33" s="1487">
        <f t="shared" ref="CQ33" si="368">CQ32+CM33</f>
        <v>12043873.789999999</v>
      </c>
      <c r="CR33" s="1486"/>
      <c r="CS33" s="1486"/>
      <c r="CT33" s="1486"/>
      <c r="CU33" s="1487">
        <f t="shared" ref="CU33" si="369">CU32+CQ33</f>
        <v>12784455.52</v>
      </c>
      <c r="CV33" s="1486"/>
      <c r="CW33" s="1486"/>
      <c r="CX33" s="1486"/>
      <c r="CY33" s="1487">
        <f t="shared" ref="CY33" si="370">CY32+CU33</f>
        <v>14401502.359999999</v>
      </c>
      <c r="CZ33" s="1486"/>
      <c r="DA33" s="1486"/>
      <c r="DB33" s="1486"/>
      <c r="DC33" s="1487">
        <f t="shared" ref="DC33" si="371">DC32+CY33</f>
        <v>15950281.98</v>
      </c>
      <c r="DD33" s="1486"/>
      <c r="DE33" s="1486"/>
      <c r="DF33" s="1486"/>
      <c r="DG33" s="1487">
        <f t="shared" ref="DG33" si="372">DG32+DC33</f>
        <v>16843791.810000002</v>
      </c>
      <c r="DH33" s="1486"/>
      <c r="DI33" s="1486"/>
      <c r="DJ33" s="1486"/>
      <c r="DK33" s="1487">
        <f t="shared" ref="DK33" si="373">DK32+DG33</f>
        <v>17414955.610000003</v>
      </c>
      <c r="DL33" s="1486"/>
      <c r="DM33" s="1486"/>
      <c r="DN33" s="1486"/>
      <c r="DO33" s="1487">
        <f t="shared" ref="DO33" si="374">DO32+DK33</f>
        <v>18102984.830000002</v>
      </c>
      <c r="DP33" s="1486"/>
      <c r="DQ33" s="1486"/>
      <c r="DR33" s="1486"/>
      <c r="DS33" s="1487">
        <f t="shared" ref="DS33" si="375">DS32+DO33</f>
        <v>18980498.280000001</v>
      </c>
      <c r="DT33" s="1486"/>
      <c r="DU33" s="1486"/>
      <c r="DV33" s="1486"/>
      <c r="DW33" s="1487">
        <f t="shared" ref="DW33" si="376">DW32+DS33</f>
        <v>19876961.310000002</v>
      </c>
      <c r="DX33" s="1486"/>
      <c r="DY33" s="1486"/>
      <c r="DZ33" s="1486"/>
      <c r="EA33" s="1487">
        <f t="shared" ref="EA33" si="377">EA32+DW33</f>
        <v>21696909.208285715</v>
      </c>
      <c r="EB33" s="1486"/>
      <c r="EC33" s="1486"/>
      <c r="ED33" s="1486"/>
      <c r="EE33" s="1487">
        <f t="shared" ref="EE33" si="378">EE32+EA33</f>
        <v>23516857.106571428</v>
      </c>
      <c r="EF33" s="1486"/>
      <c r="EG33" s="1486"/>
      <c r="EH33" s="1486"/>
      <c r="EI33" s="1487">
        <f t="shared" ref="EI33" si="379">EI32+EE33</f>
        <v>25336805.004857142</v>
      </c>
      <c r="EJ33" s="1486"/>
      <c r="EK33" s="1486"/>
      <c r="EL33" s="1486"/>
      <c r="EM33" s="1487">
        <f t="shared" ref="EM33" si="380">EM32+EI33</f>
        <v>27156752.903142855</v>
      </c>
      <c r="EN33" s="1486"/>
      <c r="EO33" s="1486"/>
      <c r="EP33" s="1486"/>
      <c r="EQ33" s="1487">
        <f t="shared" ref="EQ33" si="381">EQ32+EM33</f>
        <v>28976700.801428568</v>
      </c>
      <c r="ER33" s="1486"/>
      <c r="ES33" s="1486"/>
      <c r="ET33" s="1486"/>
      <c r="EU33" s="1487">
        <f t="shared" ref="EU33" si="382">EU32+EQ33</f>
        <v>30796648.699714281</v>
      </c>
      <c r="EV33" s="1486"/>
      <c r="EW33" s="1486"/>
      <c r="EX33" s="1486"/>
      <c r="EY33" s="1487">
        <f t="shared" ref="EY33" si="383">EY32+EU33</f>
        <v>32616596.597999994</v>
      </c>
      <c r="EZ33" s="1486"/>
      <c r="FA33" s="1486"/>
      <c r="FB33" s="1486"/>
      <c r="FC33" s="1487">
        <f t="shared" ref="FC33" si="384">FC32+EY33</f>
        <v>34436544.496285707</v>
      </c>
      <c r="FD33" s="1486"/>
      <c r="FE33" s="1486"/>
      <c r="FF33" s="1486"/>
      <c r="FG33" s="1487">
        <f t="shared" ref="FG33" si="385">FG32+FC33</f>
        <v>36256492.394571424</v>
      </c>
      <c r="FH33" s="1486"/>
      <c r="FI33" s="1486"/>
      <c r="FJ33" s="1486"/>
      <c r="FK33" s="1487">
        <f t="shared" ref="FK33" si="386">FK32+FG33</f>
        <v>38076440.29285714</v>
      </c>
      <c r="FL33" s="1486"/>
      <c r="FM33" s="1486"/>
      <c r="FN33" s="1486"/>
      <c r="FO33" s="1487">
        <f t="shared" ref="FO33" si="387">FO32+FK33</f>
        <v>39896388.191142857</v>
      </c>
      <c r="FP33" s="1486"/>
      <c r="FQ33" s="1486"/>
      <c r="FR33" s="1486"/>
      <c r="FS33" s="1487">
        <f>FS32+FO33+418.189999997616</f>
        <v>41716754.279428571</v>
      </c>
      <c r="FT33" s="1486"/>
      <c r="FU33" s="1486"/>
      <c r="FV33" s="1486"/>
      <c r="FW33" s="1487">
        <f t="shared" ref="FW33" si="388">FW32+FS33</f>
        <v>43536702.177714288</v>
      </c>
      <c r="FX33" s="1486"/>
      <c r="FY33" s="1486"/>
      <c r="FZ33" s="1486"/>
      <c r="GA33" s="1487">
        <f t="shared" ref="GA33" si="389">GA32+FW33</f>
        <v>44446676.096857145</v>
      </c>
      <c r="GB33" s="1486"/>
      <c r="GC33" s="1486"/>
      <c r="GD33" s="1486"/>
      <c r="GE33" s="1487">
        <f t="shared" ref="GE33" si="390">GE32+GA33</f>
        <v>45356650.046000004</v>
      </c>
      <c r="GF33" s="1486"/>
      <c r="GG33" s="1486"/>
      <c r="GH33" s="1486"/>
      <c r="GI33" s="1487">
        <f t="shared" ref="GI33" si="391">GI32+GE33</f>
        <v>46772164.978</v>
      </c>
      <c r="GJ33" s="1486"/>
      <c r="GK33" s="1486"/>
      <c r="GL33" s="1486"/>
      <c r="GM33" s="1487">
        <f>GM32+GI33+0.13</f>
        <v>48187680.140000001</v>
      </c>
      <c r="GN33" s="1486"/>
      <c r="GO33" s="1486"/>
      <c r="GP33" s="1486"/>
      <c r="GQ33" s="1494">
        <f>GQ32</f>
        <v>20201529.340000011</v>
      </c>
      <c r="GR33" s="1495"/>
      <c r="GS33" s="1128">
        <f>F30-GM33</f>
        <v>0</v>
      </c>
      <c r="GT33" s="1119">
        <v>418.18999999761598</v>
      </c>
    </row>
    <row r="34" spans="1:202" x14ac:dyDescent="0.25">
      <c r="A34" s="1483" t="s">
        <v>1275</v>
      </c>
      <c r="B34" s="1484"/>
      <c r="C34" s="1484"/>
      <c r="D34" s="1484"/>
      <c r="E34" s="1484"/>
      <c r="F34" s="1481"/>
      <c r="G34" s="1488">
        <v>75496.81</v>
      </c>
      <c r="H34" s="1489"/>
      <c r="I34" s="1489"/>
      <c r="J34" s="1490"/>
      <c r="K34" s="1488">
        <v>128956.45</v>
      </c>
      <c r="L34" s="1489"/>
      <c r="M34" s="1489"/>
      <c r="N34" s="1490"/>
      <c r="O34" s="1488">
        <v>524700.48</v>
      </c>
      <c r="P34" s="1489"/>
      <c r="Q34" s="1489"/>
      <c r="R34" s="1490"/>
      <c r="S34" s="1493">
        <v>226012.02</v>
      </c>
      <c r="T34" s="1489"/>
      <c r="U34" s="1489"/>
      <c r="V34" s="1490"/>
      <c r="W34" s="1488">
        <v>309980.18</v>
      </c>
      <c r="X34" s="1489"/>
      <c r="Y34" s="1489"/>
      <c r="Z34" s="1490"/>
      <c r="AA34" s="1488">
        <v>105666.26</v>
      </c>
      <c r="AB34" s="1489"/>
      <c r="AC34" s="1489"/>
      <c r="AD34" s="1490"/>
      <c r="AE34" s="1493">
        <v>524272.39</v>
      </c>
      <c r="AF34" s="1489"/>
      <c r="AG34" s="1489"/>
      <c r="AH34" s="1490"/>
      <c r="AI34" s="1488">
        <v>114280.54</v>
      </c>
      <c r="AJ34" s="1489"/>
      <c r="AK34" s="1489"/>
      <c r="AL34" s="1490"/>
      <c r="AM34" s="1488">
        <v>565020.41</v>
      </c>
      <c r="AN34" s="1489"/>
      <c r="AO34" s="1489"/>
      <c r="AP34" s="1490"/>
      <c r="AQ34" s="1488">
        <v>600259.87</v>
      </c>
      <c r="AR34" s="1489"/>
      <c r="AS34" s="1489"/>
      <c r="AT34" s="1490"/>
      <c r="AU34" s="1488">
        <v>758232.38</v>
      </c>
      <c r="AV34" s="1489"/>
      <c r="AW34" s="1489"/>
      <c r="AX34" s="1490"/>
      <c r="AY34" s="1488">
        <v>1062101.28</v>
      </c>
      <c r="AZ34" s="1489"/>
      <c r="BA34" s="1489"/>
      <c r="BB34" s="1490"/>
      <c r="BC34" s="1488">
        <v>394319.9</v>
      </c>
      <c r="BD34" s="1489"/>
      <c r="BE34" s="1489"/>
      <c r="BF34" s="1490"/>
      <c r="BG34" s="1488">
        <v>384755.9</v>
      </c>
      <c r="BH34" s="1489"/>
      <c r="BI34" s="1489"/>
      <c r="BJ34" s="1490"/>
      <c r="BK34" s="1488">
        <v>315772.42</v>
      </c>
      <c r="BL34" s="1489"/>
      <c r="BM34" s="1489"/>
      <c r="BN34" s="1490"/>
      <c r="BO34" s="1488">
        <v>207302.67</v>
      </c>
      <c r="BP34" s="1489"/>
      <c r="BQ34" s="1489"/>
      <c r="BR34" s="1490"/>
      <c r="BS34" s="1488">
        <v>78743.64</v>
      </c>
      <c r="BT34" s="1489"/>
      <c r="BU34" s="1489"/>
      <c r="BV34" s="1490"/>
      <c r="BW34" s="1488">
        <v>273413.38</v>
      </c>
      <c r="BX34" s="1489"/>
      <c r="BY34" s="1489"/>
      <c r="BZ34" s="1490"/>
      <c r="CA34" s="1488">
        <v>1858656.6</v>
      </c>
      <c r="CB34" s="1489"/>
      <c r="CC34" s="1489"/>
      <c r="CD34" s="1490"/>
      <c r="CE34" s="1488">
        <v>910953.5</v>
      </c>
      <c r="CF34" s="1489"/>
      <c r="CG34" s="1489"/>
      <c r="CH34" s="1490"/>
      <c r="CI34" s="1488">
        <v>1115534.18</v>
      </c>
      <c r="CJ34" s="1489"/>
      <c r="CK34" s="1489"/>
      <c r="CL34" s="1490"/>
      <c r="CM34" s="1488">
        <v>612377.66</v>
      </c>
      <c r="CN34" s="1489"/>
      <c r="CO34" s="1489"/>
      <c r="CP34" s="1490"/>
      <c r="CQ34" s="1488">
        <v>897604.87</v>
      </c>
      <c r="CR34" s="1489"/>
      <c r="CS34" s="1489"/>
      <c r="CT34" s="1490"/>
      <c r="CU34" s="1488">
        <v>740581.73</v>
      </c>
      <c r="CV34" s="1489"/>
      <c r="CW34" s="1489"/>
      <c r="CX34" s="1490"/>
      <c r="CY34" s="1488">
        <v>1617046.84</v>
      </c>
      <c r="CZ34" s="1489"/>
      <c r="DA34" s="1489"/>
      <c r="DB34" s="1490"/>
      <c r="DC34" s="1488">
        <v>1548046.84</v>
      </c>
      <c r="DD34" s="1489"/>
      <c r="DE34" s="1489"/>
      <c r="DF34" s="1490"/>
      <c r="DG34" s="1488">
        <v>893509.83</v>
      </c>
      <c r="DH34" s="1489"/>
      <c r="DI34" s="1489"/>
      <c r="DJ34" s="1490"/>
      <c r="DK34" s="1488">
        <v>571163.80000000005</v>
      </c>
      <c r="DL34" s="1489"/>
      <c r="DM34" s="1489"/>
      <c r="DN34" s="1490"/>
      <c r="DO34" s="1488">
        <v>688029.22</v>
      </c>
      <c r="DP34" s="1489"/>
      <c r="DQ34" s="1489"/>
      <c r="DR34" s="1490"/>
      <c r="DS34" s="1488">
        <v>877513.45</v>
      </c>
      <c r="DT34" s="1489"/>
      <c r="DU34" s="1489"/>
      <c r="DV34" s="1490"/>
      <c r="DW34" s="1488">
        <v>896463.03</v>
      </c>
      <c r="DX34" s="1489"/>
      <c r="DY34" s="1489"/>
      <c r="DZ34" s="1490"/>
      <c r="EA34" s="1488">
        <v>740154.92</v>
      </c>
      <c r="EB34" s="1489"/>
      <c r="EC34" s="1489"/>
      <c r="ED34" s="1490"/>
      <c r="EE34" s="1488">
        <v>693109.67</v>
      </c>
      <c r="EF34" s="1489"/>
      <c r="EG34" s="1489"/>
      <c r="EH34" s="1490"/>
      <c r="EI34" s="1488">
        <v>693109.67</v>
      </c>
      <c r="EJ34" s="1489"/>
      <c r="EK34" s="1489"/>
      <c r="EL34" s="1490"/>
      <c r="EM34" s="1488">
        <v>661735.31999999995</v>
      </c>
      <c r="EN34" s="1489"/>
      <c r="EO34" s="1489"/>
      <c r="EP34" s="1490"/>
      <c r="EQ34" s="1488">
        <v>2048506.94</v>
      </c>
      <c r="ER34" s="1489"/>
      <c r="ES34" s="1489"/>
      <c r="ET34" s="1490"/>
      <c r="EU34" s="1488">
        <v>1249415.99</v>
      </c>
      <c r="EV34" s="1489"/>
      <c r="EW34" s="1489"/>
      <c r="EX34" s="1490"/>
      <c r="EY34" s="1488">
        <v>1926510.64</v>
      </c>
      <c r="EZ34" s="1489"/>
      <c r="FA34" s="1489"/>
      <c r="FB34" s="1490"/>
      <c r="FC34" s="1488">
        <v>1411968.3</v>
      </c>
      <c r="FD34" s="1489"/>
      <c r="FE34" s="1489"/>
      <c r="FF34" s="1490"/>
      <c r="FG34" s="1488">
        <v>1700604.5</v>
      </c>
      <c r="FH34" s="1489"/>
      <c r="FI34" s="1489"/>
      <c r="FJ34" s="1490"/>
      <c r="FK34" s="1488">
        <v>1400660.0499999998</v>
      </c>
      <c r="FL34" s="1489"/>
      <c r="FM34" s="1489"/>
      <c r="FN34" s="1490"/>
      <c r="FO34" s="1488">
        <v>1213150.71</v>
      </c>
      <c r="FP34" s="1489"/>
      <c r="FQ34" s="1489"/>
      <c r="FR34" s="1490"/>
      <c r="FS34" s="1488">
        <v>1466830.4600000007</v>
      </c>
      <c r="FT34" s="1489"/>
      <c r="FU34" s="1489"/>
      <c r="FV34" s="1490"/>
      <c r="FW34" s="1488">
        <v>1138791.0900000001</v>
      </c>
      <c r="FX34" s="1489"/>
      <c r="FY34" s="1489"/>
      <c r="FZ34" s="1490"/>
      <c r="GA34" s="1488">
        <v>2407836.6199999996</v>
      </c>
      <c r="GB34" s="1489"/>
      <c r="GC34" s="1489"/>
      <c r="GD34" s="1490"/>
      <c r="GE34" s="1488"/>
      <c r="GF34" s="1489"/>
      <c r="GG34" s="1489"/>
      <c r="GH34" s="1490"/>
      <c r="GI34" s="1488"/>
      <c r="GJ34" s="1489"/>
      <c r="GK34" s="1489"/>
      <c r="GL34" s="1490"/>
      <c r="GM34" s="1488"/>
      <c r="GN34" s="1489"/>
      <c r="GO34" s="1489"/>
      <c r="GP34" s="1490"/>
    </row>
    <row r="35" spans="1:202" ht="15.75" thickBot="1" x14ac:dyDescent="0.3">
      <c r="A35" s="1485" t="s">
        <v>1276</v>
      </c>
      <c r="B35" s="1486"/>
      <c r="C35" s="1486"/>
      <c r="D35" s="1486"/>
      <c r="E35" s="1486"/>
      <c r="F35" s="1482"/>
      <c r="G35" s="1487">
        <f>G34</f>
        <v>75496.81</v>
      </c>
      <c r="H35" s="1486"/>
      <c r="I35" s="1486"/>
      <c r="J35" s="1486"/>
      <c r="K35" s="1487">
        <f>K34+G35</f>
        <v>204453.26</v>
      </c>
      <c r="L35" s="1486"/>
      <c r="M35" s="1486"/>
      <c r="N35" s="1486"/>
      <c r="O35" s="1487">
        <f t="shared" ref="O35" si="392">O34+K35</f>
        <v>729153.74</v>
      </c>
      <c r="P35" s="1486"/>
      <c r="Q35" s="1486"/>
      <c r="R35" s="1486"/>
      <c r="S35" s="1487">
        <f t="shared" ref="S35" si="393">S34+O35</f>
        <v>955165.76</v>
      </c>
      <c r="T35" s="1486"/>
      <c r="U35" s="1486"/>
      <c r="V35" s="1486"/>
      <c r="W35" s="1487">
        <f t="shared" ref="W35" si="394">W34+S35</f>
        <v>1265145.94</v>
      </c>
      <c r="X35" s="1486"/>
      <c r="Y35" s="1486"/>
      <c r="Z35" s="1486"/>
      <c r="AA35" s="1487">
        <f t="shared" ref="AA35" si="395">AA34+W35</f>
        <v>1370812.2</v>
      </c>
      <c r="AB35" s="1486"/>
      <c r="AC35" s="1486"/>
      <c r="AD35" s="1486"/>
      <c r="AE35" s="1487">
        <f t="shared" ref="AE35" si="396">AE34+AA35</f>
        <v>1895084.5899999999</v>
      </c>
      <c r="AF35" s="1486"/>
      <c r="AG35" s="1486"/>
      <c r="AH35" s="1486"/>
      <c r="AI35" s="1487">
        <f t="shared" ref="AI35" si="397">AI34+AE35</f>
        <v>2009365.13</v>
      </c>
      <c r="AJ35" s="1486"/>
      <c r="AK35" s="1486"/>
      <c r="AL35" s="1486"/>
      <c r="AM35" s="1487">
        <f t="shared" ref="AM35" si="398">AM34+AI35</f>
        <v>2574385.54</v>
      </c>
      <c r="AN35" s="1486"/>
      <c r="AO35" s="1486"/>
      <c r="AP35" s="1486"/>
      <c r="AQ35" s="1487">
        <f t="shared" ref="AQ35" si="399">AQ34+AM35</f>
        <v>3174645.41</v>
      </c>
      <c r="AR35" s="1486"/>
      <c r="AS35" s="1486"/>
      <c r="AT35" s="1486"/>
      <c r="AU35" s="1487">
        <f t="shared" ref="AU35" si="400">AU34+AQ35</f>
        <v>3932877.79</v>
      </c>
      <c r="AV35" s="1486"/>
      <c r="AW35" s="1486"/>
      <c r="AX35" s="1486"/>
      <c r="AY35" s="1487">
        <f t="shared" ref="AY35" si="401">AY34+AU35</f>
        <v>4994979.07</v>
      </c>
      <c r="AZ35" s="1486"/>
      <c r="BA35" s="1486"/>
      <c r="BB35" s="1486"/>
      <c r="BC35" s="1487">
        <f t="shared" ref="BC35" si="402">BC34+AY35</f>
        <v>5389298.9700000007</v>
      </c>
      <c r="BD35" s="1486"/>
      <c r="BE35" s="1486"/>
      <c r="BF35" s="1486"/>
      <c r="BG35" s="1487">
        <f t="shared" ref="BG35" si="403">BG34+BC35</f>
        <v>5774054.870000001</v>
      </c>
      <c r="BH35" s="1486"/>
      <c r="BI35" s="1486"/>
      <c r="BJ35" s="1486"/>
      <c r="BK35" s="1487">
        <f t="shared" ref="BK35" si="404">BK34+BG35</f>
        <v>6089827.290000001</v>
      </c>
      <c r="BL35" s="1486"/>
      <c r="BM35" s="1486"/>
      <c r="BN35" s="1486"/>
      <c r="BO35" s="1487">
        <f t="shared" ref="BO35" si="405">BO34+BK35</f>
        <v>6297129.9600000009</v>
      </c>
      <c r="BP35" s="1486"/>
      <c r="BQ35" s="1486"/>
      <c r="BR35" s="1486"/>
      <c r="BS35" s="1487">
        <f t="shared" ref="BS35" si="406">BS34+BO35</f>
        <v>6375873.6000000006</v>
      </c>
      <c r="BT35" s="1486"/>
      <c r="BU35" s="1486"/>
      <c r="BV35" s="1486"/>
      <c r="BW35" s="1487">
        <f t="shared" ref="BW35" si="407">BW34+BS35</f>
        <v>6649286.9800000004</v>
      </c>
      <c r="BX35" s="1486"/>
      <c r="BY35" s="1486"/>
      <c r="BZ35" s="1486"/>
      <c r="CA35" s="1487">
        <f t="shared" ref="CA35" si="408">CA34+BW35</f>
        <v>8507943.5800000001</v>
      </c>
      <c r="CB35" s="1486"/>
      <c r="CC35" s="1486"/>
      <c r="CD35" s="1486"/>
      <c r="CE35" s="1487">
        <f t="shared" ref="CE35" si="409">CE34+CA35</f>
        <v>9418897.0800000001</v>
      </c>
      <c r="CF35" s="1486"/>
      <c r="CG35" s="1486"/>
      <c r="CH35" s="1486"/>
      <c r="CI35" s="1487">
        <f t="shared" ref="CI35" si="410">CI34+CE35</f>
        <v>10534431.26</v>
      </c>
      <c r="CJ35" s="1486"/>
      <c r="CK35" s="1486"/>
      <c r="CL35" s="1486"/>
      <c r="CM35" s="1487">
        <f t="shared" ref="CM35" si="411">CM34+CI35</f>
        <v>11146808.92</v>
      </c>
      <c r="CN35" s="1486"/>
      <c r="CO35" s="1486"/>
      <c r="CP35" s="1486"/>
      <c r="CQ35" s="1487">
        <f t="shared" ref="CQ35" si="412">CQ34+CM35</f>
        <v>12044413.789999999</v>
      </c>
      <c r="CR35" s="1486"/>
      <c r="CS35" s="1486"/>
      <c r="CT35" s="1486"/>
      <c r="CU35" s="1487">
        <f t="shared" ref="CU35" si="413">CU34+CQ35</f>
        <v>12784995.52</v>
      </c>
      <c r="CV35" s="1486"/>
      <c r="CW35" s="1486"/>
      <c r="CX35" s="1486"/>
      <c r="CY35" s="1487">
        <f t="shared" ref="CY35" si="414">CY34+CU35</f>
        <v>14402042.359999999</v>
      </c>
      <c r="CZ35" s="1486"/>
      <c r="DA35" s="1486"/>
      <c r="DB35" s="1486"/>
      <c r="DC35" s="1487">
        <f t="shared" ref="DC35" si="415">DC34+CY35</f>
        <v>15950089.199999999</v>
      </c>
      <c r="DD35" s="1486"/>
      <c r="DE35" s="1486"/>
      <c r="DF35" s="1486"/>
      <c r="DG35" s="1487">
        <f t="shared" ref="DG35" si="416">DG34+DC35</f>
        <v>16843599.029999997</v>
      </c>
      <c r="DH35" s="1486"/>
      <c r="DI35" s="1486"/>
      <c r="DJ35" s="1486"/>
      <c r="DK35" s="1487">
        <f t="shared" ref="DK35" si="417">DK34+DG35</f>
        <v>17414762.829999998</v>
      </c>
      <c r="DL35" s="1486"/>
      <c r="DM35" s="1486"/>
      <c r="DN35" s="1486"/>
      <c r="DO35" s="1487">
        <f t="shared" ref="DO35" si="418">DO34+DK35</f>
        <v>18102792.049999997</v>
      </c>
      <c r="DP35" s="1486"/>
      <c r="DQ35" s="1486"/>
      <c r="DR35" s="1486"/>
      <c r="DS35" s="1487">
        <f t="shared" ref="DS35" si="419">DS34+DO35</f>
        <v>18980305.499999996</v>
      </c>
      <c r="DT35" s="1486"/>
      <c r="DU35" s="1486"/>
      <c r="DV35" s="1486"/>
      <c r="DW35" s="1487">
        <f t="shared" ref="DW35" si="420">DW34+DS35</f>
        <v>19876768.529999997</v>
      </c>
      <c r="DX35" s="1486"/>
      <c r="DY35" s="1486"/>
      <c r="DZ35" s="1486"/>
      <c r="EA35" s="1487">
        <f t="shared" ref="EA35" si="421">EA34+DW35</f>
        <v>20616923.449999999</v>
      </c>
      <c r="EB35" s="1486"/>
      <c r="EC35" s="1486"/>
      <c r="ED35" s="1486"/>
      <c r="EE35" s="1487">
        <f t="shared" ref="EE35" si="422">EE34+EA35</f>
        <v>21310033.120000001</v>
      </c>
      <c r="EF35" s="1486"/>
      <c r="EG35" s="1486"/>
      <c r="EH35" s="1486"/>
      <c r="EI35" s="1487">
        <f t="shared" ref="EI35" si="423">EI34+EE35</f>
        <v>22003142.790000003</v>
      </c>
      <c r="EJ35" s="1486"/>
      <c r="EK35" s="1486"/>
      <c r="EL35" s="1486"/>
      <c r="EM35" s="1487">
        <f t="shared" ref="EM35" si="424">EM34+EI35</f>
        <v>22664878.110000003</v>
      </c>
      <c r="EN35" s="1486"/>
      <c r="EO35" s="1486"/>
      <c r="EP35" s="1486"/>
      <c r="EQ35" s="1487">
        <f t="shared" ref="EQ35" si="425">EQ34+EM35</f>
        <v>24713385.050000004</v>
      </c>
      <c r="ER35" s="1486"/>
      <c r="ES35" s="1486"/>
      <c r="ET35" s="1486"/>
      <c r="EU35" s="1487">
        <f t="shared" ref="EU35" si="426">EU34+EQ35</f>
        <v>25962801.040000003</v>
      </c>
      <c r="EV35" s="1486"/>
      <c r="EW35" s="1486"/>
      <c r="EX35" s="1486"/>
      <c r="EY35" s="1487">
        <f t="shared" ref="EY35" si="427">EY34+EU35</f>
        <v>27889311.680000003</v>
      </c>
      <c r="EZ35" s="1486"/>
      <c r="FA35" s="1486"/>
      <c r="FB35" s="1486"/>
      <c r="FC35" s="1487">
        <f t="shared" ref="FC35" si="428">FC34+EY35</f>
        <v>29301279.980000004</v>
      </c>
      <c r="FD35" s="1486"/>
      <c r="FE35" s="1486"/>
      <c r="FF35" s="1486"/>
      <c r="FG35" s="1487">
        <f>FG34+FC35+23924.375</f>
        <v>31025808.855000004</v>
      </c>
      <c r="FH35" s="1486"/>
      <c r="FI35" s="1486"/>
      <c r="FJ35" s="1486"/>
      <c r="FK35" s="1487">
        <f>FK34+FG35+23924.375</f>
        <v>32450393.280000005</v>
      </c>
      <c r="FL35" s="1486"/>
      <c r="FM35" s="1486"/>
      <c r="FN35" s="1486"/>
      <c r="FO35" s="1487">
        <f t="shared" ref="FO35" si="429">FO34+FK35</f>
        <v>33663543.990000002</v>
      </c>
      <c r="FP35" s="1486"/>
      <c r="FQ35" s="1486"/>
      <c r="FR35" s="1486"/>
      <c r="FS35" s="1487">
        <f t="shared" ref="FS35" si="430">FS34+FO35</f>
        <v>35130374.450000003</v>
      </c>
      <c r="FT35" s="1486"/>
      <c r="FU35" s="1486"/>
      <c r="FV35" s="1486"/>
      <c r="FW35" s="1487">
        <f t="shared" ref="FW35" si="431">FW34+FS35</f>
        <v>36269165.540000007</v>
      </c>
      <c r="FX35" s="1486"/>
      <c r="FY35" s="1486"/>
      <c r="FZ35" s="1486"/>
      <c r="GA35" s="1487">
        <f t="shared" ref="GA35" si="432">GA34+FW35</f>
        <v>38677002.160000004</v>
      </c>
      <c r="GB35" s="1486"/>
      <c r="GC35" s="1486"/>
      <c r="GD35" s="1486"/>
      <c r="GE35" s="1487">
        <f t="shared" ref="GE35" si="433">GE34+GA35</f>
        <v>38677002.160000004</v>
      </c>
      <c r="GF35" s="1486"/>
      <c r="GG35" s="1486"/>
      <c r="GH35" s="1486"/>
      <c r="GI35" s="1487">
        <f t="shared" ref="GI35" si="434">GI34+GE35</f>
        <v>38677002.160000004</v>
      </c>
      <c r="GJ35" s="1486"/>
      <c r="GK35" s="1486"/>
      <c r="GL35" s="1486"/>
      <c r="GM35" s="1487">
        <f t="shared" ref="GM35" si="435">GM34+GI35</f>
        <v>38677002.160000004</v>
      </c>
      <c r="GN35" s="1486"/>
      <c r="GO35" s="1486"/>
      <c r="GP35" s="1486"/>
      <c r="GQ35" s="1491"/>
      <c r="GR35" s="1491"/>
    </row>
    <row r="36" spans="1:202" x14ac:dyDescent="0.25">
      <c r="GS36" s="1119">
        <v>32450393.280000005</v>
      </c>
    </row>
    <row r="37" spans="1:202" x14ac:dyDescent="0.25">
      <c r="GM37" s="1492"/>
      <c r="GN37" s="1491"/>
      <c r="GO37" s="1491"/>
      <c r="GP37" s="1491"/>
    </row>
    <row r="38" spans="1:202" x14ac:dyDescent="0.25">
      <c r="GM38" s="1492"/>
      <c r="GN38" s="1491"/>
      <c r="GO38" s="1491"/>
      <c r="GP38" s="1491"/>
    </row>
    <row r="39" spans="1:202" x14ac:dyDescent="0.25">
      <c r="GS39" s="1128">
        <f>GS36-FK35</f>
        <v>0</v>
      </c>
    </row>
    <row r="40" spans="1:202" x14ac:dyDescent="0.25">
      <c r="GS40" s="1119">
        <f>GS39/2</f>
        <v>0</v>
      </c>
    </row>
  </sheetData>
  <mergeCells count="978">
    <mergeCell ref="A1:AT2"/>
    <mergeCell ref="A3:C8"/>
    <mergeCell ref="D3:AM3"/>
    <mergeCell ref="D4:AM4"/>
    <mergeCell ref="D5:AM5"/>
    <mergeCell ref="D6:AM6"/>
    <mergeCell ref="D7:AH7"/>
    <mergeCell ref="AI7:AM7"/>
    <mergeCell ref="D8:AH8"/>
    <mergeCell ref="AI8:AM8"/>
    <mergeCell ref="A9:AT9"/>
    <mergeCell ref="AU9:GR9"/>
    <mergeCell ref="A10:A11"/>
    <mergeCell ref="B10:E11"/>
    <mergeCell ref="F10:F11"/>
    <mergeCell ref="G10:J10"/>
    <mergeCell ref="K10:N10"/>
    <mergeCell ref="O10:R10"/>
    <mergeCell ref="S10:V10"/>
    <mergeCell ref="W10:Z10"/>
    <mergeCell ref="AY10:BB10"/>
    <mergeCell ref="BC10:BF10"/>
    <mergeCell ref="BG10:BJ10"/>
    <mergeCell ref="BK10:BN10"/>
    <mergeCell ref="BO10:BR10"/>
    <mergeCell ref="BS10:BV10"/>
    <mergeCell ref="AA10:AD10"/>
    <mergeCell ref="AE10:AH10"/>
    <mergeCell ref="AI10:AL10"/>
    <mergeCell ref="AM10:AP10"/>
    <mergeCell ref="AQ10:AT10"/>
    <mergeCell ref="AU10:AX10"/>
    <mergeCell ref="CU10:CX10"/>
    <mergeCell ref="CY10:DB10"/>
    <mergeCell ref="DC10:DF10"/>
    <mergeCell ref="DG10:DJ10"/>
    <mergeCell ref="DK10:DN10"/>
    <mergeCell ref="DO10:DR10"/>
    <mergeCell ref="BW10:BZ10"/>
    <mergeCell ref="CA10:CD10"/>
    <mergeCell ref="CE10:CH10"/>
    <mergeCell ref="CI10:CL10"/>
    <mergeCell ref="CM10:CP10"/>
    <mergeCell ref="CQ10:CT10"/>
    <mergeCell ref="EY10:FB10"/>
    <mergeCell ref="FC10:FF10"/>
    <mergeCell ref="FG10:FJ10"/>
    <mergeCell ref="FK10:FN10"/>
    <mergeCell ref="DS10:DV10"/>
    <mergeCell ref="DW10:DZ10"/>
    <mergeCell ref="EA10:ED10"/>
    <mergeCell ref="EE10:EH10"/>
    <mergeCell ref="EI10:EL10"/>
    <mergeCell ref="EM10:EP10"/>
    <mergeCell ref="W13:Z13"/>
    <mergeCell ref="AA13:AD13"/>
    <mergeCell ref="AE13:AH13"/>
    <mergeCell ref="AI13:AL13"/>
    <mergeCell ref="AM13:AP13"/>
    <mergeCell ref="AQ13:AT13"/>
    <mergeCell ref="GM10:GP10"/>
    <mergeCell ref="GQ10:GR11"/>
    <mergeCell ref="A12:A14"/>
    <mergeCell ref="B12:D14"/>
    <mergeCell ref="F12:F14"/>
    <mergeCell ref="GQ12:GR12"/>
    <mergeCell ref="G13:J13"/>
    <mergeCell ref="K13:N13"/>
    <mergeCell ref="O13:R13"/>
    <mergeCell ref="S13:V13"/>
    <mergeCell ref="FO10:FR10"/>
    <mergeCell ref="FS10:FV10"/>
    <mergeCell ref="FW10:FZ10"/>
    <mergeCell ref="GA10:GD10"/>
    <mergeCell ref="GE10:GH10"/>
    <mergeCell ref="GI10:GL10"/>
    <mergeCell ref="EQ10:ET10"/>
    <mergeCell ref="EU10:EX10"/>
    <mergeCell ref="BS13:BV13"/>
    <mergeCell ref="BW13:BZ13"/>
    <mergeCell ref="CA13:CD13"/>
    <mergeCell ref="CE13:CH13"/>
    <mergeCell ref="CI13:CL13"/>
    <mergeCell ref="CM13:CP13"/>
    <mergeCell ref="AU13:AX13"/>
    <mergeCell ref="AY13:BB13"/>
    <mergeCell ref="BC13:BF13"/>
    <mergeCell ref="BG13:BJ13"/>
    <mergeCell ref="BK13:BN13"/>
    <mergeCell ref="BO13:BR13"/>
    <mergeCell ref="DW13:DZ13"/>
    <mergeCell ref="EA13:ED13"/>
    <mergeCell ref="EE13:EH13"/>
    <mergeCell ref="EI13:EL13"/>
    <mergeCell ref="CQ13:CT13"/>
    <mergeCell ref="CU13:CX13"/>
    <mergeCell ref="CY13:DB13"/>
    <mergeCell ref="DC13:DF13"/>
    <mergeCell ref="DG13:DJ13"/>
    <mergeCell ref="DK13:DN13"/>
    <mergeCell ref="GI13:GL13"/>
    <mergeCell ref="GM13:GP13"/>
    <mergeCell ref="GQ13:GR13"/>
    <mergeCell ref="G14:J14"/>
    <mergeCell ref="K14:N14"/>
    <mergeCell ref="O14:R14"/>
    <mergeCell ref="S14:V14"/>
    <mergeCell ref="W14:Z14"/>
    <mergeCell ref="AA14:AD14"/>
    <mergeCell ref="AE14:AH14"/>
    <mergeCell ref="FK13:FN13"/>
    <mergeCell ref="FO13:FR13"/>
    <mergeCell ref="FS13:FV13"/>
    <mergeCell ref="FW13:FZ13"/>
    <mergeCell ref="GA13:GD13"/>
    <mergeCell ref="GE13:GH13"/>
    <mergeCell ref="EM13:EP13"/>
    <mergeCell ref="EQ13:ET13"/>
    <mergeCell ref="EU13:EX13"/>
    <mergeCell ref="EY13:FB13"/>
    <mergeCell ref="FC13:FF13"/>
    <mergeCell ref="FG13:FJ13"/>
    <mergeCell ref="DO13:DR13"/>
    <mergeCell ref="DS13:DV13"/>
    <mergeCell ref="BG14:BJ14"/>
    <mergeCell ref="BK14:BN14"/>
    <mergeCell ref="BO14:BR14"/>
    <mergeCell ref="BS14:BV14"/>
    <mergeCell ref="BW14:BZ14"/>
    <mergeCell ref="CA14:CD14"/>
    <mergeCell ref="AI14:AL14"/>
    <mergeCell ref="AM14:AP14"/>
    <mergeCell ref="AQ14:AT14"/>
    <mergeCell ref="AU14:AX14"/>
    <mergeCell ref="AY14:BB14"/>
    <mergeCell ref="BC14:BF14"/>
    <mergeCell ref="EU14:EX14"/>
    <mergeCell ref="DC14:DF14"/>
    <mergeCell ref="DG14:DJ14"/>
    <mergeCell ref="DK14:DN14"/>
    <mergeCell ref="DO14:DR14"/>
    <mergeCell ref="DS14:DV14"/>
    <mergeCell ref="DW14:DZ14"/>
    <mergeCell ref="CE14:CH14"/>
    <mergeCell ref="CI14:CL14"/>
    <mergeCell ref="CM14:CP14"/>
    <mergeCell ref="CQ14:CT14"/>
    <mergeCell ref="CU14:CX14"/>
    <mergeCell ref="CY14:DB14"/>
    <mergeCell ref="GQ15:GR15"/>
    <mergeCell ref="G16:J16"/>
    <mergeCell ref="K16:N16"/>
    <mergeCell ref="O16:R16"/>
    <mergeCell ref="S16:V16"/>
    <mergeCell ref="W16:Z16"/>
    <mergeCell ref="AA16:AD16"/>
    <mergeCell ref="FW14:FZ14"/>
    <mergeCell ref="GA14:GD14"/>
    <mergeCell ref="GE14:GH14"/>
    <mergeCell ref="GI14:GL14"/>
    <mergeCell ref="GM14:GP14"/>
    <mergeCell ref="GQ14:GR14"/>
    <mergeCell ref="EY14:FB14"/>
    <mergeCell ref="FC14:FF14"/>
    <mergeCell ref="FG14:FJ14"/>
    <mergeCell ref="FK14:FN14"/>
    <mergeCell ref="FO14:FR14"/>
    <mergeCell ref="FS14:FV14"/>
    <mergeCell ref="EA14:ED14"/>
    <mergeCell ref="EE14:EH14"/>
    <mergeCell ref="EI14:EL14"/>
    <mergeCell ref="EM14:EP14"/>
    <mergeCell ref="EQ14:ET14"/>
    <mergeCell ref="AE16:AH16"/>
    <mergeCell ref="AI16:AL16"/>
    <mergeCell ref="AM16:AP16"/>
    <mergeCell ref="AQ16:AT16"/>
    <mergeCell ref="AU16:AX16"/>
    <mergeCell ref="AY16:BB16"/>
    <mergeCell ref="A15:A17"/>
    <mergeCell ref="B15:D17"/>
    <mergeCell ref="F15:F17"/>
    <mergeCell ref="AY17:BB17"/>
    <mergeCell ref="CA16:CD16"/>
    <mergeCell ref="CE16:CH16"/>
    <mergeCell ref="CI16:CL16"/>
    <mergeCell ref="CM16:CP16"/>
    <mergeCell ref="CQ16:CT16"/>
    <mergeCell ref="CU16:CX16"/>
    <mergeCell ref="BC16:BF16"/>
    <mergeCell ref="BG16:BJ16"/>
    <mergeCell ref="BK16:BN16"/>
    <mergeCell ref="BO16:BR16"/>
    <mergeCell ref="BS16:BV16"/>
    <mergeCell ref="BW16:BZ16"/>
    <mergeCell ref="FK16:FN16"/>
    <mergeCell ref="FO16:FR16"/>
    <mergeCell ref="DW16:DZ16"/>
    <mergeCell ref="EA16:ED16"/>
    <mergeCell ref="EE16:EH16"/>
    <mergeCell ref="EI16:EL16"/>
    <mergeCell ref="EM16:EP16"/>
    <mergeCell ref="EQ16:ET16"/>
    <mergeCell ref="CY16:DB16"/>
    <mergeCell ref="DC16:DF16"/>
    <mergeCell ref="DG16:DJ16"/>
    <mergeCell ref="DK16:DN16"/>
    <mergeCell ref="DO16:DR16"/>
    <mergeCell ref="DS16:DV16"/>
    <mergeCell ref="BC17:BF17"/>
    <mergeCell ref="BG17:BJ17"/>
    <mergeCell ref="BK17:BN17"/>
    <mergeCell ref="GQ16:GR16"/>
    <mergeCell ref="G17:J17"/>
    <mergeCell ref="K17:N17"/>
    <mergeCell ref="O17:R17"/>
    <mergeCell ref="S17:V17"/>
    <mergeCell ref="W17:Z17"/>
    <mergeCell ref="AA17:AD17"/>
    <mergeCell ref="AE17:AH17"/>
    <mergeCell ref="AI17:AL17"/>
    <mergeCell ref="AM17:AP17"/>
    <mergeCell ref="FS16:FV16"/>
    <mergeCell ref="FW16:FZ16"/>
    <mergeCell ref="GA16:GD16"/>
    <mergeCell ref="GE16:GH16"/>
    <mergeCell ref="GI16:GL16"/>
    <mergeCell ref="GM16:GP16"/>
    <mergeCell ref="EU16:EX16"/>
    <mergeCell ref="EY16:FB16"/>
    <mergeCell ref="FC16:FF16"/>
    <mergeCell ref="FG16:FJ16"/>
    <mergeCell ref="GQ17:GR17"/>
    <mergeCell ref="A18:A20"/>
    <mergeCell ref="B18:D20"/>
    <mergeCell ref="F18:F20"/>
    <mergeCell ref="GQ18:GR18"/>
    <mergeCell ref="G19:J19"/>
    <mergeCell ref="K19:N19"/>
    <mergeCell ref="FG17:FJ17"/>
    <mergeCell ref="FK17:FN17"/>
    <mergeCell ref="FO17:FR17"/>
    <mergeCell ref="FS17:FV17"/>
    <mergeCell ref="FW17:FZ17"/>
    <mergeCell ref="GA17:GD17"/>
    <mergeCell ref="EI17:EL17"/>
    <mergeCell ref="EM17:EP17"/>
    <mergeCell ref="EQ17:ET17"/>
    <mergeCell ref="EU17:EX17"/>
    <mergeCell ref="EY17:FB17"/>
    <mergeCell ref="FC17:FF17"/>
    <mergeCell ref="DK17:DN17"/>
    <mergeCell ref="DO17:DR17"/>
    <mergeCell ref="DS17:DV17"/>
    <mergeCell ref="DW17:DZ17"/>
    <mergeCell ref="EA17:ED17"/>
    <mergeCell ref="O19:R19"/>
    <mergeCell ref="S19:V19"/>
    <mergeCell ref="W19:Z19"/>
    <mergeCell ref="AA19:AD19"/>
    <mergeCell ref="AE19:AH19"/>
    <mergeCell ref="AI19:AL19"/>
    <mergeCell ref="GE17:GH17"/>
    <mergeCell ref="GI17:GL17"/>
    <mergeCell ref="GM17:GP17"/>
    <mergeCell ref="EE17:EH17"/>
    <mergeCell ref="CM17:CP17"/>
    <mergeCell ref="CQ17:CT17"/>
    <mergeCell ref="CU17:CX17"/>
    <mergeCell ref="CY17:DB17"/>
    <mergeCell ref="DC17:DF17"/>
    <mergeCell ref="DG17:DJ17"/>
    <mergeCell ref="BO17:BR17"/>
    <mergeCell ref="BS17:BV17"/>
    <mergeCell ref="BW17:BZ17"/>
    <mergeCell ref="CA17:CD17"/>
    <mergeCell ref="CE17:CH17"/>
    <mergeCell ref="CI17:CL17"/>
    <mergeCell ref="AQ17:AT17"/>
    <mergeCell ref="AU17:AX17"/>
    <mergeCell ref="BK19:BN19"/>
    <mergeCell ref="BO19:BR19"/>
    <mergeCell ref="BS19:BV19"/>
    <mergeCell ref="BW19:BZ19"/>
    <mergeCell ref="CA19:CD19"/>
    <mergeCell ref="CE19:CH19"/>
    <mergeCell ref="AM19:AP19"/>
    <mergeCell ref="AQ19:AT19"/>
    <mergeCell ref="AU19:AX19"/>
    <mergeCell ref="AY19:BB19"/>
    <mergeCell ref="BC19:BF19"/>
    <mergeCell ref="BG19:BJ19"/>
    <mergeCell ref="DO19:DR19"/>
    <mergeCell ref="DS19:DV19"/>
    <mergeCell ref="DW19:DZ19"/>
    <mergeCell ref="EA19:ED19"/>
    <mergeCell ref="CI19:CL19"/>
    <mergeCell ref="CM19:CP19"/>
    <mergeCell ref="CQ19:CT19"/>
    <mergeCell ref="CU19:CX19"/>
    <mergeCell ref="CY19:DB19"/>
    <mergeCell ref="DC19:DF19"/>
    <mergeCell ref="GA19:GD19"/>
    <mergeCell ref="GE19:GH19"/>
    <mergeCell ref="GI19:GL19"/>
    <mergeCell ref="GM19:GP19"/>
    <mergeCell ref="GQ19:GR19"/>
    <mergeCell ref="G20:J20"/>
    <mergeCell ref="K20:N20"/>
    <mergeCell ref="O20:R20"/>
    <mergeCell ref="S20:V20"/>
    <mergeCell ref="W20:Z20"/>
    <mergeCell ref="FC19:FF19"/>
    <mergeCell ref="FG19:FJ19"/>
    <mergeCell ref="FK19:FN19"/>
    <mergeCell ref="FO19:FR19"/>
    <mergeCell ref="FS19:FV19"/>
    <mergeCell ref="FW19:FZ19"/>
    <mergeCell ref="EE19:EH19"/>
    <mergeCell ref="EI19:EL19"/>
    <mergeCell ref="EM19:EP19"/>
    <mergeCell ref="EQ19:ET19"/>
    <mergeCell ref="EU19:EX19"/>
    <mergeCell ref="EY19:FB19"/>
    <mergeCell ref="DG19:DJ19"/>
    <mergeCell ref="DK19:DN19"/>
    <mergeCell ref="AY20:BB20"/>
    <mergeCell ref="BC20:BF20"/>
    <mergeCell ref="BG20:BJ20"/>
    <mergeCell ref="BK20:BN20"/>
    <mergeCell ref="BO20:BR20"/>
    <mergeCell ref="BS20:BV20"/>
    <mergeCell ref="AA20:AD20"/>
    <mergeCell ref="AE20:AH20"/>
    <mergeCell ref="AI20:AL20"/>
    <mergeCell ref="AM20:AP20"/>
    <mergeCell ref="AQ20:AT20"/>
    <mergeCell ref="AU20:AX20"/>
    <mergeCell ref="CU20:CX20"/>
    <mergeCell ref="CY20:DB20"/>
    <mergeCell ref="DC20:DF20"/>
    <mergeCell ref="DG20:DJ20"/>
    <mergeCell ref="DK20:DN20"/>
    <mergeCell ref="DO20:DR20"/>
    <mergeCell ref="BW20:BZ20"/>
    <mergeCell ref="CA20:CD20"/>
    <mergeCell ref="CE20:CH20"/>
    <mergeCell ref="CI20:CL20"/>
    <mergeCell ref="CM20:CP20"/>
    <mergeCell ref="CQ20:CT20"/>
    <mergeCell ref="EY20:FB20"/>
    <mergeCell ref="FC20:FF20"/>
    <mergeCell ref="FG20:FJ20"/>
    <mergeCell ref="FK20:FN20"/>
    <mergeCell ref="DS20:DV20"/>
    <mergeCell ref="DW20:DZ20"/>
    <mergeCell ref="EA20:ED20"/>
    <mergeCell ref="EE20:EH20"/>
    <mergeCell ref="EI20:EL20"/>
    <mergeCell ref="EM20:EP20"/>
    <mergeCell ref="W22:Z22"/>
    <mergeCell ref="AA22:AD22"/>
    <mergeCell ref="AE22:AH22"/>
    <mergeCell ref="AI22:AL22"/>
    <mergeCell ref="AM22:AP22"/>
    <mergeCell ref="AQ22:AT22"/>
    <mergeCell ref="GM20:GP20"/>
    <mergeCell ref="GQ20:GR20"/>
    <mergeCell ref="A21:A23"/>
    <mergeCell ref="B21:D23"/>
    <mergeCell ref="F21:F23"/>
    <mergeCell ref="GQ21:GR21"/>
    <mergeCell ref="G22:J22"/>
    <mergeCell ref="K22:N22"/>
    <mergeCell ref="O22:R22"/>
    <mergeCell ref="S22:V22"/>
    <mergeCell ref="FO20:FR20"/>
    <mergeCell ref="FS20:FV20"/>
    <mergeCell ref="FW20:FZ20"/>
    <mergeCell ref="GA20:GD20"/>
    <mergeCell ref="GE20:GH20"/>
    <mergeCell ref="GI20:GL20"/>
    <mergeCell ref="EQ20:ET20"/>
    <mergeCell ref="EU20:EX20"/>
    <mergeCell ref="BS22:BV22"/>
    <mergeCell ref="BW22:BZ22"/>
    <mergeCell ref="CA22:CD22"/>
    <mergeCell ref="CE22:CH22"/>
    <mergeCell ref="CI22:CL22"/>
    <mergeCell ref="CM22:CP22"/>
    <mergeCell ref="AU22:AX22"/>
    <mergeCell ref="AY22:BB22"/>
    <mergeCell ref="BC22:BF22"/>
    <mergeCell ref="BG22:BJ22"/>
    <mergeCell ref="BK22:BN22"/>
    <mergeCell ref="BO22:BR22"/>
    <mergeCell ref="DW22:DZ22"/>
    <mergeCell ref="EA22:ED22"/>
    <mergeCell ref="EE22:EH22"/>
    <mergeCell ref="EI22:EL22"/>
    <mergeCell ref="CQ22:CT22"/>
    <mergeCell ref="CU22:CX22"/>
    <mergeCell ref="CY22:DB22"/>
    <mergeCell ref="DC22:DF22"/>
    <mergeCell ref="DG22:DJ22"/>
    <mergeCell ref="DK22:DN22"/>
    <mergeCell ref="GI22:GL22"/>
    <mergeCell ref="GM22:GP22"/>
    <mergeCell ref="GQ22:GR22"/>
    <mergeCell ref="G23:J23"/>
    <mergeCell ref="K23:N23"/>
    <mergeCell ref="O23:R23"/>
    <mergeCell ref="S23:V23"/>
    <mergeCell ref="W23:Z23"/>
    <mergeCell ref="AA23:AD23"/>
    <mergeCell ref="AE23:AH23"/>
    <mergeCell ref="FK22:FN22"/>
    <mergeCell ref="FO22:FR22"/>
    <mergeCell ref="FS22:FV22"/>
    <mergeCell ref="FW22:FZ22"/>
    <mergeCell ref="GA22:GD22"/>
    <mergeCell ref="GE22:GH22"/>
    <mergeCell ref="EM22:EP22"/>
    <mergeCell ref="EQ22:ET22"/>
    <mergeCell ref="EU22:EX22"/>
    <mergeCell ref="EY22:FB22"/>
    <mergeCell ref="FC22:FF22"/>
    <mergeCell ref="FG22:FJ22"/>
    <mergeCell ref="DO22:DR22"/>
    <mergeCell ref="DS22:DV22"/>
    <mergeCell ref="BG23:BJ23"/>
    <mergeCell ref="BK23:BN23"/>
    <mergeCell ref="BO23:BR23"/>
    <mergeCell ref="BS23:BV23"/>
    <mergeCell ref="BW23:BZ23"/>
    <mergeCell ref="CA23:CD23"/>
    <mergeCell ref="AI23:AL23"/>
    <mergeCell ref="AM23:AP23"/>
    <mergeCell ref="AQ23:AT23"/>
    <mergeCell ref="AU23:AX23"/>
    <mergeCell ref="AY23:BB23"/>
    <mergeCell ref="BC23:BF23"/>
    <mergeCell ref="EU23:EX23"/>
    <mergeCell ref="DC23:DF23"/>
    <mergeCell ref="DG23:DJ23"/>
    <mergeCell ref="DK23:DN23"/>
    <mergeCell ref="DO23:DR23"/>
    <mergeCell ref="DS23:DV23"/>
    <mergeCell ref="DW23:DZ23"/>
    <mergeCell ref="CE23:CH23"/>
    <mergeCell ref="CI23:CL23"/>
    <mergeCell ref="CM23:CP23"/>
    <mergeCell ref="CQ23:CT23"/>
    <mergeCell ref="CU23:CX23"/>
    <mergeCell ref="CY23:DB23"/>
    <mergeCell ref="GQ24:GR24"/>
    <mergeCell ref="G25:J25"/>
    <mergeCell ref="K25:N25"/>
    <mergeCell ref="O25:R25"/>
    <mergeCell ref="S25:V25"/>
    <mergeCell ref="W25:Z25"/>
    <mergeCell ref="AA25:AD25"/>
    <mergeCell ref="FW23:FZ23"/>
    <mergeCell ref="GA23:GD23"/>
    <mergeCell ref="GE23:GH23"/>
    <mergeCell ref="GI23:GL23"/>
    <mergeCell ref="GM23:GP23"/>
    <mergeCell ref="GQ23:GR23"/>
    <mergeCell ref="EY23:FB23"/>
    <mergeCell ref="FC23:FF23"/>
    <mergeCell ref="FG23:FJ23"/>
    <mergeCell ref="FK23:FN23"/>
    <mergeCell ref="FO23:FR23"/>
    <mergeCell ref="FS23:FV23"/>
    <mergeCell ref="EA23:ED23"/>
    <mergeCell ref="EE23:EH23"/>
    <mergeCell ref="EI23:EL23"/>
    <mergeCell ref="EM23:EP23"/>
    <mergeCell ref="EQ23:ET23"/>
    <mergeCell ref="AE25:AH25"/>
    <mergeCell ref="AI25:AL25"/>
    <mergeCell ref="AM25:AP25"/>
    <mergeCell ref="AQ25:AT25"/>
    <mergeCell ref="AU25:AX25"/>
    <mergeCell ref="AY25:BB25"/>
    <mergeCell ref="A24:A26"/>
    <mergeCell ref="B24:D26"/>
    <mergeCell ref="F24:F26"/>
    <mergeCell ref="AY26:BB26"/>
    <mergeCell ref="CA25:CD25"/>
    <mergeCell ref="CE25:CH25"/>
    <mergeCell ref="CI25:CL25"/>
    <mergeCell ref="CM25:CP25"/>
    <mergeCell ref="CQ25:CT25"/>
    <mergeCell ref="CU25:CX25"/>
    <mergeCell ref="BC25:BF25"/>
    <mergeCell ref="BG25:BJ25"/>
    <mergeCell ref="BK25:BN25"/>
    <mergeCell ref="BO25:BR25"/>
    <mergeCell ref="BS25:BV25"/>
    <mergeCell ref="BW25:BZ25"/>
    <mergeCell ref="EA25:ED25"/>
    <mergeCell ref="EE25:EH25"/>
    <mergeCell ref="EI25:EL25"/>
    <mergeCell ref="EM25:EP25"/>
    <mergeCell ref="EQ25:ET25"/>
    <mergeCell ref="CY25:DB25"/>
    <mergeCell ref="DC25:DF25"/>
    <mergeCell ref="DG25:DJ25"/>
    <mergeCell ref="DK25:DN25"/>
    <mergeCell ref="DO25:DR25"/>
    <mergeCell ref="DS25:DV25"/>
    <mergeCell ref="GQ25:GR25"/>
    <mergeCell ref="G26:J26"/>
    <mergeCell ref="K26:N26"/>
    <mergeCell ref="O26:R26"/>
    <mergeCell ref="S26:V26"/>
    <mergeCell ref="W26:Z26"/>
    <mergeCell ref="AA26:AD26"/>
    <mergeCell ref="AE26:AH26"/>
    <mergeCell ref="AI26:AL26"/>
    <mergeCell ref="AM26:AP26"/>
    <mergeCell ref="FS25:FV25"/>
    <mergeCell ref="FW25:FZ25"/>
    <mergeCell ref="GA25:GD25"/>
    <mergeCell ref="GE25:GH25"/>
    <mergeCell ref="GI25:GL25"/>
    <mergeCell ref="GM25:GP25"/>
    <mergeCell ref="EU25:EX25"/>
    <mergeCell ref="EY25:FB25"/>
    <mergeCell ref="FC25:FF25"/>
    <mergeCell ref="FG25:FJ25"/>
    <mergeCell ref="GQ26:GR26"/>
    <mergeCell ref="FK25:FN25"/>
    <mergeCell ref="FO25:FR25"/>
    <mergeCell ref="DW25:DZ25"/>
    <mergeCell ref="A27:A29"/>
    <mergeCell ref="B27:D29"/>
    <mergeCell ref="F27:F29"/>
    <mergeCell ref="G28:J28"/>
    <mergeCell ref="K28:N28"/>
    <mergeCell ref="O28:R28"/>
    <mergeCell ref="FG26:FJ26"/>
    <mergeCell ref="FK26:FN26"/>
    <mergeCell ref="FO26:FR26"/>
    <mergeCell ref="DK26:DN26"/>
    <mergeCell ref="DO26:DR26"/>
    <mergeCell ref="DS26:DV26"/>
    <mergeCell ref="DW26:DZ26"/>
    <mergeCell ref="EA26:ED26"/>
    <mergeCell ref="S28:V28"/>
    <mergeCell ref="W28:Z28"/>
    <mergeCell ref="AA28:AD28"/>
    <mergeCell ref="AE28:AH28"/>
    <mergeCell ref="AI28:AL28"/>
    <mergeCell ref="AM28:AP28"/>
    <mergeCell ref="BO26:BR26"/>
    <mergeCell ref="BS26:BV26"/>
    <mergeCell ref="BW26:BZ26"/>
    <mergeCell ref="CA26:CD26"/>
    <mergeCell ref="GE26:GH26"/>
    <mergeCell ref="GI26:GL26"/>
    <mergeCell ref="GM26:GP26"/>
    <mergeCell ref="EE26:EH26"/>
    <mergeCell ref="CM26:CP26"/>
    <mergeCell ref="CQ26:CT26"/>
    <mergeCell ref="CU26:CX26"/>
    <mergeCell ref="CY26:DB26"/>
    <mergeCell ref="DC26:DF26"/>
    <mergeCell ref="DG26:DJ26"/>
    <mergeCell ref="FS26:FV26"/>
    <mergeCell ref="FW26:FZ26"/>
    <mergeCell ref="GA26:GD26"/>
    <mergeCell ref="EI26:EL26"/>
    <mergeCell ref="EM26:EP26"/>
    <mergeCell ref="EQ26:ET26"/>
    <mergeCell ref="EU26:EX26"/>
    <mergeCell ref="EY26:FB26"/>
    <mergeCell ref="FC26:FF26"/>
    <mergeCell ref="CE26:CH26"/>
    <mergeCell ref="CI26:CL26"/>
    <mergeCell ref="AQ26:AT26"/>
    <mergeCell ref="AU26:AX26"/>
    <mergeCell ref="BO28:BR28"/>
    <mergeCell ref="BS28:BV28"/>
    <mergeCell ref="BW28:BZ28"/>
    <mergeCell ref="CA28:CD28"/>
    <mergeCell ref="CE28:CH28"/>
    <mergeCell ref="CI28:CL28"/>
    <mergeCell ref="AQ28:AT28"/>
    <mergeCell ref="AU28:AX28"/>
    <mergeCell ref="AY28:BB28"/>
    <mergeCell ref="BC28:BF28"/>
    <mergeCell ref="BG28:BJ28"/>
    <mergeCell ref="BK28:BN28"/>
    <mergeCell ref="BC26:BF26"/>
    <mergeCell ref="BG26:BJ26"/>
    <mergeCell ref="BK26:BN26"/>
    <mergeCell ref="DS28:DV28"/>
    <mergeCell ref="DW28:DZ28"/>
    <mergeCell ref="EA28:ED28"/>
    <mergeCell ref="EE28:EH28"/>
    <mergeCell ref="CM28:CP28"/>
    <mergeCell ref="CQ28:CT28"/>
    <mergeCell ref="CU28:CX28"/>
    <mergeCell ref="CY28:DB28"/>
    <mergeCell ref="DC28:DF28"/>
    <mergeCell ref="DG28:DJ28"/>
    <mergeCell ref="GE28:GH28"/>
    <mergeCell ref="GI28:GL28"/>
    <mergeCell ref="GM28:GP28"/>
    <mergeCell ref="GQ28:GR28"/>
    <mergeCell ref="G29:J29"/>
    <mergeCell ref="K29:N29"/>
    <mergeCell ref="O29:R29"/>
    <mergeCell ref="S29:V29"/>
    <mergeCell ref="W29:Z29"/>
    <mergeCell ref="AA29:AD29"/>
    <mergeCell ref="FG28:FJ28"/>
    <mergeCell ref="FK28:FN28"/>
    <mergeCell ref="FO28:FR28"/>
    <mergeCell ref="FS28:FV28"/>
    <mergeCell ref="FW28:FZ28"/>
    <mergeCell ref="GA28:GD28"/>
    <mergeCell ref="EI28:EL28"/>
    <mergeCell ref="EM28:EP28"/>
    <mergeCell ref="EQ28:ET28"/>
    <mergeCell ref="EU28:EX28"/>
    <mergeCell ref="EY28:FB28"/>
    <mergeCell ref="FC28:FF28"/>
    <mergeCell ref="DK28:DN28"/>
    <mergeCell ref="DO28:DR28"/>
    <mergeCell ref="BC29:BF29"/>
    <mergeCell ref="BG29:BJ29"/>
    <mergeCell ref="BK29:BN29"/>
    <mergeCell ref="BO29:BR29"/>
    <mergeCell ref="BS29:BV29"/>
    <mergeCell ref="BW29:BZ29"/>
    <mergeCell ref="AE29:AH29"/>
    <mergeCell ref="AI29:AL29"/>
    <mergeCell ref="AM29:AP29"/>
    <mergeCell ref="AQ29:AT29"/>
    <mergeCell ref="AU29:AX29"/>
    <mergeCell ref="AY29:BB29"/>
    <mergeCell ref="CY29:DB29"/>
    <mergeCell ref="DC29:DF29"/>
    <mergeCell ref="DG29:DJ29"/>
    <mergeCell ref="DK29:DN29"/>
    <mergeCell ref="DO29:DR29"/>
    <mergeCell ref="DS29:DV29"/>
    <mergeCell ref="CA29:CD29"/>
    <mergeCell ref="CE29:CH29"/>
    <mergeCell ref="CI29:CL29"/>
    <mergeCell ref="CM29:CP29"/>
    <mergeCell ref="CQ29:CT29"/>
    <mergeCell ref="CU29:CX29"/>
    <mergeCell ref="FC29:FF29"/>
    <mergeCell ref="FG29:FJ29"/>
    <mergeCell ref="FK29:FN29"/>
    <mergeCell ref="FO29:FR29"/>
    <mergeCell ref="DW29:DZ29"/>
    <mergeCell ref="EA29:ED29"/>
    <mergeCell ref="EE29:EH29"/>
    <mergeCell ref="EI29:EL29"/>
    <mergeCell ref="EM29:EP29"/>
    <mergeCell ref="EQ29:ET29"/>
    <mergeCell ref="AI30:AL30"/>
    <mergeCell ref="AM30:AP30"/>
    <mergeCell ref="AQ30:AT30"/>
    <mergeCell ref="AU30:AX30"/>
    <mergeCell ref="AY30:BB30"/>
    <mergeCell ref="BC30:BF30"/>
    <mergeCell ref="GQ29:GR29"/>
    <mergeCell ref="A30:E30"/>
    <mergeCell ref="F30:F33"/>
    <mergeCell ref="G30:J30"/>
    <mergeCell ref="K30:N30"/>
    <mergeCell ref="O30:R30"/>
    <mergeCell ref="S30:V30"/>
    <mergeCell ref="W30:Z30"/>
    <mergeCell ref="AA30:AD30"/>
    <mergeCell ref="AE30:AH30"/>
    <mergeCell ref="FS29:FV29"/>
    <mergeCell ref="FW29:FZ29"/>
    <mergeCell ref="GA29:GD29"/>
    <mergeCell ref="GE29:GH29"/>
    <mergeCell ref="GI29:GL29"/>
    <mergeCell ref="GM29:GP29"/>
    <mergeCell ref="EU29:EX29"/>
    <mergeCell ref="EY29:FB29"/>
    <mergeCell ref="CQ30:CT30"/>
    <mergeCell ref="CU30:CX30"/>
    <mergeCell ref="CY30:DB30"/>
    <mergeCell ref="BG30:BJ30"/>
    <mergeCell ref="BK30:BN30"/>
    <mergeCell ref="BO30:BR30"/>
    <mergeCell ref="BS30:BV30"/>
    <mergeCell ref="BW30:BZ30"/>
    <mergeCell ref="CA30:CD30"/>
    <mergeCell ref="GI30:GL30"/>
    <mergeCell ref="GM30:GP30"/>
    <mergeCell ref="GQ30:GR30"/>
    <mergeCell ref="EY30:FB30"/>
    <mergeCell ref="FC30:FF30"/>
    <mergeCell ref="FG30:FJ30"/>
    <mergeCell ref="FK30:FN30"/>
    <mergeCell ref="FO30:FR30"/>
    <mergeCell ref="FS30:FV30"/>
    <mergeCell ref="A31:E31"/>
    <mergeCell ref="G31:J31"/>
    <mergeCell ref="K31:N31"/>
    <mergeCell ref="O31:R31"/>
    <mergeCell ref="S31:V31"/>
    <mergeCell ref="W31:Z31"/>
    <mergeCell ref="FW30:FZ30"/>
    <mergeCell ref="GA30:GD30"/>
    <mergeCell ref="GE30:GH30"/>
    <mergeCell ref="EA30:ED30"/>
    <mergeCell ref="EE30:EH30"/>
    <mergeCell ref="EI30:EL30"/>
    <mergeCell ref="EM30:EP30"/>
    <mergeCell ref="EQ30:ET30"/>
    <mergeCell ref="EU30:EX30"/>
    <mergeCell ref="DC30:DF30"/>
    <mergeCell ref="DG30:DJ30"/>
    <mergeCell ref="DK30:DN30"/>
    <mergeCell ref="DO30:DR30"/>
    <mergeCell ref="DS30:DV30"/>
    <mergeCell ref="DW30:DZ30"/>
    <mergeCell ref="CE30:CH30"/>
    <mergeCell ref="CI30:CL30"/>
    <mergeCell ref="CM30:CP30"/>
    <mergeCell ref="AY31:BB31"/>
    <mergeCell ref="BC31:BF31"/>
    <mergeCell ref="BG31:BJ31"/>
    <mergeCell ref="BK31:BN31"/>
    <mergeCell ref="BO31:BR31"/>
    <mergeCell ref="BS31:BV31"/>
    <mergeCell ref="AA31:AD31"/>
    <mergeCell ref="AE31:AH31"/>
    <mergeCell ref="AI31:AL31"/>
    <mergeCell ref="AM31:AP31"/>
    <mergeCell ref="AQ31:AT31"/>
    <mergeCell ref="AU31:AX31"/>
    <mergeCell ref="CU31:CX31"/>
    <mergeCell ref="CY31:DB31"/>
    <mergeCell ref="DC31:DF31"/>
    <mergeCell ref="DG31:DJ31"/>
    <mergeCell ref="DK31:DN31"/>
    <mergeCell ref="DO31:DR31"/>
    <mergeCell ref="BW31:BZ31"/>
    <mergeCell ref="CA31:CD31"/>
    <mergeCell ref="CE31:CH31"/>
    <mergeCell ref="CI31:CL31"/>
    <mergeCell ref="CM31:CP31"/>
    <mergeCell ref="CQ31:CT31"/>
    <mergeCell ref="EY31:FB31"/>
    <mergeCell ref="FC31:FF31"/>
    <mergeCell ref="FG31:FJ31"/>
    <mergeCell ref="FK31:FN31"/>
    <mergeCell ref="DS31:DV31"/>
    <mergeCell ref="DW31:DZ31"/>
    <mergeCell ref="EA31:ED31"/>
    <mergeCell ref="EE31:EH31"/>
    <mergeCell ref="EI31:EL31"/>
    <mergeCell ref="EM31:EP31"/>
    <mergeCell ref="AI32:AL32"/>
    <mergeCell ref="AM32:AP32"/>
    <mergeCell ref="AQ32:AT32"/>
    <mergeCell ref="AU32:AX32"/>
    <mergeCell ref="AY32:BB32"/>
    <mergeCell ref="BC32:BF32"/>
    <mergeCell ref="GM31:GP31"/>
    <mergeCell ref="GQ31:GR31"/>
    <mergeCell ref="A32:E32"/>
    <mergeCell ref="G32:J32"/>
    <mergeCell ref="K32:N32"/>
    <mergeCell ref="O32:R32"/>
    <mergeCell ref="S32:V32"/>
    <mergeCell ref="W32:Z32"/>
    <mergeCell ref="AA32:AD32"/>
    <mergeCell ref="AE32:AH32"/>
    <mergeCell ref="FO31:FR31"/>
    <mergeCell ref="FS31:FV31"/>
    <mergeCell ref="FW31:FZ31"/>
    <mergeCell ref="GA31:GD31"/>
    <mergeCell ref="GE31:GH31"/>
    <mergeCell ref="GI31:GL31"/>
    <mergeCell ref="EQ31:ET31"/>
    <mergeCell ref="EU31:EX31"/>
    <mergeCell ref="CE32:CH32"/>
    <mergeCell ref="CI32:CL32"/>
    <mergeCell ref="CM32:CP32"/>
    <mergeCell ref="CQ32:CT32"/>
    <mergeCell ref="CU32:CX32"/>
    <mergeCell ref="CY32:DB32"/>
    <mergeCell ref="BG32:BJ32"/>
    <mergeCell ref="BK32:BN32"/>
    <mergeCell ref="BO32:BR32"/>
    <mergeCell ref="BS32:BV32"/>
    <mergeCell ref="BW32:BZ32"/>
    <mergeCell ref="CA32:CD32"/>
    <mergeCell ref="EA32:ED32"/>
    <mergeCell ref="EE32:EH32"/>
    <mergeCell ref="EI32:EL32"/>
    <mergeCell ref="EM32:EP32"/>
    <mergeCell ref="EQ32:ET32"/>
    <mergeCell ref="EU32:EX32"/>
    <mergeCell ref="DC32:DF32"/>
    <mergeCell ref="DG32:DJ32"/>
    <mergeCell ref="DK32:DN32"/>
    <mergeCell ref="DO32:DR32"/>
    <mergeCell ref="DS32:DV32"/>
    <mergeCell ref="DW32:DZ32"/>
    <mergeCell ref="FW32:FZ32"/>
    <mergeCell ref="GA32:GD32"/>
    <mergeCell ref="GE32:GH32"/>
    <mergeCell ref="GI32:GL32"/>
    <mergeCell ref="GM32:GP32"/>
    <mergeCell ref="GQ32:GR32"/>
    <mergeCell ref="EY32:FB32"/>
    <mergeCell ref="FC32:FF32"/>
    <mergeCell ref="FG32:FJ32"/>
    <mergeCell ref="FK32:FN32"/>
    <mergeCell ref="FO32:FR32"/>
    <mergeCell ref="FS32:FV32"/>
    <mergeCell ref="AA33:AD33"/>
    <mergeCell ref="AE33:AH33"/>
    <mergeCell ref="AI33:AL33"/>
    <mergeCell ref="AM33:AP33"/>
    <mergeCell ref="AQ33:AT33"/>
    <mergeCell ref="AU33:AX33"/>
    <mergeCell ref="A33:E33"/>
    <mergeCell ref="G33:J33"/>
    <mergeCell ref="K33:N33"/>
    <mergeCell ref="O33:R33"/>
    <mergeCell ref="S33:V33"/>
    <mergeCell ref="W33:Z33"/>
    <mergeCell ref="BW33:BZ33"/>
    <mergeCell ref="CA33:CD33"/>
    <mergeCell ref="CE33:CH33"/>
    <mergeCell ref="CI33:CL33"/>
    <mergeCell ref="CM33:CP33"/>
    <mergeCell ref="CQ33:CT33"/>
    <mergeCell ref="AY33:BB33"/>
    <mergeCell ref="BC33:BF33"/>
    <mergeCell ref="BG33:BJ33"/>
    <mergeCell ref="BK33:BN33"/>
    <mergeCell ref="BO33:BR33"/>
    <mergeCell ref="BS33:BV33"/>
    <mergeCell ref="EA33:ED33"/>
    <mergeCell ref="EE33:EH33"/>
    <mergeCell ref="EI33:EL33"/>
    <mergeCell ref="EM33:EP33"/>
    <mergeCell ref="CU33:CX33"/>
    <mergeCell ref="CY33:DB33"/>
    <mergeCell ref="DC33:DF33"/>
    <mergeCell ref="DG33:DJ33"/>
    <mergeCell ref="DK33:DN33"/>
    <mergeCell ref="DO33:DR33"/>
    <mergeCell ref="GM33:GP33"/>
    <mergeCell ref="GQ33:GR33"/>
    <mergeCell ref="G35:J35"/>
    <mergeCell ref="K35:N35"/>
    <mergeCell ref="O35:R35"/>
    <mergeCell ref="S35:V35"/>
    <mergeCell ref="W35:Z35"/>
    <mergeCell ref="AA35:AD35"/>
    <mergeCell ref="AE35:AH35"/>
    <mergeCell ref="AI35:AL35"/>
    <mergeCell ref="FO33:FR33"/>
    <mergeCell ref="FS33:FV33"/>
    <mergeCell ref="FW33:FZ33"/>
    <mergeCell ref="GA33:GD33"/>
    <mergeCell ref="GE33:GH33"/>
    <mergeCell ref="GI33:GL33"/>
    <mergeCell ref="EQ33:ET33"/>
    <mergeCell ref="EU33:EX33"/>
    <mergeCell ref="EY33:FB33"/>
    <mergeCell ref="FC33:FF33"/>
    <mergeCell ref="FG33:FJ33"/>
    <mergeCell ref="FK33:FN33"/>
    <mergeCell ref="DS33:DV33"/>
    <mergeCell ref="DW33:DZ33"/>
    <mergeCell ref="CY35:DB35"/>
    <mergeCell ref="DC35:DF35"/>
    <mergeCell ref="BK35:BN35"/>
    <mergeCell ref="BO35:BR35"/>
    <mergeCell ref="BS35:BV35"/>
    <mergeCell ref="BW35:BZ35"/>
    <mergeCell ref="CA35:CD35"/>
    <mergeCell ref="CE35:CH35"/>
    <mergeCell ref="AM35:AP35"/>
    <mergeCell ref="AQ35:AT35"/>
    <mergeCell ref="AU35:AX35"/>
    <mergeCell ref="AY35:BB35"/>
    <mergeCell ref="BC35:BF35"/>
    <mergeCell ref="BG35:BJ35"/>
    <mergeCell ref="GQ35:GR35"/>
    <mergeCell ref="GM37:GP37"/>
    <mergeCell ref="GM38:GP38"/>
    <mergeCell ref="G34:J34"/>
    <mergeCell ref="K34:N34"/>
    <mergeCell ref="O34:R34"/>
    <mergeCell ref="S34:V34"/>
    <mergeCell ref="W34:Z34"/>
    <mergeCell ref="AA34:AD34"/>
    <mergeCell ref="AE34:AH34"/>
    <mergeCell ref="DG35:DJ35"/>
    <mergeCell ref="DK35:DN35"/>
    <mergeCell ref="DO35:DR35"/>
    <mergeCell ref="DS35:DV35"/>
    <mergeCell ref="DW35:DZ35"/>
    <mergeCell ref="GM35:GP35"/>
    <mergeCell ref="EU35:EX35"/>
    <mergeCell ref="EY35:FB35"/>
    <mergeCell ref="FC35:FF35"/>
    <mergeCell ref="FG35:FJ35"/>
    <mergeCell ref="CI35:CL35"/>
    <mergeCell ref="CM35:CP35"/>
    <mergeCell ref="CQ35:CT35"/>
    <mergeCell ref="CU35:CX35"/>
    <mergeCell ref="BG34:BJ34"/>
    <mergeCell ref="BK34:BN34"/>
    <mergeCell ref="BO34:BR34"/>
    <mergeCell ref="BS34:BV34"/>
    <mergeCell ref="BW34:BZ34"/>
    <mergeCell ref="CA34:CD34"/>
    <mergeCell ref="AI34:AL34"/>
    <mergeCell ref="AM34:AP34"/>
    <mergeCell ref="AQ34:AT34"/>
    <mergeCell ref="AU34:AX34"/>
    <mergeCell ref="AY34:BB34"/>
    <mergeCell ref="BC34:BF34"/>
    <mergeCell ref="GM34:GP34"/>
    <mergeCell ref="EA35:ED35"/>
    <mergeCell ref="EE35:EH35"/>
    <mergeCell ref="EI35:EL35"/>
    <mergeCell ref="EM35:EP35"/>
    <mergeCell ref="EQ35:ET35"/>
    <mergeCell ref="EY34:FB34"/>
    <mergeCell ref="FC34:FF34"/>
    <mergeCell ref="FG34:FJ34"/>
    <mergeCell ref="FK34:FN34"/>
    <mergeCell ref="FO34:FR34"/>
    <mergeCell ref="FS34:FV34"/>
    <mergeCell ref="EA34:ED34"/>
    <mergeCell ref="EE34:EH34"/>
    <mergeCell ref="EI34:EL34"/>
    <mergeCell ref="EM34:EP34"/>
    <mergeCell ref="EQ34:ET34"/>
    <mergeCell ref="EU34:EX34"/>
    <mergeCell ref="GI35:GL35"/>
    <mergeCell ref="GI34:GL34"/>
    <mergeCell ref="F34:F35"/>
    <mergeCell ref="A34:E34"/>
    <mergeCell ref="A35:E35"/>
    <mergeCell ref="FK35:FN35"/>
    <mergeCell ref="FO35:FR35"/>
    <mergeCell ref="FS35:FV35"/>
    <mergeCell ref="FW35:FZ35"/>
    <mergeCell ref="GA35:GD35"/>
    <mergeCell ref="GE35:GH35"/>
    <mergeCell ref="FW34:FZ34"/>
    <mergeCell ref="GA34:GD34"/>
    <mergeCell ref="GE34:GH34"/>
    <mergeCell ref="DC34:DF34"/>
    <mergeCell ref="DG34:DJ34"/>
    <mergeCell ref="DK34:DN34"/>
    <mergeCell ref="DO34:DR34"/>
    <mergeCell ref="DS34:DV34"/>
    <mergeCell ref="DW34:DZ34"/>
    <mergeCell ref="CE34:CH34"/>
    <mergeCell ref="CI34:CL34"/>
    <mergeCell ref="CM34:CP34"/>
    <mergeCell ref="CQ34:CT34"/>
    <mergeCell ref="CU34:CX34"/>
    <mergeCell ref="CY34:DB34"/>
  </mergeCells>
  <pageMargins left="0.51181102362204722" right="0.51181102362204722" top="0.78740157480314965" bottom="0.78740157480314965" header="0.31496062992125984" footer="0.31496062992125984"/>
  <pageSetup paperSize="9" scale="55" orientation="landscape" horizontalDpi="360" verticalDpi="360" r:id="rId1"/>
  <colBreaks count="3" manualBreakCount="3">
    <brk id="38" max="65" man="1"/>
    <brk id="86" max="65" man="1"/>
    <brk id="134" max="6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K35"/>
  <sheetViews>
    <sheetView zoomScaleNormal="100" zoomScaleSheetLayoutView="100" workbookViewId="0">
      <selection activeCell="EE29" sqref="EE29:EH29"/>
    </sheetView>
  </sheetViews>
  <sheetFormatPr defaultRowHeight="15" x14ac:dyDescent="0.25"/>
  <cols>
    <col min="4" max="4" width="12.5703125" customWidth="1"/>
    <col min="5" max="5" width="10.28515625" bestFit="1" customWidth="1"/>
    <col min="6" max="6" width="18.85546875" bestFit="1" customWidth="1"/>
    <col min="7" max="138" width="4.7109375" customWidth="1"/>
    <col min="141" max="141" width="13.28515625" bestFit="1" customWidth="1"/>
  </cols>
  <sheetData>
    <row r="1" spans="1:140" ht="14.45" customHeight="1" x14ac:dyDescent="0.25">
      <c r="A1" s="1631" t="s">
        <v>895</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1631"/>
      <c r="AO1" s="1631"/>
      <c r="AP1" s="1631"/>
      <c r="AQ1" s="1631"/>
      <c r="AR1" s="1631"/>
      <c r="AS1" s="1631"/>
      <c r="AT1" s="1631"/>
      <c r="AU1" s="794"/>
      <c r="AV1" s="794"/>
      <c r="AW1" s="794"/>
      <c r="AX1" s="794"/>
      <c r="AY1" s="794"/>
      <c r="AZ1" s="794"/>
      <c r="BA1" s="794"/>
      <c r="BB1" s="794"/>
      <c r="BC1" s="794"/>
      <c r="BD1" s="794"/>
      <c r="BE1" s="794"/>
      <c r="BF1" s="794"/>
      <c r="BG1" s="794"/>
      <c r="BH1" s="794"/>
      <c r="BI1" s="794"/>
      <c r="BJ1" s="794"/>
      <c r="BK1" s="794"/>
      <c r="BL1" s="794"/>
      <c r="BM1" s="794"/>
      <c r="BN1" s="794"/>
      <c r="BO1" s="794"/>
      <c r="BP1" s="794"/>
      <c r="BQ1" s="794"/>
      <c r="BR1" s="794"/>
      <c r="BS1" s="794"/>
      <c r="BT1" s="794"/>
      <c r="BU1" s="794"/>
      <c r="BV1" s="794"/>
      <c r="BW1" s="794"/>
      <c r="BX1" s="794"/>
      <c r="BY1" s="794"/>
      <c r="BZ1" s="794"/>
      <c r="CA1" s="794"/>
      <c r="CB1" s="794"/>
      <c r="CC1" s="794"/>
      <c r="CD1" s="794"/>
      <c r="CE1" s="794"/>
      <c r="CF1" s="794"/>
      <c r="CG1" s="794"/>
      <c r="CH1" s="794"/>
      <c r="CI1" s="794"/>
      <c r="CJ1" s="794"/>
      <c r="CK1" s="794"/>
      <c r="CL1" s="794"/>
      <c r="CM1" s="794"/>
      <c r="CN1" s="794"/>
      <c r="CO1" s="794"/>
      <c r="CP1" s="794"/>
      <c r="CQ1" s="794"/>
      <c r="CR1" s="794"/>
      <c r="CS1" s="794"/>
      <c r="CT1" s="794"/>
      <c r="CU1" s="794"/>
      <c r="CV1" s="794"/>
      <c r="CW1" s="794"/>
      <c r="CX1" s="794"/>
      <c r="CY1" s="794"/>
      <c r="CZ1" s="794"/>
      <c r="DA1" s="794"/>
      <c r="DB1" s="794"/>
      <c r="DC1" s="794"/>
      <c r="DD1" s="794"/>
      <c r="DE1" s="794"/>
      <c r="DF1" s="794"/>
      <c r="DG1" s="794"/>
      <c r="DH1" s="794"/>
      <c r="DI1" s="794"/>
      <c r="DJ1" s="794"/>
      <c r="DK1" s="794"/>
      <c r="DL1" s="794"/>
      <c r="DM1" s="794"/>
      <c r="DN1" s="794"/>
      <c r="DO1" s="794"/>
      <c r="DP1" s="794"/>
      <c r="DQ1" s="794"/>
      <c r="DR1" s="794"/>
      <c r="DS1" s="794"/>
      <c r="DT1" s="794"/>
      <c r="DU1" s="794"/>
      <c r="DV1" s="794"/>
      <c r="DW1" s="794"/>
      <c r="DX1" s="794"/>
      <c r="DY1" s="794"/>
      <c r="DZ1" s="794"/>
      <c r="EA1" s="794"/>
      <c r="EB1" s="794"/>
      <c r="EC1" s="794"/>
      <c r="ED1" s="794"/>
      <c r="EE1" s="794"/>
      <c r="EF1" s="794"/>
      <c r="EG1" s="794"/>
      <c r="EH1" s="794"/>
      <c r="EI1" s="794"/>
      <c r="EJ1" s="794"/>
    </row>
    <row r="2" spans="1:140" ht="14.45" customHeight="1" x14ac:dyDescent="0.25">
      <c r="A2" s="1632"/>
      <c r="B2" s="1632"/>
      <c r="C2" s="1632"/>
      <c r="D2" s="1632"/>
      <c r="E2" s="1632"/>
      <c r="F2" s="1632"/>
      <c r="G2" s="1632"/>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1"/>
      <c r="AO2" s="1631"/>
      <c r="AP2" s="1631"/>
      <c r="AQ2" s="1631"/>
      <c r="AR2" s="1631"/>
      <c r="AS2" s="1631"/>
      <c r="AT2" s="1631"/>
      <c r="AU2" s="794"/>
      <c r="AV2" s="794"/>
      <c r="AW2" s="794"/>
      <c r="AX2" s="794"/>
      <c r="AY2" s="794"/>
      <c r="AZ2" s="794"/>
      <c r="BA2" s="794"/>
      <c r="BB2" s="794"/>
      <c r="BC2" s="794"/>
      <c r="BD2" s="794"/>
      <c r="BE2" s="794"/>
      <c r="BF2" s="794"/>
      <c r="BG2" s="794"/>
      <c r="BH2" s="794"/>
      <c r="BI2" s="794"/>
      <c r="BJ2" s="794"/>
      <c r="BK2" s="794"/>
      <c r="BL2" s="794"/>
      <c r="BM2" s="794"/>
      <c r="BN2" s="794"/>
      <c r="BO2" s="794"/>
      <c r="BP2" s="794"/>
      <c r="BQ2" s="794"/>
      <c r="BR2" s="794"/>
      <c r="BS2" s="794"/>
      <c r="BT2" s="794"/>
      <c r="BU2" s="794"/>
      <c r="BV2" s="794"/>
      <c r="BW2" s="794"/>
      <c r="BX2" s="794"/>
      <c r="BY2" s="794"/>
      <c r="BZ2" s="794"/>
      <c r="CA2" s="794"/>
      <c r="CB2" s="794"/>
      <c r="CC2" s="794"/>
      <c r="CD2" s="794"/>
      <c r="CE2" s="794"/>
      <c r="CF2" s="794"/>
      <c r="CG2" s="794"/>
      <c r="CH2" s="794"/>
      <c r="CI2" s="794"/>
      <c r="CJ2" s="794"/>
      <c r="CK2" s="794"/>
      <c r="CL2" s="794"/>
      <c r="CM2" s="794"/>
      <c r="CN2" s="794"/>
      <c r="CO2" s="794"/>
      <c r="CP2" s="794"/>
      <c r="CQ2" s="794"/>
      <c r="CR2" s="794"/>
      <c r="CS2" s="794"/>
      <c r="CT2" s="794"/>
      <c r="CU2" s="794"/>
      <c r="CV2" s="794"/>
      <c r="CW2" s="794"/>
      <c r="CX2" s="794"/>
      <c r="CY2" s="794"/>
      <c r="CZ2" s="794"/>
      <c r="DA2" s="794"/>
      <c r="DB2" s="794"/>
      <c r="DC2" s="794"/>
      <c r="DD2" s="794"/>
      <c r="DE2" s="794"/>
      <c r="DF2" s="794"/>
      <c r="DG2" s="794"/>
      <c r="DH2" s="794"/>
      <c r="DI2" s="794"/>
      <c r="DJ2" s="794"/>
      <c r="DK2" s="794"/>
      <c r="DL2" s="794"/>
      <c r="DM2" s="794"/>
      <c r="DN2" s="794"/>
      <c r="DO2" s="794"/>
      <c r="DP2" s="794"/>
      <c r="DQ2" s="794"/>
      <c r="DR2" s="794"/>
      <c r="DS2" s="794"/>
      <c r="DT2" s="794"/>
      <c r="DU2" s="794"/>
      <c r="DV2" s="794"/>
      <c r="DW2" s="794"/>
      <c r="DX2" s="794"/>
      <c r="DY2" s="794"/>
      <c r="DZ2" s="794"/>
      <c r="EA2" s="794"/>
      <c r="EB2" s="794"/>
      <c r="EC2" s="794"/>
      <c r="ED2" s="794"/>
      <c r="EE2" s="794"/>
      <c r="EF2" s="794"/>
      <c r="EG2" s="794"/>
      <c r="EH2" s="794"/>
      <c r="EI2" s="794"/>
      <c r="EJ2" s="794"/>
    </row>
    <row r="3" spans="1:140" x14ac:dyDescent="0.25">
      <c r="A3" s="1633"/>
      <c r="B3" s="1634"/>
      <c r="C3" s="1635"/>
      <c r="D3" s="1638" t="s">
        <v>896</v>
      </c>
      <c r="E3" s="1639"/>
      <c r="F3" s="1639"/>
      <c r="G3" s="1639"/>
      <c r="H3" s="1639"/>
      <c r="I3" s="1639"/>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795"/>
      <c r="AO3" s="796"/>
      <c r="AP3" s="796"/>
      <c r="AQ3" s="796"/>
      <c r="AR3" s="796"/>
      <c r="AS3" s="796"/>
      <c r="AT3" s="796"/>
      <c r="AU3" s="796"/>
      <c r="AV3" s="796"/>
      <c r="AW3" s="796"/>
      <c r="AX3" s="796"/>
      <c r="AY3" s="796"/>
      <c r="AZ3" s="796"/>
      <c r="BA3" s="796"/>
      <c r="BB3" s="796"/>
      <c r="BC3" s="796"/>
      <c r="BD3" s="796"/>
      <c r="BE3" s="796"/>
      <c r="BF3" s="796"/>
      <c r="BG3" s="796"/>
      <c r="BH3" s="796"/>
      <c r="BI3" s="796"/>
      <c r="BJ3" s="796"/>
      <c r="BK3" s="796"/>
      <c r="BL3" s="796"/>
      <c r="BM3" s="796"/>
      <c r="BN3" s="796"/>
      <c r="BO3" s="796"/>
      <c r="BP3" s="796"/>
      <c r="BQ3" s="796"/>
      <c r="BR3" s="796"/>
      <c r="BS3" s="796"/>
      <c r="BT3" s="796"/>
      <c r="BU3" s="796"/>
      <c r="BV3" s="796"/>
      <c r="BW3" s="796"/>
      <c r="BX3" s="796"/>
      <c r="BY3" s="796"/>
      <c r="BZ3" s="796"/>
      <c r="CA3" s="796"/>
      <c r="CB3" s="796"/>
      <c r="CC3" s="796"/>
      <c r="CD3" s="796"/>
      <c r="CE3" s="796"/>
      <c r="CF3" s="796"/>
      <c r="CG3" s="796"/>
      <c r="CH3" s="796"/>
      <c r="CI3" s="796"/>
      <c r="CJ3" s="796"/>
      <c r="CK3" s="796"/>
      <c r="CL3" s="796"/>
      <c r="CM3" s="796"/>
      <c r="CN3" s="796"/>
      <c r="CO3" s="796"/>
      <c r="CP3" s="796"/>
      <c r="CQ3" s="796"/>
      <c r="CR3" s="796"/>
      <c r="CS3" s="796"/>
      <c r="CT3" s="796"/>
      <c r="CU3" s="796"/>
      <c r="CV3" s="796"/>
      <c r="CW3" s="796"/>
      <c r="CX3" s="796"/>
      <c r="CY3" s="796"/>
      <c r="CZ3" s="796"/>
      <c r="DA3" s="796"/>
      <c r="DB3" s="796"/>
      <c r="DC3" s="796"/>
      <c r="DD3" s="796"/>
      <c r="DE3" s="796"/>
      <c r="DF3" s="796"/>
      <c r="DG3" s="796"/>
      <c r="DH3" s="796"/>
      <c r="DI3" s="796"/>
      <c r="DJ3" s="796"/>
      <c r="DK3" s="796"/>
      <c r="DL3" s="796"/>
      <c r="DM3" s="796"/>
      <c r="DN3" s="796"/>
      <c r="DO3" s="796"/>
      <c r="DP3" s="796"/>
      <c r="DQ3" s="796"/>
      <c r="DR3" s="796"/>
      <c r="DS3" s="796"/>
      <c r="DT3" s="796"/>
      <c r="DU3" s="796"/>
      <c r="DV3" s="796"/>
      <c r="DW3" s="796"/>
      <c r="DX3" s="796"/>
      <c r="DY3" s="796"/>
      <c r="DZ3" s="796"/>
      <c r="EA3" s="796"/>
      <c r="EB3" s="796"/>
      <c r="EC3" s="796"/>
      <c r="ED3" s="796"/>
      <c r="EE3" s="796"/>
      <c r="EF3" s="796"/>
      <c r="EG3" s="796"/>
      <c r="EH3" s="796"/>
      <c r="EI3" s="796"/>
      <c r="EJ3" s="796"/>
    </row>
    <row r="4" spans="1:140" x14ac:dyDescent="0.25">
      <c r="A4" s="1636"/>
      <c r="B4" s="1583"/>
      <c r="C4" s="1637"/>
      <c r="D4" s="1640" t="s">
        <v>897</v>
      </c>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c r="AD4" s="1641"/>
      <c r="AE4" s="1641"/>
      <c r="AF4" s="1641"/>
      <c r="AG4" s="1641"/>
      <c r="AH4" s="1641"/>
      <c r="AI4" s="1641"/>
      <c r="AJ4" s="1641"/>
      <c r="AK4" s="1641"/>
      <c r="AL4" s="1641"/>
      <c r="AM4" s="1641"/>
      <c r="AN4" s="797"/>
      <c r="AO4" s="798"/>
      <c r="AP4" s="798"/>
      <c r="AQ4" s="798"/>
      <c r="AR4" s="798"/>
      <c r="AS4" s="798"/>
      <c r="AT4" s="798"/>
      <c r="AU4" s="798"/>
      <c r="AV4" s="798"/>
      <c r="AW4" s="798"/>
      <c r="AX4" s="798"/>
      <c r="AY4" s="798"/>
      <c r="AZ4" s="798"/>
      <c r="BA4" s="798"/>
      <c r="BB4" s="798"/>
      <c r="BC4" s="798"/>
      <c r="BD4" s="798"/>
      <c r="BE4" s="798"/>
      <c r="BF4" s="798"/>
      <c r="BG4" s="798"/>
      <c r="BH4" s="798"/>
      <c r="BI4" s="798"/>
      <c r="BJ4" s="798"/>
      <c r="BK4" s="798"/>
      <c r="BL4" s="798"/>
      <c r="BM4" s="798"/>
      <c r="BN4" s="798"/>
      <c r="BO4" s="798"/>
      <c r="BP4" s="798"/>
      <c r="BQ4" s="798"/>
      <c r="BR4" s="798"/>
      <c r="BS4" s="798"/>
      <c r="BT4" s="798"/>
      <c r="BU4" s="798"/>
      <c r="BV4" s="798"/>
      <c r="BW4" s="798"/>
      <c r="BX4" s="798"/>
      <c r="BY4" s="798"/>
      <c r="BZ4" s="798"/>
      <c r="CA4" s="798"/>
      <c r="CB4" s="798"/>
      <c r="CC4" s="798"/>
      <c r="CD4" s="798"/>
      <c r="CE4" s="798"/>
      <c r="CF4" s="798"/>
      <c r="CG4" s="798"/>
      <c r="CH4" s="798"/>
      <c r="CI4" s="798"/>
      <c r="CJ4" s="798"/>
      <c r="CK4" s="798"/>
      <c r="CL4" s="798"/>
      <c r="CM4" s="798"/>
      <c r="CN4" s="798"/>
      <c r="CO4" s="798"/>
      <c r="CP4" s="798"/>
      <c r="CQ4" s="798"/>
      <c r="CR4" s="798"/>
      <c r="CS4" s="798"/>
      <c r="CT4" s="798"/>
      <c r="CU4" s="798"/>
      <c r="CV4" s="798"/>
      <c r="CW4" s="798"/>
      <c r="CX4" s="798"/>
      <c r="CY4" s="798"/>
      <c r="CZ4" s="798"/>
      <c r="DA4" s="798"/>
      <c r="DB4" s="798"/>
      <c r="DC4" s="798"/>
      <c r="DD4" s="798"/>
      <c r="DE4" s="798"/>
      <c r="DF4" s="798"/>
      <c r="DG4" s="798"/>
      <c r="DH4" s="798"/>
      <c r="DI4" s="798"/>
      <c r="DJ4" s="798"/>
      <c r="DK4" s="798"/>
      <c r="DL4" s="798"/>
      <c r="DM4" s="798"/>
      <c r="DN4" s="798"/>
      <c r="DO4" s="798"/>
      <c r="DP4" s="798"/>
      <c r="DQ4" s="798"/>
      <c r="DR4" s="798"/>
      <c r="DS4" s="798"/>
      <c r="DT4" s="798"/>
      <c r="DU4" s="798"/>
      <c r="DV4" s="798"/>
      <c r="DW4" s="798"/>
      <c r="DX4" s="798"/>
      <c r="DY4" s="798"/>
      <c r="DZ4" s="798"/>
      <c r="EA4" s="798"/>
      <c r="EB4" s="798"/>
      <c r="EC4" s="798"/>
      <c r="ED4" s="798"/>
      <c r="EE4" s="798"/>
      <c r="EF4" s="798"/>
      <c r="EG4" s="798"/>
      <c r="EH4" s="798"/>
      <c r="EI4" s="798"/>
      <c r="EJ4" s="798"/>
    </row>
    <row r="5" spans="1:140" x14ac:dyDescent="0.25">
      <c r="A5" s="1636"/>
      <c r="B5" s="1583"/>
      <c r="C5" s="1637"/>
      <c r="D5" s="1642" t="s">
        <v>898</v>
      </c>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797"/>
      <c r="AO5" s="798"/>
      <c r="AP5" s="798"/>
      <c r="AQ5" s="798"/>
      <c r="AR5" s="798"/>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798"/>
      <c r="BR5" s="798"/>
      <c r="BS5" s="798"/>
      <c r="BT5" s="798"/>
      <c r="BU5" s="798"/>
      <c r="BV5" s="798"/>
      <c r="BW5" s="798"/>
      <c r="BX5" s="798"/>
      <c r="BY5" s="798"/>
      <c r="BZ5" s="798"/>
      <c r="CA5" s="798"/>
      <c r="CB5" s="798"/>
      <c r="CC5" s="798"/>
      <c r="CD5" s="798"/>
      <c r="CE5" s="798"/>
      <c r="CF5" s="798"/>
      <c r="CG5" s="798"/>
      <c r="CH5" s="798"/>
      <c r="CI5" s="798"/>
      <c r="CJ5" s="798"/>
      <c r="CK5" s="798"/>
      <c r="CL5" s="798"/>
      <c r="CM5" s="798"/>
      <c r="CN5" s="798"/>
      <c r="CO5" s="798"/>
      <c r="CP5" s="798"/>
      <c r="CQ5" s="798"/>
      <c r="CR5" s="798"/>
      <c r="CS5" s="798"/>
      <c r="CT5" s="798"/>
      <c r="CU5" s="798"/>
      <c r="CV5" s="798"/>
      <c r="CW5" s="798"/>
      <c r="CX5" s="798"/>
      <c r="CY5" s="798"/>
      <c r="CZ5" s="798"/>
      <c r="DA5" s="798"/>
      <c r="DB5" s="798"/>
      <c r="DC5" s="798"/>
      <c r="DD5" s="798"/>
      <c r="DE5" s="798"/>
      <c r="DF5" s="798"/>
      <c r="DG5" s="798"/>
      <c r="DH5" s="798"/>
      <c r="DI5" s="798"/>
      <c r="DJ5" s="798"/>
      <c r="DK5" s="798"/>
      <c r="DL5" s="798"/>
      <c r="DM5" s="798"/>
      <c r="DN5" s="798"/>
      <c r="DO5" s="798"/>
      <c r="DP5" s="798"/>
      <c r="DQ5" s="798"/>
      <c r="DR5" s="798"/>
      <c r="DS5" s="798"/>
      <c r="DT5" s="798"/>
      <c r="DU5" s="798"/>
      <c r="DV5" s="798"/>
      <c r="DW5" s="798"/>
      <c r="DX5" s="798"/>
      <c r="DY5" s="798"/>
      <c r="DZ5" s="798"/>
      <c r="EA5" s="798"/>
      <c r="EB5" s="798"/>
      <c r="EC5" s="798"/>
      <c r="ED5" s="798"/>
      <c r="EE5" s="798"/>
      <c r="EF5" s="798"/>
      <c r="EG5" s="798"/>
      <c r="EH5" s="798"/>
      <c r="EI5" s="798"/>
      <c r="EJ5" s="798"/>
    </row>
    <row r="6" spans="1:140" x14ac:dyDescent="0.25">
      <c r="A6" s="1636"/>
      <c r="B6" s="1583"/>
      <c r="C6" s="1637"/>
      <c r="D6" s="1644" t="s">
        <v>899</v>
      </c>
      <c r="E6" s="1645"/>
      <c r="F6" s="1645"/>
      <c r="G6" s="1645"/>
      <c r="H6" s="1645"/>
      <c r="I6" s="1645"/>
      <c r="J6" s="1645"/>
      <c r="K6" s="1645"/>
      <c r="L6" s="1645"/>
      <c r="M6" s="1645"/>
      <c r="N6" s="1645"/>
      <c r="O6" s="1645"/>
      <c r="P6" s="1645"/>
      <c r="Q6" s="1645"/>
      <c r="R6" s="1645"/>
      <c r="S6" s="1645"/>
      <c r="T6" s="1645"/>
      <c r="U6" s="1645"/>
      <c r="V6" s="1645"/>
      <c r="W6" s="1645"/>
      <c r="X6" s="1645"/>
      <c r="Y6" s="1645"/>
      <c r="Z6" s="1645"/>
      <c r="AA6" s="1645"/>
      <c r="AB6" s="1645"/>
      <c r="AC6" s="1645"/>
      <c r="AD6" s="1645"/>
      <c r="AE6" s="1645"/>
      <c r="AF6" s="1645"/>
      <c r="AG6" s="1645"/>
      <c r="AH6" s="1645"/>
      <c r="AI6" s="1645"/>
      <c r="AJ6" s="1645"/>
      <c r="AK6" s="1645"/>
      <c r="AL6" s="1645"/>
      <c r="AM6" s="1645"/>
      <c r="AN6" s="797"/>
      <c r="AO6" s="798"/>
      <c r="AP6" s="798"/>
      <c r="AQ6" s="798"/>
      <c r="AR6" s="798"/>
      <c r="AS6" s="798"/>
      <c r="AT6" s="798"/>
      <c r="AU6" s="798"/>
      <c r="AV6" s="798"/>
      <c r="AW6" s="798"/>
      <c r="AX6" s="798"/>
      <c r="AY6" s="798"/>
      <c r="AZ6" s="798"/>
      <c r="BA6" s="798"/>
      <c r="BB6" s="798"/>
      <c r="BC6" s="798"/>
      <c r="BD6" s="798"/>
      <c r="BE6" s="798"/>
      <c r="BF6" s="798"/>
      <c r="BG6" s="798"/>
      <c r="BH6" s="798"/>
      <c r="BI6" s="798"/>
      <c r="BJ6" s="798"/>
      <c r="BK6" s="798"/>
      <c r="BL6" s="798"/>
      <c r="BM6" s="798"/>
      <c r="BN6" s="798"/>
      <c r="BO6" s="798"/>
      <c r="BP6" s="798"/>
      <c r="BQ6" s="798"/>
      <c r="BR6" s="798"/>
      <c r="BS6" s="798"/>
      <c r="BT6" s="798"/>
      <c r="BU6" s="798"/>
      <c r="BV6" s="798"/>
      <c r="BW6" s="798"/>
      <c r="BX6" s="798"/>
      <c r="BY6" s="798"/>
      <c r="BZ6" s="798"/>
      <c r="CA6" s="798"/>
      <c r="CB6" s="798"/>
      <c r="CC6" s="798"/>
      <c r="CD6" s="798"/>
      <c r="CE6" s="798"/>
      <c r="CF6" s="798"/>
      <c r="CG6" s="798"/>
      <c r="CH6" s="798"/>
      <c r="CI6" s="798"/>
      <c r="CJ6" s="798"/>
      <c r="CK6" s="798"/>
      <c r="CL6" s="798"/>
      <c r="CM6" s="798"/>
      <c r="CN6" s="798"/>
      <c r="CO6" s="798"/>
      <c r="CP6" s="798"/>
      <c r="CQ6" s="798"/>
      <c r="CR6" s="798"/>
      <c r="CS6" s="798"/>
      <c r="CT6" s="798"/>
      <c r="CU6" s="798"/>
      <c r="CV6" s="798"/>
      <c r="CW6" s="798"/>
      <c r="CX6" s="798"/>
      <c r="CY6" s="798"/>
      <c r="CZ6" s="798"/>
      <c r="DA6" s="798"/>
      <c r="DB6" s="798"/>
      <c r="DC6" s="798"/>
      <c r="DD6" s="798"/>
      <c r="DE6" s="798"/>
      <c r="DF6" s="798"/>
      <c r="DG6" s="798"/>
      <c r="DH6" s="798"/>
      <c r="DI6" s="798"/>
      <c r="DJ6" s="798"/>
      <c r="DK6" s="798"/>
      <c r="DL6" s="798"/>
      <c r="DM6" s="798"/>
      <c r="DN6" s="798"/>
      <c r="DO6" s="798"/>
      <c r="DP6" s="798"/>
      <c r="DQ6" s="798"/>
      <c r="DR6" s="798"/>
      <c r="DS6" s="798"/>
      <c r="DT6" s="798"/>
      <c r="DU6" s="798"/>
      <c r="DV6" s="798"/>
      <c r="DW6" s="798"/>
      <c r="DX6" s="798"/>
      <c r="DY6" s="798"/>
      <c r="DZ6" s="798"/>
      <c r="EA6" s="798"/>
      <c r="EB6" s="798"/>
      <c r="EC6" s="798"/>
      <c r="ED6" s="798"/>
      <c r="EE6" s="798"/>
      <c r="EF6" s="798"/>
      <c r="EG6" s="798"/>
      <c r="EH6" s="798"/>
      <c r="EI6" s="798"/>
      <c r="EJ6" s="798"/>
    </row>
    <row r="7" spans="1:140" x14ac:dyDescent="0.25">
      <c r="A7" s="1636"/>
      <c r="B7" s="1583"/>
      <c r="C7" s="1637"/>
      <c r="D7" s="1642" t="s">
        <v>900</v>
      </c>
      <c r="E7" s="1643"/>
      <c r="F7" s="1643"/>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3"/>
      <c r="AH7" s="1646"/>
      <c r="AI7" s="1642" t="s">
        <v>901</v>
      </c>
      <c r="AJ7" s="1643"/>
      <c r="AK7" s="1643"/>
      <c r="AL7" s="1643"/>
      <c r="AM7" s="1643"/>
      <c r="AN7" s="797"/>
      <c r="AO7" s="798"/>
      <c r="AP7" s="798"/>
      <c r="AQ7" s="798"/>
      <c r="AR7" s="798"/>
      <c r="AS7" s="798"/>
      <c r="AT7" s="798"/>
      <c r="AU7" s="798"/>
      <c r="AV7" s="798"/>
      <c r="AW7" s="798"/>
      <c r="AX7" s="798"/>
      <c r="AY7" s="798"/>
      <c r="AZ7" s="798"/>
      <c r="BA7" s="798"/>
      <c r="BB7" s="798"/>
      <c r="BC7" s="798"/>
      <c r="BD7" s="798"/>
      <c r="BE7" s="798"/>
      <c r="BF7" s="798"/>
      <c r="BG7" s="798"/>
      <c r="BH7" s="798"/>
      <c r="BI7" s="798"/>
      <c r="BJ7" s="798"/>
      <c r="BK7" s="798"/>
      <c r="BL7" s="798"/>
      <c r="BM7" s="798"/>
      <c r="BN7" s="798"/>
      <c r="BO7" s="798"/>
      <c r="BP7" s="798"/>
      <c r="BQ7" s="798"/>
      <c r="BR7" s="798"/>
      <c r="BS7" s="798"/>
      <c r="BT7" s="798"/>
      <c r="BU7" s="798"/>
      <c r="BV7" s="798"/>
      <c r="BW7" s="798"/>
      <c r="BX7" s="798"/>
      <c r="BY7" s="798"/>
      <c r="BZ7" s="798"/>
      <c r="CA7" s="798"/>
      <c r="CB7" s="798"/>
      <c r="CC7" s="798"/>
      <c r="CD7" s="798"/>
      <c r="CE7" s="798"/>
      <c r="CF7" s="798"/>
      <c r="CG7" s="798"/>
      <c r="CH7" s="798"/>
      <c r="CI7" s="798"/>
      <c r="CJ7" s="798"/>
      <c r="CK7" s="798"/>
      <c r="CL7" s="798"/>
      <c r="CM7" s="798"/>
      <c r="CN7" s="798"/>
      <c r="CO7" s="798"/>
      <c r="CP7" s="798"/>
      <c r="CQ7" s="798"/>
      <c r="CR7" s="798"/>
      <c r="CS7" s="798"/>
      <c r="CT7" s="798"/>
      <c r="CU7" s="798"/>
      <c r="CV7" s="798"/>
      <c r="CW7" s="798"/>
      <c r="CX7" s="798"/>
      <c r="CY7" s="798"/>
      <c r="CZ7" s="798"/>
      <c r="DA7" s="798"/>
      <c r="DB7" s="798"/>
      <c r="DC7" s="798"/>
      <c r="DD7" s="798"/>
      <c r="DE7" s="798"/>
      <c r="DF7" s="798"/>
      <c r="DG7" s="798"/>
      <c r="DH7" s="798"/>
      <c r="DI7" s="798"/>
      <c r="DJ7" s="798"/>
      <c r="DK7" s="798"/>
      <c r="DL7" s="798"/>
      <c r="DM7" s="798"/>
      <c r="DN7" s="798"/>
      <c r="DO7" s="798"/>
      <c r="DP7" s="798"/>
      <c r="DQ7" s="798"/>
      <c r="DR7" s="798"/>
      <c r="DS7" s="798"/>
      <c r="DT7" s="798"/>
      <c r="DU7" s="798"/>
      <c r="DV7" s="798"/>
      <c r="DW7" s="798"/>
      <c r="DX7" s="798"/>
      <c r="DY7" s="798"/>
      <c r="DZ7" s="798"/>
      <c r="EA7" s="798"/>
      <c r="EB7" s="798"/>
      <c r="EC7" s="798"/>
      <c r="ED7" s="798"/>
      <c r="EE7" s="798"/>
      <c r="EF7" s="798"/>
      <c r="EG7" s="798"/>
      <c r="EH7" s="798"/>
      <c r="EI7" s="798"/>
      <c r="EJ7" s="798"/>
    </row>
    <row r="8" spans="1:140" x14ac:dyDescent="0.25">
      <c r="A8" s="1636"/>
      <c r="B8" s="1583"/>
      <c r="C8" s="1637"/>
      <c r="D8" s="1647" t="s">
        <v>902</v>
      </c>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1648"/>
      <c r="AE8" s="1648"/>
      <c r="AF8" s="1648"/>
      <c r="AG8" s="1648"/>
      <c r="AH8" s="1649"/>
      <c r="AI8" s="1650" t="s">
        <v>5</v>
      </c>
      <c r="AJ8" s="1651"/>
      <c r="AK8" s="1651"/>
      <c r="AL8" s="1651"/>
      <c r="AM8" s="1651"/>
      <c r="AN8" s="797"/>
      <c r="AO8" s="798"/>
      <c r="AP8" s="798"/>
      <c r="AQ8" s="798"/>
      <c r="AR8" s="798"/>
      <c r="AS8" s="798"/>
      <c r="AT8" s="798"/>
      <c r="AU8" s="798"/>
      <c r="AV8" s="798"/>
      <c r="AW8" s="798"/>
      <c r="AX8" s="798"/>
      <c r="AY8" s="798"/>
      <c r="AZ8" s="798"/>
      <c r="BA8" s="798"/>
      <c r="BB8" s="798"/>
      <c r="BC8" s="798"/>
      <c r="BD8" s="798"/>
      <c r="BE8" s="798"/>
      <c r="BF8" s="798"/>
      <c r="BG8" s="798"/>
      <c r="BH8" s="798"/>
      <c r="BI8" s="798"/>
      <c r="BJ8" s="798"/>
      <c r="BK8" s="798"/>
      <c r="BL8" s="798"/>
      <c r="BM8" s="798"/>
      <c r="BN8" s="798"/>
      <c r="BO8" s="798"/>
      <c r="BP8" s="798"/>
      <c r="BQ8" s="798"/>
      <c r="BR8" s="798"/>
      <c r="BS8" s="798"/>
      <c r="BT8" s="798"/>
      <c r="BU8" s="798"/>
      <c r="BV8" s="798"/>
      <c r="BW8" s="798"/>
      <c r="BX8" s="798"/>
      <c r="BY8" s="798"/>
      <c r="BZ8" s="798"/>
      <c r="CA8" s="798"/>
      <c r="CB8" s="798"/>
      <c r="CC8" s="798"/>
      <c r="CD8" s="798"/>
      <c r="CE8" s="798"/>
      <c r="CF8" s="798"/>
      <c r="CG8" s="798"/>
      <c r="CH8" s="798"/>
      <c r="CI8" s="798"/>
      <c r="CJ8" s="798"/>
      <c r="CK8" s="798"/>
      <c r="CL8" s="798"/>
      <c r="CM8" s="798"/>
      <c r="CN8" s="798"/>
      <c r="CO8" s="798"/>
      <c r="CP8" s="798"/>
      <c r="CQ8" s="798"/>
      <c r="CR8" s="798"/>
      <c r="CS8" s="798"/>
      <c r="CT8" s="798"/>
      <c r="CU8" s="798"/>
      <c r="CV8" s="798"/>
      <c r="CW8" s="798"/>
      <c r="CX8" s="798"/>
      <c r="CY8" s="798"/>
      <c r="CZ8" s="798"/>
      <c r="DA8" s="798"/>
      <c r="DB8" s="798"/>
      <c r="DC8" s="798"/>
      <c r="DD8" s="798"/>
      <c r="DE8" s="798"/>
      <c r="DF8" s="798"/>
      <c r="DG8" s="798"/>
      <c r="DH8" s="798"/>
      <c r="DI8" s="798"/>
      <c r="DJ8" s="798"/>
      <c r="DK8" s="798"/>
      <c r="DL8" s="798"/>
      <c r="DM8" s="798"/>
      <c r="DN8" s="798"/>
      <c r="DO8" s="798"/>
      <c r="DP8" s="798"/>
      <c r="DQ8" s="798"/>
      <c r="DR8" s="798"/>
      <c r="DS8" s="798"/>
      <c r="DT8" s="798"/>
      <c r="DU8" s="798"/>
      <c r="DV8" s="798"/>
      <c r="DW8" s="798"/>
      <c r="DX8" s="798"/>
      <c r="DY8" s="798"/>
      <c r="DZ8" s="798"/>
      <c r="EA8" s="798"/>
      <c r="EB8" s="798"/>
      <c r="EC8" s="798"/>
      <c r="ED8" s="798"/>
      <c r="EE8" s="798"/>
      <c r="EF8" s="798"/>
      <c r="EG8" s="798"/>
      <c r="EH8" s="798"/>
      <c r="EI8" s="798"/>
      <c r="EJ8" s="798"/>
    </row>
    <row r="9" spans="1:140" ht="18.75" customHeight="1" thickBot="1" x14ac:dyDescent="0.3">
      <c r="A9" s="1626" t="s">
        <v>895</v>
      </c>
      <c r="B9" s="1627"/>
      <c r="C9" s="1627"/>
      <c r="D9" s="1627"/>
      <c r="E9" s="1627"/>
      <c r="F9" s="1627"/>
      <c r="G9" s="1627"/>
      <c r="H9" s="1627"/>
      <c r="I9" s="1627"/>
      <c r="J9" s="1627"/>
      <c r="K9" s="1627"/>
      <c r="L9" s="1627"/>
      <c r="M9" s="1627"/>
      <c r="N9" s="1627"/>
      <c r="O9" s="1627"/>
      <c r="P9" s="1627"/>
      <c r="Q9" s="1627"/>
      <c r="R9" s="1627"/>
      <c r="S9" s="1627"/>
      <c r="T9" s="1627"/>
      <c r="U9" s="1627"/>
      <c r="V9" s="1627"/>
      <c r="W9" s="1627"/>
      <c r="X9" s="1627"/>
      <c r="Y9" s="1627"/>
      <c r="Z9" s="1627"/>
      <c r="AA9" s="1627"/>
      <c r="AB9" s="1627"/>
      <c r="AC9" s="1627"/>
      <c r="AD9" s="1627"/>
      <c r="AE9" s="1627"/>
      <c r="AF9" s="1627"/>
      <c r="AG9" s="1627"/>
      <c r="AH9" s="1627"/>
      <c r="AI9" s="1627"/>
      <c r="AJ9" s="1627"/>
      <c r="AK9" s="1627"/>
      <c r="AL9" s="1627"/>
      <c r="AM9" s="1627"/>
      <c r="AN9" s="1627"/>
      <c r="AO9" s="1627"/>
      <c r="AP9" s="1627"/>
      <c r="AQ9" s="1627"/>
      <c r="AR9" s="1627"/>
      <c r="AS9" s="1627"/>
      <c r="AT9" s="1627"/>
      <c r="AU9" s="1627"/>
      <c r="AV9" s="1627"/>
      <c r="AW9" s="1627"/>
      <c r="AX9" s="1627"/>
      <c r="AY9" s="1627"/>
      <c r="AZ9" s="1627"/>
      <c r="BA9" s="1627"/>
      <c r="BB9" s="1627"/>
      <c r="BC9" s="1627"/>
      <c r="BD9" s="1627"/>
      <c r="BE9" s="1627"/>
      <c r="BF9" s="1627"/>
      <c r="BG9" s="1627"/>
      <c r="BH9" s="1627"/>
      <c r="BI9" s="1627"/>
      <c r="BJ9" s="1627"/>
      <c r="BK9" s="1627"/>
      <c r="BL9" s="1627"/>
      <c r="BM9" s="1627"/>
      <c r="BN9" s="1627"/>
      <c r="BO9" s="1627"/>
      <c r="BP9" s="1627"/>
      <c r="BQ9" s="1627"/>
      <c r="BR9" s="1627"/>
      <c r="BS9" s="1627"/>
      <c r="BT9" s="1627"/>
      <c r="BU9" s="1627"/>
      <c r="BV9" s="1627"/>
      <c r="BW9" s="1627"/>
      <c r="BX9" s="1627"/>
      <c r="BY9" s="1627"/>
      <c r="BZ9" s="1627"/>
      <c r="CA9" s="1627"/>
      <c r="CB9" s="1627"/>
      <c r="CC9" s="1627"/>
      <c r="CD9" s="1627"/>
      <c r="CE9" s="1627"/>
      <c r="CF9" s="1627"/>
      <c r="CG9" s="1627"/>
      <c r="CH9" s="1627"/>
      <c r="CI9" s="1627"/>
      <c r="CJ9" s="1627"/>
      <c r="CK9" s="1627"/>
      <c r="CL9" s="1627"/>
      <c r="CM9" s="1627"/>
      <c r="CN9" s="1627"/>
      <c r="CO9" s="1627"/>
      <c r="CP9" s="1627"/>
      <c r="CQ9" s="1627"/>
      <c r="CR9" s="1627"/>
      <c r="CS9" s="1627"/>
      <c r="CT9" s="1627"/>
      <c r="CU9" s="1627"/>
      <c r="CV9" s="1627"/>
      <c r="CW9" s="1627"/>
      <c r="CX9" s="1627"/>
      <c r="CY9" s="1627"/>
      <c r="CZ9" s="1627"/>
      <c r="DA9" s="1627"/>
      <c r="DB9" s="1627"/>
      <c r="DC9" s="1627"/>
      <c r="DD9" s="1627"/>
      <c r="DE9" s="1627"/>
      <c r="DF9" s="1627"/>
      <c r="DG9" s="1627"/>
      <c r="DH9" s="1627"/>
      <c r="DI9" s="1627"/>
      <c r="DJ9" s="1627"/>
      <c r="DK9" s="1627"/>
      <c r="DL9" s="1627"/>
      <c r="DM9" s="1627"/>
      <c r="DN9" s="1627"/>
      <c r="DO9" s="1627"/>
      <c r="DP9" s="1627"/>
      <c r="DQ9" s="1627"/>
      <c r="DR9" s="1627"/>
      <c r="DS9" s="1627"/>
      <c r="DT9" s="1627"/>
      <c r="DU9" s="1627"/>
      <c r="DV9" s="1627"/>
      <c r="DW9" s="1627"/>
      <c r="DX9" s="1627"/>
      <c r="DY9" s="1627"/>
      <c r="DZ9" s="1627"/>
      <c r="EA9" s="1627"/>
      <c r="EB9" s="1627"/>
      <c r="EC9" s="1627"/>
      <c r="ED9" s="1627"/>
      <c r="EE9" s="1627"/>
      <c r="EF9" s="1627"/>
      <c r="EG9" s="1627"/>
      <c r="EH9" s="1627"/>
      <c r="EI9" s="1627"/>
      <c r="EJ9" s="1628"/>
    </row>
    <row r="10" spans="1:140" ht="20.100000000000001" customHeight="1" x14ac:dyDescent="0.25">
      <c r="A10" s="1629" t="s">
        <v>903</v>
      </c>
      <c r="B10" s="1630" t="s">
        <v>904</v>
      </c>
      <c r="C10" s="1630"/>
      <c r="D10" s="1630"/>
      <c r="E10" s="1630"/>
      <c r="F10" s="1630" t="s">
        <v>905</v>
      </c>
      <c r="G10" s="1584">
        <v>44774</v>
      </c>
      <c r="H10" s="1584"/>
      <c r="I10" s="1584"/>
      <c r="J10" s="1584"/>
      <c r="K10" s="1584">
        <v>44805</v>
      </c>
      <c r="L10" s="1584"/>
      <c r="M10" s="1584"/>
      <c r="N10" s="1584"/>
      <c r="O10" s="1584">
        <v>44835</v>
      </c>
      <c r="P10" s="1584"/>
      <c r="Q10" s="1584"/>
      <c r="R10" s="1584"/>
      <c r="S10" s="1584">
        <v>44866</v>
      </c>
      <c r="T10" s="1584"/>
      <c r="U10" s="1584"/>
      <c r="V10" s="1584"/>
      <c r="W10" s="1584">
        <v>44896</v>
      </c>
      <c r="X10" s="1584"/>
      <c r="Y10" s="1584"/>
      <c r="Z10" s="1584"/>
      <c r="AA10" s="1584">
        <v>44927</v>
      </c>
      <c r="AB10" s="1584"/>
      <c r="AC10" s="1584"/>
      <c r="AD10" s="1584"/>
      <c r="AE10" s="1584">
        <v>44958</v>
      </c>
      <c r="AF10" s="1584"/>
      <c r="AG10" s="1584"/>
      <c r="AH10" s="1584"/>
      <c r="AI10" s="1584">
        <v>44986</v>
      </c>
      <c r="AJ10" s="1584"/>
      <c r="AK10" s="1584"/>
      <c r="AL10" s="1584"/>
      <c r="AM10" s="1584">
        <v>45017</v>
      </c>
      <c r="AN10" s="1584"/>
      <c r="AO10" s="1584"/>
      <c r="AP10" s="1584"/>
      <c r="AQ10" s="1584">
        <v>45047</v>
      </c>
      <c r="AR10" s="1584"/>
      <c r="AS10" s="1584"/>
      <c r="AT10" s="1584"/>
      <c r="AU10" s="1584">
        <v>45078</v>
      </c>
      <c r="AV10" s="1584"/>
      <c r="AW10" s="1584"/>
      <c r="AX10" s="1584"/>
      <c r="AY10" s="1584">
        <v>45108</v>
      </c>
      <c r="AZ10" s="1584"/>
      <c r="BA10" s="1584"/>
      <c r="BB10" s="1584"/>
      <c r="BC10" s="1584">
        <v>45139</v>
      </c>
      <c r="BD10" s="1584"/>
      <c r="BE10" s="1584"/>
      <c r="BF10" s="1584"/>
      <c r="BG10" s="1584">
        <v>45170</v>
      </c>
      <c r="BH10" s="1584"/>
      <c r="BI10" s="1584"/>
      <c r="BJ10" s="1584"/>
      <c r="BK10" s="1584">
        <v>45200</v>
      </c>
      <c r="BL10" s="1584"/>
      <c r="BM10" s="1584"/>
      <c r="BN10" s="1584"/>
      <c r="BO10" s="1584">
        <v>45231</v>
      </c>
      <c r="BP10" s="1584"/>
      <c r="BQ10" s="1584"/>
      <c r="BR10" s="1584"/>
      <c r="BS10" s="1584">
        <v>45261</v>
      </c>
      <c r="BT10" s="1584"/>
      <c r="BU10" s="1584"/>
      <c r="BV10" s="1584"/>
      <c r="BW10" s="1584">
        <v>45292</v>
      </c>
      <c r="BX10" s="1584"/>
      <c r="BY10" s="1584"/>
      <c r="BZ10" s="1584"/>
      <c r="CA10" s="1584">
        <v>45323</v>
      </c>
      <c r="CB10" s="1584"/>
      <c r="CC10" s="1584"/>
      <c r="CD10" s="1584"/>
      <c r="CE10" s="1584">
        <v>45352</v>
      </c>
      <c r="CF10" s="1584"/>
      <c r="CG10" s="1584"/>
      <c r="CH10" s="1584"/>
      <c r="CI10" s="1584">
        <v>45383</v>
      </c>
      <c r="CJ10" s="1584"/>
      <c r="CK10" s="1584"/>
      <c r="CL10" s="1584"/>
      <c r="CM10" s="1584">
        <v>45413</v>
      </c>
      <c r="CN10" s="1584"/>
      <c r="CO10" s="1584"/>
      <c r="CP10" s="1584"/>
      <c r="CQ10" s="1584">
        <v>45444</v>
      </c>
      <c r="CR10" s="1584"/>
      <c r="CS10" s="1584"/>
      <c r="CT10" s="1584"/>
      <c r="CU10" s="1584">
        <v>45474</v>
      </c>
      <c r="CV10" s="1584"/>
      <c r="CW10" s="1584"/>
      <c r="CX10" s="1584"/>
      <c r="CY10" s="1584">
        <v>45505</v>
      </c>
      <c r="CZ10" s="1584"/>
      <c r="DA10" s="1584"/>
      <c r="DB10" s="1584"/>
      <c r="DC10" s="1584">
        <v>45536</v>
      </c>
      <c r="DD10" s="1584"/>
      <c r="DE10" s="1584"/>
      <c r="DF10" s="1584"/>
      <c r="DG10" s="1584">
        <v>45566</v>
      </c>
      <c r="DH10" s="1584"/>
      <c r="DI10" s="1584"/>
      <c r="DJ10" s="1584"/>
      <c r="DK10" s="1584">
        <v>45597</v>
      </c>
      <c r="DL10" s="1584"/>
      <c r="DM10" s="1584"/>
      <c r="DN10" s="1584"/>
      <c r="DO10" s="1584">
        <v>45627</v>
      </c>
      <c r="DP10" s="1584"/>
      <c r="DQ10" s="1584"/>
      <c r="DR10" s="1584"/>
      <c r="DS10" s="1584">
        <v>45658</v>
      </c>
      <c r="DT10" s="1584"/>
      <c r="DU10" s="1584"/>
      <c r="DV10" s="1584"/>
      <c r="DW10" s="1584">
        <v>45689</v>
      </c>
      <c r="DX10" s="1584"/>
      <c r="DY10" s="1584"/>
      <c r="DZ10" s="1584"/>
      <c r="EA10" s="1584">
        <v>45717</v>
      </c>
      <c r="EB10" s="1584"/>
      <c r="EC10" s="1584"/>
      <c r="ED10" s="1584"/>
      <c r="EE10" s="1584">
        <v>45748</v>
      </c>
      <c r="EF10" s="1584"/>
      <c r="EG10" s="1584"/>
      <c r="EH10" s="1584"/>
      <c r="EI10" s="1621" t="s">
        <v>906</v>
      </c>
      <c r="EJ10" s="1622"/>
    </row>
    <row r="11" spans="1:140" x14ac:dyDescent="0.25">
      <c r="A11" s="1607"/>
      <c r="B11" s="1598"/>
      <c r="C11" s="1598"/>
      <c r="D11" s="1598"/>
      <c r="E11" s="1598"/>
      <c r="F11" s="1598"/>
      <c r="G11" s="799">
        <v>1</v>
      </c>
      <c r="H11" s="799">
        <v>2</v>
      </c>
      <c r="I11" s="799">
        <v>3</v>
      </c>
      <c r="J11" s="799">
        <v>4</v>
      </c>
      <c r="K11" s="799">
        <v>1</v>
      </c>
      <c r="L11" s="799">
        <v>2</v>
      </c>
      <c r="M11" s="799">
        <v>3</v>
      </c>
      <c r="N11" s="799">
        <v>4</v>
      </c>
      <c r="O11" s="799">
        <v>1</v>
      </c>
      <c r="P11" s="799">
        <v>2</v>
      </c>
      <c r="Q11" s="799">
        <v>3</v>
      </c>
      <c r="R11" s="799">
        <v>4</v>
      </c>
      <c r="S11" s="799">
        <v>1</v>
      </c>
      <c r="T11" s="799">
        <v>2</v>
      </c>
      <c r="U11" s="799">
        <v>3</v>
      </c>
      <c r="V11" s="799">
        <v>4</v>
      </c>
      <c r="W11" s="799">
        <v>1</v>
      </c>
      <c r="X11" s="799">
        <v>2</v>
      </c>
      <c r="Y11" s="799">
        <v>3</v>
      </c>
      <c r="Z11" s="799">
        <v>4</v>
      </c>
      <c r="AA11" s="799">
        <v>1</v>
      </c>
      <c r="AB11" s="799">
        <v>2</v>
      </c>
      <c r="AC11" s="799">
        <v>3</v>
      </c>
      <c r="AD11" s="799">
        <v>4</v>
      </c>
      <c r="AE11" s="799">
        <v>1</v>
      </c>
      <c r="AF11" s="799">
        <v>2</v>
      </c>
      <c r="AG11" s="799">
        <v>3</v>
      </c>
      <c r="AH11" s="799">
        <v>4</v>
      </c>
      <c r="AI11" s="799">
        <v>1</v>
      </c>
      <c r="AJ11" s="799">
        <v>2</v>
      </c>
      <c r="AK11" s="799">
        <v>3</v>
      </c>
      <c r="AL11" s="799">
        <v>4</v>
      </c>
      <c r="AM11" s="799">
        <v>1</v>
      </c>
      <c r="AN11" s="799">
        <v>2</v>
      </c>
      <c r="AO11" s="799">
        <v>3</v>
      </c>
      <c r="AP11" s="799">
        <v>4</v>
      </c>
      <c r="AQ11" s="799">
        <v>1</v>
      </c>
      <c r="AR11" s="799">
        <v>2</v>
      </c>
      <c r="AS11" s="799">
        <v>3</v>
      </c>
      <c r="AT11" s="799">
        <v>4</v>
      </c>
      <c r="AU11" s="799">
        <v>1</v>
      </c>
      <c r="AV11" s="799">
        <v>2</v>
      </c>
      <c r="AW11" s="799">
        <v>3</v>
      </c>
      <c r="AX11" s="799">
        <v>4</v>
      </c>
      <c r="AY11" s="799">
        <v>1</v>
      </c>
      <c r="AZ11" s="799">
        <v>2</v>
      </c>
      <c r="BA11" s="799">
        <v>3</v>
      </c>
      <c r="BB11" s="799">
        <v>4</v>
      </c>
      <c r="BC11" s="799">
        <v>1</v>
      </c>
      <c r="BD11" s="799">
        <v>2</v>
      </c>
      <c r="BE11" s="799">
        <v>3</v>
      </c>
      <c r="BF11" s="799">
        <v>4</v>
      </c>
      <c r="BG11" s="799">
        <v>1</v>
      </c>
      <c r="BH11" s="799">
        <v>2</v>
      </c>
      <c r="BI11" s="799">
        <v>3</v>
      </c>
      <c r="BJ11" s="799">
        <v>4</v>
      </c>
      <c r="BK11" s="799">
        <v>1</v>
      </c>
      <c r="BL11" s="799">
        <v>2</v>
      </c>
      <c r="BM11" s="799">
        <v>3</v>
      </c>
      <c r="BN11" s="799">
        <v>4</v>
      </c>
      <c r="BO11" s="799">
        <v>1</v>
      </c>
      <c r="BP11" s="799">
        <v>2</v>
      </c>
      <c r="BQ11" s="799">
        <v>3</v>
      </c>
      <c r="BR11" s="799">
        <v>4</v>
      </c>
      <c r="BS11" s="799">
        <v>1</v>
      </c>
      <c r="BT11" s="799">
        <v>2</v>
      </c>
      <c r="BU11" s="799">
        <v>3</v>
      </c>
      <c r="BV11" s="799">
        <v>4</v>
      </c>
      <c r="BW11" s="799">
        <v>1</v>
      </c>
      <c r="BX11" s="799">
        <v>2</v>
      </c>
      <c r="BY11" s="799">
        <v>3</v>
      </c>
      <c r="BZ11" s="799">
        <v>4</v>
      </c>
      <c r="CA11" s="799">
        <v>1</v>
      </c>
      <c r="CB11" s="799">
        <v>2</v>
      </c>
      <c r="CC11" s="799">
        <v>3</v>
      </c>
      <c r="CD11" s="799">
        <v>4</v>
      </c>
      <c r="CE11" s="799">
        <v>1</v>
      </c>
      <c r="CF11" s="799">
        <v>2</v>
      </c>
      <c r="CG11" s="799">
        <v>3</v>
      </c>
      <c r="CH11" s="799">
        <v>4</v>
      </c>
      <c r="CI11" s="799">
        <v>1</v>
      </c>
      <c r="CJ11" s="799">
        <v>2</v>
      </c>
      <c r="CK11" s="799">
        <v>3</v>
      </c>
      <c r="CL11" s="799">
        <v>4</v>
      </c>
      <c r="CM11" s="799">
        <v>1</v>
      </c>
      <c r="CN11" s="799">
        <v>2</v>
      </c>
      <c r="CO11" s="799">
        <v>3</v>
      </c>
      <c r="CP11" s="799">
        <v>4</v>
      </c>
      <c r="CQ11" s="799">
        <v>1</v>
      </c>
      <c r="CR11" s="799">
        <v>2</v>
      </c>
      <c r="CS11" s="799">
        <v>3</v>
      </c>
      <c r="CT11" s="799">
        <v>4</v>
      </c>
      <c r="CU11" s="799">
        <v>1</v>
      </c>
      <c r="CV11" s="799">
        <v>2</v>
      </c>
      <c r="CW11" s="799">
        <v>3</v>
      </c>
      <c r="CX11" s="799">
        <v>4</v>
      </c>
      <c r="CY11" s="799">
        <v>1</v>
      </c>
      <c r="CZ11" s="799">
        <v>2</v>
      </c>
      <c r="DA11" s="799">
        <v>3</v>
      </c>
      <c r="DB11" s="799">
        <v>4</v>
      </c>
      <c r="DC11" s="799">
        <v>1</v>
      </c>
      <c r="DD11" s="799">
        <v>2</v>
      </c>
      <c r="DE11" s="799">
        <v>3</v>
      </c>
      <c r="DF11" s="799">
        <v>4</v>
      </c>
      <c r="DG11" s="799">
        <v>1</v>
      </c>
      <c r="DH11" s="799">
        <v>2</v>
      </c>
      <c r="DI11" s="799">
        <v>3</v>
      </c>
      <c r="DJ11" s="799">
        <v>4</v>
      </c>
      <c r="DK11" s="799">
        <v>1</v>
      </c>
      <c r="DL11" s="799">
        <v>2</v>
      </c>
      <c r="DM11" s="799">
        <v>3</v>
      </c>
      <c r="DN11" s="799">
        <v>4</v>
      </c>
      <c r="DO11" s="799">
        <v>1</v>
      </c>
      <c r="DP11" s="799">
        <v>2</v>
      </c>
      <c r="DQ11" s="799">
        <v>3</v>
      </c>
      <c r="DR11" s="799">
        <v>4</v>
      </c>
      <c r="DS11" s="799">
        <v>1</v>
      </c>
      <c r="DT11" s="799">
        <v>2</v>
      </c>
      <c r="DU11" s="799">
        <v>3</v>
      </c>
      <c r="DV11" s="799">
        <v>4</v>
      </c>
      <c r="DW11" s="799">
        <v>1</v>
      </c>
      <c r="DX11" s="799">
        <v>2</v>
      </c>
      <c r="DY11" s="799">
        <v>3</v>
      </c>
      <c r="DZ11" s="799">
        <v>4</v>
      </c>
      <c r="EA11" s="799">
        <v>1</v>
      </c>
      <c r="EB11" s="799">
        <v>2</v>
      </c>
      <c r="EC11" s="799">
        <v>3</v>
      </c>
      <c r="ED11" s="799">
        <v>4</v>
      </c>
      <c r="EE11" s="799">
        <v>1</v>
      </c>
      <c r="EF11" s="799">
        <v>2</v>
      </c>
      <c r="EG11" s="799">
        <v>3</v>
      </c>
      <c r="EH11" s="799">
        <v>4</v>
      </c>
      <c r="EI11" s="1623"/>
      <c r="EJ11" s="1624"/>
    </row>
    <row r="12" spans="1:140" x14ac:dyDescent="0.25">
      <c r="A12" s="1607">
        <v>1</v>
      </c>
      <c r="B12" s="1625" t="s">
        <v>907</v>
      </c>
      <c r="C12" s="1598"/>
      <c r="D12" s="1598"/>
      <c r="E12" s="800"/>
      <c r="F12" s="1613">
        <v>246383.26999999996</v>
      </c>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c r="BK12" s="800"/>
      <c r="BL12" s="800"/>
      <c r="BM12" s="800"/>
      <c r="BN12" s="800"/>
      <c r="BO12" s="800"/>
      <c r="BP12" s="800"/>
      <c r="BQ12" s="800"/>
      <c r="BR12" s="800"/>
      <c r="BS12" s="800"/>
      <c r="BT12" s="800"/>
      <c r="BU12" s="800"/>
      <c r="BV12" s="800"/>
      <c r="BW12" s="800"/>
      <c r="BX12" s="800"/>
      <c r="BY12" s="800"/>
      <c r="BZ12" s="800"/>
      <c r="CA12" s="800"/>
      <c r="CB12" s="800"/>
      <c r="CC12" s="800"/>
      <c r="CD12" s="800"/>
      <c r="CE12" s="800"/>
      <c r="CF12" s="800"/>
      <c r="CG12" s="800"/>
      <c r="CH12" s="800"/>
      <c r="CI12" s="800"/>
      <c r="CJ12" s="800"/>
      <c r="CK12" s="800"/>
      <c r="CL12" s="800"/>
      <c r="CM12" s="800"/>
      <c r="CN12" s="800"/>
      <c r="CO12" s="800"/>
      <c r="CP12" s="800"/>
      <c r="CQ12" s="800"/>
      <c r="CR12" s="800"/>
      <c r="CS12" s="800"/>
      <c r="CT12" s="800"/>
      <c r="CU12" s="800"/>
      <c r="CV12" s="800"/>
      <c r="CW12" s="800"/>
      <c r="CX12" s="800"/>
      <c r="CY12" s="800"/>
      <c r="CZ12" s="800"/>
      <c r="DA12" s="800"/>
      <c r="DB12" s="800"/>
      <c r="DC12" s="800"/>
      <c r="DD12" s="800"/>
      <c r="DE12" s="800"/>
      <c r="DF12" s="800"/>
      <c r="DG12" s="800"/>
      <c r="DH12" s="800"/>
      <c r="DI12" s="800"/>
      <c r="DJ12" s="800"/>
      <c r="DK12" s="800"/>
      <c r="DL12" s="800"/>
      <c r="DM12" s="800"/>
      <c r="DN12" s="800"/>
      <c r="DO12" s="800"/>
      <c r="DP12" s="800"/>
      <c r="DQ12" s="800"/>
      <c r="DR12" s="800"/>
      <c r="DS12" s="800"/>
      <c r="DT12" s="800"/>
      <c r="DU12" s="800"/>
      <c r="DV12" s="800"/>
      <c r="DW12" s="800"/>
      <c r="DX12" s="800"/>
      <c r="DY12" s="800"/>
      <c r="DZ12" s="800"/>
      <c r="EA12" s="800"/>
      <c r="EB12" s="800"/>
      <c r="EC12" s="800"/>
      <c r="ED12" s="800"/>
      <c r="EE12" s="800"/>
      <c r="EF12" s="800"/>
      <c r="EG12" s="800"/>
      <c r="EH12" s="800"/>
      <c r="EI12" s="1620"/>
      <c r="EJ12" s="1604"/>
    </row>
    <row r="13" spans="1:140" x14ac:dyDescent="0.25">
      <c r="A13" s="1607"/>
      <c r="B13" s="1625"/>
      <c r="C13" s="1598"/>
      <c r="D13" s="1598"/>
      <c r="E13" s="801" t="s">
        <v>908</v>
      </c>
      <c r="F13" s="1613"/>
      <c r="G13" s="1606">
        <v>0.63190000000000002</v>
      </c>
      <c r="H13" s="1606"/>
      <c r="I13" s="1606"/>
      <c r="J13" s="1606"/>
      <c r="K13" s="1600">
        <f>((K14*100)/F12)/100</f>
        <v>2.7398978834885991E-2</v>
      </c>
      <c r="L13" s="1601"/>
      <c r="M13" s="1601"/>
      <c r="N13" s="1601"/>
      <c r="O13" s="1600">
        <f>((O14*100)/F12)/100</f>
        <v>1.4456947502969664E-2</v>
      </c>
      <c r="P13" s="1601"/>
      <c r="Q13" s="1601"/>
      <c r="R13" s="1601"/>
      <c r="S13" s="1600">
        <f>((S14*100)/F12)/100</f>
        <v>1.4456947502969664E-2</v>
      </c>
      <c r="T13" s="1601"/>
      <c r="U13" s="1601"/>
      <c r="V13" s="1601"/>
      <c r="W13" s="1600">
        <f>((W14*100)/F12)/100</f>
        <v>1.4456947502969664E-2</v>
      </c>
      <c r="X13" s="1601"/>
      <c r="Y13" s="1601"/>
      <c r="Z13" s="1601"/>
      <c r="AA13" s="1600">
        <f>((AA14*100)/F12)/100</f>
        <v>1.4456947502969664E-2</v>
      </c>
      <c r="AB13" s="1601"/>
      <c r="AC13" s="1601"/>
      <c r="AD13" s="1601"/>
      <c r="AE13" s="1600">
        <f>((AE14*100)/F12)/100</f>
        <v>1.4456947502969664E-2</v>
      </c>
      <c r="AF13" s="1601"/>
      <c r="AG13" s="1601"/>
      <c r="AH13" s="1601"/>
      <c r="AI13" s="1600">
        <f>((AI14*100)/F12)/100</f>
        <v>1.4456947502969664E-2</v>
      </c>
      <c r="AJ13" s="1601"/>
      <c r="AK13" s="1601"/>
      <c r="AL13" s="1601"/>
      <c r="AM13" s="1600">
        <f>((AM14*100)/F12)/100</f>
        <v>1.4456947502969664E-2</v>
      </c>
      <c r="AN13" s="1601"/>
      <c r="AO13" s="1601"/>
      <c r="AP13" s="1601"/>
      <c r="AQ13" s="1606">
        <v>0</v>
      </c>
      <c r="AR13" s="1606"/>
      <c r="AS13" s="1606"/>
      <c r="AT13" s="1606"/>
      <c r="AU13" s="1606">
        <v>0</v>
      </c>
      <c r="AV13" s="1606"/>
      <c r="AW13" s="1606"/>
      <c r="AX13" s="1606"/>
      <c r="AY13" s="1606">
        <v>0</v>
      </c>
      <c r="AZ13" s="1606"/>
      <c r="BA13" s="1606"/>
      <c r="BB13" s="1606"/>
      <c r="BC13" s="1606">
        <v>0</v>
      </c>
      <c r="BD13" s="1606"/>
      <c r="BE13" s="1606"/>
      <c r="BF13" s="1606"/>
      <c r="BG13" s="1606">
        <v>0</v>
      </c>
      <c r="BH13" s="1606"/>
      <c r="BI13" s="1606"/>
      <c r="BJ13" s="1606"/>
      <c r="BK13" s="1606">
        <v>0</v>
      </c>
      <c r="BL13" s="1606"/>
      <c r="BM13" s="1606"/>
      <c r="BN13" s="1606"/>
      <c r="BO13" s="1606">
        <v>0</v>
      </c>
      <c r="BP13" s="1606"/>
      <c r="BQ13" s="1606"/>
      <c r="BR13" s="1606"/>
      <c r="BS13" s="1568">
        <f>((BS14*100)/F12)/100</f>
        <v>0</v>
      </c>
      <c r="BT13" s="1569"/>
      <c r="BU13" s="1569"/>
      <c r="BV13" s="1570"/>
      <c r="BW13" s="1568">
        <f>((BW14*100)/F12)/100</f>
        <v>3.7744161768775951E-2</v>
      </c>
      <c r="BX13" s="1569"/>
      <c r="BY13" s="1569"/>
      <c r="BZ13" s="1570"/>
      <c r="CA13" s="1568">
        <f>((CA14*100)/F12)/100</f>
        <v>0.20360006586486171</v>
      </c>
      <c r="CB13" s="1569"/>
      <c r="CC13" s="1569"/>
      <c r="CD13" s="1570"/>
      <c r="CE13" s="1568">
        <f>((CE14*100)/F12)/100</f>
        <v>3.5631274802059389E-2</v>
      </c>
      <c r="CF13" s="1569"/>
      <c r="CG13" s="1569"/>
      <c r="CH13" s="1570"/>
      <c r="CI13" s="1568">
        <f>((CI14*100)/F12)/100</f>
        <v>1.0521574780625327E-2</v>
      </c>
      <c r="CJ13" s="1569"/>
      <c r="CK13" s="1569"/>
      <c r="CL13" s="1570"/>
      <c r="CM13" s="1568">
        <f>((CM14*100)/F12)/100</f>
        <v>1.0521574780625311E-2</v>
      </c>
      <c r="CN13" s="1569"/>
      <c r="CO13" s="1569"/>
      <c r="CP13" s="1570"/>
      <c r="CQ13" s="1568">
        <f>((CQ14*100)/F12)/100</f>
        <v>1.0521574780625311E-2</v>
      </c>
      <c r="CR13" s="1569"/>
      <c r="CS13" s="1569"/>
      <c r="CT13" s="1570"/>
      <c r="CU13" s="1568">
        <f>((CU14*100)/F12)/100</f>
        <v>1.0521574780625311E-2</v>
      </c>
      <c r="CV13" s="1569"/>
      <c r="CW13" s="1569"/>
      <c r="CX13" s="1570"/>
      <c r="CY13" s="1568">
        <f>((CY14*100)/F12)/100</f>
        <v>3.8069183837035711E-2</v>
      </c>
      <c r="CZ13" s="1569"/>
      <c r="DA13" s="1569"/>
      <c r="DB13" s="1570"/>
      <c r="DC13" s="1568">
        <f>((DC14*100)/F12)/100</f>
        <v>1.4456947502969664E-2</v>
      </c>
      <c r="DD13" s="1569"/>
      <c r="DE13" s="1569"/>
      <c r="DF13" s="1570"/>
      <c r="DG13" s="1568">
        <f>((DG14*100)/F12)/100</f>
        <v>1.4456947502969664E-2</v>
      </c>
      <c r="DH13" s="1569"/>
      <c r="DI13" s="1569"/>
      <c r="DJ13" s="1570"/>
      <c r="DK13" s="1568">
        <f>((DK14*100)/F12)/100</f>
        <v>1.4456947502969653E-2</v>
      </c>
      <c r="DL13" s="1569"/>
      <c r="DM13" s="1569"/>
      <c r="DN13" s="1570"/>
      <c r="DO13" s="1568">
        <f>((DO14*100)/F12)/100</f>
        <v>1.4456947502969664E-2</v>
      </c>
      <c r="DP13" s="1569"/>
      <c r="DQ13" s="1569"/>
      <c r="DR13" s="1570"/>
      <c r="DS13" s="1568">
        <f>((DS14*100)/F12)/100</f>
        <v>1.4456947502969664E-2</v>
      </c>
      <c r="DT13" s="1569"/>
      <c r="DU13" s="1569"/>
      <c r="DV13" s="1570"/>
      <c r="DW13" s="1568">
        <f>((DW14*100)/F12)/100</f>
        <v>1.4456947502969664E-2</v>
      </c>
      <c r="DX13" s="1569"/>
      <c r="DY13" s="1569"/>
      <c r="DZ13" s="1570"/>
      <c r="EA13" s="1568">
        <f>((EA14*100)/F12)/100</f>
        <v>0</v>
      </c>
      <c r="EB13" s="1569"/>
      <c r="EC13" s="1569"/>
      <c r="ED13" s="1570"/>
      <c r="EE13" s="1568">
        <f>((EE14*100)/F12)/100</f>
        <v>0</v>
      </c>
      <c r="EF13" s="1569"/>
      <c r="EG13" s="1569"/>
      <c r="EH13" s="1570"/>
      <c r="EI13" s="1576">
        <f>((EI14*100)/F12)/100</f>
        <v>1.2680292375371105</v>
      </c>
      <c r="EJ13" s="1615"/>
    </row>
    <row r="14" spans="1:140" x14ac:dyDescent="0.25">
      <c r="A14" s="1607"/>
      <c r="B14" s="1625"/>
      <c r="C14" s="1598"/>
      <c r="D14" s="1598"/>
      <c r="E14" s="800" t="s">
        <v>909</v>
      </c>
      <c r="F14" s="1613"/>
      <c r="G14" s="1571">
        <v>75496.81</v>
      </c>
      <c r="H14" s="1571"/>
      <c r="I14" s="1571"/>
      <c r="J14" s="1571"/>
      <c r="K14" s="1571">
        <v>6750.65</v>
      </c>
      <c r="L14" s="1571"/>
      <c r="M14" s="1571"/>
      <c r="N14" s="1571"/>
      <c r="O14" s="1571">
        <v>3561.95</v>
      </c>
      <c r="P14" s="1571"/>
      <c r="Q14" s="1571"/>
      <c r="R14" s="1571"/>
      <c r="S14" s="1571">
        <v>3561.95</v>
      </c>
      <c r="T14" s="1571"/>
      <c r="U14" s="1571"/>
      <c r="V14" s="1571"/>
      <c r="W14" s="1571">
        <v>3561.95</v>
      </c>
      <c r="X14" s="1571"/>
      <c r="Y14" s="1571"/>
      <c r="Z14" s="1571"/>
      <c r="AA14" s="1571">
        <v>3561.95</v>
      </c>
      <c r="AB14" s="1571"/>
      <c r="AC14" s="1571"/>
      <c r="AD14" s="1571"/>
      <c r="AE14" s="1571">
        <v>3561.95</v>
      </c>
      <c r="AF14" s="1571"/>
      <c r="AG14" s="1571"/>
      <c r="AH14" s="1571"/>
      <c r="AI14" s="1571">
        <v>3561.95</v>
      </c>
      <c r="AJ14" s="1571"/>
      <c r="AK14" s="1571"/>
      <c r="AL14" s="1571"/>
      <c r="AM14" s="1571">
        <v>3561.95</v>
      </c>
      <c r="AN14" s="1571"/>
      <c r="AO14" s="1571"/>
      <c r="AP14" s="1571"/>
      <c r="AQ14" s="1571">
        <v>0</v>
      </c>
      <c r="AR14" s="1571"/>
      <c r="AS14" s="1571"/>
      <c r="AT14" s="1571"/>
      <c r="AU14" s="1571">
        <v>0</v>
      </c>
      <c r="AV14" s="1571"/>
      <c r="AW14" s="1571"/>
      <c r="AX14" s="1571"/>
      <c r="AY14" s="1571">
        <v>0</v>
      </c>
      <c r="AZ14" s="1571"/>
      <c r="BA14" s="1571"/>
      <c r="BB14" s="1571"/>
      <c r="BC14" s="1571">
        <v>0</v>
      </c>
      <c r="BD14" s="1571"/>
      <c r="BE14" s="1571"/>
      <c r="BF14" s="1571"/>
      <c r="BG14" s="1571">
        <v>0</v>
      </c>
      <c r="BH14" s="1571"/>
      <c r="BI14" s="1571"/>
      <c r="BJ14" s="1571"/>
      <c r="BK14" s="1571">
        <v>0</v>
      </c>
      <c r="BL14" s="1571"/>
      <c r="BM14" s="1571"/>
      <c r="BN14" s="1571"/>
      <c r="BO14" s="1571">
        <v>0</v>
      </c>
      <c r="BP14" s="1571"/>
      <c r="BQ14" s="1571"/>
      <c r="BR14" s="1571"/>
      <c r="BS14" s="1571">
        <v>0</v>
      </c>
      <c r="BT14" s="1571"/>
      <c r="BU14" s="1571"/>
      <c r="BV14" s="1571"/>
      <c r="BW14" s="1571">
        <v>9299.5300000000007</v>
      </c>
      <c r="BX14" s="1571"/>
      <c r="BY14" s="1571"/>
      <c r="BZ14" s="1571"/>
      <c r="CA14" s="1571">
        <v>50163.65</v>
      </c>
      <c r="CB14" s="1571"/>
      <c r="CC14" s="1571"/>
      <c r="CD14" s="1571"/>
      <c r="CE14" s="1571">
        <f>'11 - FINANCEIRO'!K24</f>
        <v>8778.9499999999935</v>
      </c>
      <c r="CF14" s="1571"/>
      <c r="CG14" s="1571"/>
      <c r="CH14" s="1571"/>
      <c r="CI14" s="1571">
        <v>2592.34</v>
      </c>
      <c r="CJ14" s="1571"/>
      <c r="CK14" s="1571"/>
      <c r="CL14" s="1571"/>
      <c r="CM14" s="1571">
        <v>2592.3399999999965</v>
      </c>
      <c r="CN14" s="1571"/>
      <c r="CO14" s="1571"/>
      <c r="CP14" s="1571"/>
      <c r="CQ14" s="1571">
        <v>2592.3399999999965</v>
      </c>
      <c r="CR14" s="1571"/>
      <c r="CS14" s="1571"/>
      <c r="CT14" s="1571"/>
      <c r="CU14" s="1571">
        <v>2592.3399999999965</v>
      </c>
      <c r="CV14" s="1571"/>
      <c r="CW14" s="1571"/>
      <c r="CX14" s="1571"/>
      <c r="CY14" s="1571">
        <v>9379.6100000000042</v>
      </c>
      <c r="CZ14" s="1571"/>
      <c r="DA14" s="1571"/>
      <c r="DB14" s="1571"/>
      <c r="DC14" s="1571">
        <v>3561.95</v>
      </c>
      <c r="DD14" s="1571"/>
      <c r="DE14" s="1571"/>
      <c r="DF14" s="1571"/>
      <c r="DG14" s="1571">
        <v>3561.95</v>
      </c>
      <c r="DH14" s="1571"/>
      <c r="DI14" s="1571"/>
      <c r="DJ14" s="1571"/>
      <c r="DK14" s="1571">
        <v>3561.9499999999971</v>
      </c>
      <c r="DL14" s="1571"/>
      <c r="DM14" s="1571"/>
      <c r="DN14" s="1571"/>
      <c r="DO14" s="1571">
        <v>3561.95</v>
      </c>
      <c r="DP14" s="1571"/>
      <c r="DQ14" s="1571"/>
      <c r="DR14" s="1571"/>
      <c r="DS14" s="1571">
        <v>3561.95</v>
      </c>
      <c r="DT14" s="1571"/>
      <c r="DU14" s="1571"/>
      <c r="DV14" s="1571"/>
      <c r="DW14" s="1571">
        <v>3561.95</v>
      </c>
      <c r="DX14" s="1571"/>
      <c r="DY14" s="1571"/>
      <c r="DZ14" s="1571"/>
      <c r="EA14" s="1585">
        <v>0</v>
      </c>
      <c r="EB14" s="1586"/>
      <c r="EC14" s="1586"/>
      <c r="ED14" s="1587"/>
      <c r="EE14" s="1571">
        <v>0</v>
      </c>
      <c r="EF14" s="1571"/>
      <c r="EG14" s="1571"/>
      <c r="EH14" s="1571"/>
      <c r="EI14" s="1603">
        <f>'11 - FINANCEIRO'!M31</f>
        <v>312421.19</v>
      </c>
      <c r="EJ14" s="1604"/>
    </row>
    <row r="15" spans="1:140" x14ac:dyDescent="0.25">
      <c r="A15" s="1607">
        <v>2</v>
      </c>
      <c r="B15" s="1609" t="s">
        <v>910</v>
      </c>
      <c r="C15" s="1610"/>
      <c r="D15" s="1610"/>
      <c r="E15" s="800"/>
      <c r="F15" s="1613">
        <v>26646654.809999999</v>
      </c>
      <c r="G15" s="800"/>
      <c r="H15" s="800"/>
      <c r="I15" s="800"/>
      <c r="J15" s="800"/>
      <c r="K15" s="800"/>
      <c r="L15" s="800"/>
      <c r="M15" s="800"/>
      <c r="N15" s="800"/>
      <c r="O15" s="800"/>
      <c r="P15" s="800"/>
      <c r="Q15" s="800"/>
      <c r="R15" s="800"/>
      <c r="S15" s="800"/>
      <c r="T15" s="800"/>
      <c r="U15" s="800"/>
      <c r="V15" s="800"/>
      <c r="W15" s="800"/>
      <c r="X15" s="800"/>
      <c r="Y15" s="800"/>
      <c r="Z15" s="800"/>
      <c r="AA15" s="800"/>
      <c r="AB15" s="800"/>
      <c r="AC15" s="800"/>
      <c r="AD15" s="800"/>
      <c r="AE15" s="800"/>
      <c r="AF15" s="800"/>
      <c r="AG15" s="800"/>
      <c r="AH15" s="800"/>
      <c r="AI15" s="800"/>
      <c r="AJ15" s="800"/>
      <c r="AK15" s="800"/>
      <c r="AL15" s="800"/>
      <c r="AM15" s="800"/>
      <c r="AN15" s="800"/>
      <c r="AO15" s="800"/>
      <c r="AP15" s="800"/>
      <c r="AQ15" s="800"/>
      <c r="AR15" s="800"/>
      <c r="AS15" s="800"/>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1620"/>
      <c r="EJ15" s="1604"/>
    </row>
    <row r="16" spans="1:140" x14ac:dyDescent="0.25">
      <c r="A16" s="1607"/>
      <c r="B16" s="1609"/>
      <c r="C16" s="1610"/>
      <c r="D16" s="1610"/>
      <c r="E16" s="801" t="s">
        <v>908</v>
      </c>
      <c r="F16" s="1613"/>
      <c r="G16" s="1606">
        <v>0</v>
      </c>
      <c r="H16" s="1606"/>
      <c r="I16" s="1606"/>
      <c r="J16" s="1606"/>
      <c r="K16" s="1600">
        <f>((K17*100)/F15)/100</f>
        <v>4.364793660942088E-3</v>
      </c>
      <c r="L16" s="1601"/>
      <c r="M16" s="1601"/>
      <c r="N16" s="1601"/>
      <c r="O16" s="1600">
        <f>((O17*100)/F15)/100</f>
        <v>1.4937664139763742E-2</v>
      </c>
      <c r="P16" s="1601"/>
      <c r="Q16" s="1601"/>
      <c r="R16" s="1601"/>
      <c r="S16" s="1600">
        <f>((S17*100)/F15)/100</f>
        <v>8.3481424436255541E-3</v>
      </c>
      <c r="T16" s="1601"/>
      <c r="U16" s="1601"/>
      <c r="V16" s="1601"/>
      <c r="W16" s="1600">
        <f>((W17*100)/F15)/100</f>
        <v>1.1499313222799241E-2</v>
      </c>
      <c r="X16" s="1601"/>
      <c r="Y16" s="1601"/>
      <c r="Z16" s="1601"/>
      <c r="AA16" s="1600">
        <f>((AA17*100)/F15)/100</f>
        <v>3.8317871690851839E-3</v>
      </c>
      <c r="AB16" s="1601"/>
      <c r="AC16" s="1601"/>
      <c r="AD16" s="1601"/>
      <c r="AE16" s="1600">
        <f>((AE17*100)/F15)/100</f>
        <v>1.9557371599395898E-2</v>
      </c>
      <c r="AF16" s="1601"/>
      <c r="AG16" s="1601"/>
      <c r="AH16" s="1601"/>
      <c r="AI16" s="1600">
        <f>((AI17*100)/F15)/100</f>
        <v>4.1550652713994466E-3</v>
      </c>
      <c r="AJ16" s="1601"/>
      <c r="AK16" s="1601"/>
      <c r="AL16" s="1601"/>
      <c r="AM16" s="1600">
        <f>((AM17*100)/F15)/100</f>
        <v>2.1012053257427256E-2</v>
      </c>
      <c r="AN16" s="1601"/>
      <c r="AO16" s="1601"/>
      <c r="AP16" s="1601"/>
      <c r="AQ16" s="1568">
        <f>((AQ17*100)/F15)/100</f>
        <v>2.2526650128508196E-2</v>
      </c>
      <c r="AR16" s="1569"/>
      <c r="AS16" s="1569"/>
      <c r="AT16" s="1570"/>
      <c r="AU16" s="1568">
        <f>((AU17*100)/F15)/100</f>
        <v>2.8455068202986943E-2</v>
      </c>
      <c r="AV16" s="1569"/>
      <c r="AW16" s="1569"/>
      <c r="AX16" s="1570"/>
      <c r="AY16" s="1568">
        <f>((AY17*100)/F15)/100</f>
        <v>3.9858709754494702E-2</v>
      </c>
      <c r="AZ16" s="1569"/>
      <c r="BA16" s="1569"/>
      <c r="BB16" s="1570"/>
      <c r="BC16" s="1568">
        <f>((BC17*100)/F15)/100</f>
        <v>1.4798101405660083E-2</v>
      </c>
      <c r="BD16" s="1569"/>
      <c r="BE16" s="1569"/>
      <c r="BF16" s="1570"/>
      <c r="BG16" s="1568">
        <f>((BG17*100)/F15)/100</f>
        <v>1.4439182056563747E-2</v>
      </c>
      <c r="BH16" s="1569"/>
      <c r="BI16" s="1569"/>
      <c r="BJ16" s="1570"/>
      <c r="BK16" s="1568">
        <f>((BK17*100)/F15)/100</f>
        <v>1.1200854746239721E-2</v>
      </c>
      <c r="BL16" s="1569"/>
      <c r="BM16" s="1569"/>
      <c r="BN16" s="1570"/>
      <c r="BO16" s="1568">
        <f>((BO17*100)/F15)/100</f>
        <v>7.4398843462182415E-3</v>
      </c>
      <c r="BP16" s="1569"/>
      <c r="BQ16" s="1569"/>
      <c r="BR16" s="1570"/>
      <c r="BS16" s="1568">
        <f>((BS17*100)/F15)/100</f>
        <v>2.9369071111556909E-3</v>
      </c>
      <c r="BT16" s="1569"/>
      <c r="BU16" s="1569"/>
      <c r="BV16" s="1570"/>
      <c r="BW16" s="1568">
        <f>((BW17*100)/F15)/100</f>
        <v>9.0027859673392149E-3</v>
      </c>
      <c r="BX16" s="1569"/>
      <c r="BY16" s="1569"/>
      <c r="BZ16" s="1570"/>
      <c r="CA16" s="1568">
        <f>((CA17*100)/F15)/100</f>
        <v>1.3042587239489969E-2</v>
      </c>
      <c r="CB16" s="1569"/>
      <c r="CC16" s="1569"/>
      <c r="CD16" s="1570"/>
      <c r="CE16" s="1568">
        <f>((CE17*100)/F15)/100</f>
        <v>2.9592895829613521E-2</v>
      </c>
      <c r="CF16" s="1569"/>
      <c r="CG16" s="1569"/>
      <c r="CH16" s="1570"/>
      <c r="CI16" s="1568">
        <f>((CI17*100)/F15)/100</f>
        <v>3.8466929425427565E-2</v>
      </c>
      <c r="CJ16" s="1569"/>
      <c r="CK16" s="1569"/>
      <c r="CL16" s="1570"/>
      <c r="CM16" s="1568">
        <f>((CM17*100)/F15)/100</f>
        <v>1.8478086030341758E-2</v>
      </c>
      <c r="CN16" s="1569"/>
      <c r="CO16" s="1569"/>
      <c r="CP16" s="1570"/>
      <c r="CQ16" s="1568">
        <f>((CQ17*100)/F15)/100</f>
        <v>3.1626084625216794E-2</v>
      </c>
      <c r="CR16" s="1569"/>
      <c r="CS16" s="1569"/>
      <c r="CT16" s="1570"/>
      <c r="CU16" s="1568">
        <f>((CU17*100)/F15)/100</f>
        <v>1.5671597165858281E-2</v>
      </c>
      <c r="CV16" s="1569"/>
      <c r="CW16" s="1569"/>
      <c r="CX16" s="1570"/>
      <c r="CY16" s="1568">
        <f>((CY17*100)/F15)/100</f>
        <v>2.1115988254887464E-2</v>
      </c>
      <c r="CZ16" s="1569"/>
      <c r="DA16" s="1569"/>
      <c r="DB16" s="1570"/>
      <c r="DC16" s="1568">
        <f>((DC17*100)/F15)/100</f>
        <v>3.5879752892704661E-2</v>
      </c>
      <c r="DD16" s="1569"/>
      <c r="DE16" s="1569"/>
      <c r="DF16" s="1570"/>
      <c r="DG16" s="1568">
        <f>((DG17*100)/F15)/100</f>
        <v>2.1332436061980875E-2</v>
      </c>
      <c r="DH16" s="1569"/>
      <c r="DI16" s="1569"/>
      <c r="DJ16" s="1570"/>
      <c r="DK16" s="1568">
        <f>((DK17*100)/F15)/100</f>
        <v>1.3063529455463397E-2</v>
      </c>
      <c r="DL16" s="1569"/>
      <c r="DM16" s="1569"/>
      <c r="DN16" s="1570"/>
      <c r="DO16" s="1568">
        <f>((DO17*100)/F15)/100</f>
        <v>1.7703050283931682E-2</v>
      </c>
      <c r="DP16" s="1569"/>
      <c r="DQ16" s="1569"/>
      <c r="DR16" s="1570"/>
      <c r="DS16" s="1568">
        <f>((DS17*100)/F15)/100</f>
        <v>2.5076741330744175E-2</v>
      </c>
      <c r="DT16" s="1569"/>
      <c r="DU16" s="1569"/>
      <c r="DV16" s="1570"/>
      <c r="DW16" s="1568">
        <f>((DW17*100)/F15)/100</f>
        <v>2.5581099573676654E-2</v>
      </c>
      <c r="DX16" s="1569"/>
      <c r="DY16" s="1569"/>
      <c r="DZ16" s="1570"/>
      <c r="EA16" s="1568">
        <f>((EA17*100)/F15)/100</f>
        <v>1.4114992770456502E-2</v>
      </c>
      <c r="EB16" s="1569"/>
      <c r="EC16" s="1569"/>
      <c r="ED16" s="1570"/>
      <c r="EE16" s="1568">
        <f>((EE17*100)/F15)/100</f>
        <v>5.8236552432751665E-2</v>
      </c>
      <c r="EF16" s="1569"/>
      <c r="EG16" s="1569"/>
      <c r="EH16" s="1570"/>
      <c r="EI16" s="1576">
        <f>((EI17*100)/F15)/100</f>
        <v>1.0513852766796885</v>
      </c>
      <c r="EJ16" s="1615"/>
    </row>
    <row r="17" spans="1:141" x14ac:dyDescent="0.25">
      <c r="A17" s="1607"/>
      <c r="B17" s="1609"/>
      <c r="C17" s="1610"/>
      <c r="D17" s="1610"/>
      <c r="E17" s="800" t="s">
        <v>909</v>
      </c>
      <c r="F17" s="1613"/>
      <c r="G17" s="1571">
        <v>0</v>
      </c>
      <c r="H17" s="1571"/>
      <c r="I17" s="1571"/>
      <c r="J17" s="1571"/>
      <c r="K17" s="1571">
        <v>116307.15</v>
      </c>
      <c r="L17" s="1571"/>
      <c r="M17" s="1571"/>
      <c r="N17" s="1571"/>
      <c r="O17" s="1571">
        <v>398038.78</v>
      </c>
      <c r="P17" s="1571"/>
      <c r="Q17" s="1571"/>
      <c r="R17" s="1571"/>
      <c r="S17" s="1585">
        <v>222450.07</v>
      </c>
      <c r="T17" s="1586"/>
      <c r="U17" s="1586"/>
      <c r="V17" s="1587"/>
      <c r="W17" s="1571">
        <v>306418.23</v>
      </c>
      <c r="X17" s="1571"/>
      <c r="Y17" s="1571"/>
      <c r="Z17" s="1571"/>
      <c r="AA17" s="1571">
        <v>102104.31</v>
      </c>
      <c r="AB17" s="1571"/>
      <c r="AC17" s="1571"/>
      <c r="AD17" s="1571"/>
      <c r="AE17" s="1571">
        <v>521138.53</v>
      </c>
      <c r="AF17" s="1571"/>
      <c r="AG17" s="1571"/>
      <c r="AH17" s="1571"/>
      <c r="AI17" s="1571">
        <v>110718.59</v>
      </c>
      <c r="AJ17" s="1571"/>
      <c r="AK17" s="1571"/>
      <c r="AL17" s="1571"/>
      <c r="AM17" s="1571">
        <v>559900.93000000005</v>
      </c>
      <c r="AN17" s="1571"/>
      <c r="AO17" s="1571"/>
      <c r="AP17" s="1571"/>
      <c r="AQ17" s="1571">
        <v>600259.87</v>
      </c>
      <c r="AR17" s="1571"/>
      <c r="AS17" s="1571"/>
      <c r="AT17" s="1571"/>
      <c r="AU17" s="1571">
        <v>758232.38</v>
      </c>
      <c r="AV17" s="1571"/>
      <c r="AW17" s="1571"/>
      <c r="AX17" s="1571"/>
      <c r="AY17" s="1571">
        <v>1062101.28</v>
      </c>
      <c r="AZ17" s="1571"/>
      <c r="BA17" s="1571"/>
      <c r="BB17" s="1571"/>
      <c r="BC17" s="1571">
        <v>394319.9</v>
      </c>
      <c r="BD17" s="1571"/>
      <c r="BE17" s="1571"/>
      <c r="BF17" s="1571"/>
      <c r="BG17" s="1571">
        <v>384755.9</v>
      </c>
      <c r="BH17" s="1571"/>
      <c r="BI17" s="1571"/>
      <c r="BJ17" s="1571"/>
      <c r="BK17" s="1571">
        <v>298465.31</v>
      </c>
      <c r="BL17" s="1571"/>
      <c r="BM17" s="1571"/>
      <c r="BN17" s="1571"/>
      <c r="BO17" s="1571">
        <v>198248.03</v>
      </c>
      <c r="BP17" s="1571"/>
      <c r="BQ17" s="1571"/>
      <c r="BR17" s="1571"/>
      <c r="BS17" s="1571">
        <v>78258.75</v>
      </c>
      <c r="BT17" s="1571"/>
      <c r="BU17" s="1571"/>
      <c r="BV17" s="1571"/>
      <c r="BW17" s="1571">
        <v>239894.13</v>
      </c>
      <c r="BX17" s="1571"/>
      <c r="BY17" s="1571"/>
      <c r="BZ17" s="1571"/>
      <c r="CA17" s="1571">
        <v>347541.32</v>
      </c>
      <c r="CB17" s="1571"/>
      <c r="CC17" s="1571"/>
      <c r="CD17" s="1571"/>
      <c r="CE17" s="1571">
        <v>788551.68000000005</v>
      </c>
      <c r="CF17" s="1571"/>
      <c r="CG17" s="1571"/>
      <c r="CH17" s="1571"/>
      <c r="CI17" s="1571">
        <v>1025014.99</v>
      </c>
      <c r="CJ17" s="1571"/>
      <c r="CK17" s="1571"/>
      <c r="CL17" s="1571"/>
      <c r="CM17" s="1571">
        <v>492379.18</v>
      </c>
      <c r="CN17" s="1571"/>
      <c r="CO17" s="1571"/>
      <c r="CP17" s="1571"/>
      <c r="CQ17" s="1571">
        <v>842729.36</v>
      </c>
      <c r="CR17" s="1571"/>
      <c r="CS17" s="1571"/>
      <c r="CT17" s="1571"/>
      <c r="CU17" s="1571">
        <v>417595.6399999999</v>
      </c>
      <c r="CV17" s="1571"/>
      <c r="CW17" s="1571"/>
      <c r="CX17" s="1571"/>
      <c r="CY17" s="1585">
        <v>562670.45000000054</v>
      </c>
      <c r="CZ17" s="1586"/>
      <c r="DA17" s="1586"/>
      <c r="DB17" s="1587"/>
      <c r="DC17" s="1571">
        <v>956075.39</v>
      </c>
      <c r="DD17" s="1571"/>
      <c r="DE17" s="1571"/>
      <c r="DF17" s="1571"/>
      <c r="DG17" s="1571">
        <v>568438.06000000006</v>
      </c>
      <c r="DH17" s="1571"/>
      <c r="DI17" s="1571"/>
      <c r="DJ17" s="1571"/>
      <c r="DK17" s="1571">
        <v>348099.36000000039</v>
      </c>
      <c r="DL17" s="1571"/>
      <c r="DM17" s="1571"/>
      <c r="DN17" s="1571"/>
      <c r="DO17" s="1571">
        <v>471727.07</v>
      </c>
      <c r="DP17" s="1571"/>
      <c r="DQ17" s="1571"/>
      <c r="DR17" s="1571"/>
      <c r="DS17" s="1571">
        <v>668211.27</v>
      </c>
      <c r="DT17" s="1571"/>
      <c r="DU17" s="1571"/>
      <c r="DV17" s="1571"/>
      <c r="DW17" s="1571">
        <v>681650.73</v>
      </c>
      <c r="DX17" s="1571"/>
      <c r="DY17" s="1571"/>
      <c r="DZ17" s="1571"/>
      <c r="EA17" s="1571">
        <v>373704.39</v>
      </c>
      <c r="EB17" s="1571"/>
      <c r="EC17" s="1571"/>
      <c r="ED17" s="1571"/>
      <c r="EE17" s="1571">
        <f>'11 - FINANCEIRO'!K108</f>
        <v>1551809.3099999994</v>
      </c>
      <c r="EF17" s="1571"/>
      <c r="EG17" s="1571"/>
      <c r="EH17" s="1571"/>
      <c r="EI17" s="1603">
        <f>'11 - FINANCEIRO'!M108</f>
        <v>28015900.539999999</v>
      </c>
      <c r="EJ17" s="1604"/>
    </row>
    <row r="18" spans="1:141" x14ac:dyDescent="0.25">
      <c r="A18" s="1607">
        <v>3</v>
      </c>
      <c r="B18" s="1609" t="s">
        <v>911</v>
      </c>
      <c r="C18" s="1610"/>
      <c r="D18" s="1610"/>
      <c r="E18" s="800"/>
      <c r="F18" s="1613">
        <v>1673943.39</v>
      </c>
      <c r="G18" s="800"/>
      <c r="H18" s="800"/>
      <c r="I18" s="800"/>
      <c r="J18" s="800"/>
      <c r="K18" s="800"/>
      <c r="L18" s="800"/>
      <c r="M18" s="800"/>
      <c r="N18" s="800"/>
      <c r="O18" s="800"/>
      <c r="P18" s="800"/>
      <c r="Q18" s="800"/>
      <c r="R18" s="800"/>
      <c r="S18" s="800"/>
      <c r="T18" s="800"/>
      <c r="U18" s="800"/>
      <c r="V18" s="800"/>
      <c r="W18" s="800"/>
      <c r="X18" s="800"/>
      <c r="Y18" s="800"/>
      <c r="Z18" s="800"/>
      <c r="AA18" s="800"/>
      <c r="AB18" s="800"/>
      <c r="AC18" s="800"/>
      <c r="AD18" s="800"/>
      <c r="AE18" s="800"/>
      <c r="AF18" s="800"/>
      <c r="AG18" s="800"/>
      <c r="AH18" s="800"/>
      <c r="AI18" s="800"/>
      <c r="AJ18" s="800"/>
      <c r="AK18" s="800"/>
      <c r="AL18" s="800"/>
      <c r="AM18" s="800"/>
      <c r="AN18" s="800"/>
      <c r="AO18" s="800"/>
      <c r="AP18" s="800"/>
      <c r="AQ18" s="800"/>
      <c r="AR18" s="800"/>
      <c r="AS18" s="800"/>
      <c r="AT18" s="800"/>
      <c r="AU18" s="800"/>
      <c r="AV18" s="800"/>
      <c r="AW18" s="800"/>
      <c r="AX18" s="800"/>
      <c r="AY18" s="800"/>
      <c r="AZ18" s="800"/>
      <c r="BA18" s="800"/>
      <c r="BB18" s="800"/>
      <c r="BC18" s="800"/>
      <c r="BD18" s="800"/>
      <c r="BE18" s="800"/>
      <c r="BF18" s="800"/>
      <c r="BG18" s="800"/>
      <c r="BH18" s="800"/>
      <c r="BI18" s="800"/>
      <c r="BJ18" s="800"/>
      <c r="BK18" s="800"/>
      <c r="BL18" s="800"/>
      <c r="BM18" s="800"/>
      <c r="BN18" s="800"/>
      <c r="BO18" s="800"/>
      <c r="BP18" s="800"/>
      <c r="BQ18" s="800"/>
      <c r="BR18" s="800"/>
      <c r="BS18" s="800"/>
      <c r="BT18" s="800"/>
      <c r="BU18" s="800"/>
      <c r="BV18" s="800"/>
      <c r="BW18" s="800"/>
      <c r="BX18" s="800"/>
      <c r="BY18" s="800"/>
      <c r="BZ18" s="800"/>
      <c r="CA18" s="800"/>
      <c r="CB18" s="800"/>
      <c r="CC18" s="800"/>
      <c r="CD18" s="800"/>
      <c r="CE18" s="800"/>
      <c r="CF18" s="800"/>
      <c r="CG18" s="800"/>
      <c r="CH18" s="800"/>
      <c r="CI18" s="800"/>
      <c r="CJ18" s="800"/>
      <c r="CK18" s="800"/>
      <c r="CL18" s="800"/>
      <c r="CM18" s="800"/>
      <c r="CN18" s="800"/>
      <c r="CO18" s="800"/>
      <c r="CP18" s="800"/>
      <c r="CQ18" s="800"/>
      <c r="CR18" s="800"/>
      <c r="CS18" s="800"/>
      <c r="CT18" s="800"/>
      <c r="CU18" s="800"/>
      <c r="CV18" s="800"/>
      <c r="CW18" s="800"/>
      <c r="CX18" s="800"/>
      <c r="CY18" s="800"/>
      <c r="CZ18" s="800"/>
      <c r="DA18" s="800"/>
      <c r="DB18" s="800"/>
      <c r="DC18" s="800"/>
      <c r="DD18" s="800"/>
      <c r="DE18" s="800"/>
      <c r="DF18" s="800"/>
      <c r="DG18" s="800"/>
      <c r="DH18" s="800"/>
      <c r="DI18" s="800"/>
      <c r="DJ18" s="800"/>
      <c r="DK18" s="800"/>
      <c r="DL18" s="800"/>
      <c r="DM18" s="800"/>
      <c r="DN18" s="800"/>
      <c r="DO18" s="800"/>
      <c r="DP18" s="800"/>
      <c r="DQ18" s="800"/>
      <c r="DR18" s="800"/>
      <c r="DS18" s="800"/>
      <c r="DT18" s="800"/>
      <c r="DU18" s="800"/>
      <c r="DV18" s="800"/>
      <c r="DW18" s="800"/>
      <c r="DX18" s="800"/>
      <c r="DY18" s="800"/>
      <c r="DZ18" s="800"/>
      <c r="EA18" s="800"/>
      <c r="EB18" s="800"/>
      <c r="EC18" s="800"/>
      <c r="ED18" s="800"/>
      <c r="EE18" s="800"/>
      <c r="EF18" s="800"/>
      <c r="EG18" s="800"/>
      <c r="EH18" s="800"/>
      <c r="EI18" s="1620"/>
      <c r="EJ18" s="1604"/>
    </row>
    <row r="19" spans="1:141" x14ac:dyDescent="0.25">
      <c r="A19" s="1607"/>
      <c r="B19" s="1609"/>
      <c r="C19" s="1610"/>
      <c r="D19" s="1610"/>
      <c r="E19" s="801" t="s">
        <v>908</v>
      </c>
      <c r="F19" s="1613"/>
      <c r="G19" s="1606">
        <v>0</v>
      </c>
      <c r="H19" s="1606"/>
      <c r="I19" s="1606"/>
      <c r="J19" s="1606"/>
      <c r="K19" s="1606">
        <v>0</v>
      </c>
      <c r="L19" s="1606"/>
      <c r="M19" s="1606"/>
      <c r="N19" s="1606"/>
      <c r="O19" s="1606">
        <v>0</v>
      </c>
      <c r="P19" s="1606"/>
      <c r="Q19" s="1606"/>
      <c r="R19" s="1606"/>
      <c r="S19" s="1606">
        <v>0</v>
      </c>
      <c r="T19" s="1606"/>
      <c r="U19" s="1606"/>
      <c r="V19" s="1606"/>
      <c r="W19" s="1606">
        <v>0</v>
      </c>
      <c r="X19" s="1606"/>
      <c r="Y19" s="1606"/>
      <c r="Z19" s="1606"/>
      <c r="AA19" s="1606">
        <v>0</v>
      </c>
      <c r="AB19" s="1606"/>
      <c r="AC19" s="1606"/>
      <c r="AD19" s="1606"/>
      <c r="AE19" s="1606">
        <v>0</v>
      </c>
      <c r="AF19" s="1606"/>
      <c r="AG19" s="1606"/>
      <c r="AH19" s="1606"/>
      <c r="AI19" s="1606">
        <v>0</v>
      </c>
      <c r="AJ19" s="1606"/>
      <c r="AK19" s="1606"/>
      <c r="AL19" s="1606"/>
      <c r="AM19" s="1606">
        <v>0</v>
      </c>
      <c r="AN19" s="1606"/>
      <c r="AO19" s="1606"/>
      <c r="AP19" s="1606"/>
      <c r="AQ19" s="1606">
        <v>0</v>
      </c>
      <c r="AR19" s="1606"/>
      <c r="AS19" s="1606"/>
      <c r="AT19" s="1606"/>
      <c r="AU19" s="1606">
        <v>0</v>
      </c>
      <c r="AV19" s="1606"/>
      <c r="AW19" s="1606"/>
      <c r="AX19" s="1606"/>
      <c r="AY19" s="1606">
        <v>0</v>
      </c>
      <c r="AZ19" s="1606"/>
      <c r="BA19" s="1606"/>
      <c r="BB19" s="1606"/>
      <c r="BC19" s="1606">
        <v>0</v>
      </c>
      <c r="BD19" s="1606"/>
      <c r="BE19" s="1606"/>
      <c r="BF19" s="1606"/>
      <c r="BG19" s="1606">
        <v>0</v>
      </c>
      <c r="BH19" s="1606"/>
      <c r="BI19" s="1606"/>
      <c r="BJ19" s="1606"/>
      <c r="BK19" s="1606">
        <v>0</v>
      </c>
      <c r="BL19" s="1606"/>
      <c r="BM19" s="1606"/>
      <c r="BN19" s="1606"/>
      <c r="BO19" s="1568">
        <f>((BO20*100)/F18)/100</f>
        <v>0</v>
      </c>
      <c r="BP19" s="1569"/>
      <c r="BQ19" s="1569"/>
      <c r="BR19" s="1570"/>
      <c r="BS19" s="1568">
        <v>0</v>
      </c>
      <c r="BT19" s="1569"/>
      <c r="BU19" s="1569"/>
      <c r="BV19" s="1570"/>
      <c r="BW19" s="1568">
        <f>((BW20*100)/F18)/100</f>
        <v>3.2309157121496205E-3</v>
      </c>
      <c r="BX19" s="1569"/>
      <c r="BY19" s="1569"/>
      <c r="BZ19" s="1570"/>
      <c r="CA19" s="1568">
        <v>0</v>
      </c>
      <c r="CB19" s="1569"/>
      <c r="CC19" s="1569"/>
      <c r="CD19" s="1570"/>
      <c r="CE19" s="1568">
        <f>((CE20*100)/F18)/100</f>
        <v>-0.25388623207861288</v>
      </c>
      <c r="CF19" s="1569"/>
      <c r="CG19" s="1569"/>
      <c r="CH19" s="1570"/>
      <c r="CI19" s="1568">
        <f>((CI20*100)/F18)/100</f>
        <v>-0.25388623207861288</v>
      </c>
      <c r="CJ19" s="1569"/>
      <c r="CK19" s="1569"/>
      <c r="CL19" s="1570"/>
      <c r="CM19" s="1568">
        <v>0</v>
      </c>
      <c r="CN19" s="1569"/>
      <c r="CO19" s="1569"/>
      <c r="CP19" s="1570"/>
      <c r="CQ19" s="1568">
        <v>0</v>
      </c>
      <c r="CR19" s="1569"/>
      <c r="CS19" s="1569"/>
      <c r="CT19" s="1570"/>
      <c r="CU19" s="1568">
        <f>((CU20*100)/F18)/100</f>
        <v>3.3531002503017745E-3</v>
      </c>
      <c r="CV19" s="1569"/>
      <c r="CW19" s="1569"/>
      <c r="CX19" s="1570"/>
      <c r="CY19" s="1568">
        <f>((CY20*100)/F18)/100</f>
        <v>0</v>
      </c>
      <c r="CZ19" s="1569"/>
      <c r="DA19" s="1569"/>
      <c r="DB19" s="1570"/>
      <c r="DC19" s="1568">
        <f>((DC20*100)/F18)/100</f>
        <v>0</v>
      </c>
      <c r="DD19" s="1569"/>
      <c r="DE19" s="1569"/>
      <c r="DF19" s="1570"/>
      <c r="DG19" s="1568">
        <f>((DG20*100)/F18)/100</f>
        <v>6.5655924003499315E-3</v>
      </c>
      <c r="DH19" s="1569"/>
      <c r="DI19" s="1569"/>
      <c r="DJ19" s="1570"/>
      <c r="DK19" s="1568">
        <f>((DK20*100)/F18)/100</f>
        <v>0</v>
      </c>
      <c r="DL19" s="1569"/>
      <c r="DM19" s="1569"/>
      <c r="DN19" s="1570"/>
      <c r="DO19" s="1568">
        <f>((DO20*100)/F18)/100</f>
        <v>0</v>
      </c>
      <c r="DP19" s="1569"/>
      <c r="DQ19" s="1569"/>
      <c r="DR19" s="1570"/>
      <c r="DS19" s="1568">
        <f>((DS20*100)/F18)/100</f>
        <v>0</v>
      </c>
      <c r="DT19" s="1569"/>
      <c r="DU19" s="1569"/>
      <c r="DV19" s="1570"/>
      <c r="DW19" s="1568">
        <f>((DW20*100)/F18)/100</f>
        <v>0</v>
      </c>
      <c r="DX19" s="1569"/>
      <c r="DY19" s="1569"/>
      <c r="DZ19" s="1570"/>
      <c r="EA19" s="1568">
        <f>((EA20*100)/F18)/100</f>
        <v>0.17056983032144235</v>
      </c>
      <c r="EB19" s="1569"/>
      <c r="EC19" s="1569"/>
      <c r="ED19" s="1570"/>
      <c r="EE19" s="1568">
        <f>((EE20*100)/F18)/100</f>
        <v>-0.25388623207861288</v>
      </c>
      <c r="EF19" s="1569"/>
      <c r="EG19" s="1569"/>
      <c r="EH19" s="1570"/>
      <c r="EI19" s="1576">
        <f>((EI20*100)/F18)/100</f>
        <v>5.7461082958127994E-3</v>
      </c>
      <c r="EJ19" s="1615"/>
    </row>
    <row r="20" spans="1:141" x14ac:dyDescent="0.25">
      <c r="A20" s="1607"/>
      <c r="B20" s="1609"/>
      <c r="C20" s="1610"/>
      <c r="D20" s="1610"/>
      <c r="E20" s="800" t="s">
        <v>909</v>
      </c>
      <c r="F20" s="1613"/>
      <c r="G20" s="1571">
        <v>0</v>
      </c>
      <c r="H20" s="1571"/>
      <c r="I20" s="1571"/>
      <c r="J20" s="1571"/>
      <c r="K20" s="1571">
        <v>0</v>
      </c>
      <c r="L20" s="1571"/>
      <c r="M20" s="1571"/>
      <c r="N20" s="1571"/>
      <c r="O20" s="1571">
        <v>0</v>
      </c>
      <c r="P20" s="1571"/>
      <c r="Q20" s="1571"/>
      <c r="R20" s="1571"/>
      <c r="S20" s="1571">
        <v>0</v>
      </c>
      <c r="T20" s="1571"/>
      <c r="U20" s="1571"/>
      <c r="V20" s="1571"/>
      <c r="W20" s="1571">
        <v>0</v>
      </c>
      <c r="X20" s="1571"/>
      <c r="Y20" s="1571"/>
      <c r="Z20" s="1571"/>
      <c r="AA20" s="1571">
        <v>0</v>
      </c>
      <c r="AB20" s="1571"/>
      <c r="AC20" s="1571"/>
      <c r="AD20" s="1571"/>
      <c r="AE20" s="1571">
        <v>0</v>
      </c>
      <c r="AF20" s="1571"/>
      <c r="AG20" s="1571"/>
      <c r="AH20" s="1571"/>
      <c r="AI20" s="1571">
        <v>0</v>
      </c>
      <c r="AJ20" s="1571"/>
      <c r="AK20" s="1571"/>
      <c r="AL20" s="1571"/>
      <c r="AM20" s="1571">
        <v>0</v>
      </c>
      <c r="AN20" s="1571"/>
      <c r="AO20" s="1571"/>
      <c r="AP20" s="1571"/>
      <c r="AQ20" s="1571">
        <v>0</v>
      </c>
      <c r="AR20" s="1571"/>
      <c r="AS20" s="1571"/>
      <c r="AT20" s="1571"/>
      <c r="AU20" s="1571">
        <v>0</v>
      </c>
      <c r="AV20" s="1571"/>
      <c r="AW20" s="1571"/>
      <c r="AX20" s="1571"/>
      <c r="AY20" s="1571">
        <v>0</v>
      </c>
      <c r="AZ20" s="1571"/>
      <c r="BA20" s="1571"/>
      <c r="BB20" s="1571"/>
      <c r="BC20" s="1571">
        <v>0</v>
      </c>
      <c r="BD20" s="1571"/>
      <c r="BE20" s="1571"/>
      <c r="BF20" s="1571"/>
      <c r="BG20" s="1571">
        <v>0</v>
      </c>
      <c r="BH20" s="1571"/>
      <c r="BI20" s="1571"/>
      <c r="BJ20" s="1571"/>
      <c r="BK20" s="1571">
        <v>0</v>
      </c>
      <c r="BL20" s="1571"/>
      <c r="BM20" s="1571"/>
      <c r="BN20" s="1571"/>
      <c r="BO20" s="1571">
        <v>0</v>
      </c>
      <c r="BP20" s="1571"/>
      <c r="BQ20" s="1571"/>
      <c r="BR20" s="1571"/>
      <c r="BS20" s="1571">
        <f>F18*BS19</f>
        <v>0</v>
      </c>
      <c r="BT20" s="1571"/>
      <c r="BU20" s="1571"/>
      <c r="BV20" s="1571"/>
      <c r="BW20" s="1571">
        <v>5408.37</v>
      </c>
      <c r="BX20" s="1571"/>
      <c r="BY20" s="1571"/>
      <c r="BZ20" s="1571"/>
      <c r="CA20" s="1571">
        <v>0</v>
      </c>
      <c r="CB20" s="1571"/>
      <c r="CC20" s="1571"/>
      <c r="CD20" s="1571"/>
      <c r="CE20" s="1571">
        <f>'11 - FINANCEIRO'!K159</f>
        <v>-424991.18</v>
      </c>
      <c r="CF20" s="1571"/>
      <c r="CG20" s="1571"/>
      <c r="CH20" s="1571"/>
      <c r="CI20" s="1571">
        <f>'11 - FINANCEIRO'!K159</f>
        <v>-424991.18</v>
      </c>
      <c r="CJ20" s="1571"/>
      <c r="CK20" s="1571"/>
      <c r="CL20" s="1571"/>
      <c r="CM20" s="1571">
        <f>Z18*CM19</f>
        <v>0</v>
      </c>
      <c r="CN20" s="1571"/>
      <c r="CO20" s="1571"/>
      <c r="CP20" s="1571"/>
      <c r="CQ20" s="1571">
        <f>AD18*CQ19</f>
        <v>0</v>
      </c>
      <c r="CR20" s="1571"/>
      <c r="CS20" s="1571"/>
      <c r="CT20" s="1571"/>
      <c r="CU20" s="1571">
        <v>5612.9</v>
      </c>
      <c r="CV20" s="1571"/>
      <c r="CW20" s="1571"/>
      <c r="CX20" s="1571"/>
      <c r="CY20" s="1571">
        <v>0</v>
      </c>
      <c r="CZ20" s="1571"/>
      <c r="DA20" s="1571"/>
      <c r="DB20" s="1571"/>
      <c r="DC20" s="1571">
        <v>0</v>
      </c>
      <c r="DD20" s="1571"/>
      <c r="DE20" s="1571"/>
      <c r="DF20" s="1571"/>
      <c r="DG20" s="1571">
        <v>10990.43</v>
      </c>
      <c r="DH20" s="1571"/>
      <c r="DI20" s="1571"/>
      <c r="DJ20" s="1571"/>
      <c r="DK20" s="1571">
        <v>0</v>
      </c>
      <c r="DL20" s="1571"/>
      <c r="DM20" s="1571"/>
      <c r="DN20" s="1571"/>
      <c r="DO20" s="1571">
        <v>0</v>
      </c>
      <c r="DP20" s="1571"/>
      <c r="DQ20" s="1571"/>
      <c r="DR20" s="1571"/>
      <c r="DS20" s="1571">
        <v>0</v>
      </c>
      <c r="DT20" s="1571"/>
      <c r="DU20" s="1571"/>
      <c r="DV20" s="1571"/>
      <c r="DW20" s="1571">
        <v>0</v>
      </c>
      <c r="DX20" s="1571"/>
      <c r="DY20" s="1571"/>
      <c r="DZ20" s="1571"/>
      <c r="EA20" s="1571">
        <v>289038.28000000003</v>
      </c>
      <c r="EB20" s="1571"/>
      <c r="EC20" s="1571"/>
      <c r="ED20" s="1571"/>
      <c r="EE20" s="1585">
        <f>'11 - FINANCEIRO'!K159</f>
        <v>-424991.18</v>
      </c>
      <c r="EF20" s="1586"/>
      <c r="EG20" s="1586"/>
      <c r="EH20" s="1587"/>
      <c r="EI20" s="1603">
        <f>'11 - FINANCEIRO'!M159</f>
        <v>9618.66</v>
      </c>
      <c r="EJ20" s="1604"/>
    </row>
    <row r="21" spans="1:141" x14ac:dyDescent="0.25">
      <c r="A21" s="1607">
        <v>4</v>
      </c>
      <c r="B21" s="1609" t="s">
        <v>912</v>
      </c>
      <c r="C21" s="1610"/>
      <c r="D21" s="1610"/>
      <c r="E21" s="800"/>
      <c r="F21" s="1613">
        <v>1421956.64</v>
      </c>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800"/>
      <c r="BN21" s="800"/>
      <c r="BO21" s="800"/>
      <c r="BP21" s="800"/>
      <c r="BQ21" s="800"/>
      <c r="BR21" s="800"/>
      <c r="BS21" s="800"/>
      <c r="BT21" s="800"/>
      <c r="BU21" s="800"/>
      <c r="BV21" s="800"/>
      <c r="BW21" s="800"/>
      <c r="BX21" s="800"/>
      <c r="BY21" s="800"/>
      <c r="BZ21" s="800"/>
      <c r="CA21" s="800"/>
      <c r="CB21" s="800"/>
      <c r="CC21" s="800"/>
      <c r="CD21" s="800"/>
      <c r="CE21" s="800"/>
      <c r="CF21" s="800"/>
      <c r="CG21" s="800"/>
      <c r="CH21" s="800"/>
      <c r="CI21" s="800"/>
      <c r="CJ21" s="800"/>
      <c r="CK21" s="800"/>
      <c r="CL21" s="800"/>
      <c r="CM21" s="800"/>
      <c r="CN21" s="800"/>
      <c r="CO21" s="800"/>
      <c r="CP21" s="800"/>
      <c r="CQ21" s="800"/>
      <c r="CR21" s="800"/>
      <c r="CS21" s="800"/>
      <c r="CT21" s="800"/>
      <c r="CU21" s="800"/>
      <c r="CV21" s="800"/>
      <c r="CW21" s="800"/>
      <c r="CX21" s="800"/>
      <c r="CY21" s="800"/>
      <c r="CZ21" s="800"/>
      <c r="DA21" s="800"/>
      <c r="DB21" s="800"/>
      <c r="DC21" s="800"/>
      <c r="DD21" s="800"/>
      <c r="DE21" s="800"/>
      <c r="DF21" s="800"/>
      <c r="DG21" s="800"/>
      <c r="DH21" s="800"/>
      <c r="DI21" s="800"/>
      <c r="DJ21" s="800"/>
      <c r="DK21" s="800"/>
      <c r="DL21" s="800"/>
      <c r="DM21" s="800"/>
      <c r="DN21" s="800"/>
      <c r="DO21" s="800"/>
      <c r="DP21" s="800"/>
      <c r="DQ21" s="800"/>
      <c r="DR21" s="800"/>
      <c r="DS21" s="800"/>
      <c r="DT21" s="800"/>
      <c r="DU21" s="800"/>
      <c r="DV21" s="800"/>
      <c r="DW21" s="800"/>
      <c r="DX21" s="800"/>
      <c r="DY21" s="800"/>
      <c r="DZ21" s="800"/>
      <c r="EA21" s="800"/>
      <c r="EB21" s="800"/>
      <c r="EC21" s="800"/>
      <c r="ED21" s="800"/>
      <c r="EE21" s="800"/>
      <c r="EF21" s="800"/>
      <c r="EG21" s="800"/>
      <c r="EH21" s="800"/>
      <c r="EI21" s="1620"/>
      <c r="EJ21" s="1604"/>
    </row>
    <row r="22" spans="1:141" x14ac:dyDescent="0.25">
      <c r="A22" s="1607"/>
      <c r="B22" s="1609"/>
      <c r="C22" s="1610"/>
      <c r="D22" s="1610"/>
      <c r="E22" s="801" t="s">
        <v>908</v>
      </c>
      <c r="F22" s="1613"/>
      <c r="G22" s="1606">
        <v>0</v>
      </c>
      <c r="H22" s="1606"/>
      <c r="I22" s="1606"/>
      <c r="J22" s="1606"/>
      <c r="K22" s="1606">
        <v>0</v>
      </c>
      <c r="L22" s="1606"/>
      <c r="M22" s="1606"/>
      <c r="N22" s="1606"/>
      <c r="O22" s="1606">
        <v>0</v>
      </c>
      <c r="P22" s="1606"/>
      <c r="Q22" s="1606"/>
      <c r="R22" s="1606"/>
      <c r="S22" s="1606">
        <v>0</v>
      </c>
      <c r="T22" s="1606"/>
      <c r="U22" s="1606"/>
      <c r="V22" s="1606"/>
      <c r="W22" s="1606">
        <v>0</v>
      </c>
      <c r="X22" s="1606"/>
      <c r="Y22" s="1606"/>
      <c r="Z22" s="1606"/>
      <c r="AA22" s="1606">
        <v>0</v>
      </c>
      <c r="AB22" s="1606"/>
      <c r="AC22" s="1606"/>
      <c r="AD22" s="1606"/>
      <c r="AE22" s="1606">
        <v>0</v>
      </c>
      <c r="AF22" s="1606"/>
      <c r="AG22" s="1606"/>
      <c r="AH22" s="1606"/>
      <c r="AI22" s="1606">
        <v>0</v>
      </c>
      <c r="AJ22" s="1606"/>
      <c r="AK22" s="1606"/>
      <c r="AL22" s="1606"/>
      <c r="AM22" s="1606">
        <v>0</v>
      </c>
      <c r="AN22" s="1606"/>
      <c r="AO22" s="1606"/>
      <c r="AP22" s="1606"/>
      <c r="AQ22" s="1606">
        <v>0</v>
      </c>
      <c r="AR22" s="1606"/>
      <c r="AS22" s="1606"/>
      <c r="AT22" s="1606"/>
      <c r="AU22" s="1606">
        <v>0</v>
      </c>
      <c r="AV22" s="1606"/>
      <c r="AW22" s="1606"/>
      <c r="AX22" s="1606"/>
      <c r="AY22" s="1606">
        <v>0</v>
      </c>
      <c r="AZ22" s="1606"/>
      <c r="BA22" s="1606"/>
      <c r="BB22" s="1606"/>
      <c r="BC22" s="1606">
        <v>0</v>
      </c>
      <c r="BD22" s="1606"/>
      <c r="BE22" s="1606"/>
      <c r="BF22" s="1606"/>
      <c r="BG22" s="1606">
        <v>0</v>
      </c>
      <c r="BH22" s="1606"/>
      <c r="BI22" s="1606"/>
      <c r="BJ22" s="1606"/>
      <c r="BK22" s="1606">
        <v>0</v>
      </c>
      <c r="BL22" s="1606"/>
      <c r="BM22" s="1606"/>
      <c r="BN22" s="1606"/>
      <c r="BO22" s="1568">
        <f>((BO23*100)/F21)/100</f>
        <v>0</v>
      </c>
      <c r="BP22" s="1569"/>
      <c r="BQ22" s="1569"/>
      <c r="BR22" s="1570"/>
      <c r="BS22" s="1568">
        <f>((BS23*100)/F21)/100</f>
        <v>0</v>
      </c>
      <c r="BT22" s="1569"/>
      <c r="BU22" s="1569"/>
      <c r="BV22" s="1570"/>
      <c r="BW22" s="1568">
        <f>((BW23*100)/F21)/100</f>
        <v>0</v>
      </c>
      <c r="BX22" s="1569"/>
      <c r="BY22" s="1569"/>
      <c r="BZ22" s="1570"/>
      <c r="CA22" s="1568">
        <f>((CA23*100)/F21)/100</f>
        <v>0</v>
      </c>
      <c r="CB22" s="1569"/>
      <c r="CC22" s="1569"/>
      <c r="CD22" s="1570"/>
      <c r="CE22" s="1568">
        <f>((CE23*100)/F21)/100</f>
        <v>0</v>
      </c>
      <c r="CF22" s="1569"/>
      <c r="CG22" s="1569"/>
      <c r="CH22" s="1570"/>
      <c r="CI22" s="1568">
        <f>((CI23*100)/F21)/100</f>
        <v>0</v>
      </c>
      <c r="CJ22" s="1569"/>
      <c r="CK22" s="1569"/>
      <c r="CL22" s="1570"/>
      <c r="CM22" s="1568">
        <f>((CM23*100)/F21)/100</f>
        <v>0</v>
      </c>
      <c r="CN22" s="1569"/>
      <c r="CO22" s="1569"/>
      <c r="CP22" s="1570"/>
      <c r="CQ22" s="1568">
        <f>((CQ23*100)/F21)/100</f>
        <v>0</v>
      </c>
      <c r="CR22" s="1569"/>
      <c r="CS22" s="1569"/>
      <c r="CT22" s="1570"/>
      <c r="CU22" s="1568">
        <f>((CU23*100)/F21)/100</f>
        <v>0.12825872102541749</v>
      </c>
      <c r="CV22" s="1569"/>
      <c r="CW22" s="1569"/>
      <c r="CX22" s="1570"/>
      <c r="CY22" s="1568">
        <f>((CY23*100)/F21)/100</f>
        <v>1.7864412518232623E-2</v>
      </c>
      <c r="CZ22" s="1569"/>
      <c r="DA22" s="1569"/>
      <c r="DB22" s="1570"/>
      <c r="DC22" s="1568">
        <f>((DC23*100)/F21)/100</f>
        <v>0</v>
      </c>
      <c r="DD22" s="1569"/>
      <c r="DE22" s="1569"/>
      <c r="DF22" s="1570"/>
      <c r="DG22" s="1568">
        <f>((DG23*100)/F21)/100</f>
        <v>0</v>
      </c>
      <c r="DH22" s="1569"/>
      <c r="DI22" s="1569"/>
      <c r="DJ22" s="1570"/>
      <c r="DK22" s="1568">
        <f>((DK23*100)/F21)/100</f>
        <v>6.5506202777041084E-2</v>
      </c>
      <c r="DL22" s="1569"/>
      <c r="DM22" s="1569"/>
      <c r="DN22" s="1570"/>
      <c r="DO22" s="1568">
        <f>((DO23*100)/F21)/100</f>
        <v>4.4615080527349978E-2</v>
      </c>
      <c r="DP22" s="1569"/>
      <c r="DQ22" s="1569"/>
      <c r="DR22" s="1570"/>
      <c r="DS22" s="1568">
        <f>((DS23*100)/F21)/100</f>
        <v>7.8098513608685005E-3</v>
      </c>
      <c r="DT22" s="1569"/>
      <c r="DU22" s="1569"/>
      <c r="DV22" s="1570"/>
      <c r="DW22" s="1568">
        <f>((DW23*100)/F21)/100</f>
        <v>5.1116185933770808E-4</v>
      </c>
      <c r="DX22" s="1569"/>
      <c r="DY22" s="1569"/>
      <c r="DZ22" s="1570"/>
      <c r="EA22" s="1568">
        <f>((EA23*100)/F21)/100</f>
        <v>0</v>
      </c>
      <c r="EB22" s="1569"/>
      <c r="EC22" s="1569"/>
      <c r="ED22" s="1570"/>
      <c r="EE22" s="1568">
        <f>((EE23*100)/F21)/100</f>
        <v>-1.4659026452452166E-2</v>
      </c>
      <c r="EF22" s="1569"/>
      <c r="EG22" s="1569"/>
      <c r="EH22" s="1570"/>
      <c r="EI22" s="1576">
        <f>((EI23*100)/F21)/100</f>
        <v>0.52056332041179554</v>
      </c>
      <c r="EJ22" s="1615"/>
    </row>
    <row r="23" spans="1:141" x14ac:dyDescent="0.25">
      <c r="A23" s="1607"/>
      <c r="B23" s="1609"/>
      <c r="C23" s="1610"/>
      <c r="D23" s="1610"/>
      <c r="E23" s="800" t="s">
        <v>909</v>
      </c>
      <c r="F23" s="1613"/>
      <c r="G23" s="1571">
        <v>0</v>
      </c>
      <c r="H23" s="1571"/>
      <c r="I23" s="1571"/>
      <c r="J23" s="1571"/>
      <c r="K23" s="1571">
        <v>0</v>
      </c>
      <c r="L23" s="1571"/>
      <c r="M23" s="1571"/>
      <c r="N23" s="1571"/>
      <c r="O23" s="1571">
        <v>0</v>
      </c>
      <c r="P23" s="1571"/>
      <c r="Q23" s="1571"/>
      <c r="R23" s="1571"/>
      <c r="S23" s="1571">
        <v>0</v>
      </c>
      <c r="T23" s="1571"/>
      <c r="U23" s="1571"/>
      <c r="V23" s="1571"/>
      <c r="W23" s="1571">
        <v>0</v>
      </c>
      <c r="X23" s="1571"/>
      <c r="Y23" s="1571"/>
      <c r="Z23" s="1571"/>
      <c r="AA23" s="1571">
        <v>0</v>
      </c>
      <c r="AB23" s="1571"/>
      <c r="AC23" s="1571"/>
      <c r="AD23" s="1571"/>
      <c r="AE23" s="1571">
        <v>0</v>
      </c>
      <c r="AF23" s="1571"/>
      <c r="AG23" s="1571"/>
      <c r="AH23" s="1571"/>
      <c r="AI23" s="1571">
        <v>0</v>
      </c>
      <c r="AJ23" s="1571"/>
      <c r="AK23" s="1571"/>
      <c r="AL23" s="1571"/>
      <c r="AM23" s="1571">
        <v>0</v>
      </c>
      <c r="AN23" s="1571"/>
      <c r="AO23" s="1571"/>
      <c r="AP23" s="1571"/>
      <c r="AQ23" s="1571">
        <v>0</v>
      </c>
      <c r="AR23" s="1571"/>
      <c r="AS23" s="1571"/>
      <c r="AT23" s="1571"/>
      <c r="AU23" s="1571">
        <v>0</v>
      </c>
      <c r="AV23" s="1571"/>
      <c r="AW23" s="1571"/>
      <c r="AX23" s="1571"/>
      <c r="AY23" s="1571">
        <v>0</v>
      </c>
      <c r="AZ23" s="1571"/>
      <c r="BA23" s="1571"/>
      <c r="BB23" s="1571"/>
      <c r="BC23" s="1571">
        <v>0</v>
      </c>
      <c r="BD23" s="1571"/>
      <c r="BE23" s="1571"/>
      <c r="BF23" s="1571"/>
      <c r="BG23" s="1571">
        <v>0</v>
      </c>
      <c r="BH23" s="1571"/>
      <c r="BI23" s="1571"/>
      <c r="BJ23" s="1571"/>
      <c r="BK23" s="1571">
        <v>0</v>
      </c>
      <c r="BL23" s="1571"/>
      <c r="BM23" s="1571"/>
      <c r="BN23" s="1571"/>
      <c r="BO23" s="1571">
        <v>0</v>
      </c>
      <c r="BP23" s="1571"/>
      <c r="BQ23" s="1571"/>
      <c r="BR23" s="1571"/>
      <c r="BS23" s="1571">
        <v>0</v>
      </c>
      <c r="BT23" s="1571"/>
      <c r="BU23" s="1571"/>
      <c r="BV23" s="1571"/>
      <c r="BW23" s="1571">
        <v>0</v>
      </c>
      <c r="BX23" s="1571"/>
      <c r="BY23" s="1571"/>
      <c r="BZ23" s="1571"/>
      <c r="CA23" s="1571">
        <v>0</v>
      </c>
      <c r="CB23" s="1571"/>
      <c r="CC23" s="1571"/>
      <c r="CD23" s="1571"/>
      <c r="CE23" s="1571">
        <f>'11 - FINANCEIRO'!K256</f>
        <v>0</v>
      </c>
      <c r="CF23" s="1571"/>
      <c r="CG23" s="1571"/>
      <c r="CH23" s="1571"/>
      <c r="CI23" s="1571">
        <v>0</v>
      </c>
      <c r="CJ23" s="1571"/>
      <c r="CK23" s="1571"/>
      <c r="CL23" s="1571"/>
      <c r="CM23" s="1571">
        <v>0</v>
      </c>
      <c r="CN23" s="1571"/>
      <c r="CO23" s="1571"/>
      <c r="CP23" s="1571"/>
      <c r="CQ23" s="1571">
        <v>0</v>
      </c>
      <c r="CR23" s="1571"/>
      <c r="CS23" s="1571"/>
      <c r="CT23" s="1571"/>
      <c r="CU23" s="1571">
        <v>182378.34</v>
      </c>
      <c r="CV23" s="1571"/>
      <c r="CW23" s="1571"/>
      <c r="CX23" s="1571"/>
      <c r="CY23" s="1585">
        <v>25402.420000000002</v>
      </c>
      <c r="CZ23" s="1586"/>
      <c r="DA23" s="1586"/>
      <c r="DB23" s="1587"/>
      <c r="DC23" s="1571">
        <v>0</v>
      </c>
      <c r="DD23" s="1571"/>
      <c r="DE23" s="1571"/>
      <c r="DF23" s="1571"/>
      <c r="DG23" s="1571">
        <v>0</v>
      </c>
      <c r="DH23" s="1571"/>
      <c r="DI23" s="1571"/>
      <c r="DJ23" s="1571"/>
      <c r="DK23" s="1571">
        <v>93146.98</v>
      </c>
      <c r="DL23" s="1571"/>
      <c r="DM23" s="1571"/>
      <c r="DN23" s="1571"/>
      <c r="DO23" s="1571">
        <v>63440.71</v>
      </c>
      <c r="DP23" s="1571"/>
      <c r="DQ23" s="1571"/>
      <c r="DR23" s="1571"/>
      <c r="DS23" s="1571">
        <v>11105.27</v>
      </c>
      <c r="DT23" s="1571"/>
      <c r="DU23" s="1571"/>
      <c r="DV23" s="1571"/>
      <c r="DW23" s="1571">
        <v>726.85</v>
      </c>
      <c r="DX23" s="1571"/>
      <c r="DY23" s="1571"/>
      <c r="DZ23" s="1571"/>
      <c r="EA23" s="1571">
        <v>58216.36</v>
      </c>
      <c r="EB23" s="1571"/>
      <c r="EC23" s="1571"/>
      <c r="ED23" s="1571"/>
      <c r="EE23" s="1571">
        <f>'11 - FINANCEIRO'!K257</f>
        <v>-20844.5</v>
      </c>
      <c r="EF23" s="1571"/>
      <c r="EG23" s="1571"/>
      <c r="EH23" s="1571"/>
      <c r="EI23" s="1603">
        <f>'11 - FINANCEIRO'!M257</f>
        <v>740218.47000000009</v>
      </c>
      <c r="EJ23" s="1604"/>
      <c r="EK23" s="802"/>
    </row>
    <row r="24" spans="1:141" x14ac:dyDescent="0.25">
      <c r="A24" s="1607">
        <v>5</v>
      </c>
      <c r="B24" s="1609" t="s">
        <v>913</v>
      </c>
      <c r="C24" s="1610"/>
      <c r="D24" s="1610"/>
      <c r="E24" s="800"/>
      <c r="F24" s="1613">
        <v>2249639.02</v>
      </c>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800"/>
      <c r="BA24" s="800"/>
      <c r="BB24" s="800"/>
      <c r="BC24" s="800"/>
      <c r="BD24" s="800"/>
      <c r="BE24" s="800"/>
      <c r="BF24" s="800"/>
      <c r="BG24" s="800"/>
      <c r="BH24" s="800"/>
      <c r="BI24" s="800"/>
      <c r="BJ24" s="800"/>
      <c r="BK24" s="800"/>
      <c r="BL24" s="800"/>
      <c r="BM24" s="800"/>
      <c r="BN24" s="800"/>
      <c r="BO24" s="800"/>
      <c r="BP24" s="800"/>
      <c r="BQ24" s="800"/>
      <c r="BR24" s="800"/>
      <c r="BS24" s="800"/>
      <c r="BT24" s="800"/>
      <c r="BU24" s="800"/>
      <c r="BV24" s="800"/>
      <c r="BW24" s="800"/>
      <c r="BX24" s="800"/>
      <c r="BY24" s="800"/>
      <c r="BZ24" s="800"/>
      <c r="CA24" s="800"/>
      <c r="CB24" s="800"/>
      <c r="CC24" s="800"/>
      <c r="CD24" s="800"/>
      <c r="CE24" s="800"/>
      <c r="CF24" s="800"/>
      <c r="CG24" s="800"/>
      <c r="CH24" s="800"/>
      <c r="CI24" s="800"/>
      <c r="CJ24" s="800"/>
      <c r="CK24" s="800"/>
      <c r="CL24" s="800"/>
      <c r="CM24" s="800"/>
      <c r="CN24" s="800"/>
      <c r="CO24" s="800"/>
      <c r="CP24" s="800"/>
      <c r="CQ24" s="800"/>
      <c r="CR24" s="800"/>
      <c r="CS24" s="800"/>
      <c r="CT24" s="800"/>
      <c r="CU24" s="800"/>
      <c r="CV24" s="800"/>
      <c r="CW24" s="800"/>
      <c r="CX24" s="800"/>
      <c r="CY24" s="800"/>
      <c r="CZ24" s="800"/>
      <c r="DA24" s="800"/>
      <c r="DB24" s="800"/>
      <c r="DC24" s="800"/>
      <c r="DD24" s="800"/>
      <c r="DE24" s="800"/>
      <c r="DF24" s="800"/>
      <c r="DG24" s="800"/>
      <c r="DH24" s="800"/>
      <c r="DI24" s="800"/>
      <c r="DJ24" s="800"/>
      <c r="DK24" s="800"/>
      <c r="DL24" s="800"/>
      <c r="DM24" s="800"/>
      <c r="DN24" s="800"/>
      <c r="DO24" s="800"/>
      <c r="DP24" s="800"/>
      <c r="DQ24" s="800"/>
      <c r="DR24" s="800"/>
      <c r="DS24" s="800"/>
      <c r="DT24" s="800"/>
      <c r="DU24" s="800"/>
      <c r="DV24" s="800"/>
      <c r="DW24" s="800"/>
      <c r="DX24" s="800"/>
      <c r="DY24" s="800"/>
      <c r="DZ24" s="800"/>
      <c r="EA24" s="800"/>
      <c r="EB24" s="800"/>
      <c r="EC24" s="800"/>
      <c r="ED24" s="800"/>
      <c r="EE24" s="800"/>
      <c r="EF24" s="800"/>
      <c r="EG24" s="800"/>
      <c r="EH24" s="800"/>
      <c r="EI24" s="1620"/>
      <c r="EJ24" s="1604"/>
    </row>
    <row r="25" spans="1:141" x14ac:dyDescent="0.25">
      <c r="A25" s="1607"/>
      <c r="B25" s="1609"/>
      <c r="C25" s="1610"/>
      <c r="D25" s="1610"/>
      <c r="E25" s="801" t="s">
        <v>908</v>
      </c>
      <c r="F25" s="1613"/>
      <c r="G25" s="1606">
        <v>0</v>
      </c>
      <c r="H25" s="1606"/>
      <c r="I25" s="1606"/>
      <c r="J25" s="1606"/>
      <c r="K25" s="1606">
        <v>0</v>
      </c>
      <c r="L25" s="1606"/>
      <c r="M25" s="1606"/>
      <c r="N25" s="1606"/>
      <c r="O25" s="1606">
        <v>0</v>
      </c>
      <c r="P25" s="1606"/>
      <c r="Q25" s="1606"/>
      <c r="R25" s="1606"/>
      <c r="S25" s="1606">
        <v>0</v>
      </c>
      <c r="T25" s="1606"/>
      <c r="U25" s="1606"/>
      <c r="V25" s="1606"/>
      <c r="W25" s="1606">
        <v>0</v>
      </c>
      <c r="X25" s="1606"/>
      <c r="Y25" s="1606"/>
      <c r="Z25" s="1606"/>
      <c r="AA25" s="1606">
        <v>0</v>
      </c>
      <c r="AB25" s="1606"/>
      <c r="AC25" s="1606"/>
      <c r="AD25" s="1606"/>
      <c r="AE25" s="1606">
        <v>0</v>
      </c>
      <c r="AF25" s="1606"/>
      <c r="AG25" s="1606"/>
      <c r="AH25" s="1606"/>
      <c r="AI25" s="1606">
        <v>0</v>
      </c>
      <c r="AJ25" s="1606"/>
      <c r="AK25" s="1606"/>
      <c r="AL25" s="1606"/>
      <c r="AM25" s="1600">
        <f>((AM26*100)/F24)/100</f>
        <v>6.9234663257218933E-4</v>
      </c>
      <c r="AN25" s="1601"/>
      <c r="AO25" s="1601"/>
      <c r="AP25" s="1601"/>
      <c r="AQ25" s="1568">
        <f>((AQ26*100)/F24)/100</f>
        <v>0</v>
      </c>
      <c r="AR25" s="1569"/>
      <c r="AS25" s="1569"/>
      <c r="AT25" s="1570"/>
      <c r="AU25" s="1606">
        <v>0</v>
      </c>
      <c r="AV25" s="1606"/>
      <c r="AW25" s="1606"/>
      <c r="AX25" s="1606"/>
      <c r="AY25" s="1606">
        <v>0</v>
      </c>
      <c r="AZ25" s="1606"/>
      <c r="BA25" s="1606"/>
      <c r="BB25" s="1606"/>
      <c r="BC25" s="1606">
        <v>0</v>
      </c>
      <c r="BD25" s="1606"/>
      <c r="BE25" s="1606"/>
      <c r="BF25" s="1606"/>
      <c r="BG25" s="1606">
        <v>0</v>
      </c>
      <c r="BH25" s="1606"/>
      <c r="BI25" s="1606"/>
      <c r="BJ25" s="1606"/>
      <c r="BK25" s="1568">
        <f>((BK26*100)/F24)/100</f>
        <v>7.6932831650475195E-3</v>
      </c>
      <c r="BL25" s="1569"/>
      <c r="BM25" s="1569"/>
      <c r="BN25" s="1570"/>
      <c r="BO25" s="1568">
        <f>((BO26*100)/F24)/100</f>
        <v>4.0249301863549648E-3</v>
      </c>
      <c r="BP25" s="1569"/>
      <c r="BQ25" s="1569"/>
      <c r="BR25" s="1570"/>
      <c r="BS25" s="1568">
        <f>((BS26*100)/F24)/100</f>
        <v>2.1554124714639772E-4</v>
      </c>
      <c r="BT25" s="1569"/>
      <c r="BU25" s="1569"/>
      <c r="BV25" s="1570"/>
      <c r="BW25" s="1568">
        <f>((BW26*100)/F24)/100</f>
        <v>8.3699428364289296E-3</v>
      </c>
      <c r="BX25" s="1569"/>
      <c r="BY25" s="1569"/>
      <c r="BZ25" s="1570"/>
      <c r="CA25" s="1568">
        <f>((CA26*100)/F24)/100</f>
        <v>3.3909782557025522E-2</v>
      </c>
      <c r="CB25" s="1569"/>
      <c r="CC25" s="1569"/>
      <c r="CD25" s="1570"/>
      <c r="CE25" s="1568">
        <f>((CE26*100)/F24)/100</f>
        <v>3.041212363039471E-3</v>
      </c>
      <c r="CF25" s="1569"/>
      <c r="CG25" s="1569"/>
      <c r="CH25" s="1570"/>
      <c r="CI25" s="1568">
        <f>((CI26*100)/F24)/100</f>
        <v>1.8554465684899081E-2</v>
      </c>
      <c r="CJ25" s="1569"/>
      <c r="CK25" s="1569"/>
      <c r="CL25" s="1570"/>
      <c r="CM25" s="1568">
        <f>((CM26*100)/F24)/100</f>
        <v>6.4904679685010049E-3</v>
      </c>
      <c r="CN25" s="1569"/>
      <c r="CO25" s="1569"/>
      <c r="CP25" s="1570"/>
      <c r="CQ25" s="1568">
        <f>((CQ26*100)/F24)/100</f>
        <v>8.8642710331366843E-3</v>
      </c>
      <c r="CR25" s="1569"/>
      <c r="CS25" s="1569"/>
      <c r="CT25" s="1570"/>
      <c r="CU25" s="1568">
        <f>((CU26*100)/F24)/100</f>
        <v>3.6576477056305685E-2</v>
      </c>
      <c r="CV25" s="1569"/>
      <c r="CW25" s="1569"/>
      <c r="CX25" s="1570"/>
      <c r="CY25" s="1568">
        <f>((CY26*100)/F24)/100</f>
        <v>2.141147960707046E-3</v>
      </c>
      <c r="CZ25" s="1569"/>
      <c r="DA25" s="1569"/>
      <c r="DB25" s="1570"/>
      <c r="DC25" s="1568">
        <f>((DC26*100)/F24)/100</f>
        <v>1.0781605308392988E-2</v>
      </c>
      <c r="DD25" s="1569"/>
      <c r="DE25" s="1569"/>
      <c r="DF25" s="1570"/>
      <c r="DG25" s="1568">
        <f>((DG26*100)/F24)/100</f>
        <v>1.4222637372283844E-2</v>
      </c>
      <c r="DH25" s="1569"/>
      <c r="DI25" s="1569"/>
      <c r="DJ25" s="1570"/>
      <c r="DK25" s="1568">
        <f>((DK26*100)/F24)/100</f>
        <v>8.5588398088863181E-4</v>
      </c>
      <c r="DL25" s="1569"/>
      <c r="DM25" s="1569"/>
      <c r="DN25" s="1570"/>
      <c r="DO25" s="1568">
        <f>((DO26*100)/F24)/100</f>
        <v>0</v>
      </c>
      <c r="DP25" s="1569"/>
      <c r="DQ25" s="1569"/>
      <c r="DR25" s="1570"/>
      <c r="DS25" s="1568">
        <f>((DS26*100)/F24)/100</f>
        <v>5.504047489361205E-3</v>
      </c>
      <c r="DT25" s="1569"/>
      <c r="DU25" s="1569"/>
      <c r="DV25" s="1570"/>
      <c r="DW25" s="1568">
        <f>((DW26*100)/F24)/100</f>
        <v>4.4707079271766897E-2</v>
      </c>
      <c r="DX25" s="1569"/>
      <c r="DY25" s="1569"/>
      <c r="DZ25" s="1570"/>
      <c r="EA25" s="1568">
        <f>((EA26*100)/F24)/100</f>
        <v>1.9992269693117251E-2</v>
      </c>
      <c r="EB25" s="1569"/>
      <c r="EC25" s="1569"/>
      <c r="ED25" s="1570"/>
      <c r="EE25" s="1568">
        <f>((EE26*100)/F24)/100</f>
        <v>4.6613122846704519E-2</v>
      </c>
      <c r="EF25" s="1569"/>
      <c r="EG25" s="1569"/>
      <c r="EH25" s="1570"/>
      <c r="EI25" s="1576">
        <f>((EI26*100)/F24)/100</f>
        <v>0.42218512017096854</v>
      </c>
      <c r="EJ25" s="1615"/>
    </row>
    <row r="26" spans="1:141" x14ac:dyDescent="0.25">
      <c r="A26" s="1616"/>
      <c r="B26" s="1617"/>
      <c r="C26" s="1618"/>
      <c r="D26" s="1618"/>
      <c r="E26" s="803" t="s">
        <v>909</v>
      </c>
      <c r="F26" s="1619"/>
      <c r="G26" s="1588">
        <v>0</v>
      </c>
      <c r="H26" s="1588"/>
      <c r="I26" s="1588"/>
      <c r="J26" s="1588"/>
      <c r="K26" s="1588">
        <v>0</v>
      </c>
      <c r="L26" s="1588"/>
      <c r="M26" s="1588"/>
      <c r="N26" s="1588"/>
      <c r="O26" s="1588">
        <v>0</v>
      </c>
      <c r="P26" s="1588"/>
      <c r="Q26" s="1588"/>
      <c r="R26" s="1588"/>
      <c r="S26" s="1588">
        <v>0</v>
      </c>
      <c r="T26" s="1588"/>
      <c r="U26" s="1588"/>
      <c r="V26" s="1588"/>
      <c r="W26" s="1588">
        <v>0</v>
      </c>
      <c r="X26" s="1588"/>
      <c r="Y26" s="1588"/>
      <c r="Z26" s="1588"/>
      <c r="AA26" s="1588">
        <v>0</v>
      </c>
      <c r="AB26" s="1588"/>
      <c r="AC26" s="1588"/>
      <c r="AD26" s="1588"/>
      <c r="AE26" s="1588">
        <v>0</v>
      </c>
      <c r="AF26" s="1588"/>
      <c r="AG26" s="1588"/>
      <c r="AH26" s="1588"/>
      <c r="AI26" s="1588">
        <v>0</v>
      </c>
      <c r="AJ26" s="1588"/>
      <c r="AK26" s="1588"/>
      <c r="AL26" s="1588"/>
      <c r="AM26" s="1588">
        <v>1557.53</v>
      </c>
      <c r="AN26" s="1588"/>
      <c r="AO26" s="1588"/>
      <c r="AP26" s="1588"/>
      <c r="AQ26" s="1588">
        <v>0</v>
      </c>
      <c r="AR26" s="1588"/>
      <c r="AS26" s="1588"/>
      <c r="AT26" s="1588"/>
      <c r="AU26" s="1588">
        <v>0</v>
      </c>
      <c r="AV26" s="1588"/>
      <c r="AW26" s="1588"/>
      <c r="AX26" s="1588"/>
      <c r="AY26" s="1588">
        <v>0</v>
      </c>
      <c r="AZ26" s="1588"/>
      <c r="BA26" s="1588"/>
      <c r="BB26" s="1588"/>
      <c r="BC26" s="1588">
        <v>0</v>
      </c>
      <c r="BD26" s="1588"/>
      <c r="BE26" s="1588"/>
      <c r="BF26" s="1588"/>
      <c r="BG26" s="1588">
        <v>0</v>
      </c>
      <c r="BH26" s="1588"/>
      <c r="BI26" s="1588"/>
      <c r="BJ26" s="1588"/>
      <c r="BK26" s="1588">
        <v>17307.11</v>
      </c>
      <c r="BL26" s="1588"/>
      <c r="BM26" s="1588"/>
      <c r="BN26" s="1588"/>
      <c r="BO26" s="1588">
        <v>9054.64</v>
      </c>
      <c r="BP26" s="1588"/>
      <c r="BQ26" s="1588"/>
      <c r="BR26" s="1588"/>
      <c r="BS26" s="1588">
        <v>484.89</v>
      </c>
      <c r="BT26" s="1588"/>
      <c r="BU26" s="1588"/>
      <c r="BV26" s="1588"/>
      <c r="BW26" s="1588">
        <v>18829.349999999999</v>
      </c>
      <c r="BX26" s="1588"/>
      <c r="BY26" s="1588"/>
      <c r="BZ26" s="1588"/>
      <c r="CA26" s="1588">
        <v>76284.77</v>
      </c>
      <c r="CB26" s="1588"/>
      <c r="CC26" s="1588"/>
      <c r="CD26" s="1588"/>
      <c r="CE26" s="1588">
        <v>6841.63</v>
      </c>
      <c r="CF26" s="1588"/>
      <c r="CG26" s="1588"/>
      <c r="CH26" s="1588"/>
      <c r="CI26" s="1588">
        <v>41740.85</v>
      </c>
      <c r="CJ26" s="1588"/>
      <c r="CK26" s="1588"/>
      <c r="CL26" s="1588"/>
      <c r="CM26" s="1588">
        <v>14601.209999999992</v>
      </c>
      <c r="CN26" s="1588"/>
      <c r="CO26" s="1588"/>
      <c r="CP26" s="1588"/>
      <c r="CQ26" s="1588">
        <v>19941.41</v>
      </c>
      <c r="CR26" s="1588"/>
      <c r="CS26" s="1588"/>
      <c r="CT26" s="1588"/>
      <c r="CU26" s="1588">
        <v>82283.87000000001</v>
      </c>
      <c r="CV26" s="1588"/>
      <c r="CW26" s="1588"/>
      <c r="CX26" s="1588"/>
      <c r="CY26" s="1588">
        <v>4816.8099999999977</v>
      </c>
      <c r="CZ26" s="1588"/>
      <c r="DA26" s="1588"/>
      <c r="DB26" s="1588"/>
      <c r="DC26" s="1588">
        <v>24254.720000000001</v>
      </c>
      <c r="DD26" s="1588"/>
      <c r="DE26" s="1588"/>
      <c r="DF26" s="1588"/>
      <c r="DG26" s="1588">
        <v>31995.8</v>
      </c>
      <c r="DH26" s="1588"/>
      <c r="DI26" s="1588"/>
      <c r="DJ26" s="1588"/>
      <c r="DK26" s="1588">
        <v>1925.4300000000003</v>
      </c>
      <c r="DL26" s="1588"/>
      <c r="DM26" s="1588"/>
      <c r="DN26" s="1588"/>
      <c r="DO26" s="1588">
        <v>0</v>
      </c>
      <c r="DP26" s="1588"/>
      <c r="DQ26" s="1588"/>
      <c r="DR26" s="1588"/>
      <c r="DS26" s="1588">
        <v>12382.12</v>
      </c>
      <c r="DT26" s="1588"/>
      <c r="DU26" s="1588"/>
      <c r="DV26" s="1588"/>
      <c r="DW26" s="1571">
        <v>100574.79</v>
      </c>
      <c r="DX26" s="1571"/>
      <c r="DY26" s="1571"/>
      <c r="DZ26" s="1571"/>
      <c r="EA26" s="1571">
        <v>5558.66</v>
      </c>
      <c r="EB26" s="1571"/>
      <c r="EC26" s="1571"/>
      <c r="ED26" s="1571"/>
      <c r="EE26" s="1571">
        <f>'11 - FINANCEIRO'!K278</f>
        <v>104862.69999999998</v>
      </c>
      <c r="EF26" s="1571"/>
      <c r="EG26" s="1571"/>
      <c r="EH26" s="1571"/>
      <c r="EI26" s="1603">
        <f>'11 - FINANCEIRO'!M278</f>
        <v>949764.12</v>
      </c>
      <c r="EJ26" s="1604"/>
    </row>
    <row r="27" spans="1:141" x14ac:dyDescent="0.25">
      <c r="A27" s="1607">
        <v>6</v>
      </c>
      <c r="B27" s="1609" t="s">
        <v>914</v>
      </c>
      <c r="C27" s="1610"/>
      <c r="D27" s="1610"/>
      <c r="E27" s="800"/>
      <c r="F27" s="1613">
        <v>5185115.84</v>
      </c>
      <c r="G27" s="800"/>
      <c r="H27" s="800"/>
      <c r="I27" s="800"/>
      <c r="J27" s="800"/>
      <c r="K27" s="800"/>
      <c r="L27" s="800"/>
      <c r="M27" s="800"/>
      <c r="N27" s="800"/>
      <c r="O27" s="800"/>
      <c r="P27" s="800"/>
      <c r="Q27" s="800"/>
      <c r="R27" s="800"/>
      <c r="S27" s="800"/>
      <c r="T27" s="800"/>
      <c r="U27" s="800"/>
      <c r="V27" s="800"/>
      <c r="W27" s="800"/>
      <c r="X27" s="800"/>
      <c r="Y27" s="800"/>
      <c r="Z27" s="800"/>
      <c r="AA27" s="800"/>
      <c r="AB27" s="800"/>
      <c r="AC27" s="800"/>
      <c r="AD27" s="800"/>
      <c r="AE27" s="800"/>
      <c r="AF27" s="800"/>
      <c r="AG27" s="800"/>
      <c r="AH27" s="800"/>
      <c r="AI27" s="800"/>
      <c r="AJ27" s="800"/>
      <c r="AK27" s="800"/>
      <c r="AL27" s="800"/>
      <c r="AM27" s="800"/>
      <c r="AN27" s="800"/>
      <c r="AO27" s="800"/>
      <c r="AP27" s="800"/>
      <c r="AQ27" s="800"/>
      <c r="AR27" s="800"/>
      <c r="AS27" s="800"/>
      <c r="AT27" s="800"/>
      <c r="AU27" s="800"/>
      <c r="AV27" s="800"/>
      <c r="AW27" s="800"/>
      <c r="AX27" s="800"/>
      <c r="AY27" s="800"/>
      <c r="AZ27" s="800"/>
      <c r="BA27" s="800"/>
      <c r="BB27" s="800"/>
      <c r="BC27" s="800"/>
      <c r="BD27" s="800"/>
      <c r="BE27" s="800"/>
      <c r="BF27" s="800"/>
      <c r="BG27" s="800"/>
      <c r="BH27" s="800"/>
      <c r="BI27" s="800"/>
      <c r="BJ27" s="800"/>
      <c r="BK27" s="800"/>
      <c r="BL27" s="800"/>
      <c r="BM27" s="800"/>
      <c r="BN27" s="800"/>
      <c r="BO27" s="800"/>
      <c r="BP27" s="800"/>
      <c r="BQ27" s="800"/>
      <c r="BR27" s="800"/>
      <c r="BS27" s="800"/>
      <c r="BT27" s="800"/>
      <c r="BU27" s="800"/>
      <c r="BV27" s="800"/>
      <c r="BW27" s="800"/>
      <c r="BX27" s="800"/>
      <c r="BY27" s="800"/>
      <c r="BZ27" s="800"/>
      <c r="CA27" s="800"/>
      <c r="CB27" s="800"/>
      <c r="CC27" s="800"/>
      <c r="CD27" s="800"/>
      <c r="CE27" s="800"/>
      <c r="CF27" s="800"/>
      <c r="CG27" s="800"/>
      <c r="CH27" s="800"/>
      <c r="CI27" s="800"/>
      <c r="CJ27" s="800"/>
      <c r="CK27" s="800"/>
      <c r="CL27" s="800"/>
      <c r="CM27" s="800"/>
      <c r="CN27" s="800"/>
      <c r="CO27" s="800"/>
      <c r="CP27" s="800"/>
      <c r="CQ27" s="800"/>
      <c r="CR27" s="800"/>
      <c r="CS27" s="800"/>
      <c r="CT27" s="800"/>
      <c r="CU27" s="800"/>
      <c r="CV27" s="800"/>
      <c r="CW27" s="800"/>
      <c r="CX27" s="800"/>
      <c r="CY27" s="800"/>
      <c r="CZ27" s="800"/>
      <c r="DA27" s="800"/>
      <c r="DB27" s="800"/>
      <c r="DC27" s="800"/>
      <c r="DD27" s="800"/>
      <c r="DE27" s="800"/>
      <c r="DF27" s="800"/>
      <c r="DG27" s="800"/>
      <c r="DH27" s="800"/>
      <c r="DI27" s="800"/>
      <c r="DJ27" s="800"/>
      <c r="DK27" s="800"/>
      <c r="DL27" s="800"/>
      <c r="DM27" s="800"/>
      <c r="DN27" s="800"/>
      <c r="DO27" s="800"/>
      <c r="DP27" s="800"/>
      <c r="DQ27" s="800"/>
      <c r="DR27" s="800"/>
      <c r="DS27" s="800"/>
      <c r="DT27" s="800"/>
      <c r="DU27" s="800"/>
      <c r="DV27" s="800"/>
      <c r="DW27" s="800"/>
      <c r="DX27" s="800"/>
      <c r="DY27" s="800"/>
      <c r="DZ27" s="800"/>
      <c r="EA27" s="800"/>
      <c r="EB27" s="800"/>
      <c r="EC27" s="800"/>
      <c r="ED27" s="800"/>
      <c r="EE27" s="800"/>
      <c r="EF27" s="800"/>
      <c r="EG27" s="800"/>
      <c r="EH27" s="800"/>
      <c r="EI27" s="804"/>
      <c r="EJ27" s="805"/>
    </row>
    <row r="28" spans="1:141" x14ac:dyDescent="0.25">
      <c r="A28" s="1607"/>
      <c r="B28" s="1609"/>
      <c r="C28" s="1610"/>
      <c r="D28" s="1610"/>
      <c r="E28" s="801" t="s">
        <v>908</v>
      </c>
      <c r="F28" s="1613"/>
      <c r="G28" s="1606">
        <v>0</v>
      </c>
      <c r="H28" s="1606"/>
      <c r="I28" s="1606"/>
      <c r="J28" s="1606"/>
      <c r="K28" s="1606">
        <v>0</v>
      </c>
      <c r="L28" s="1606"/>
      <c r="M28" s="1606"/>
      <c r="N28" s="1606"/>
      <c r="O28" s="1606">
        <v>0</v>
      </c>
      <c r="P28" s="1606"/>
      <c r="Q28" s="1606"/>
      <c r="R28" s="1606"/>
      <c r="S28" s="1606">
        <v>0</v>
      </c>
      <c r="T28" s="1606"/>
      <c r="U28" s="1606"/>
      <c r="V28" s="1606"/>
      <c r="W28" s="1606">
        <v>0</v>
      </c>
      <c r="X28" s="1606"/>
      <c r="Y28" s="1606"/>
      <c r="Z28" s="1606"/>
      <c r="AA28" s="1606">
        <v>0</v>
      </c>
      <c r="AB28" s="1606"/>
      <c r="AC28" s="1606"/>
      <c r="AD28" s="1606"/>
      <c r="AE28" s="1606">
        <v>0</v>
      </c>
      <c r="AF28" s="1606"/>
      <c r="AG28" s="1606"/>
      <c r="AH28" s="1606"/>
      <c r="AI28" s="1606">
        <v>0</v>
      </c>
      <c r="AJ28" s="1606"/>
      <c r="AK28" s="1606"/>
      <c r="AL28" s="1606"/>
      <c r="AM28" s="1606">
        <v>0</v>
      </c>
      <c r="AN28" s="1606"/>
      <c r="AO28" s="1606"/>
      <c r="AP28" s="1606"/>
      <c r="AQ28" s="1568">
        <v>0</v>
      </c>
      <c r="AR28" s="1569"/>
      <c r="AS28" s="1569"/>
      <c r="AT28" s="1570"/>
      <c r="AU28" s="1606">
        <v>0</v>
      </c>
      <c r="AV28" s="1606"/>
      <c r="AW28" s="1606"/>
      <c r="AX28" s="1606"/>
      <c r="AY28" s="1606">
        <v>0</v>
      </c>
      <c r="AZ28" s="1606"/>
      <c r="BA28" s="1606"/>
      <c r="BB28" s="1606"/>
      <c r="BC28" s="1606">
        <v>0</v>
      </c>
      <c r="BD28" s="1606"/>
      <c r="BE28" s="1606"/>
      <c r="BF28" s="1606"/>
      <c r="BG28" s="1606">
        <v>0</v>
      </c>
      <c r="BH28" s="1606"/>
      <c r="BI28" s="1606"/>
      <c r="BJ28" s="1606"/>
      <c r="BK28" s="1606">
        <v>0</v>
      </c>
      <c r="BL28" s="1606"/>
      <c r="BM28" s="1606"/>
      <c r="BN28" s="1606"/>
      <c r="BO28" s="1606">
        <v>0</v>
      </c>
      <c r="BP28" s="1606"/>
      <c r="BQ28" s="1606"/>
      <c r="BR28" s="1606"/>
      <c r="BS28" s="1568">
        <v>0</v>
      </c>
      <c r="BT28" s="1569"/>
      <c r="BU28" s="1569"/>
      <c r="BV28" s="1570"/>
      <c r="BW28" s="1606">
        <v>0</v>
      </c>
      <c r="BX28" s="1606"/>
      <c r="BY28" s="1606"/>
      <c r="BZ28" s="1606"/>
      <c r="CA28" s="1568">
        <f>((CA29*100)/F27)/100</f>
        <v>0.2670445372344854</v>
      </c>
      <c r="CB28" s="1569"/>
      <c r="CC28" s="1569"/>
      <c r="CD28" s="1570"/>
      <c r="CE28" s="1568">
        <f>((CE29*100)/F27)/100</f>
        <v>2.178694815813411E-2</v>
      </c>
      <c r="CF28" s="1569"/>
      <c r="CG28" s="1569"/>
      <c r="CH28" s="1570"/>
      <c r="CI28" s="1568">
        <f>((CI29*100)/F27)/100</f>
        <v>8.9074191252784055E-3</v>
      </c>
      <c r="CJ28" s="1569"/>
      <c r="CK28" s="1569"/>
      <c r="CL28" s="1570"/>
      <c r="CM28" s="1568">
        <f>((CM29*100)/F27)/100</f>
        <v>1.9826930231128647E-2</v>
      </c>
      <c r="CN28" s="1569"/>
      <c r="CO28" s="1569"/>
      <c r="CP28" s="1570"/>
      <c r="CQ28" s="1568">
        <f>((CQ29*100)/F27)/100</f>
        <v>6.1332785961441512E-3</v>
      </c>
      <c r="CR28" s="1569"/>
      <c r="CS28" s="1569"/>
      <c r="CT28" s="1570"/>
      <c r="CU28" s="1568">
        <f>((CU29*100)/F27)/100</f>
        <v>9.6658669828290703E-3</v>
      </c>
      <c r="CV28" s="1569"/>
      <c r="CW28" s="1569"/>
      <c r="CX28" s="1570"/>
      <c r="CY28" s="1568">
        <f>((CY29*100)/F27)/100</f>
        <v>0.19570971629440009</v>
      </c>
      <c r="CZ28" s="1569"/>
      <c r="DA28" s="1569"/>
      <c r="DB28" s="1570"/>
      <c r="DC28" s="1568">
        <f>((DC29*100)/F27)/100</f>
        <v>0.1089440578438456</v>
      </c>
      <c r="DD28" s="1569"/>
      <c r="DE28" s="1569"/>
      <c r="DF28" s="1570"/>
      <c r="DG28" s="1568">
        <f>((DG29*100)/F27)/100</f>
        <v>5.3715982167912388E-2</v>
      </c>
      <c r="DH28" s="1569"/>
      <c r="DI28" s="1569"/>
      <c r="DJ28" s="1570"/>
      <c r="DK28" s="1568">
        <f>((DK29*100)/F27)/100</f>
        <v>2.3997550650671665E-2</v>
      </c>
      <c r="DL28" s="1569"/>
      <c r="DM28" s="1569"/>
      <c r="DN28" s="1570"/>
      <c r="DO28" s="1568">
        <f>((DO29*100)/F27)/100</f>
        <v>2.8793858152260671E-2</v>
      </c>
      <c r="DP28" s="1569"/>
      <c r="DQ28" s="1569"/>
      <c r="DR28" s="1570"/>
      <c r="DS28" s="1568">
        <f>((DS29*100)/F27)/100</f>
        <v>3.514923207578715E-2</v>
      </c>
      <c r="DT28" s="1569"/>
      <c r="DU28" s="1569"/>
      <c r="DV28" s="1570"/>
      <c r="DW28" s="1568">
        <f>((DW29*100)/F27)/100</f>
        <v>2.1204677656729076E-2</v>
      </c>
      <c r="DX28" s="1569"/>
      <c r="DY28" s="1569"/>
      <c r="DZ28" s="1570"/>
      <c r="EA28" s="1568">
        <f>((EA29*100)/F27)/100</f>
        <v>6.4681197170707748E-3</v>
      </c>
      <c r="EB28" s="1569"/>
      <c r="EC28" s="1569"/>
      <c r="ED28" s="1570"/>
      <c r="EE28" s="1568">
        <f>((EE29*100)/F27)/100</f>
        <v>0.22709627254923595</v>
      </c>
      <c r="EF28" s="1569"/>
      <c r="EG28" s="1569"/>
      <c r="EH28" s="1570"/>
      <c r="EI28" s="1576">
        <f>((EI29*100)/F27)/100</f>
        <v>1.6680590071445736</v>
      </c>
      <c r="EJ28" s="1615"/>
    </row>
    <row r="29" spans="1:141" ht="15.75" thickBot="1" x14ac:dyDescent="0.3">
      <c r="A29" s="1608"/>
      <c r="B29" s="1611"/>
      <c r="C29" s="1612"/>
      <c r="D29" s="1612"/>
      <c r="E29" s="806" t="s">
        <v>909</v>
      </c>
      <c r="F29" s="1614"/>
      <c r="G29" s="1572">
        <v>0</v>
      </c>
      <c r="H29" s="1572"/>
      <c r="I29" s="1572"/>
      <c r="J29" s="1572"/>
      <c r="K29" s="1572">
        <v>0</v>
      </c>
      <c r="L29" s="1572"/>
      <c r="M29" s="1572"/>
      <c r="N29" s="1572"/>
      <c r="O29" s="1572">
        <v>0</v>
      </c>
      <c r="P29" s="1572"/>
      <c r="Q29" s="1572"/>
      <c r="R29" s="1572"/>
      <c r="S29" s="1572">
        <v>0</v>
      </c>
      <c r="T29" s="1572"/>
      <c r="U29" s="1572"/>
      <c r="V29" s="1572"/>
      <c r="W29" s="1572">
        <v>0</v>
      </c>
      <c r="X29" s="1572"/>
      <c r="Y29" s="1572"/>
      <c r="Z29" s="1572"/>
      <c r="AA29" s="1572">
        <v>0</v>
      </c>
      <c r="AB29" s="1572"/>
      <c r="AC29" s="1572"/>
      <c r="AD29" s="1572"/>
      <c r="AE29" s="1572">
        <v>0</v>
      </c>
      <c r="AF29" s="1572"/>
      <c r="AG29" s="1572"/>
      <c r="AH29" s="1572"/>
      <c r="AI29" s="1572">
        <v>0</v>
      </c>
      <c r="AJ29" s="1572"/>
      <c r="AK29" s="1572"/>
      <c r="AL29" s="1572"/>
      <c r="AM29" s="1572">
        <v>0</v>
      </c>
      <c r="AN29" s="1572"/>
      <c r="AO29" s="1572"/>
      <c r="AP29" s="1572"/>
      <c r="AQ29" s="1572">
        <v>0</v>
      </c>
      <c r="AR29" s="1572"/>
      <c r="AS29" s="1572"/>
      <c r="AT29" s="1572"/>
      <c r="AU29" s="1572">
        <v>0</v>
      </c>
      <c r="AV29" s="1572"/>
      <c r="AW29" s="1572"/>
      <c r="AX29" s="1572"/>
      <c r="AY29" s="1572">
        <v>0</v>
      </c>
      <c r="AZ29" s="1572"/>
      <c r="BA29" s="1572"/>
      <c r="BB29" s="1572"/>
      <c r="BC29" s="1572">
        <v>0</v>
      </c>
      <c r="BD29" s="1572"/>
      <c r="BE29" s="1572"/>
      <c r="BF29" s="1572"/>
      <c r="BG29" s="1572">
        <v>0</v>
      </c>
      <c r="BH29" s="1572"/>
      <c r="BI29" s="1572"/>
      <c r="BJ29" s="1572"/>
      <c r="BK29" s="1572">
        <v>0</v>
      </c>
      <c r="BL29" s="1572"/>
      <c r="BM29" s="1572"/>
      <c r="BN29" s="1572"/>
      <c r="BO29" s="1572">
        <v>0</v>
      </c>
      <c r="BP29" s="1572"/>
      <c r="BQ29" s="1572"/>
      <c r="BR29" s="1572"/>
      <c r="BS29" s="1572">
        <v>0</v>
      </c>
      <c r="BT29" s="1572"/>
      <c r="BU29" s="1572"/>
      <c r="BV29" s="1572"/>
      <c r="BW29" s="1572">
        <v>0</v>
      </c>
      <c r="BX29" s="1572"/>
      <c r="BY29" s="1572"/>
      <c r="BZ29" s="1572"/>
      <c r="CA29" s="1572">
        <v>1384656.86</v>
      </c>
      <c r="CB29" s="1572"/>
      <c r="CC29" s="1572"/>
      <c r="CD29" s="1572"/>
      <c r="CE29" s="1572">
        <v>112967.85</v>
      </c>
      <c r="CF29" s="1572"/>
      <c r="CG29" s="1572"/>
      <c r="CH29" s="1572"/>
      <c r="CI29" s="1572">
        <v>46186</v>
      </c>
      <c r="CJ29" s="1572"/>
      <c r="CK29" s="1572"/>
      <c r="CL29" s="1572"/>
      <c r="CM29" s="1572">
        <v>102804.93000000001</v>
      </c>
      <c r="CN29" s="1572"/>
      <c r="CO29" s="1572"/>
      <c r="CP29" s="1572"/>
      <c r="CQ29" s="1572">
        <v>31801.759999999998</v>
      </c>
      <c r="CR29" s="1572"/>
      <c r="CS29" s="1572"/>
      <c r="CT29" s="1572"/>
      <c r="CU29" s="1572">
        <v>50118.640000000014</v>
      </c>
      <c r="CV29" s="1572"/>
      <c r="CW29" s="1572"/>
      <c r="CX29" s="1572"/>
      <c r="CY29" s="1572">
        <v>1014777.5499999999</v>
      </c>
      <c r="CZ29" s="1572"/>
      <c r="DA29" s="1572"/>
      <c r="DB29" s="1572"/>
      <c r="DC29" s="1572">
        <v>564887.56000000006</v>
      </c>
      <c r="DD29" s="1572"/>
      <c r="DE29" s="1572"/>
      <c r="DF29" s="1572"/>
      <c r="DG29" s="1572">
        <v>278523.59000000003</v>
      </c>
      <c r="DH29" s="1572"/>
      <c r="DI29" s="1572"/>
      <c r="DJ29" s="1572"/>
      <c r="DK29" s="1572">
        <v>124430.07999999996</v>
      </c>
      <c r="DL29" s="1572"/>
      <c r="DM29" s="1572"/>
      <c r="DN29" s="1572"/>
      <c r="DO29" s="1572">
        <v>149299.48999999993</v>
      </c>
      <c r="DP29" s="1572"/>
      <c r="DQ29" s="1572"/>
      <c r="DR29" s="1572"/>
      <c r="DS29" s="1572">
        <v>182252.84</v>
      </c>
      <c r="DT29" s="1572"/>
      <c r="DU29" s="1572"/>
      <c r="DV29" s="1572"/>
      <c r="DW29" s="1572">
        <v>109948.71</v>
      </c>
      <c r="DX29" s="1572"/>
      <c r="DY29" s="1572"/>
      <c r="DZ29" s="1572"/>
      <c r="EA29" s="1572">
        <v>282399.67</v>
      </c>
      <c r="EB29" s="1572"/>
      <c r="EC29" s="1572"/>
      <c r="ED29" s="1572"/>
      <c r="EE29" s="1572">
        <f>'11 - FINANCEIRO'!K317</f>
        <v>1177520.4800000004</v>
      </c>
      <c r="EF29" s="1572"/>
      <c r="EG29" s="1572"/>
      <c r="EH29" s="1572"/>
      <c r="EI29" s="1603">
        <f>'11 - FINANCEIRO'!M317</f>
        <v>8649079.1800000016</v>
      </c>
      <c r="EJ29" s="1604"/>
    </row>
    <row r="30" spans="1:141" x14ac:dyDescent="0.25">
      <c r="A30" s="1595" t="s">
        <v>915</v>
      </c>
      <c r="B30" s="1596"/>
      <c r="C30" s="1596"/>
      <c r="D30" s="1596"/>
      <c r="E30" s="1596"/>
      <c r="F30" s="1597">
        <f>F12+F15+F18+F21+F24+F27</f>
        <v>37423692.969999999</v>
      </c>
      <c r="G30" s="1600">
        <f>((G32*100)/F30)/100</f>
        <v>2.0173532863397691E-3</v>
      </c>
      <c r="H30" s="1601"/>
      <c r="I30" s="1601"/>
      <c r="J30" s="1601"/>
      <c r="K30" s="1600">
        <f>((K32*100)/F30)/100</f>
        <v>3.4458504697378618E-3</v>
      </c>
      <c r="L30" s="1601"/>
      <c r="M30" s="1601"/>
      <c r="N30" s="1601"/>
      <c r="O30" s="1600">
        <f>((O32*100)/F30)/100</f>
        <v>1.4020542558977712E-2</v>
      </c>
      <c r="P30" s="1601"/>
      <c r="Q30" s="1601"/>
      <c r="R30" s="1601"/>
      <c r="S30" s="1600">
        <f>((S32*100)/F30)/100</f>
        <v>6.0392762462319867E-3</v>
      </c>
      <c r="T30" s="1601"/>
      <c r="U30" s="1601"/>
      <c r="V30" s="1601"/>
      <c r="W30" s="1600">
        <f>((W32*100)/F30)/100</f>
        <v>8.2829928155003247E-3</v>
      </c>
      <c r="X30" s="1601"/>
      <c r="Y30" s="1601"/>
      <c r="Z30" s="1601"/>
      <c r="AA30" s="1600">
        <f>((AA32*100)/F30)/100</f>
        <v>2.8235123691482122E-3</v>
      </c>
      <c r="AB30" s="1601"/>
      <c r="AC30" s="1601"/>
      <c r="AD30" s="1601"/>
      <c r="AE30" s="1600">
        <f>((AE32*100)/F30)/100</f>
        <v>1.4009103548927497E-2</v>
      </c>
      <c r="AF30" s="1601"/>
      <c r="AG30" s="1601"/>
      <c r="AH30" s="1601"/>
      <c r="AI30" s="1600">
        <f>((AI32*100)/F30)/100</f>
        <v>3.0536948903362058E-3</v>
      </c>
      <c r="AJ30" s="1601"/>
      <c r="AK30" s="1601"/>
      <c r="AL30" s="1601"/>
      <c r="AM30" s="1600">
        <f>((AM32*100)/F30)/100</f>
        <v>1.5097933024753542E-2</v>
      </c>
      <c r="AN30" s="1601"/>
      <c r="AO30" s="1601"/>
      <c r="AP30" s="1601"/>
      <c r="AQ30" s="1600">
        <f>((AQ32*100)/F30)/100</f>
        <v>1.6039568048006034E-2</v>
      </c>
      <c r="AR30" s="1601"/>
      <c r="AS30" s="1601"/>
      <c r="AT30" s="1601"/>
      <c r="AU30" s="1600">
        <f>((AU32*100)/F30)/100</f>
        <v>2.0260757820128088E-2</v>
      </c>
      <c r="AV30" s="1601"/>
      <c r="AW30" s="1601"/>
      <c r="AX30" s="1601"/>
      <c r="AY30" s="1600">
        <f>((AY32*100)/F30)/100</f>
        <v>2.8380450877774504E-2</v>
      </c>
      <c r="AZ30" s="1601"/>
      <c r="BA30" s="1601"/>
      <c r="BB30" s="1601"/>
      <c r="BC30" s="1600">
        <f>((BC32*100)/F30)/100</f>
        <v>1.0536637854422843E-2</v>
      </c>
      <c r="BD30" s="1601"/>
      <c r="BE30" s="1601"/>
      <c r="BF30" s="1601"/>
      <c r="BG30" s="1600">
        <f>((BG32*100)/F30)/100</f>
        <v>1.0281077827044818E-2</v>
      </c>
      <c r="BH30" s="1601"/>
      <c r="BI30" s="1601"/>
      <c r="BJ30" s="1601"/>
      <c r="BK30" s="1600">
        <f>((BK32*100)/F30)/100</f>
        <v>8.4377674927253437E-3</v>
      </c>
      <c r="BL30" s="1601"/>
      <c r="BM30" s="1601"/>
      <c r="BN30" s="1601"/>
      <c r="BO30" s="1600">
        <f>((BO32*100)/F30)/100</f>
        <v>5.5393429549077458E-3</v>
      </c>
      <c r="BP30" s="1601"/>
      <c r="BQ30" s="1601"/>
      <c r="BR30" s="1601"/>
      <c r="BS30" s="1573">
        <f>((BS32*100)/F30)/100</f>
        <v>2.1041119609206756E-3</v>
      </c>
      <c r="BT30" s="1574"/>
      <c r="BU30" s="1574"/>
      <c r="BV30" s="1575"/>
      <c r="BW30" s="1573">
        <f>((BW32*100)/F30)/100</f>
        <v>7.3063708656222444E-3</v>
      </c>
      <c r="BX30" s="1574"/>
      <c r="BY30" s="1574"/>
      <c r="BZ30" s="1575"/>
      <c r="CA30" s="1573">
        <f>((1858646.86*100)/32884305.64)/100</f>
        <v>5.6520787768715074E-2</v>
      </c>
      <c r="CB30" s="1574"/>
      <c r="CC30" s="1574"/>
      <c r="CD30" s="1575"/>
      <c r="CE30" s="1573">
        <f>((CE32*100)/F30)/100</f>
        <v>1.3150731286581525E-2</v>
      </c>
      <c r="CF30" s="1574"/>
      <c r="CG30" s="1574"/>
      <c r="CH30" s="1575"/>
      <c r="CI30" s="1573">
        <f>((CI32*100)/F30)/100</f>
        <v>1.8452027183783297E-2</v>
      </c>
      <c r="CJ30" s="1574"/>
      <c r="CK30" s="1574"/>
      <c r="CL30" s="1575"/>
      <c r="CM30" s="1573">
        <f>((CM32*100)/F30)/100</f>
        <v>1.6363368000344089E-2</v>
      </c>
      <c r="CN30" s="1574"/>
      <c r="CO30" s="1574"/>
      <c r="CP30" s="1575"/>
      <c r="CQ30" s="1573">
        <f>((CQ32*100)/F30)/100</f>
        <v>2.3970506350592263E-2</v>
      </c>
      <c r="CR30" s="1574"/>
      <c r="CS30" s="1574"/>
      <c r="CT30" s="1575"/>
      <c r="CU30" s="1573">
        <f>((CU32*100)/F30)/100</f>
        <v>1.9789114093942392E-2</v>
      </c>
      <c r="CV30" s="1574"/>
      <c r="CW30" s="1574"/>
      <c r="CX30" s="1575"/>
      <c r="CY30" s="1573">
        <f>((CY32*100)/F30)/100</f>
        <v>4.3209173431822331E-2</v>
      </c>
      <c r="CZ30" s="1574"/>
      <c r="DA30" s="1574"/>
      <c r="DB30" s="1575"/>
      <c r="DC30" s="1573">
        <f>((DC32*100)/F30)/100</f>
        <v>4.1385002309674519E-2</v>
      </c>
      <c r="DD30" s="1574"/>
      <c r="DE30" s="1574"/>
      <c r="DF30" s="1575"/>
      <c r="DG30" s="1573">
        <f>((DG32*100)/F30)/100</f>
        <v>2.3875511984246596E-2</v>
      </c>
      <c r="DH30" s="1574"/>
      <c r="DI30" s="1574"/>
      <c r="DJ30" s="1575"/>
      <c r="DK30" s="1573">
        <f>((DK32*100)/F30)/100</f>
        <v>1.5262090795204606E-2</v>
      </c>
      <c r="DL30" s="1574"/>
      <c r="DM30" s="1574"/>
      <c r="DN30" s="1575"/>
      <c r="DO30" s="1573">
        <f>((DO32*100)/F30)/100</f>
        <v>1.8384856367637092E-2</v>
      </c>
      <c r="DP30" s="1574"/>
      <c r="DQ30" s="1574"/>
      <c r="DR30" s="1575"/>
      <c r="DS30" s="1573">
        <f>((DS32*100)/F30)/100</f>
        <v>2.3448072073043197E-2</v>
      </c>
      <c r="DT30" s="1574"/>
      <c r="DU30" s="1574"/>
      <c r="DV30" s="1575"/>
      <c r="DW30" s="1573">
        <f>((DW32*100)/F30)/100</f>
        <v>2.3954424559827183E-2</v>
      </c>
      <c r="DX30" s="1574"/>
      <c r="DY30" s="1574"/>
      <c r="DZ30" s="1575"/>
      <c r="EA30" s="1573">
        <f>((EA32*100)/F30)/100</f>
        <v>1.9777709286823493E-2</v>
      </c>
      <c r="EB30" s="1574"/>
      <c r="EC30" s="1574"/>
      <c r="ED30" s="1575"/>
      <c r="EE30" s="1573">
        <f>((EE32*100)/F30)/100</f>
        <v>6.3819378058562554E-2</v>
      </c>
      <c r="EF30" s="1574"/>
      <c r="EG30" s="1574"/>
      <c r="EH30" s="1575"/>
      <c r="EI30" s="1573">
        <f>((EI32*100)/F30)/100</f>
        <v>1.033489725105555</v>
      </c>
      <c r="EJ30" s="1605"/>
    </row>
    <row r="31" spans="1:141" x14ac:dyDescent="0.25">
      <c r="A31" s="1589" t="s">
        <v>916</v>
      </c>
      <c r="B31" s="1577"/>
      <c r="C31" s="1577"/>
      <c r="D31" s="1577"/>
      <c r="E31" s="1577"/>
      <c r="F31" s="1598"/>
      <c r="G31" s="1576">
        <f>G30</f>
        <v>2.0173532863397691E-3</v>
      </c>
      <c r="H31" s="1577"/>
      <c r="I31" s="1577"/>
      <c r="J31" s="1577"/>
      <c r="K31" s="1576">
        <f>K30+G31</f>
        <v>5.4632037560776309E-3</v>
      </c>
      <c r="L31" s="1577"/>
      <c r="M31" s="1577"/>
      <c r="N31" s="1577"/>
      <c r="O31" s="1576">
        <f>O30+K31</f>
        <v>1.9483746315055343E-2</v>
      </c>
      <c r="P31" s="1577"/>
      <c r="Q31" s="1577"/>
      <c r="R31" s="1577"/>
      <c r="S31" s="1576">
        <f>S30+O31</f>
        <v>2.5523022561287328E-2</v>
      </c>
      <c r="T31" s="1577"/>
      <c r="U31" s="1577"/>
      <c r="V31" s="1577"/>
      <c r="W31" s="1576">
        <f>W30+S31</f>
        <v>3.3806015376787651E-2</v>
      </c>
      <c r="X31" s="1577"/>
      <c r="Y31" s="1577"/>
      <c r="Z31" s="1577"/>
      <c r="AA31" s="1576">
        <f>AA30+W31</f>
        <v>3.6629527745935864E-2</v>
      </c>
      <c r="AB31" s="1577"/>
      <c r="AC31" s="1577"/>
      <c r="AD31" s="1577"/>
      <c r="AE31" s="1576">
        <f>AE30+AA31</f>
        <v>5.0638631294863359E-2</v>
      </c>
      <c r="AF31" s="1577"/>
      <c r="AG31" s="1577"/>
      <c r="AH31" s="1577"/>
      <c r="AI31" s="1576">
        <f>AI30+AE31</f>
        <v>5.3692326185199563E-2</v>
      </c>
      <c r="AJ31" s="1577"/>
      <c r="AK31" s="1577"/>
      <c r="AL31" s="1577"/>
      <c r="AM31" s="1576">
        <f>AM30+AI31</f>
        <v>6.8790259209953103E-2</v>
      </c>
      <c r="AN31" s="1577"/>
      <c r="AO31" s="1577"/>
      <c r="AP31" s="1577"/>
      <c r="AQ31" s="1576">
        <f>AQ30+AM31</f>
        <v>8.4829827257959137E-2</v>
      </c>
      <c r="AR31" s="1577"/>
      <c r="AS31" s="1577"/>
      <c r="AT31" s="1577"/>
      <c r="AU31" s="1576">
        <f>AU30+AQ31</f>
        <v>0.10509058507808722</v>
      </c>
      <c r="AV31" s="1577"/>
      <c r="AW31" s="1577"/>
      <c r="AX31" s="1577"/>
      <c r="AY31" s="1576">
        <f>AY30+AU31</f>
        <v>0.13347103595586171</v>
      </c>
      <c r="AZ31" s="1577"/>
      <c r="BA31" s="1577"/>
      <c r="BB31" s="1577"/>
      <c r="BC31" s="1576">
        <f>BC30+AY31</f>
        <v>0.14400767381028456</v>
      </c>
      <c r="BD31" s="1577"/>
      <c r="BE31" s="1577"/>
      <c r="BF31" s="1577"/>
      <c r="BG31" s="1576">
        <f>BG30+BC31</f>
        <v>0.15428875163732939</v>
      </c>
      <c r="BH31" s="1577"/>
      <c r="BI31" s="1577"/>
      <c r="BJ31" s="1577"/>
      <c r="BK31" s="1576">
        <f>BK30+BG31</f>
        <v>0.16272651913005473</v>
      </c>
      <c r="BL31" s="1577"/>
      <c r="BM31" s="1577"/>
      <c r="BN31" s="1577"/>
      <c r="BO31" s="1576">
        <v>0.21010000000000001</v>
      </c>
      <c r="BP31" s="1577"/>
      <c r="BQ31" s="1577"/>
      <c r="BR31" s="1577"/>
      <c r="BS31" s="1576">
        <f>BO31+BS30</f>
        <v>0.21220411196092068</v>
      </c>
      <c r="BT31" s="1577"/>
      <c r="BU31" s="1577"/>
      <c r="BV31" s="1577"/>
      <c r="BW31" s="1576">
        <f>BW30+BS31</f>
        <v>0.21951048282654292</v>
      </c>
      <c r="BX31" s="1577"/>
      <c r="BY31" s="1577"/>
      <c r="BZ31" s="1577"/>
      <c r="CA31" s="1576">
        <f>CA30+BW31</f>
        <v>0.276031270595258</v>
      </c>
      <c r="CB31" s="1577"/>
      <c r="CC31" s="1577"/>
      <c r="CD31" s="1577"/>
      <c r="CE31" s="1576">
        <f>CE30+CA31</f>
        <v>0.28918200188183951</v>
      </c>
      <c r="CF31" s="1577"/>
      <c r="CG31" s="1577"/>
      <c r="CH31" s="1577"/>
      <c r="CI31" s="1576">
        <f>CI30+CE31</f>
        <v>0.30763402906562282</v>
      </c>
      <c r="CJ31" s="1577"/>
      <c r="CK31" s="1577"/>
      <c r="CL31" s="1577"/>
      <c r="CM31" s="1576">
        <f>CM30+CI31</f>
        <v>0.32399739706596692</v>
      </c>
      <c r="CN31" s="1577"/>
      <c r="CO31" s="1577"/>
      <c r="CP31" s="1577"/>
      <c r="CQ31" s="1576">
        <f>CQ30+CM31</f>
        <v>0.3479679034165592</v>
      </c>
      <c r="CR31" s="1577"/>
      <c r="CS31" s="1577"/>
      <c r="CT31" s="1577"/>
      <c r="CU31" s="1576">
        <f>CU30+CQ31</f>
        <v>0.3677570175105016</v>
      </c>
      <c r="CV31" s="1577"/>
      <c r="CW31" s="1577"/>
      <c r="CX31" s="1577"/>
      <c r="CY31" s="1576">
        <f>CY30+CU31</f>
        <v>0.41096619094232395</v>
      </c>
      <c r="CZ31" s="1577"/>
      <c r="DA31" s="1577"/>
      <c r="DB31" s="1577"/>
      <c r="DC31" s="1576">
        <f>DC30+CY31</f>
        <v>0.45235119325199846</v>
      </c>
      <c r="DD31" s="1577"/>
      <c r="DE31" s="1577"/>
      <c r="DF31" s="1577"/>
      <c r="DG31" s="1576">
        <f>DG30+DC31</f>
        <v>0.47622670523624505</v>
      </c>
      <c r="DH31" s="1577"/>
      <c r="DI31" s="1577"/>
      <c r="DJ31" s="1577"/>
      <c r="DK31" s="1576">
        <f>DK30+DG31</f>
        <v>0.49148879603144968</v>
      </c>
      <c r="DL31" s="1577"/>
      <c r="DM31" s="1577"/>
      <c r="DN31" s="1577"/>
      <c r="DO31" s="1576">
        <f>DO30+DK31</f>
        <v>0.50987365239908677</v>
      </c>
      <c r="DP31" s="1577"/>
      <c r="DQ31" s="1577"/>
      <c r="DR31" s="1577"/>
      <c r="DS31" s="1576">
        <f>DS30+DO31</f>
        <v>0.53332172447213</v>
      </c>
      <c r="DT31" s="1577"/>
      <c r="DU31" s="1577"/>
      <c r="DV31" s="1577"/>
      <c r="DW31" s="1576">
        <f>DW30+DS31</f>
        <v>0.55727614903195721</v>
      </c>
      <c r="DX31" s="1577"/>
      <c r="DY31" s="1577"/>
      <c r="DZ31" s="1577"/>
      <c r="EA31" s="1576">
        <f>EA30+DW31</f>
        <v>0.57705385831878075</v>
      </c>
      <c r="EB31" s="1577"/>
      <c r="EC31" s="1577"/>
      <c r="ED31" s="1577"/>
      <c r="EE31" s="1576">
        <f>EE30+EA31</f>
        <v>0.64087323637734328</v>
      </c>
      <c r="EF31" s="1577"/>
      <c r="EG31" s="1577"/>
      <c r="EH31" s="1577"/>
      <c r="EI31" s="1592">
        <f>EI30</f>
        <v>1.033489725105555</v>
      </c>
      <c r="EJ31" s="1593"/>
    </row>
    <row r="32" spans="1:141" x14ac:dyDescent="0.25">
      <c r="A32" s="1589" t="s">
        <v>917</v>
      </c>
      <c r="B32" s="1577"/>
      <c r="C32" s="1577"/>
      <c r="D32" s="1577"/>
      <c r="E32" s="1577"/>
      <c r="F32" s="1598"/>
      <c r="G32" s="1578">
        <v>75496.81</v>
      </c>
      <c r="H32" s="1579"/>
      <c r="I32" s="1579"/>
      <c r="J32" s="1580"/>
      <c r="K32" s="1578">
        <v>128956.45</v>
      </c>
      <c r="L32" s="1579"/>
      <c r="M32" s="1579"/>
      <c r="N32" s="1580"/>
      <c r="O32" s="1578">
        <v>524700.48</v>
      </c>
      <c r="P32" s="1579"/>
      <c r="Q32" s="1579"/>
      <c r="R32" s="1580"/>
      <c r="S32" s="1578">
        <f>S14+S17+S20+S23+S26</f>
        <v>226012.02000000002</v>
      </c>
      <c r="T32" s="1579"/>
      <c r="U32" s="1579"/>
      <c r="V32" s="1580"/>
      <c r="W32" s="1578">
        <v>309980.18</v>
      </c>
      <c r="X32" s="1579"/>
      <c r="Y32" s="1579"/>
      <c r="Z32" s="1580"/>
      <c r="AA32" s="1578">
        <f>AA14+AA17+AA20+AA23+AA26</f>
        <v>105666.26</v>
      </c>
      <c r="AB32" s="1579"/>
      <c r="AC32" s="1579"/>
      <c r="AD32" s="1580"/>
      <c r="AE32" s="1578">
        <v>524272.39</v>
      </c>
      <c r="AF32" s="1579"/>
      <c r="AG32" s="1579"/>
      <c r="AH32" s="1580"/>
      <c r="AI32" s="1578">
        <v>114280.54</v>
      </c>
      <c r="AJ32" s="1579"/>
      <c r="AK32" s="1579"/>
      <c r="AL32" s="1580"/>
      <c r="AM32" s="1578">
        <f>AM14+AM17+AM20+AM23+AM26</f>
        <v>565020.41</v>
      </c>
      <c r="AN32" s="1579"/>
      <c r="AO32" s="1579"/>
      <c r="AP32" s="1580"/>
      <c r="AQ32" s="1578">
        <f>AQ14+AQ17+AQ20+AQ23+AQ26</f>
        <v>600259.87</v>
      </c>
      <c r="AR32" s="1579"/>
      <c r="AS32" s="1579"/>
      <c r="AT32" s="1580"/>
      <c r="AU32" s="1578">
        <f>AU14+AU17+AU20+AU23+AU26</f>
        <v>758232.38</v>
      </c>
      <c r="AV32" s="1579"/>
      <c r="AW32" s="1579"/>
      <c r="AX32" s="1580"/>
      <c r="AY32" s="1578">
        <f>AY14+AY17+AY20+AY23+AY26</f>
        <v>1062101.28</v>
      </c>
      <c r="AZ32" s="1579"/>
      <c r="BA32" s="1579"/>
      <c r="BB32" s="1580"/>
      <c r="BC32" s="1578">
        <f>BC14+BC17+BC20+BC23+BC26</f>
        <v>394319.9</v>
      </c>
      <c r="BD32" s="1579"/>
      <c r="BE32" s="1579"/>
      <c r="BF32" s="1580"/>
      <c r="BG32" s="1578">
        <f>BG14+BG17+BG20+BG23+BG26</f>
        <v>384755.9</v>
      </c>
      <c r="BH32" s="1579"/>
      <c r="BI32" s="1579"/>
      <c r="BJ32" s="1580"/>
      <c r="BK32" s="1578">
        <f>BK14+BK17+BK20+BK23+BK26</f>
        <v>315772.42</v>
      </c>
      <c r="BL32" s="1579"/>
      <c r="BM32" s="1579"/>
      <c r="BN32" s="1580"/>
      <c r="BO32" s="1578">
        <f>BO14+BO17+BO20+BO23+BO26</f>
        <v>207302.66999999998</v>
      </c>
      <c r="BP32" s="1579"/>
      <c r="BQ32" s="1579"/>
      <c r="BR32" s="1580"/>
      <c r="BS32" s="1578">
        <f>BS26+BS17</f>
        <v>78743.64</v>
      </c>
      <c r="BT32" s="1579"/>
      <c r="BU32" s="1579"/>
      <c r="BV32" s="1580"/>
      <c r="BW32" s="1578">
        <f>BW14+BW17+BW20+BW23+BW26+BW29</f>
        <v>273431.38</v>
      </c>
      <c r="BX32" s="1579"/>
      <c r="BY32" s="1579"/>
      <c r="BZ32" s="1580"/>
      <c r="CA32" s="1578">
        <v>1858656.6</v>
      </c>
      <c r="CB32" s="1579"/>
      <c r="CC32" s="1579"/>
      <c r="CD32" s="1580"/>
      <c r="CE32" s="1578">
        <f>CE14+CE17+CE20+CE23+CE26+CE29</f>
        <v>492148.93000000005</v>
      </c>
      <c r="CF32" s="1579"/>
      <c r="CG32" s="1579"/>
      <c r="CH32" s="1580"/>
      <c r="CI32" s="1578">
        <f>CI14+CI17+CI20+CI23+CI26+CI29</f>
        <v>690542.99999999988</v>
      </c>
      <c r="CJ32" s="1579"/>
      <c r="CK32" s="1579"/>
      <c r="CL32" s="1580"/>
      <c r="CM32" s="1578">
        <f>CM14+CM17+CM20+CM23+CM26+CM29</f>
        <v>612377.66</v>
      </c>
      <c r="CN32" s="1579"/>
      <c r="CO32" s="1579"/>
      <c r="CP32" s="1580"/>
      <c r="CQ32" s="1578">
        <f>CQ14+CQ17+CQ20+CQ23+CQ26+CQ29</f>
        <v>897064.87</v>
      </c>
      <c r="CR32" s="1579"/>
      <c r="CS32" s="1579"/>
      <c r="CT32" s="1580"/>
      <c r="CU32" s="1578">
        <f>CU14+CU17+CU20+CU23+CU26+CU29</f>
        <v>740581.72999999986</v>
      </c>
      <c r="CV32" s="1579"/>
      <c r="CW32" s="1579"/>
      <c r="CX32" s="1580"/>
      <c r="CY32" s="1578">
        <f>CY14+CY17+CY20+CY23+CY26+CY29</f>
        <v>1617046.8400000003</v>
      </c>
      <c r="CZ32" s="1579"/>
      <c r="DA32" s="1579"/>
      <c r="DB32" s="1580"/>
      <c r="DC32" s="1578">
        <f>DC14+DC17+DC20+DC23+DC26+DC29</f>
        <v>1548779.62</v>
      </c>
      <c r="DD32" s="1579"/>
      <c r="DE32" s="1579"/>
      <c r="DF32" s="1580"/>
      <c r="DG32" s="1578">
        <f>DG14+DG17+DG20+DG23+DG26+DG29</f>
        <v>893509.83000000007</v>
      </c>
      <c r="DH32" s="1579"/>
      <c r="DI32" s="1579"/>
      <c r="DJ32" s="1580"/>
      <c r="DK32" s="1578">
        <f>DK14+DK17+DK20+DK23+DK26+DK29</f>
        <v>571163.80000000028</v>
      </c>
      <c r="DL32" s="1579"/>
      <c r="DM32" s="1579"/>
      <c r="DN32" s="1580"/>
      <c r="DO32" s="1578">
        <f>DO14+DO17+DO20+DO23+DO26+DO29</f>
        <v>688029.22</v>
      </c>
      <c r="DP32" s="1579"/>
      <c r="DQ32" s="1579"/>
      <c r="DR32" s="1580"/>
      <c r="DS32" s="1578">
        <f>DS14+DS17+DS20+DS23+DS26+DS29</f>
        <v>877513.45</v>
      </c>
      <c r="DT32" s="1579"/>
      <c r="DU32" s="1579"/>
      <c r="DV32" s="1580"/>
      <c r="DW32" s="1578">
        <f>DW14+DW17+DW20+DW23+DW26+DW29</f>
        <v>896463.02999999991</v>
      </c>
      <c r="DX32" s="1579"/>
      <c r="DY32" s="1579"/>
      <c r="DZ32" s="1580"/>
      <c r="EA32" s="1578">
        <f>EA14+EA17+EA20+EA23+EA26+EA29</f>
        <v>740154.92</v>
      </c>
      <c r="EB32" s="1579"/>
      <c r="EC32" s="1579"/>
      <c r="ED32" s="1580"/>
      <c r="EE32" s="1578">
        <f>EE14+EE17+EE20+EE23+EE26+EE29</f>
        <v>2388356.8099999996</v>
      </c>
      <c r="EF32" s="1579"/>
      <c r="EG32" s="1579"/>
      <c r="EH32" s="1580"/>
      <c r="EI32" s="1578">
        <f>'11 - FINANCEIRO'!M318</f>
        <v>38677002.159999989</v>
      </c>
      <c r="EJ32" s="1594"/>
    </row>
    <row r="33" spans="1:140" ht="15.75" thickBot="1" x14ac:dyDescent="0.3">
      <c r="A33" s="1602" t="s">
        <v>918</v>
      </c>
      <c r="B33" s="1582"/>
      <c r="C33" s="1582"/>
      <c r="D33" s="1582"/>
      <c r="E33" s="1582"/>
      <c r="F33" s="1599"/>
      <c r="G33" s="1581">
        <f>G32</f>
        <v>75496.81</v>
      </c>
      <c r="H33" s="1582"/>
      <c r="I33" s="1582"/>
      <c r="J33" s="1582"/>
      <c r="K33" s="1581">
        <f>K32+G33</f>
        <v>204453.26</v>
      </c>
      <c r="L33" s="1582"/>
      <c r="M33" s="1582"/>
      <c r="N33" s="1582"/>
      <c r="O33" s="1581">
        <f>O32+K33</f>
        <v>729153.74</v>
      </c>
      <c r="P33" s="1582"/>
      <c r="Q33" s="1582"/>
      <c r="R33" s="1582"/>
      <c r="S33" s="1581">
        <f>S32+O33</f>
        <v>955165.76</v>
      </c>
      <c r="T33" s="1582"/>
      <c r="U33" s="1582"/>
      <c r="V33" s="1582"/>
      <c r="W33" s="1581">
        <f>W32+S33</f>
        <v>1265145.94</v>
      </c>
      <c r="X33" s="1582"/>
      <c r="Y33" s="1582"/>
      <c r="Z33" s="1582"/>
      <c r="AA33" s="1581">
        <f>AA32+W33</f>
        <v>1370812.2</v>
      </c>
      <c r="AB33" s="1582"/>
      <c r="AC33" s="1582"/>
      <c r="AD33" s="1582"/>
      <c r="AE33" s="1581">
        <f>AE32+AA33</f>
        <v>1895084.5899999999</v>
      </c>
      <c r="AF33" s="1582"/>
      <c r="AG33" s="1582"/>
      <c r="AH33" s="1582"/>
      <c r="AI33" s="1581">
        <f>AI32+AE33</f>
        <v>2009365.13</v>
      </c>
      <c r="AJ33" s="1582"/>
      <c r="AK33" s="1582"/>
      <c r="AL33" s="1582"/>
      <c r="AM33" s="1581">
        <f>AM32+AI33</f>
        <v>2574385.54</v>
      </c>
      <c r="AN33" s="1582"/>
      <c r="AO33" s="1582"/>
      <c r="AP33" s="1582"/>
      <c r="AQ33" s="1581">
        <f>AQ32+AM33</f>
        <v>3174645.41</v>
      </c>
      <c r="AR33" s="1582"/>
      <c r="AS33" s="1582"/>
      <c r="AT33" s="1582"/>
      <c r="AU33" s="1581">
        <f>AU32+AQ33</f>
        <v>3932877.79</v>
      </c>
      <c r="AV33" s="1582"/>
      <c r="AW33" s="1582"/>
      <c r="AX33" s="1582"/>
      <c r="AY33" s="1581">
        <f>AY32+AU33</f>
        <v>4994979.07</v>
      </c>
      <c r="AZ33" s="1582"/>
      <c r="BA33" s="1582"/>
      <c r="BB33" s="1582"/>
      <c r="BC33" s="1581">
        <f>BC32+AY33</f>
        <v>5389298.9700000007</v>
      </c>
      <c r="BD33" s="1582"/>
      <c r="BE33" s="1582"/>
      <c r="BF33" s="1582"/>
      <c r="BG33" s="1581">
        <f>BG32+BC33</f>
        <v>5774054.870000001</v>
      </c>
      <c r="BH33" s="1582"/>
      <c r="BI33" s="1582"/>
      <c r="BJ33" s="1582"/>
      <c r="BK33" s="1581">
        <f>BK32+BG33</f>
        <v>6089827.290000001</v>
      </c>
      <c r="BL33" s="1582"/>
      <c r="BM33" s="1582"/>
      <c r="BN33" s="1582"/>
      <c r="BO33" s="1581">
        <f>BO32+BK33</f>
        <v>6297129.9600000009</v>
      </c>
      <c r="BP33" s="1582"/>
      <c r="BQ33" s="1582"/>
      <c r="BR33" s="1582"/>
      <c r="BS33" s="1581">
        <f>BS32+BO33</f>
        <v>6375873.6000000006</v>
      </c>
      <c r="BT33" s="1582"/>
      <c r="BU33" s="1582"/>
      <c r="BV33" s="1582"/>
      <c r="BW33" s="1581">
        <f>BW32+BS33</f>
        <v>6649304.9800000004</v>
      </c>
      <c r="BX33" s="1582"/>
      <c r="BY33" s="1582"/>
      <c r="BZ33" s="1582"/>
      <c r="CA33" s="1581">
        <f>CA32+BW33</f>
        <v>8507961.5800000001</v>
      </c>
      <c r="CB33" s="1582"/>
      <c r="CC33" s="1582"/>
      <c r="CD33" s="1582"/>
      <c r="CE33" s="1581">
        <f>CE32+CA33</f>
        <v>9000110.5099999998</v>
      </c>
      <c r="CF33" s="1582"/>
      <c r="CG33" s="1582"/>
      <c r="CH33" s="1582"/>
      <c r="CI33" s="1581">
        <f>CI32+CE33</f>
        <v>9690653.5099999998</v>
      </c>
      <c r="CJ33" s="1582"/>
      <c r="CK33" s="1582"/>
      <c r="CL33" s="1582"/>
      <c r="CM33" s="1581">
        <f>CM32+CI33</f>
        <v>10303031.17</v>
      </c>
      <c r="CN33" s="1582"/>
      <c r="CO33" s="1582"/>
      <c r="CP33" s="1582"/>
      <c r="CQ33" s="1581">
        <f>CQ32+CM33</f>
        <v>11200096.039999999</v>
      </c>
      <c r="CR33" s="1582"/>
      <c r="CS33" s="1582"/>
      <c r="CT33" s="1582"/>
      <c r="CU33" s="1581">
        <f>'8 - EVOLUÇÃO FINANCEIRA'!H35</f>
        <v>12784473.52</v>
      </c>
      <c r="CV33" s="1582"/>
      <c r="CW33" s="1582"/>
      <c r="CX33" s="1582"/>
      <c r="CY33" s="1581">
        <f>'8 - EVOLUÇÃO FINANCEIRA'!H37</f>
        <v>14401520.359999999</v>
      </c>
      <c r="CZ33" s="1582"/>
      <c r="DA33" s="1582"/>
      <c r="DB33" s="1582"/>
      <c r="DC33" s="1581">
        <f>'8 - EVOLUÇÃO FINANCEIRA'!H38</f>
        <v>15950299.98</v>
      </c>
      <c r="DD33" s="1582"/>
      <c r="DE33" s="1582"/>
      <c r="DF33" s="1582"/>
      <c r="DG33" s="1581">
        <f>'8 - EVOLUÇÃO FINANCEIRA'!H39</f>
        <v>16843809.809999999</v>
      </c>
      <c r="DH33" s="1582"/>
      <c r="DI33" s="1582"/>
      <c r="DJ33" s="1582"/>
      <c r="DK33" s="1581">
        <f>'8 - EVOLUÇÃO FINANCEIRA'!H40</f>
        <v>17414973.609999999</v>
      </c>
      <c r="DL33" s="1582"/>
      <c r="DM33" s="1582"/>
      <c r="DN33" s="1582"/>
      <c r="DO33" s="1581">
        <f>'8 - EVOLUÇÃO FINANCEIRA'!H41</f>
        <v>18103002.829999998</v>
      </c>
      <c r="DP33" s="1582"/>
      <c r="DQ33" s="1582"/>
      <c r="DR33" s="1582"/>
      <c r="DS33" s="1581">
        <f>'8 - EVOLUÇÃO FINANCEIRA'!H42</f>
        <v>18980516.279999997</v>
      </c>
      <c r="DT33" s="1582"/>
      <c r="DU33" s="1582"/>
      <c r="DV33" s="1582"/>
      <c r="DW33" s="1581">
        <f>'8 - EVOLUÇÃO FINANCEIRA'!H43</f>
        <v>19876979.309999999</v>
      </c>
      <c r="DX33" s="1582"/>
      <c r="DY33" s="1582"/>
      <c r="DZ33" s="1582"/>
      <c r="EA33" s="1581">
        <f>'8 - EVOLUÇÃO FINANCEIRA'!H44</f>
        <v>20617134.23</v>
      </c>
      <c r="EB33" s="1582"/>
      <c r="EC33" s="1582"/>
      <c r="ED33" s="1582"/>
      <c r="EE33" s="1581">
        <f>'8 - EVOLUÇÃO FINANCEIRA'!H45</f>
        <v>23024970.850000001</v>
      </c>
      <c r="EF33" s="1582"/>
      <c r="EG33" s="1582"/>
      <c r="EH33" s="1582"/>
      <c r="EI33" s="1590">
        <f>EI32</f>
        <v>38677002.159999989</v>
      </c>
      <c r="EJ33" s="1591"/>
    </row>
    <row r="34" spans="1:140" x14ac:dyDescent="0.25">
      <c r="K34">
        <v>4</v>
      </c>
    </row>
    <row r="35" spans="1:140" x14ac:dyDescent="0.25">
      <c r="G35" s="1583">
        <v>29</v>
      </c>
      <c r="H35" s="1583"/>
      <c r="I35" s="1583"/>
      <c r="J35" s="1583"/>
      <c r="K35" s="1583">
        <v>30</v>
      </c>
      <c r="L35" s="1583"/>
      <c r="M35" s="1583"/>
      <c r="N35" s="1583"/>
      <c r="O35" s="1583">
        <v>31</v>
      </c>
      <c r="P35" s="1583"/>
      <c r="Q35" s="1583"/>
      <c r="R35" s="1583"/>
      <c r="S35" s="1583">
        <v>30</v>
      </c>
      <c r="T35" s="1583"/>
      <c r="U35" s="1583"/>
      <c r="V35" s="1583"/>
      <c r="W35" s="1583">
        <v>31</v>
      </c>
      <c r="X35" s="1583"/>
      <c r="Y35" s="1583"/>
      <c r="Z35" s="1583"/>
      <c r="AA35" s="1583">
        <v>31</v>
      </c>
      <c r="AB35" s="1583"/>
      <c r="AC35" s="1583"/>
      <c r="AD35" s="1583"/>
      <c r="AE35" s="1583">
        <v>28</v>
      </c>
      <c r="AF35" s="1583"/>
      <c r="AG35" s="1583"/>
      <c r="AH35" s="1583"/>
      <c r="AI35" s="1583">
        <v>31</v>
      </c>
      <c r="AJ35" s="1583"/>
      <c r="AK35" s="1583"/>
      <c r="AL35" s="1583"/>
      <c r="AM35" s="1583">
        <v>30</v>
      </c>
      <c r="AN35" s="1583"/>
      <c r="AO35" s="1583"/>
      <c r="AP35" s="1583"/>
      <c r="AQ35" s="1583">
        <v>31</v>
      </c>
      <c r="AR35" s="1583"/>
      <c r="AS35" s="1583"/>
      <c r="AT35" s="1583"/>
      <c r="AU35" s="1583">
        <v>30</v>
      </c>
      <c r="AV35" s="1583"/>
      <c r="AW35" s="1583"/>
      <c r="AX35" s="1583"/>
      <c r="AY35" s="1583">
        <v>31</v>
      </c>
      <c r="AZ35" s="1583"/>
      <c r="BA35" s="1583"/>
      <c r="BB35" s="1583"/>
      <c r="BC35" s="1583">
        <v>31</v>
      </c>
      <c r="BD35" s="1583"/>
      <c r="BE35" s="1583"/>
      <c r="BF35" s="1583"/>
      <c r="BG35" s="1583">
        <v>30</v>
      </c>
      <c r="BH35" s="1583"/>
      <c r="BI35" s="1583"/>
      <c r="BJ35" s="1583"/>
      <c r="BK35" s="1583">
        <v>31</v>
      </c>
      <c r="BL35" s="1583"/>
      <c r="BM35" s="1583"/>
      <c r="BN35" s="1583"/>
      <c r="BO35" s="1583">
        <v>30</v>
      </c>
      <c r="BP35" s="1583"/>
      <c r="BQ35" s="1583"/>
      <c r="BR35" s="1583"/>
      <c r="BS35" s="1583">
        <v>31</v>
      </c>
      <c r="BT35" s="1583"/>
      <c r="BU35" s="1583"/>
      <c r="BV35" s="1583"/>
      <c r="BW35" s="1583">
        <v>31</v>
      </c>
      <c r="BX35" s="1583"/>
      <c r="BY35" s="1583"/>
      <c r="BZ35" s="1583"/>
      <c r="CA35" s="1583">
        <v>29</v>
      </c>
      <c r="CB35" s="1583"/>
      <c r="CC35" s="1583"/>
      <c r="CD35" s="1583"/>
      <c r="CE35" s="1583">
        <v>31</v>
      </c>
      <c r="CF35" s="1583"/>
      <c r="CG35" s="1583"/>
      <c r="CH35" s="1583"/>
      <c r="CI35" s="1583">
        <v>30</v>
      </c>
      <c r="CJ35" s="1583"/>
      <c r="CK35" s="1583"/>
      <c r="CL35" s="1583"/>
      <c r="CM35" s="1583">
        <v>31</v>
      </c>
      <c r="CN35" s="1583"/>
      <c r="CO35" s="1583"/>
      <c r="CP35" s="1583"/>
      <c r="CQ35" s="1583">
        <v>30</v>
      </c>
      <c r="CR35" s="1583"/>
      <c r="CS35" s="1583"/>
      <c r="CT35" s="1583"/>
      <c r="CU35" s="1583">
        <v>31</v>
      </c>
      <c r="CV35" s="1583"/>
      <c r="CW35" s="1583"/>
      <c r="CX35" s="1583"/>
      <c r="CY35" s="1583">
        <v>31</v>
      </c>
      <c r="CZ35" s="1583"/>
      <c r="DA35" s="1583"/>
      <c r="DB35" s="1583"/>
      <c r="DC35" s="1583">
        <v>31</v>
      </c>
      <c r="DD35" s="1583"/>
      <c r="DE35" s="1583"/>
      <c r="DF35" s="1583"/>
      <c r="DG35" s="1583">
        <v>31</v>
      </c>
      <c r="DH35" s="1583"/>
      <c r="DI35" s="1583"/>
      <c r="DJ35" s="1583"/>
      <c r="DK35" s="1583">
        <v>31</v>
      </c>
      <c r="DL35" s="1583"/>
      <c r="DM35" s="1583"/>
      <c r="DN35" s="1583"/>
      <c r="DO35" s="1583">
        <v>31</v>
      </c>
      <c r="DP35" s="1583"/>
      <c r="DQ35" s="1583"/>
      <c r="DR35" s="1583"/>
      <c r="DS35" s="1583">
        <v>31</v>
      </c>
      <c r="DT35" s="1583"/>
      <c r="DU35" s="1583"/>
      <c r="DV35" s="1583"/>
      <c r="DW35" s="1583">
        <v>28</v>
      </c>
      <c r="DX35" s="1583"/>
      <c r="DY35" s="1583"/>
      <c r="DZ35" s="1583"/>
      <c r="EA35" s="1583">
        <v>31</v>
      </c>
      <c r="EB35" s="1583"/>
      <c r="EC35" s="1583"/>
      <c r="ED35" s="1583"/>
      <c r="EE35" s="1583">
        <v>30</v>
      </c>
      <c r="EF35" s="1583"/>
      <c r="EG35" s="1583"/>
      <c r="EH35" s="1583"/>
      <c r="EI35" s="1583">
        <f>SUM(G35:CT35)</f>
        <v>698</v>
      </c>
      <c r="EJ35" s="1583"/>
    </row>
  </sheetData>
  <mergeCells count="655">
    <mergeCell ref="A1:AT2"/>
    <mergeCell ref="A3:C8"/>
    <mergeCell ref="D3:AM3"/>
    <mergeCell ref="D4:AM4"/>
    <mergeCell ref="D5:AM5"/>
    <mergeCell ref="D6:AM6"/>
    <mergeCell ref="D7:AH7"/>
    <mergeCell ref="AI7:AM7"/>
    <mergeCell ref="D8:AH8"/>
    <mergeCell ref="AI8:AM8"/>
    <mergeCell ref="A9:AT9"/>
    <mergeCell ref="AU9:EJ9"/>
    <mergeCell ref="A10:A11"/>
    <mergeCell ref="B10:E11"/>
    <mergeCell ref="F10:F11"/>
    <mergeCell ref="G10:J10"/>
    <mergeCell ref="K10:N10"/>
    <mergeCell ref="O10:R10"/>
    <mergeCell ref="S10:V10"/>
    <mergeCell ref="W10:Z10"/>
    <mergeCell ref="BG10:BJ10"/>
    <mergeCell ref="BK10:BN10"/>
    <mergeCell ref="BO10:BR10"/>
    <mergeCell ref="BS10:BV10"/>
    <mergeCell ref="AA10:AD10"/>
    <mergeCell ref="AE10:AH10"/>
    <mergeCell ref="AI10:AL10"/>
    <mergeCell ref="AM10:AP10"/>
    <mergeCell ref="AQ10:AT10"/>
    <mergeCell ref="AU10:AX10"/>
    <mergeCell ref="CU10:CX10"/>
    <mergeCell ref="CY10:DB10"/>
    <mergeCell ref="DC10:DF10"/>
    <mergeCell ref="DG10:DJ10"/>
    <mergeCell ref="AA13:AD13"/>
    <mergeCell ref="AE13:AH13"/>
    <mergeCell ref="AI13:AL13"/>
    <mergeCell ref="AM13:AP13"/>
    <mergeCell ref="AQ13:AT13"/>
    <mergeCell ref="AU13:AX13"/>
    <mergeCell ref="EI10:EJ11"/>
    <mergeCell ref="A12:A14"/>
    <mergeCell ref="B12:D14"/>
    <mergeCell ref="F12:F14"/>
    <mergeCell ref="EI12:EJ12"/>
    <mergeCell ref="G13:J13"/>
    <mergeCell ref="K13:N13"/>
    <mergeCell ref="O13:R13"/>
    <mergeCell ref="S13:V13"/>
    <mergeCell ref="W13:Z13"/>
    <mergeCell ref="BW10:BZ10"/>
    <mergeCell ref="CA10:CD10"/>
    <mergeCell ref="CE10:CH10"/>
    <mergeCell ref="CI10:CL10"/>
    <mergeCell ref="CM10:CP10"/>
    <mergeCell ref="CQ10:CT10"/>
    <mergeCell ref="AY10:BB10"/>
    <mergeCell ref="BC10:BF10"/>
    <mergeCell ref="BG14:BJ14"/>
    <mergeCell ref="BK14:BN14"/>
    <mergeCell ref="EI13:EJ13"/>
    <mergeCell ref="G14:J14"/>
    <mergeCell ref="K14:N14"/>
    <mergeCell ref="O14:R14"/>
    <mergeCell ref="S14:V14"/>
    <mergeCell ref="W14:Z14"/>
    <mergeCell ref="AA14:AD14"/>
    <mergeCell ref="AE14:AH14"/>
    <mergeCell ref="AI14:AL14"/>
    <mergeCell ref="AM14:AP14"/>
    <mergeCell ref="BW13:BZ13"/>
    <mergeCell ref="CA13:CD13"/>
    <mergeCell ref="CE13:CH13"/>
    <mergeCell ref="CI13:CL13"/>
    <mergeCell ref="CM13:CP13"/>
    <mergeCell ref="CQ13:CT13"/>
    <mergeCell ref="AY13:BB13"/>
    <mergeCell ref="BC13:BF13"/>
    <mergeCell ref="BG13:BJ13"/>
    <mergeCell ref="BK13:BN13"/>
    <mergeCell ref="BO13:BR13"/>
    <mergeCell ref="BS13:BV13"/>
    <mergeCell ref="AA16:AD16"/>
    <mergeCell ref="AE16:AH16"/>
    <mergeCell ref="AI16:AL16"/>
    <mergeCell ref="AM16:AP16"/>
    <mergeCell ref="CM14:CP14"/>
    <mergeCell ref="CQ14:CT14"/>
    <mergeCell ref="EI14:EJ14"/>
    <mergeCell ref="A15:A17"/>
    <mergeCell ref="B15:D17"/>
    <mergeCell ref="F15:F17"/>
    <mergeCell ref="EI15:EJ15"/>
    <mergeCell ref="G16:J16"/>
    <mergeCell ref="K16:N16"/>
    <mergeCell ref="O16:R16"/>
    <mergeCell ref="BO14:BR14"/>
    <mergeCell ref="BS14:BV14"/>
    <mergeCell ref="BW14:BZ14"/>
    <mergeCell ref="CA14:CD14"/>
    <mergeCell ref="CE14:CH14"/>
    <mergeCell ref="CI14:CL14"/>
    <mergeCell ref="AQ14:AT14"/>
    <mergeCell ref="AU14:AX14"/>
    <mergeCell ref="AY14:BB14"/>
    <mergeCell ref="BC14:BF14"/>
    <mergeCell ref="CM16:CP16"/>
    <mergeCell ref="CQ16:CT16"/>
    <mergeCell ref="EI16:EJ16"/>
    <mergeCell ref="G17:J17"/>
    <mergeCell ref="K17:N17"/>
    <mergeCell ref="O17:R17"/>
    <mergeCell ref="S17:V17"/>
    <mergeCell ref="W17:Z17"/>
    <mergeCell ref="AA17:AD17"/>
    <mergeCell ref="AE17:AH17"/>
    <mergeCell ref="BO16:BR16"/>
    <mergeCell ref="BS16:BV16"/>
    <mergeCell ref="BW16:BZ16"/>
    <mergeCell ref="CA16:CD16"/>
    <mergeCell ref="CE16:CH16"/>
    <mergeCell ref="CI16:CL16"/>
    <mergeCell ref="AQ16:AT16"/>
    <mergeCell ref="AU16:AX16"/>
    <mergeCell ref="AY16:BB16"/>
    <mergeCell ref="BC16:BF16"/>
    <mergeCell ref="BG16:BJ16"/>
    <mergeCell ref="BK16:BN16"/>
    <mergeCell ref="S16:V16"/>
    <mergeCell ref="W16:Z16"/>
    <mergeCell ref="A18:A20"/>
    <mergeCell ref="B18:D20"/>
    <mergeCell ref="F18:F20"/>
    <mergeCell ref="EI18:EJ18"/>
    <mergeCell ref="G19:J19"/>
    <mergeCell ref="BG17:BJ17"/>
    <mergeCell ref="BK17:BN17"/>
    <mergeCell ref="BO17:BR17"/>
    <mergeCell ref="BS17:BV17"/>
    <mergeCell ref="BW17:BZ17"/>
    <mergeCell ref="CA17:CD17"/>
    <mergeCell ref="AI17:AL17"/>
    <mergeCell ref="AM17:AP17"/>
    <mergeCell ref="AQ17:AT17"/>
    <mergeCell ref="AU17:AX17"/>
    <mergeCell ref="AY17:BB17"/>
    <mergeCell ref="BC17:BF17"/>
    <mergeCell ref="S19:V19"/>
    <mergeCell ref="W19:Z19"/>
    <mergeCell ref="AA19:AD19"/>
    <mergeCell ref="AE19:AH19"/>
    <mergeCell ref="CE17:CH17"/>
    <mergeCell ref="CI17:CL17"/>
    <mergeCell ref="CM17:CP17"/>
    <mergeCell ref="CQ17:CT17"/>
    <mergeCell ref="EI17:EJ17"/>
    <mergeCell ref="CE19:CH19"/>
    <mergeCell ref="CI19:CL19"/>
    <mergeCell ref="CM19:CP19"/>
    <mergeCell ref="CQ19:CT19"/>
    <mergeCell ref="EI19:EJ19"/>
    <mergeCell ref="G20:J20"/>
    <mergeCell ref="K20:N20"/>
    <mergeCell ref="O20:R20"/>
    <mergeCell ref="S20:V20"/>
    <mergeCell ref="W20:Z20"/>
    <mergeCell ref="BG19:BJ19"/>
    <mergeCell ref="BK19:BN19"/>
    <mergeCell ref="BO19:BR19"/>
    <mergeCell ref="BS19:BV19"/>
    <mergeCell ref="BW19:BZ19"/>
    <mergeCell ref="CA19:CD19"/>
    <mergeCell ref="AI19:AL19"/>
    <mergeCell ref="AM19:AP19"/>
    <mergeCell ref="AQ19:AT19"/>
    <mergeCell ref="AU19:AX19"/>
    <mergeCell ref="AY19:BB19"/>
    <mergeCell ref="BC19:BF19"/>
    <mergeCell ref="K19:N19"/>
    <mergeCell ref="O19:R19"/>
    <mergeCell ref="BG20:BJ20"/>
    <mergeCell ref="BK20:BN20"/>
    <mergeCell ref="BO20:BR20"/>
    <mergeCell ref="BS20:BV20"/>
    <mergeCell ref="AA20:AD20"/>
    <mergeCell ref="AE20:AH20"/>
    <mergeCell ref="AI20:AL20"/>
    <mergeCell ref="AM20:AP20"/>
    <mergeCell ref="AQ20:AT20"/>
    <mergeCell ref="AU20:AX20"/>
    <mergeCell ref="AA22:AD22"/>
    <mergeCell ref="AE22:AH22"/>
    <mergeCell ref="AI22:AL22"/>
    <mergeCell ref="AM22:AP22"/>
    <mergeCell ref="AQ22:AT22"/>
    <mergeCell ref="AU22:AX22"/>
    <mergeCell ref="EI20:EJ20"/>
    <mergeCell ref="A21:A23"/>
    <mergeCell ref="B21:D23"/>
    <mergeCell ref="F21:F23"/>
    <mergeCell ref="EI21:EJ21"/>
    <mergeCell ref="G22:J22"/>
    <mergeCell ref="K22:N22"/>
    <mergeCell ref="O22:R22"/>
    <mergeCell ref="S22:V22"/>
    <mergeCell ref="W22:Z22"/>
    <mergeCell ref="BW20:BZ20"/>
    <mergeCell ref="CA20:CD20"/>
    <mergeCell ref="CE20:CH20"/>
    <mergeCell ref="CI20:CL20"/>
    <mergeCell ref="CM20:CP20"/>
    <mergeCell ref="CQ20:CT20"/>
    <mergeCell ref="AY20:BB20"/>
    <mergeCell ref="BC20:BF20"/>
    <mergeCell ref="BG23:BJ23"/>
    <mergeCell ref="BK23:BN23"/>
    <mergeCell ref="EI22:EJ22"/>
    <mergeCell ref="G23:J23"/>
    <mergeCell ref="K23:N23"/>
    <mergeCell ref="O23:R23"/>
    <mergeCell ref="S23:V23"/>
    <mergeCell ref="W23:Z23"/>
    <mergeCell ref="AA23:AD23"/>
    <mergeCell ref="AE23:AH23"/>
    <mergeCell ref="AI23:AL23"/>
    <mergeCell ref="AM23:AP23"/>
    <mergeCell ref="BW22:BZ22"/>
    <mergeCell ref="CA22:CD22"/>
    <mergeCell ref="CE22:CH22"/>
    <mergeCell ref="CI22:CL22"/>
    <mergeCell ref="CM22:CP22"/>
    <mergeCell ref="CQ22:CT22"/>
    <mergeCell ref="AY22:BB22"/>
    <mergeCell ref="BC22:BF22"/>
    <mergeCell ref="BG22:BJ22"/>
    <mergeCell ref="BK22:BN22"/>
    <mergeCell ref="BO22:BR22"/>
    <mergeCell ref="BS22:BV22"/>
    <mergeCell ref="AA25:AD25"/>
    <mergeCell ref="AE25:AH25"/>
    <mergeCell ref="AI25:AL25"/>
    <mergeCell ref="AM25:AP25"/>
    <mergeCell ref="CM23:CP23"/>
    <mergeCell ref="CQ23:CT23"/>
    <mergeCell ref="EI23:EJ23"/>
    <mergeCell ref="A24:A26"/>
    <mergeCell ref="B24:D26"/>
    <mergeCell ref="F24:F26"/>
    <mergeCell ref="EI24:EJ24"/>
    <mergeCell ref="G25:J25"/>
    <mergeCell ref="K25:N25"/>
    <mergeCell ref="O25:R25"/>
    <mergeCell ref="BO23:BR23"/>
    <mergeCell ref="BS23:BV23"/>
    <mergeCell ref="BW23:BZ23"/>
    <mergeCell ref="CA23:CD23"/>
    <mergeCell ref="CE23:CH23"/>
    <mergeCell ref="CI23:CL23"/>
    <mergeCell ref="AQ23:AT23"/>
    <mergeCell ref="AU23:AX23"/>
    <mergeCell ref="AY23:BB23"/>
    <mergeCell ref="BC23:BF23"/>
    <mergeCell ref="CM25:CP25"/>
    <mergeCell ref="CQ25:CT25"/>
    <mergeCell ref="EI25:EJ25"/>
    <mergeCell ref="G26:J26"/>
    <mergeCell ref="K26:N26"/>
    <mergeCell ref="O26:R26"/>
    <mergeCell ref="S26:V26"/>
    <mergeCell ref="W26:Z26"/>
    <mergeCell ref="AA26:AD26"/>
    <mergeCell ref="AE26:AH26"/>
    <mergeCell ref="BO25:BR25"/>
    <mergeCell ref="BS25:BV25"/>
    <mergeCell ref="BW25:BZ25"/>
    <mergeCell ref="CA25:CD25"/>
    <mergeCell ref="CE25:CH25"/>
    <mergeCell ref="CI25:CL25"/>
    <mergeCell ref="AQ25:AT25"/>
    <mergeCell ref="AU25:AX25"/>
    <mergeCell ref="AY25:BB25"/>
    <mergeCell ref="BC25:BF25"/>
    <mergeCell ref="BG25:BJ25"/>
    <mergeCell ref="BK25:BN25"/>
    <mergeCell ref="S25:V25"/>
    <mergeCell ref="W25:Z25"/>
    <mergeCell ref="CE26:CH26"/>
    <mergeCell ref="CI26:CL26"/>
    <mergeCell ref="CM26:CP26"/>
    <mergeCell ref="CQ26:CT26"/>
    <mergeCell ref="EI26:EJ26"/>
    <mergeCell ref="A27:A29"/>
    <mergeCell ref="B27:D29"/>
    <mergeCell ref="F27:F29"/>
    <mergeCell ref="G28:J28"/>
    <mergeCell ref="K28:N28"/>
    <mergeCell ref="BG26:BJ26"/>
    <mergeCell ref="BK26:BN26"/>
    <mergeCell ref="BO26:BR26"/>
    <mergeCell ref="BS26:BV26"/>
    <mergeCell ref="BW26:BZ26"/>
    <mergeCell ref="CA26:CD26"/>
    <mergeCell ref="AI26:AL26"/>
    <mergeCell ref="AM26:AP26"/>
    <mergeCell ref="AQ26:AT26"/>
    <mergeCell ref="AU26:AX26"/>
    <mergeCell ref="AY26:BB26"/>
    <mergeCell ref="BC26:BF26"/>
    <mergeCell ref="EI28:EJ28"/>
    <mergeCell ref="G29:J29"/>
    <mergeCell ref="O28:R28"/>
    <mergeCell ref="S28:V28"/>
    <mergeCell ref="W28:Z28"/>
    <mergeCell ref="AA28:AD28"/>
    <mergeCell ref="AE28:AH28"/>
    <mergeCell ref="K29:N29"/>
    <mergeCell ref="O29:R29"/>
    <mergeCell ref="S29:V29"/>
    <mergeCell ref="W29:Z29"/>
    <mergeCell ref="AA29:AD29"/>
    <mergeCell ref="AE29:AH29"/>
    <mergeCell ref="CI28:CL28"/>
    <mergeCell ref="CM28:CP28"/>
    <mergeCell ref="CQ28:CT28"/>
    <mergeCell ref="AI28:AL28"/>
    <mergeCell ref="CA29:CD29"/>
    <mergeCell ref="CE29:CH29"/>
    <mergeCell ref="CI29:CL29"/>
    <mergeCell ref="CM29:CP29"/>
    <mergeCell ref="CQ29:CT29"/>
    <mergeCell ref="CA28:CD28"/>
    <mergeCell ref="CE28:CH28"/>
    <mergeCell ref="AM28:AP28"/>
    <mergeCell ref="AQ28:AT28"/>
    <mergeCell ref="AU28:AX28"/>
    <mergeCell ref="AY28:BB28"/>
    <mergeCell ref="BC28:BF28"/>
    <mergeCell ref="BG28:BJ28"/>
    <mergeCell ref="BK28:BN28"/>
    <mergeCell ref="BO28:BR28"/>
    <mergeCell ref="BS28:BV28"/>
    <mergeCell ref="BW28:BZ28"/>
    <mergeCell ref="AI29:AL29"/>
    <mergeCell ref="AM29:AP29"/>
    <mergeCell ref="AQ29:AT29"/>
    <mergeCell ref="EI29:EJ29"/>
    <mergeCell ref="BC29:BF29"/>
    <mergeCell ref="BG29:BJ29"/>
    <mergeCell ref="BK29:BN29"/>
    <mergeCell ref="BO29:BR29"/>
    <mergeCell ref="BS29:BV29"/>
    <mergeCell ref="BW29:BZ29"/>
    <mergeCell ref="AE30:AH30"/>
    <mergeCell ref="AI30:AL30"/>
    <mergeCell ref="AM30:AP30"/>
    <mergeCell ref="AQ30:AT30"/>
    <mergeCell ref="BC30:BF30"/>
    <mergeCell ref="BG30:BJ30"/>
    <mergeCell ref="BK30:BN30"/>
    <mergeCell ref="BO30:BR30"/>
    <mergeCell ref="AU29:AX29"/>
    <mergeCell ref="AY29:BB29"/>
    <mergeCell ref="CQ30:CT30"/>
    <mergeCell ref="EI30:EJ30"/>
    <mergeCell ref="BW30:BZ30"/>
    <mergeCell ref="CA30:CD30"/>
    <mergeCell ref="CE30:CH30"/>
    <mergeCell ref="CI30:CL30"/>
    <mergeCell ref="CM30:CP30"/>
    <mergeCell ref="G31:J31"/>
    <mergeCell ref="K31:N31"/>
    <mergeCell ref="O31:R31"/>
    <mergeCell ref="S31:V31"/>
    <mergeCell ref="W31:Z31"/>
    <mergeCell ref="AA31:AD31"/>
    <mergeCell ref="AE31:AH31"/>
    <mergeCell ref="BS30:BV30"/>
    <mergeCell ref="AU30:AX30"/>
    <mergeCell ref="AY30:BB30"/>
    <mergeCell ref="W30:Z30"/>
    <mergeCell ref="AA30:AD30"/>
    <mergeCell ref="BO31:BR31"/>
    <mergeCell ref="BS31:BV31"/>
    <mergeCell ref="G32:J32"/>
    <mergeCell ref="K32:N32"/>
    <mergeCell ref="O32:R32"/>
    <mergeCell ref="S32:V32"/>
    <mergeCell ref="BG31:BJ31"/>
    <mergeCell ref="BK31:BN31"/>
    <mergeCell ref="A30:E30"/>
    <mergeCell ref="F30:F33"/>
    <mergeCell ref="G30:J30"/>
    <mergeCell ref="K30:N30"/>
    <mergeCell ref="O30:R30"/>
    <mergeCell ref="S30:V30"/>
    <mergeCell ref="AI31:AL31"/>
    <mergeCell ref="AM31:AP31"/>
    <mergeCell ref="AQ31:AT31"/>
    <mergeCell ref="AU31:AX31"/>
    <mergeCell ref="AY31:BB31"/>
    <mergeCell ref="BC31:BF31"/>
    <mergeCell ref="AE32:AH32"/>
    <mergeCell ref="AI32:AL32"/>
    <mergeCell ref="AM32:AP32"/>
    <mergeCell ref="AQ32:AT32"/>
    <mergeCell ref="A33:E33"/>
    <mergeCell ref="A31:E31"/>
    <mergeCell ref="EI31:EJ31"/>
    <mergeCell ref="BW31:BZ31"/>
    <mergeCell ref="CA31:CD31"/>
    <mergeCell ref="CQ32:CT32"/>
    <mergeCell ref="EI32:EJ32"/>
    <mergeCell ref="BW32:BZ32"/>
    <mergeCell ref="CA32:CD32"/>
    <mergeCell ref="CE32:CH32"/>
    <mergeCell ref="CI32:CL32"/>
    <mergeCell ref="CM32:CP32"/>
    <mergeCell ref="CY31:DB31"/>
    <mergeCell ref="DC31:DF31"/>
    <mergeCell ref="DG31:DJ31"/>
    <mergeCell ref="DK31:DN31"/>
    <mergeCell ref="DO31:DR31"/>
    <mergeCell ref="DS31:DV31"/>
    <mergeCell ref="DW31:DZ31"/>
    <mergeCell ref="CY32:DB32"/>
    <mergeCell ref="DC32:DF32"/>
    <mergeCell ref="DG32:DJ32"/>
    <mergeCell ref="CU32:CX32"/>
    <mergeCell ref="O33:R33"/>
    <mergeCell ref="S33:V33"/>
    <mergeCell ref="W33:Z33"/>
    <mergeCell ref="AA33:AD33"/>
    <mergeCell ref="AE33:AH33"/>
    <mergeCell ref="CA35:CD35"/>
    <mergeCell ref="CE35:CH35"/>
    <mergeCell ref="AA35:AD35"/>
    <mergeCell ref="AE35:AH35"/>
    <mergeCell ref="AI35:AL35"/>
    <mergeCell ref="AM35:AP35"/>
    <mergeCell ref="AQ35:AT35"/>
    <mergeCell ref="AU35:AX35"/>
    <mergeCell ref="AY35:BB35"/>
    <mergeCell ref="BC35:BF35"/>
    <mergeCell ref="BG35:BJ35"/>
    <mergeCell ref="BK35:BN35"/>
    <mergeCell ref="BO35:BR35"/>
    <mergeCell ref="EI33:EJ33"/>
    <mergeCell ref="G35:J35"/>
    <mergeCell ref="K35:N35"/>
    <mergeCell ref="O35:R35"/>
    <mergeCell ref="S35:V35"/>
    <mergeCell ref="W35:Z35"/>
    <mergeCell ref="BG33:BJ33"/>
    <mergeCell ref="BK33:BN33"/>
    <mergeCell ref="BO33:BR33"/>
    <mergeCell ref="BS33:BV33"/>
    <mergeCell ref="BW33:BZ33"/>
    <mergeCell ref="CA33:CD33"/>
    <mergeCell ref="AI33:AL33"/>
    <mergeCell ref="AM33:AP33"/>
    <mergeCell ref="AQ33:AT33"/>
    <mergeCell ref="AU33:AX33"/>
    <mergeCell ref="AY33:BB33"/>
    <mergeCell ref="BC33:BF33"/>
    <mergeCell ref="DC35:DF35"/>
    <mergeCell ref="DG35:DJ35"/>
    <mergeCell ref="EI35:EJ35"/>
    <mergeCell ref="CI35:CL35"/>
    <mergeCell ref="G33:J33"/>
    <mergeCell ref="K33:N33"/>
    <mergeCell ref="CU33:CX33"/>
    <mergeCell ref="CU35:CX35"/>
    <mergeCell ref="BS32:BV32"/>
    <mergeCell ref="CI31:CL31"/>
    <mergeCell ref="CM31:CP31"/>
    <mergeCell ref="CQ31:CT31"/>
    <mergeCell ref="CM35:CP35"/>
    <mergeCell ref="CQ35:CT35"/>
    <mergeCell ref="CE33:CH33"/>
    <mergeCell ref="CI33:CL33"/>
    <mergeCell ref="CM33:CP33"/>
    <mergeCell ref="CQ33:CT33"/>
    <mergeCell ref="BS35:BV35"/>
    <mergeCell ref="BW35:BZ35"/>
    <mergeCell ref="A32:E32"/>
    <mergeCell ref="CU13:CX13"/>
    <mergeCell ref="CU14:CX14"/>
    <mergeCell ref="CU16:CX16"/>
    <mergeCell ref="CU17:CX17"/>
    <mergeCell ref="CU19:CX19"/>
    <mergeCell ref="CU20:CX20"/>
    <mergeCell ref="CU22:CX22"/>
    <mergeCell ref="CU23:CX23"/>
    <mergeCell ref="CU25:CX25"/>
    <mergeCell ref="AU32:AX32"/>
    <mergeCell ref="AY32:BB32"/>
    <mergeCell ref="BC32:BF32"/>
    <mergeCell ref="BG32:BJ32"/>
    <mergeCell ref="BK32:BN32"/>
    <mergeCell ref="BO32:BR32"/>
    <mergeCell ref="W32:Z32"/>
    <mergeCell ref="AA32:AD32"/>
    <mergeCell ref="CE31:CH31"/>
    <mergeCell ref="CU26:CX26"/>
    <mergeCell ref="CU28:CX28"/>
    <mergeCell ref="CU29:CX29"/>
    <mergeCell ref="CU30:CX30"/>
    <mergeCell ref="CU31:CX31"/>
    <mergeCell ref="DK10:DN10"/>
    <mergeCell ref="DO10:DR10"/>
    <mergeCell ref="DS10:DV10"/>
    <mergeCell ref="DW10:DZ10"/>
    <mergeCell ref="CY13:DB13"/>
    <mergeCell ref="DC13:DF13"/>
    <mergeCell ref="DG13:DJ13"/>
    <mergeCell ref="DK13:DN13"/>
    <mergeCell ref="DO13:DR13"/>
    <mergeCell ref="DS13:DV13"/>
    <mergeCell ref="DW13:DZ13"/>
    <mergeCell ref="CY14:DB14"/>
    <mergeCell ref="DC14:DF14"/>
    <mergeCell ref="DG14:DJ14"/>
    <mergeCell ref="DK14:DN14"/>
    <mergeCell ref="DO14:DR14"/>
    <mergeCell ref="DS14:DV14"/>
    <mergeCell ref="DW14:DZ14"/>
    <mergeCell ref="CY16:DB16"/>
    <mergeCell ref="DC16:DF16"/>
    <mergeCell ref="DG16:DJ16"/>
    <mergeCell ref="DK16:DN16"/>
    <mergeCell ref="DO16:DR16"/>
    <mergeCell ref="DS16:DV16"/>
    <mergeCell ref="DW16:DZ16"/>
    <mergeCell ref="CY17:DB17"/>
    <mergeCell ref="DC17:DF17"/>
    <mergeCell ref="DG17:DJ17"/>
    <mergeCell ref="DK17:DN17"/>
    <mergeCell ref="DO17:DR17"/>
    <mergeCell ref="DS17:DV17"/>
    <mergeCell ref="DW17:DZ17"/>
    <mergeCell ref="CY19:DB19"/>
    <mergeCell ref="DC19:DF19"/>
    <mergeCell ref="DG19:DJ19"/>
    <mergeCell ref="DK19:DN19"/>
    <mergeCell ref="DO19:DR19"/>
    <mergeCell ref="DS19:DV19"/>
    <mergeCell ref="DW19:DZ19"/>
    <mergeCell ref="CY20:DB20"/>
    <mergeCell ref="DC20:DF20"/>
    <mergeCell ref="DG20:DJ20"/>
    <mergeCell ref="DK20:DN20"/>
    <mergeCell ref="DO20:DR20"/>
    <mergeCell ref="DS20:DV20"/>
    <mergeCell ref="DW20:DZ20"/>
    <mergeCell ref="CY22:DB22"/>
    <mergeCell ref="DC22:DF22"/>
    <mergeCell ref="DG22:DJ22"/>
    <mergeCell ref="DK22:DN22"/>
    <mergeCell ref="DO22:DR22"/>
    <mergeCell ref="DS22:DV22"/>
    <mergeCell ref="DW22:DZ22"/>
    <mergeCell ref="CY23:DB23"/>
    <mergeCell ref="DC23:DF23"/>
    <mergeCell ref="DG23:DJ23"/>
    <mergeCell ref="DK23:DN23"/>
    <mergeCell ref="DO23:DR23"/>
    <mergeCell ref="DS23:DV23"/>
    <mergeCell ref="DW23:DZ23"/>
    <mergeCell ref="CY25:DB25"/>
    <mergeCell ref="DC25:DF25"/>
    <mergeCell ref="DG25:DJ25"/>
    <mergeCell ref="DK25:DN25"/>
    <mergeCell ref="DO25:DR25"/>
    <mergeCell ref="DS25:DV25"/>
    <mergeCell ref="DW25:DZ25"/>
    <mergeCell ref="CY26:DB26"/>
    <mergeCell ref="DC26:DF26"/>
    <mergeCell ref="DG26:DJ26"/>
    <mergeCell ref="DK26:DN26"/>
    <mergeCell ref="DO26:DR26"/>
    <mergeCell ref="DS26:DV26"/>
    <mergeCell ref="DW26:DZ26"/>
    <mergeCell ref="CY28:DB28"/>
    <mergeCell ref="DC28:DF28"/>
    <mergeCell ref="DG28:DJ28"/>
    <mergeCell ref="DK28:DN28"/>
    <mergeCell ref="DO28:DR28"/>
    <mergeCell ref="DS28:DV28"/>
    <mergeCell ref="DW28:DZ28"/>
    <mergeCell ref="CY29:DB29"/>
    <mergeCell ref="DC29:DF29"/>
    <mergeCell ref="DG29:DJ29"/>
    <mergeCell ref="DK29:DN29"/>
    <mergeCell ref="DO29:DR29"/>
    <mergeCell ref="DS29:DV29"/>
    <mergeCell ref="DW29:DZ29"/>
    <mergeCell ref="CY30:DB30"/>
    <mergeCell ref="DC30:DF30"/>
    <mergeCell ref="DG30:DJ30"/>
    <mergeCell ref="DK30:DN30"/>
    <mergeCell ref="DO30:DR30"/>
    <mergeCell ref="DS30:DV30"/>
    <mergeCell ref="DW30:DZ30"/>
    <mergeCell ref="DK35:DN35"/>
    <mergeCell ref="DO35:DR35"/>
    <mergeCell ref="DS35:DV35"/>
    <mergeCell ref="DW35:DZ35"/>
    <mergeCell ref="DK32:DN32"/>
    <mergeCell ref="DO32:DR32"/>
    <mergeCell ref="DS32:DV32"/>
    <mergeCell ref="DW32:DZ32"/>
    <mergeCell ref="CY35:DB35"/>
    <mergeCell ref="CY33:DB33"/>
    <mergeCell ref="DC33:DF33"/>
    <mergeCell ref="DG33:DJ33"/>
    <mergeCell ref="DK33:DN33"/>
    <mergeCell ref="DO33:DR33"/>
    <mergeCell ref="DS33:DV33"/>
    <mergeCell ref="DW33:DZ33"/>
    <mergeCell ref="EA10:ED10"/>
    <mergeCell ref="EA13:ED13"/>
    <mergeCell ref="EA14:ED14"/>
    <mergeCell ref="EA16:ED16"/>
    <mergeCell ref="EA17:ED17"/>
    <mergeCell ref="EA19:ED19"/>
    <mergeCell ref="EA20:ED20"/>
    <mergeCell ref="EA22:ED22"/>
    <mergeCell ref="EA23:ED23"/>
    <mergeCell ref="EA25:ED25"/>
    <mergeCell ref="EA26:ED26"/>
    <mergeCell ref="EA28:ED28"/>
    <mergeCell ref="EA29:ED29"/>
    <mergeCell ref="EA30:ED30"/>
    <mergeCell ref="EA31:ED31"/>
    <mergeCell ref="EA32:ED32"/>
    <mergeCell ref="EA33:ED33"/>
    <mergeCell ref="EA35:ED35"/>
    <mergeCell ref="EE10:EH10"/>
    <mergeCell ref="EE13:EH13"/>
    <mergeCell ref="EE14:EH14"/>
    <mergeCell ref="EE16:EH16"/>
    <mergeCell ref="EE17:EH17"/>
    <mergeCell ref="EE19:EH19"/>
    <mergeCell ref="EE20:EH20"/>
    <mergeCell ref="EE22:EH22"/>
    <mergeCell ref="EE23:EH23"/>
    <mergeCell ref="EE25:EH25"/>
    <mergeCell ref="EE26:EH26"/>
    <mergeCell ref="EE28:EH28"/>
    <mergeCell ref="EE29:EH29"/>
    <mergeCell ref="EE30:EH30"/>
    <mergeCell ref="EE31:EH31"/>
    <mergeCell ref="EE32:EH32"/>
    <mergeCell ref="EE33:EH33"/>
    <mergeCell ref="EE35:EH35"/>
  </mergeCells>
  <pageMargins left="0.511811024" right="0.511811024" top="0.78740157499999996" bottom="0.78740157499999996" header="0.31496062000000002" footer="0.31496062000000002"/>
  <pageSetup paperSize="9"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F21"/>
  <sheetViews>
    <sheetView view="pageBreakPreview" zoomScaleNormal="100" zoomScaleSheetLayoutView="100" workbookViewId="0">
      <selection activeCell="I10" sqref="I10"/>
    </sheetView>
  </sheetViews>
  <sheetFormatPr defaultRowHeight="15" x14ac:dyDescent="0.25"/>
  <cols>
    <col min="2" max="2" width="77.7109375" customWidth="1"/>
    <col min="4" max="4" width="13.42578125" customWidth="1"/>
    <col min="5" max="5" width="10.42578125" customWidth="1"/>
    <col min="6" max="6" width="12.28515625" customWidth="1"/>
  </cols>
  <sheetData>
    <row r="1" spans="2:6" ht="15.75" thickBot="1" x14ac:dyDescent="0.3"/>
    <row r="2" spans="2:6" ht="30" customHeight="1" x14ac:dyDescent="0.25">
      <c r="B2" s="1652" t="s">
        <v>1109</v>
      </c>
      <c r="C2" s="1653"/>
      <c r="D2" s="1653"/>
      <c r="E2" s="1654">
        <f>SUM(F4:F22)</f>
        <v>346297.6123343056</v>
      </c>
      <c r="F2" s="1655"/>
    </row>
    <row r="3" spans="2:6" x14ac:dyDescent="0.25">
      <c r="B3" s="1656" t="s">
        <v>288</v>
      </c>
      <c r="C3" s="1313" t="s">
        <v>289</v>
      </c>
      <c r="D3" s="1314" t="s">
        <v>1106</v>
      </c>
      <c r="E3" s="1314"/>
      <c r="F3" s="1657"/>
    </row>
    <row r="4" spans="2:6" x14ac:dyDescent="0.25">
      <c r="B4" s="1656"/>
      <c r="C4" s="1313"/>
      <c r="D4" s="141" t="s">
        <v>295</v>
      </c>
      <c r="E4" s="145" t="s">
        <v>296</v>
      </c>
      <c r="F4" s="903" t="s">
        <v>297</v>
      </c>
    </row>
    <row r="5" spans="2:6" ht="38.25" x14ac:dyDescent="0.25">
      <c r="B5" s="904" t="s">
        <v>312</v>
      </c>
      <c r="C5" s="172" t="s">
        <v>313</v>
      </c>
      <c r="D5" s="173">
        <v>885.46</v>
      </c>
      <c r="E5" s="173">
        <v>2</v>
      </c>
      <c r="F5" s="905">
        <f t="shared" ref="F5:F20" si="0">D5*E5</f>
        <v>1770.92</v>
      </c>
    </row>
    <row r="6" spans="2:6" ht="38.25" x14ac:dyDescent="0.25">
      <c r="B6" s="904" t="s">
        <v>314</v>
      </c>
      <c r="C6" s="172" t="s">
        <v>313</v>
      </c>
      <c r="D6" s="173">
        <v>1043.4000000000001</v>
      </c>
      <c r="E6" s="173">
        <v>2</v>
      </c>
      <c r="F6" s="905">
        <f t="shared" si="0"/>
        <v>2086.8000000000002</v>
      </c>
    </row>
    <row r="7" spans="2:6" ht="51" x14ac:dyDescent="0.25">
      <c r="B7" s="904" t="s">
        <v>315</v>
      </c>
      <c r="C7" s="172" t="s">
        <v>313</v>
      </c>
      <c r="D7" s="173">
        <v>969.61</v>
      </c>
      <c r="E7" s="173">
        <v>2</v>
      </c>
      <c r="F7" s="905">
        <f t="shared" si="0"/>
        <v>1939.22</v>
      </c>
    </row>
    <row r="8" spans="2:6" ht="38.25" x14ac:dyDescent="0.25">
      <c r="B8" s="904" t="s">
        <v>318</v>
      </c>
      <c r="C8" s="172" t="s">
        <v>313</v>
      </c>
      <c r="D8" s="173">
        <v>663.48</v>
      </c>
      <c r="E8" s="173">
        <v>2</v>
      </c>
      <c r="F8" s="905">
        <f t="shared" si="0"/>
        <v>1326.96</v>
      </c>
    </row>
    <row r="9" spans="2:6" ht="38.25" x14ac:dyDescent="0.25">
      <c r="B9" s="904" t="s">
        <v>407</v>
      </c>
      <c r="C9" s="172" t="s">
        <v>301</v>
      </c>
      <c r="D9" s="173">
        <v>8.24</v>
      </c>
      <c r="E9" s="173">
        <v>283</v>
      </c>
      <c r="F9" s="905">
        <f t="shared" si="0"/>
        <v>2331.92</v>
      </c>
    </row>
    <row r="10" spans="2:6" x14ac:dyDescent="0.25">
      <c r="B10" s="904" t="s">
        <v>408</v>
      </c>
      <c r="C10" s="172" t="s">
        <v>409</v>
      </c>
      <c r="D10" s="173">
        <v>97.81</v>
      </c>
      <c r="E10" s="173">
        <v>7.0659999999999998</v>
      </c>
      <c r="F10" s="905">
        <f t="shared" si="0"/>
        <v>691.12545999999998</v>
      </c>
    </row>
    <row r="11" spans="2:6" x14ac:dyDescent="0.25">
      <c r="B11" s="904" t="s">
        <v>455</v>
      </c>
      <c r="C11" s="172" t="s">
        <v>301</v>
      </c>
      <c r="D11" s="173">
        <v>18.367106251837658</v>
      </c>
      <c r="E11" s="173">
        <v>846.52</v>
      </c>
      <c r="F11" s="905">
        <f t="shared" si="0"/>
        <v>15548.122784305613</v>
      </c>
    </row>
    <row r="12" spans="2:6" x14ac:dyDescent="0.25">
      <c r="B12" s="904" t="s">
        <v>456</v>
      </c>
      <c r="C12" s="172" t="s">
        <v>323</v>
      </c>
      <c r="D12" s="173">
        <v>14.33</v>
      </c>
      <c r="E12" s="173">
        <v>323.29300000000001</v>
      </c>
      <c r="F12" s="905">
        <f t="shared" si="0"/>
        <v>4632.7886900000003</v>
      </c>
    </row>
    <row r="13" spans="2:6" x14ac:dyDescent="0.25">
      <c r="B13" s="904" t="s">
        <v>705</v>
      </c>
      <c r="C13" s="172" t="s">
        <v>699</v>
      </c>
      <c r="D13" s="173">
        <v>8386.94</v>
      </c>
      <c r="E13" s="173">
        <v>1</v>
      </c>
      <c r="F13" s="905">
        <f t="shared" si="0"/>
        <v>8386.94</v>
      </c>
    </row>
    <row r="14" spans="2:6" ht="38.25" x14ac:dyDescent="0.25">
      <c r="B14" s="904" t="s">
        <v>706</v>
      </c>
      <c r="C14" s="172" t="s">
        <v>308</v>
      </c>
      <c r="D14" s="173">
        <v>203.2</v>
      </c>
      <c r="E14" s="173">
        <v>156.32</v>
      </c>
      <c r="F14" s="905">
        <f t="shared" si="0"/>
        <v>31764.223999999998</v>
      </c>
    </row>
    <row r="15" spans="2:6" ht="38.25" x14ac:dyDescent="0.25">
      <c r="B15" s="904" t="s">
        <v>711</v>
      </c>
      <c r="C15" s="172" t="s">
        <v>313</v>
      </c>
      <c r="D15" s="173">
        <v>560.4</v>
      </c>
      <c r="E15" s="173">
        <v>2</v>
      </c>
      <c r="F15" s="905">
        <f t="shared" si="0"/>
        <v>1120.8</v>
      </c>
    </row>
    <row r="16" spans="2:6" x14ac:dyDescent="0.25">
      <c r="B16" s="904" t="s">
        <v>714</v>
      </c>
      <c r="C16" s="172" t="s">
        <v>703</v>
      </c>
      <c r="D16" s="173">
        <v>26.35</v>
      </c>
      <c r="E16" s="173">
        <v>440</v>
      </c>
      <c r="F16" s="905">
        <f t="shared" si="0"/>
        <v>11594</v>
      </c>
    </row>
    <row r="17" spans="2:6" ht="25.5" x14ac:dyDescent="0.25">
      <c r="B17" s="904" t="s">
        <v>715</v>
      </c>
      <c r="C17" s="172" t="s">
        <v>313</v>
      </c>
      <c r="D17" s="173">
        <v>1577.07</v>
      </c>
      <c r="E17" s="173">
        <v>7</v>
      </c>
      <c r="F17" s="905">
        <f t="shared" si="0"/>
        <v>11039.49</v>
      </c>
    </row>
    <row r="18" spans="2:6" x14ac:dyDescent="0.25">
      <c r="B18" s="904" t="s">
        <v>716</v>
      </c>
      <c r="C18" s="172" t="s">
        <v>313</v>
      </c>
      <c r="D18" s="173">
        <v>12230.62</v>
      </c>
      <c r="E18" s="173">
        <v>2</v>
      </c>
      <c r="F18" s="905">
        <f t="shared" si="0"/>
        <v>24461.24</v>
      </c>
    </row>
    <row r="19" spans="2:6" ht="25.5" x14ac:dyDescent="0.25">
      <c r="B19" s="904" t="s">
        <v>964</v>
      </c>
      <c r="C19" s="172" t="s">
        <v>323</v>
      </c>
      <c r="D19" s="173">
        <v>113.62</v>
      </c>
      <c r="E19" s="173">
        <v>936.87</v>
      </c>
      <c r="F19" s="905">
        <f t="shared" si="0"/>
        <v>106447.1694</v>
      </c>
    </row>
    <row r="20" spans="2:6" ht="25.5" x14ac:dyDescent="0.25">
      <c r="B20" s="906" t="s">
        <v>965</v>
      </c>
      <c r="C20" s="209" t="s">
        <v>323</v>
      </c>
      <c r="D20" s="210">
        <v>36.520000000000003</v>
      </c>
      <c r="E20" s="210">
        <v>1969.5</v>
      </c>
      <c r="F20" s="907">
        <f t="shared" si="0"/>
        <v>71926.14</v>
      </c>
    </row>
    <row r="21" spans="2:6" ht="26.25" thickBot="1" x14ac:dyDescent="0.3">
      <c r="B21" s="908" t="s">
        <v>967</v>
      </c>
      <c r="C21" s="909" t="s">
        <v>323</v>
      </c>
      <c r="D21" s="910">
        <v>37.42</v>
      </c>
      <c r="E21" s="910">
        <v>1315.6</v>
      </c>
      <c r="F21" s="911">
        <f t="shared" ref="F21" si="1">D21*E21</f>
        <v>49229.752</v>
      </c>
    </row>
  </sheetData>
  <mergeCells count="5">
    <mergeCell ref="B2:D2"/>
    <mergeCell ref="E2:F2"/>
    <mergeCell ref="B3:B4"/>
    <mergeCell ref="C3:C4"/>
    <mergeCell ref="D3:F3"/>
  </mergeCells>
  <pageMargins left="0.511811024" right="0.511811024" top="0.78740157499999996" bottom="0.78740157499999996" header="0.31496062000000002" footer="0.31496062000000002"/>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11</vt:i4>
      </vt:variant>
    </vt:vector>
  </HeadingPairs>
  <TitlesOfParts>
    <vt:vector size="18" baseType="lpstr">
      <vt:lpstr>8 - EVOLUÇÃO FINANCEIRA</vt:lpstr>
      <vt:lpstr>10 - RESUMO</vt:lpstr>
      <vt:lpstr>11 - FINANCEIRO</vt:lpstr>
      <vt:lpstr>12 - CORPO</vt:lpstr>
      <vt:lpstr>ACOMPANHAMENTO</vt:lpstr>
      <vt:lpstr>CRONOGRAMA</vt:lpstr>
      <vt:lpstr>ITENS SEM SALDO</vt:lpstr>
      <vt:lpstr>'10 - RESUMO'!Area_de_impressao</vt:lpstr>
      <vt:lpstr>'11 - FINANCEIRO'!Area_de_impressao</vt:lpstr>
      <vt:lpstr>'12 - CORPO'!Area_de_impressao</vt:lpstr>
      <vt:lpstr>'8 - EVOLUÇÃO FINANCEIRA'!Area_de_impressao</vt:lpstr>
      <vt:lpstr>ACOMPANHAMENTO!Area_de_impressao</vt:lpstr>
      <vt:lpstr>CRONOGRAMA!Area_de_impressao</vt:lpstr>
      <vt:lpstr>'ITENS SEM SALDO'!Area_de_impressao</vt:lpstr>
      <vt:lpstr>'10 - RESUMO'!Titulos_de_impressao</vt:lpstr>
      <vt:lpstr>'11 - FINANCEIRO'!Titulos_de_impressao</vt:lpstr>
      <vt:lpstr>'12 - CORPO'!Titulos_de_impressao</vt:lpstr>
      <vt:lpstr>'8 - EVOLUÇÃO FINANCEIRA'!Titulos_de_impressao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sarah.oliveira</dc:creator>
  <cp:lastModifiedBy>Carlos Vinicius Soares do Rosario</cp:lastModifiedBy>
  <cp:lastPrinted>2026-05-27T19:54:07Z</cp:lastPrinted>
  <dcterms:created xsi:type="dcterms:W3CDTF">2023-12-04T19:10:49Z</dcterms:created>
  <dcterms:modified xsi:type="dcterms:W3CDTF">2026-05-29T14:13:58Z</dcterms:modified>
</cp:coreProperties>
</file>